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85" yWindow="2025" windowWidth="21600" windowHeight="8625" tabRatio="784"/>
  </bookViews>
  <sheets>
    <sheet name="ImportantDisclosures" sheetId="238" r:id="rId1"/>
    <sheet name="SOTP" sheetId="234" r:id="rId2"/>
    <sheet name="Financial Model" sheetId="1" r:id="rId3"/>
    <sheet name="Drivers" sheetId="226" r:id="rId4"/>
    <sheet name="MW-Cache" sheetId="155" state="veryHidden" r:id="rId5"/>
    <sheet name="__FDSCACHE__" sheetId="178" state="veryHidden" r:id="rId6"/>
    <sheet name="DCF Valuation" sheetId="236" r:id="rId7"/>
    <sheet name="US_Pension" sheetId="227" r:id="rId8"/>
    <sheet name="Non-US_Pension" sheetId="228" r:id="rId9"/>
    <sheet name="OPEB" sheetId="229" r:id="rId10"/>
    <sheet name="IndexInformation" sheetId="239" r:id="rId11"/>
    <sheet name="ModPubIndex" sheetId="240" r:id="rId12"/>
  </sheets>
  <definedNames>
    <definedName name="____abc1" hidden="1">{"cover a","2q",FALSE,"Cover";"Op Earn Mgd Q2",#N/A,FALSE,"Op-Earn (Mng)";"Op Earn Rpt Q2",#N/A,FALSE,"Op-Earn (Rpt)";"Loans",#N/A,FALSE,"Loans";"Credit Costs",#N/A,FALSE,"CCosts";"Net Interest Margin",#N/A,FALSE,"Margin";"Nonint Income",#N/A,FALSE,"NonII";"Nonint Exp",#N/A,FALSE,"NonIE";"Valuation",#N/A,FALSE,"Valuation"}</definedName>
    <definedName name="___abc1" hidden="1">{"cover a","2q",FALSE,"Cover";"Op Earn Mgd Q2",#N/A,FALSE,"Op-Earn (Mng)";"Op Earn Rpt Q2",#N/A,FALSE,"Op-Earn (Rpt)";"Loans",#N/A,FALSE,"Loans";"Credit Costs",#N/A,FALSE,"CCosts";"Net Interest Margin",#N/A,FALSE,"Margin";"Nonint Income",#N/A,FALSE,"NonII";"Nonint Exp",#N/A,FALSE,"NonIE";"Valuation",#N/A,FALSE,"Valuation"}</definedName>
    <definedName name="__abc1" localSheetId="1" hidden="1">{"cover a","2q",FALSE,"Cover";"Op Earn Mgd Q2",#N/A,FALSE,"Op-Earn (Mng)";"Op Earn Rpt Q2",#N/A,FALSE,"Op-Earn (Rpt)";"Loans",#N/A,FALSE,"Loans";"Credit Costs",#N/A,FALSE,"CCosts";"Net Interest Margin",#N/A,FALSE,"Margin";"Nonint Income",#N/A,FALSE,"NonII";"Nonint Exp",#N/A,FALSE,"NonIE";"Valuation",#N/A,FALSE,"Valuation"}</definedName>
    <definedName name="__FDS_HYPERLINK_TOGGLE_STATE__" hidden="1">"ON"</definedName>
    <definedName name="__FDS_UNIQUE_RANGE_ID_GENERATOR_COUNTER" hidden="1">1</definedName>
    <definedName name="__old1" localSheetId="6"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1" localSheetId="3"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1"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2" localSheetId="6"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2" localSheetId="3"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2"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1__FDSAUDITLINK__" localSheetId="6" hidden="1">{"fdsup://directions/FAT Viewer?action=UPDATE&amp;creator=factset&amp;DYN_ARGS=TRUE&amp;DOC_NAME=FAT:FQL_AUDITING_CLIENT_TEMPLATE.FAT&amp;display_string=Audit&amp;VAR:KEY=RELINIDUNI&amp;VAR:QUERY=RkVfVkFMVUFUSU9OKCdQQlBTJywnTUVBTicsJ0FOTlVBTCcsMjAxMiwwLCwsJycp&amp;WINDOW=FIRST_POPUP&amp;H","EIGHT=450&amp;WIDTH=450&amp;START_MAXIMIZED=FALSE&amp;VAR:CALENDAR=FIVEDAY&amp;VAR:SYMBOL=671499&amp;VAR:INDEX=0"}</definedName>
    <definedName name="_1__FDSAUDITLINK__" localSheetId="3"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localSheetId="1"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0__FDSAUDITLINK__" localSheetId="6"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3"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1"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0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0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0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0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0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2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2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2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2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4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4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4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5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5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5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6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7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7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7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8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8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9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9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9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__FDSAUDITLINK__" localSheetId="6"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3"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1"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0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0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0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1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1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1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1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2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2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2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4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4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4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4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6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6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6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6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7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7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7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7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9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9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9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9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__FDSAUDITLINK__" localSheetId="6"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3"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1"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0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1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1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1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2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2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2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3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4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4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4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5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5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6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6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6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8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8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8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8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9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9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9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__FDSAUDITLINK__" localSheetId="6"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3"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1"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0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0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0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1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1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1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1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3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3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3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3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4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4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4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4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6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6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6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6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8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8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8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9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9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9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__FDSAUDITLINK__" localSheetId="6"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3"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1"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0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1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1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1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2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2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3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3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3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5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5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5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5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6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6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6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8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8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8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8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__FDSAUDITLINK__" localSheetId="6"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3"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1"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0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0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0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0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0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0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1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1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1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1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3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3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3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3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5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5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5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6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6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6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7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7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7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7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8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8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8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8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8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8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9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9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9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9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9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__FDSAUDITLINK__" localSheetId="6"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3"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1"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0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60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6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60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0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0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0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__FDSAUDITLINK__" localSheetId="6"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1__FDSAUDITLINK__" localSheetId="3"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1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1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2__FDSAUDITLINK__" localSheetId="6"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2__FDSAUDITLINK__" localSheetId="3"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2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2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2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2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2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__FDSAUDITLINK__" localSheetId="6"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3__FDSAUDITLINK__" localSheetId="3"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3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3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3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3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4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4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4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5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5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5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5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5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5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6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6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__FDSAUDITLINK__" localSheetId="6"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7__FDSAUDITLINK__" localSheetId="3"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7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7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7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7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7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7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__FDSAUDITLINK__" localSheetId="6"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8__FDSAUDITLINK__" localSheetId="3"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8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8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8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8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8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__FDSAUDITLINK__" localSheetId="6"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9__FDSAUDITLINK__" localSheetId="3"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9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__FDSAUDITLINK__" localSheetId="6"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3"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1"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0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0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0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0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0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0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0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0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0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1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1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2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2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2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2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2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3__FDSAUDITLINK__" localSheetId="6"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3__FDSAUDITLINK__" localSheetId="3"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3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__FDSAUDITLINK__" localSheetId="6"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4__FDSAUDITLINK__" localSheetId="3"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4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4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5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5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6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6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7__FDSAUDITLINK__" localSheetId="6"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7__FDSAUDITLINK__" localSheetId="3"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7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8__FDSAUDITLINK__" localSheetId="6"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8__FDSAUDITLINK__" localSheetId="3"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9__FDSAUDITLINK__" localSheetId="6"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9__FDSAUDITLINK__" localSheetId="3"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8__FDSAUDITLINK__" localSheetId="6"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3"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1"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0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0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1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1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2__FDSAUDITLINK__" localSheetId="6"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2__FDSAUDITLINK__" localSheetId="3"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3__FDSAUDITLINK__" localSheetId="6"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3__FDSAUDITLINK__" localSheetId="3"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3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4__FDSAUDITLINK__" localSheetId="6"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4__FDSAUDITLINK__" localSheetId="3"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4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5__FDSAUDITLINK__" localSheetId="6"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5__FDSAUDITLINK__" localSheetId="3"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5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6__FDSAUDITLINK__" localSheetId="6"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6__FDSAUDITLINK__" localSheetId="3"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6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7__FDSAUDITLINK__" localSheetId="6"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7__FDSAUDITLINK__" localSheetId="3"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7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8__FDSAUDITLINK__" localSheetId="6"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8__FDSAUDITLINK__" localSheetId="3"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8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9__FDSAUDITLINK__" localSheetId="6"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9__FDSAUDITLINK__" localSheetId="3"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9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__FDSAUDITLINK__" localSheetId="6"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3"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1"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0__FDSAUDITLINK__" localSheetId="6"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0__FDSAUDITLINK__" localSheetId="3"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0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1__FDSAUDITLINK__" localSheetId="6"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1__FDSAUDITLINK__" localSheetId="3"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1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2__FDSAUDITLINK__" localSheetId="6"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2__FDSAUDITLINK__" localSheetId="3"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2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3__FDSAUDITLINK__" localSheetId="6"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3__FDSAUDITLINK__" localSheetId="3"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3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4__FDSAUDITLINK__" localSheetId="6"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4__FDSAUDITLINK__" localSheetId="3"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4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5__FDSAUDITLINK__" localSheetId="6"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5__FDSAUDITLINK__" localSheetId="3"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5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6__FDSAUDITLINK__" localSheetId="6"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6__FDSAUDITLINK__" localSheetId="3"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6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7__FDSAUDITLINK__" localSheetId="6"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7__FDSAUDITLINK__" localSheetId="3"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7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8__FDSAUDITLINK__" localSheetId="6"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8__FDSAUDITLINK__" localSheetId="3"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8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9__FDSAUDITLINK__" localSheetId="6"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9__FDSAUDITLINK__" localSheetId="3"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9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__FDSAUDITLINK__" localSheetId="6" hidden="1">{"fdsup://directions/FAT Viewer?action=UPDATE&amp;creator=factset&amp;DYN_ARGS=TRUE&amp;DOC_NAME=FAT:FQL_AUDITING_CLIENT_TEMPLATE.FAT&amp;display_string=Audit&amp;VAR:KEY=FODUDADIPC&amp;VAR:QUERY=RkVfVkFMVUFUSU9OKCdQQlBTJywnTUVBTicsJ0FOTlVBTCcsMjAxMSwwLCwsJycp&amp;WINDOW=FIRST_POPUP&amp;H","EIGHT=450&amp;WIDTH=450&amp;START_MAXIMIZED=FALSE&amp;VAR:CALENDAR=FIVEDAY&amp;VAR:SYMBOL=671499&amp;VAR:INDEX=0"}</definedName>
    <definedName name="_2__FDSAUDITLINK__" localSheetId="3"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localSheetId="1"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0__FDSAUDITLINK__" localSheetId="6"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3"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1"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0__FDSAUDITLINK__" localSheetId="6"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0__FDSAUDITLINK__" localSheetId="3"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0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1__FDSAUDITLINK__" localSheetId="6"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1__FDSAUDITLINK__" localSheetId="3"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1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2__FDSAUDITLINK__" localSheetId="6"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2__FDSAUDITLINK__" localSheetId="3"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2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3__FDSAUDITLINK__" localSheetId="6"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3__FDSAUDITLINK__" localSheetId="3"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3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4__FDSAUDITLINK__" localSheetId="6"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4__FDSAUDITLINK__" localSheetId="3"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4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5__FDSAUDITLINK__" localSheetId="6"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5__FDSAUDITLINK__" localSheetId="3"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5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6__FDSAUDITLINK__" localSheetId="6"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6__FDSAUDITLINK__" localSheetId="3"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6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7__FDSAUDITLINK__" localSheetId="6"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7__FDSAUDITLINK__" localSheetId="3"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7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8__FDSAUDITLINK__" localSheetId="6"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8__FDSAUDITLINK__" localSheetId="3"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8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9__FDSAUDITLINK__" localSheetId="6"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9__FDSAUDITLINK__" localSheetId="3"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9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__FDSAUDITLINK__" localSheetId="6"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3"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1"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0__FDSAUDITLINK__" localSheetId="6"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0__FDSAUDITLINK__" localSheetId="3"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0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1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1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2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2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3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3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4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4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4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5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5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6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6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7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7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8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8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8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9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9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2__FDSAUDITLINK__" localSheetId="6"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3"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1"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0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0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0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1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1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1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2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2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2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3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3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3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4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4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5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5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6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6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7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7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8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8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9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9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__FDSAUDITLINK__" localSheetId="6"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3"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1"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0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0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1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1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2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2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3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3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4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4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5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5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6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6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7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7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8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8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9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9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__FDSAUDITLINK__" localSheetId="6"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3"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1"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0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0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1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1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1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2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2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3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3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4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4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5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5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6__FDSAUDITLINK__" localSheetId="6"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6__FDSAUDITLINK__" localSheetId="3"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7__FDSAUDITLINK__" localSheetId="6"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7__FDSAUDITLINK__" localSheetId="3"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7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8__FDSAUDITLINK__" localSheetId="6"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8__FDSAUDITLINK__" localSheetId="3"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8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9__FDSAUDITLINK__" localSheetId="6"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9__FDSAUDITLINK__" localSheetId="3"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9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__FDSAUDITLINK__" localSheetId="6"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3"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1"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0__FDSAUDITLINK__" localSheetId="6"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0__FDSAUDITLINK__" localSheetId="3"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0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1__FDSAUDITLINK__" localSheetId="6"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1__FDSAUDITLINK__" localSheetId="3"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1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2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2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3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3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4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4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5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5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6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6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7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7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8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8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9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9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__FDSAUDITLINK__" localSheetId="6"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3"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1"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0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0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1__FDSAUDITLINK__" localSheetId="6"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61__FDSAUDITLINK__" localSheetId="3"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61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62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2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2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3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3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3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4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4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5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5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6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6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6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7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7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8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8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9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9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7__FDSAUDITLINK__" localSheetId="6"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3"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1"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0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0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1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1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2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2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3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3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4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4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5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5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6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6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7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7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8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8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9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79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7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__FDSAUDITLINK__" localSheetId="6"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3"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1"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0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0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1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1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2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2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3__FDSAUDITLINK__" localSheetId="6"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83__FDSAUDITLINK__" localSheetId="3"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83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84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4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5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5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5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6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6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7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7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8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8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9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9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__FDSAUDITLINK__" localSheetId="6"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3"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1"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0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0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1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1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2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2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3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3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4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4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5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5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6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6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7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7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8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8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9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9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__FDSAUDITLINK__" localSheetId="6"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3"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1"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0__FDSAUDITLINK__" localSheetId="6"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3"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1"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0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00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0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01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1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2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2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3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3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4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4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5__FDSAUDITLINK__" localSheetId="6"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305__FDSAUDITLINK__" localSheetId="3"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305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306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6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7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7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8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8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9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09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0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__FDSAUDITLINK__" localSheetId="6"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3"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1"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0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0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1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1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2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2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3__FDSAUDITLINK__" localSheetId="6"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3__FDSAUDITLINK__" localSheetId="3"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4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4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5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5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6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6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7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7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8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8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9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9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__FDSAUDITLINK__" localSheetId="6"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3"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1"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0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0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1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1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1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2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2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3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3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4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4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5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5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6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6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7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7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8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8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9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29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2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__FDSAUDITLINK__" localSheetId="6"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3"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1"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0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0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1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1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2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2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3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3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4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4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5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5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6__FDSAUDITLINK__" localSheetId="6"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6__FDSAUDITLINK__" localSheetId="3"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7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7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8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8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9__FDSAUDITLINK__" localSheetId="6"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9__FDSAUDITLINK__" localSheetId="3"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4__FDSAUDITLINK__" localSheetId="6"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3"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1"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0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0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1__FDSAUDITLINK__" localSheetId="6"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1__FDSAUDITLINK__" localSheetId="3"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2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2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3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3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4__FDSAUDITLINK__" localSheetId="6"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4__FDSAUDITLINK__" localSheetId="3"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4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4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4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4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__FDSAUDITLINK__" localSheetId="6"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3"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1"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__FDSAUDITLINK__" localSheetId="6"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3"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1"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6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6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6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7__FDSAUDITLINK__" localSheetId="6"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3"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1"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7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7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8__FDSAUDITLINK__" localSheetId="6"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3"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1"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__FDSAUDITLINK__" localSheetId="6"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3"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1"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9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9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9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__FDSAUDITLINK__" localSheetId="6"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3"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1"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0__FDSAUDITLINK__" localSheetId="6"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3"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1"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0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__FDSAUDITLINK__" localSheetId="6"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3"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1"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1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1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1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__FDSAUDITLINK__" localSheetId="6"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3"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1"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3__FDSAUDITLINK__" localSheetId="6"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3"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1"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3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3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3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__FDSAUDITLINK__" localSheetId="6"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3"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1"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4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4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4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__FDSAUDITLINK__" localSheetId="6"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3"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1"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6__FDSAUDITLINK__" localSheetId="6"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3"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1"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6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6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6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__FDSAUDITLINK__" localSheetId="6"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3"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1"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__FDSAUDITLINK__" localSheetId="6"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3"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1"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8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8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8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8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__FDSAUDITLINK__" localSheetId="6"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3"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1"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9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9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9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9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__FDSAUDITLINK__" localSheetId="6"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3"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1"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0__FDSAUDITLINK__" localSheetId="6"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3"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1"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__FDSAUDITLINK__" localSheetId="6"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3"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1"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1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1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1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1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__FDSAUDITLINK__" localSheetId="6"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3"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1"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__FDSAUDITLINK__" localSheetId="6"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3"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1"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3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3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3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4__FDSAUDITLINK__" localSheetId="6"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3"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1"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4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4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5__FDSAUDITLINK__" localSheetId="6"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3"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1"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__FDSAUDITLINK__" localSheetId="6"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3"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1"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6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6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6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7__FDSAUDITLINK__" localSheetId="6"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3"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1"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7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__FDSAUDITLINK__" localSheetId="6"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3"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1"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8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8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8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__FDSAUDITLINK__" localSheetId="6"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3"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1"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__FDSAUDITLINK__" localSheetId="6"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3"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1"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0__FDSAUDITLINK__" localSheetId="6"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3"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1"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0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0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0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1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1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1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3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3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3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3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5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5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5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5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6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6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6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6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8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8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8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8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__FDSAUDITLINK__" localSheetId="6"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3"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1"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0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0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0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1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1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3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3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3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4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4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5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5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5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7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7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7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7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8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8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8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__FDSAUDITLINK__" localSheetId="6"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3"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1"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0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0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0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0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2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2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2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2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8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38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3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3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3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5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55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5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5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5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2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72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7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7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8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1"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9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89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8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__FDSAUDITLINK__" localSheetId="6"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3"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1"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1"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6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06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0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0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1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1"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3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23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2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2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4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1"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0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40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4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41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1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0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0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1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1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4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4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5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5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6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6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7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57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5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58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8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9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9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1"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0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0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2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2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3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3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4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4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7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7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8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8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7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1"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1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1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2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2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3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3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4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74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7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75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5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6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6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7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7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9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9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1"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0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0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1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1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2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2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3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3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4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4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5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5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6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6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7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7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8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8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9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9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1"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0__FDSAUDITLINK__" localSheetId="6"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0__FDSAUDITLINK__" localSheetId="3"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1__FDSAUDITLINK__" localSheetId="6"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91__FDSAUDITLINK__" localSheetId="3"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9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92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2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3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3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4__FDSAUDITLINK__" localSheetId="6"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4__FDSAUDITLINK__" localSheetId="3"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5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5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6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6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7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7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8__FDSAUDITLINK__" localSheetId="6"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8__FDSAUDITLINK__" localSheetId="3"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9__FDSAUDITLINK__" localSheetId="6"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99__FDSAUDITLINK__" localSheetId="3"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abc1" localSheetId="3"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8"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9"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1"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7" hidden="1">{"cover a","2q",FALSE,"Cover";"Op Earn Mgd Q2",#N/A,FALSE,"Op-Earn (Mng)";"Op Earn Rpt Q2",#N/A,FALSE,"Op-Earn (Rpt)";"Loans",#N/A,FALSE,"Loans";"Credit Costs",#N/A,FALSE,"CCosts";"Net Interest Margin",#N/A,FALSE,"Margin";"Nonint Income",#N/A,FALSE,"NonII";"Nonint Exp",#N/A,FALSE,"NonIE";"Valuation",#N/A,FALSE,"Valuation"}</definedName>
    <definedName name="_abc1" hidden="1">{"cover a","2q",FALSE,"Cover";"Op Earn Mgd Q2",#N/A,FALSE,"Op-Earn (Mng)";"Op Earn Rpt Q2",#N/A,FALSE,"Op-Earn (Rpt)";"Loans",#N/A,FALSE,"Loans";"Credit Costs",#N/A,FALSE,"CCosts";"Net Interest Margin",#N/A,FALSE,"Margin";"Nonint Income",#N/A,FALSE,"NonII";"Nonint Exp",#N/A,FALSE,"NonIE";"Valuation",#N/A,FALSE,"Valuation"}</definedName>
    <definedName name="_bdm.00EF51842D0644EAAC2A48C9B910681E.edm" hidden="1">'Financial Model'!$1:$1048576</definedName>
    <definedName name="_Order1" hidden="1">0</definedName>
    <definedName name="_Order2" hidden="1">0</definedName>
    <definedName name="_r">"Formula removed, name can be deleted."</definedName>
    <definedName name="_Regression_Int" hidden="1">1</definedName>
    <definedName name="a" localSheetId="6" hidden="1">{"Pulp Production",#N/A,FALSE,"Pulp";"Pulp Earnings",#N/A,FALSE,"Pulp"}</definedName>
    <definedName name="a" localSheetId="8" hidden="1">{"Pulp Production",#N/A,FALSE,"Pulp";"Pulp Earnings",#N/A,FALSE,"Pulp"}</definedName>
    <definedName name="a" localSheetId="9" hidden="1">{"Pulp Production",#N/A,FALSE,"Pulp";"Pulp Earnings",#N/A,FALSE,"Pulp"}</definedName>
    <definedName name="a" localSheetId="1">{"Pulp Production",#N/A,FALSE,"Pulp";"Pulp Earnings",#N/A,FALSE,"Pulp"}</definedName>
    <definedName name="a" localSheetId="7" hidden="1">{"Pulp Production",#N/A,FALSE,"Pulp";"Pulp Earnings",#N/A,FALSE,"Pulp"}</definedName>
    <definedName name="a" hidden="1">{"Pulp Production",#N/A,FALSE,"Pulp";"Pulp Earnings",#N/A,FALSE,"Pulp"}</definedName>
    <definedName name="abc"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6" hidden="1">{#N/A,#N/A,TRUE,"Historicals";#N/A,#N/A,TRUE,"Charts";#N/A,#N/A,TRUE,"Forecasts"}</definedName>
    <definedName name="Actual" localSheetId="3" hidden="1">{#N/A,#N/A,TRUE,"Historicals";#N/A,#N/A,TRUE,"Charts";#N/A,#N/A,TRUE,"Forecasts"}</definedName>
    <definedName name="Actual" localSheetId="8" hidden="1">{#N/A,#N/A,TRUE,"Historicals";#N/A,#N/A,TRUE,"Charts";#N/A,#N/A,TRUE,"Forecasts"}</definedName>
    <definedName name="Actual" localSheetId="9" hidden="1">{#N/A,#N/A,TRUE,"Historicals";#N/A,#N/A,TRUE,"Charts";#N/A,#N/A,TRUE,"Forecasts"}</definedName>
    <definedName name="Actual" localSheetId="1" hidden="1">{#N/A,#N/A,TRUE,"Historicals";#N/A,#N/A,TRUE,"Charts";#N/A,#N/A,TRUE,"Forecasts"}</definedName>
    <definedName name="Actual" localSheetId="7" hidden="1">{#N/A,#N/A,TRUE,"Historicals";#N/A,#N/A,TRUE,"Charts";#N/A,#N/A,TRUE,"Forecasts"}</definedName>
    <definedName name="Actual" hidden="1">{#N/A,#N/A,TRUE,"Historicals";#N/A,#N/A,TRUE,"Charts";#N/A,#N/A,TRUE,"Forecasts"}</definedName>
    <definedName name="AdditionalInstructions" localSheetId="10">IndexInformation!$B$42</definedName>
    <definedName name="AdditionalInstructions">#N/A</definedName>
    <definedName name="Address" localSheetId="0">ImportantDisclosures!$A$2:$A$2</definedName>
    <definedName name="AllTables" localSheetId="6">{5}</definedName>
    <definedName name="AllTables" localSheetId="3">{5}</definedName>
    <definedName name="AllTables">{5}</definedName>
    <definedName name="ANA" localSheetId="11">ModPubIndex!$A$7</definedName>
    <definedName name="anscount" hidden="1">1</definedName>
    <definedName name="AS2DocOpenMode" hidden="1">"AS2DocumentEdit"</definedName>
    <definedName name="asd"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s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uthors" localSheetId="0">ImportantDisclosures!$A$7</definedName>
    <definedName name="Authors" localSheetId="10">IndexInformation!$B$18</definedName>
    <definedName name="bcd"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RO" localSheetId="11">ModPubIndex!$A$1</definedName>
    <definedName name="BSMethod">2</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hoices_Wrapper" localSheetId="1">SOTP!Choices_Wrapper</definedName>
    <definedName name="Choices_Wrapper">SOTP!Choices_Wrapper</definedName>
    <definedName name="Class_B">68.45</definedName>
    <definedName name="Company_Code" hidden="1">"USSLP"</definedName>
    <definedName name="CopyrightStamp" localSheetId="0">ImportantDisclosures!$A$27</definedName>
    <definedName name="CopyrightStamp">#N/A</definedName>
    <definedName name="COU" localSheetId="11">ModPubIndex!$A$5</definedName>
    <definedName name="CQEnd" localSheetId="10">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107.RepSymbol" hidden="1">"US$"</definedName>
    <definedName name="cu42.CurrFinancialMth" hidden="1">12</definedName>
    <definedName name="cu42.CurrFinancialYear" hidden="1">2005</definedName>
    <definedName name="cu61.ScalingFactor" hidden="1">"M"</definedName>
    <definedName name="cu71.ScalingFactor" hidden="1">1000000</definedName>
    <definedName name="cu71.ScalingFactor_1" hidden="1">1000</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ClassVersion">0</definedName>
    <definedName name="CUSHeadFont" hidden="1">16777215</definedName>
    <definedName name="CUSHeading" hidden="1">8421504</definedName>
    <definedName name="CUSIP" localSheetId="10">IndexInformation!$B$20</definedName>
    <definedName name="CUSItemFont" hidden="1">9868950</definedName>
    <definedName name="CUSItemHeading" hidden="1">16777215</definedName>
    <definedName name="CUSSheetClass">"USIN"</definedName>
    <definedName name="CustomView" hidden="1">"optAllRows"</definedName>
    <definedName name="CYEnd" localSheetId="10">IndexInformation!$B$30</definedName>
    <definedName name="dasdasd" localSheetId="6" hidden="1">{"Bell",#N/A,TRUE,"Earnings Model";"Cessna",#N/A,TRUE,"Earnings Model"}</definedName>
    <definedName name="dasdasd" localSheetId="3" hidden="1">{"Bell",#N/A,TRUE,"Earnings Model";"Cessna",#N/A,TRUE,"Earnings Model"}</definedName>
    <definedName name="dasdasd" localSheetId="8" hidden="1">{"Bell",#N/A,TRUE,"Earnings Model";"Cessna",#N/A,TRUE,"Earnings Model"}</definedName>
    <definedName name="dasdasd" localSheetId="9" hidden="1">{"Bell",#N/A,TRUE,"Earnings Model";"Cessna",#N/A,TRUE,"Earnings Model"}</definedName>
    <definedName name="dasdasd" localSheetId="1" hidden="1">{"Bell",#N/A,TRUE,"Earnings Model";"Cessna",#N/A,TRUE,"Earnings Model"}</definedName>
    <definedName name="dasdasd" localSheetId="7" hidden="1">{"Bell",#N/A,TRUE,"Earnings Model";"Cessna",#N/A,TRUE,"Earnings Model"}</definedName>
    <definedName name="dasdasd" hidden="1">{"Bell",#N/A,TRUE,"Earnings Model";"Cessna",#N/A,TRUE,"Earnings Model"}</definedName>
    <definedName name="Date" localSheetId="0">ImportantDisclosures!$A$8</definedName>
    <definedName name="DB">"WIRENYPROD"</definedName>
    <definedName name="Deleted" localSheetId="10">IndexInformation!$B$27</definedName>
    <definedName name="Description" localSheetId="10">IndexInformation!$B$7</definedName>
    <definedName name="DEVELOPMENT">5</definedName>
    <definedName name="DfltCUSHeadFont" hidden="1">16777215</definedName>
    <definedName name="DfltCUSHeading" hidden="1">8421504</definedName>
    <definedName name="DfltCUSItemHeading" hidden="1">16777215</definedName>
    <definedName name="DfltFinalColumn" hidden="1">16777215</definedName>
    <definedName name="DfltFinalHeadFont" hidden="1">16777215</definedName>
    <definedName name="DfltFinalHeading" hidden="1">8421504</definedName>
    <definedName name="DfltInterimColumn" hidden="1">16777215</definedName>
    <definedName name="DfltInterimHeadFont" hidden="1">8388608</definedName>
    <definedName name="DfltInterimHeading" hidden="1">16777215</definedName>
    <definedName name="DfltQuarterlyColumn" hidden="1">16777215</definedName>
    <definedName name="DfltQuarterlyHeadFont" hidden="1">8388608</definedName>
    <definedName name="DfltQuarterlyHeading" hidden="1">16777215</definedName>
    <definedName name="DfltSectionHeadFont" hidden="1">0</definedName>
    <definedName name="DfltSectionHeading" hidden="1">12632256</definedName>
    <definedName name="Discipline" localSheetId="10">IndexInformation!$B$3</definedName>
    <definedName name="DISCIPLINE" localSheetId="11">ModPubIndex!$A$12</definedName>
    <definedName name="DisclosuresText" localSheetId="0">ImportantDisclosures!$A$22</definedName>
    <definedName name="DisclosuresText">#N/A</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DPSCurr" localSheetId="6" hidden="1">IF([0]!cu107.DPSSymbol=[0]!cu107.EPSSymbol,"", ", " &amp; [0]!cu107.DPSSymbol)</definedName>
    <definedName name="DPSCurr" localSheetId="3" hidden="1">IF([0]!cu107.DPSSymbol=[0]!cu107.EPSSymbol,"", ", " &amp; [0]!cu107.DPSSymbol)</definedName>
    <definedName name="DPSCurr" hidden="1">IF([0]!cu107.DPSSymbol=[0]!cu107.EPSSymbol,"", ", " &amp; [0]!cu107.DPSSymbol)</definedName>
    <definedName name="DPSCurrency" localSheetId="6" hidden="1">IF([0]!cu107.DPSSymbol=[0]!cu107.EPSSymbol,"", ", " &amp; [0]!cu107.DPSSymbol)</definedName>
    <definedName name="DPSCurrency" localSheetId="3" hidden="1">IF([0]!cu107.DPSSymbol=[0]!cu107.EPSSymbol,"", ", " &amp; [0]!cu107.DPSSymbol)</definedName>
    <definedName name="DPSCurrency" hidden="1">IF([0]!cu107.DPSSymbol=[0]!cu107.EPSSymbol,"", ", " &amp; [0]!cu107.DPSSymbol)</definedName>
    <definedName name="EMAIL_ALERT" localSheetId="11">ModPubIndex!$A$10</definedName>
    <definedName name="EmailAlert" localSheetId="10">IndexInformation!$B$28</definedName>
    <definedName name="EmpScale" hidden="1">#N/A</definedName>
    <definedName name="Equity" localSheetId="1">{"Pulp Production",#N/A,FALSE,"Pulp";"Pulp Earnings",#N/A,FALSE,"Pulp"}</definedName>
    <definedName name="Equity">{"Pulp Production",#N/A,FALSE,"Pulp";"Pulp Earnings",#N/A,FALSE,"Pulp"}</definedName>
    <definedName name="EquityAdjustments">0</definedName>
    <definedName name="EquityEmployeeStockOwnershipPlan">0</definedName>
    <definedName name="EquityPaidInCapital">0</definedName>
    <definedName name="EquityTreasuryStock">0</definedName>
    <definedName name="ev.Calculation">-4135</definedName>
    <definedName name="ev.Initialized">FALSE</definedName>
    <definedName name="ｆ" hidden="1">"iQShowAnnual"</definedName>
    <definedName name="FinalColumn" hidden="1">16777215</definedName>
    <definedName name="FinalHeadFont" hidden="1">16777215</definedName>
    <definedName name="FinalHeading" hidden="1">8421504</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3"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8"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9"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1"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7"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3"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8"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9"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1"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7"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"SUN"</definedName>
    <definedName name="FR_COM_ABBR_LINK">" "</definedName>
    <definedName name="FR_COM_AGG">0</definedName>
    <definedName name="FR_COM_NAME_LINK">" "</definedName>
    <definedName name="FR_COU_ABBR">"usa"</definedName>
    <definedName name="FR_DATABOX_DOWNLOAD">"Y"</definedName>
    <definedName name="FR_DISP_HIDDEN">TRUE</definedName>
    <definedName name="FR_END_DATE">"'"</definedName>
    <definedName name="FR_LINKS_OVERRUN">TRUE</definedName>
    <definedName name="FR_LOG_END_DATE">"'"</definedName>
    <definedName name="FR_LOG_START_DATE">"'"</definedName>
    <definedName name="FR_RATIO_ABBR">"EXTEL_RATIO_BUNDLE"</definedName>
    <definedName name="FR_RATIO_COM_ABBR">"ZZUK.L"</definedName>
    <definedName name="FR_RATIO_COU_ABBR">"uk"</definedName>
    <definedName name="FR_RATIO_IGNORE_PROT_FLAG">TRUE</definedName>
    <definedName name="FR_RATIO_RECALC_FLAG">TRUE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6</definedName>
    <definedName name="FR_SHOW_LINK_MARKER">TRUE</definedName>
    <definedName name="FR_START_DATE">"'"</definedName>
    <definedName name="FR_SYBASE_SERVER">"PNYEQFRD01"</definedName>
    <definedName name="FR_TEMPLATE_KEY">"76018|1"</definedName>
    <definedName name="FR_USE_BILLIONS">FALSE</definedName>
    <definedName name="FR_USE_DIMFAC">TRUE</definedName>
    <definedName name="FR_USE_LOCAL_CCY">FALSE</definedName>
    <definedName name="FR_USE_PRICEFACTORING">FALSE</definedName>
    <definedName name="FR_USE_SCALE_FLAG">TRUE</definedName>
    <definedName name="FR_WORKBOOK">"G:\research\SHARED\GORDON\MODELS\PRIMARY\SII.xls"</definedName>
    <definedName name="Goodwill_Amortization">25</definedName>
    <definedName name="Growth_ROIC" localSheetId="6">OFFSET([0]!XRange,10,0)</definedName>
    <definedName name="Growth_ROIC" localSheetId="3">OFFSET([0]!XRange,10,0)</definedName>
    <definedName name="Growth_ROIC" localSheetId="1">OFFSET([0]!XRange,10,0)</definedName>
    <definedName name="Growth_ROIC">OFFSET([0]!XRange,10,0)</definedName>
    <definedName name="GWyears">40</definedName>
    <definedName name="HL" localSheetId="11">ModPubIndex!$A$8</definedName>
    <definedName name="hn.ExtDb">FALSE</definedName>
    <definedName name="hn.ModelType">"DEAL"</definedName>
    <definedName name="hn.ModelVersion">1</definedName>
    <definedName name="hn.NoUpload">0</definedName>
    <definedName name="HTML_CodePage" hidden="1">1252</definedName>
    <definedName name="HTML_Control" localSheetId="6" hidden="1">{"'Breakup 01 Euro'!$A$3:$I$30"}</definedName>
    <definedName name="HTML_Control" localSheetId="3" hidden="1">{"'Breakup 01 Euro'!$A$3:$I$30"}</definedName>
    <definedName name="HTML_Control" localSheetId="8" hidden="1">{"'Breakup 01 Euro'!$A$3:$I$30"}</definedName>
    <definedName name="HTML_Control" localSheetId="9" hidden="1">{"'Breakup 01 Euro'!$A$3:$I$30"}</definedName>
    <definedName name="HTML_Control" localSheetId="1" hidden="1">{"'Breakup 01 Euro'!$A$3:$I$30"}</definedName>
    <definedName name="HTML_Control" localSheetId="7" hidden="1">{"'Breakup 01 Euro'!$A$3:$I$30"}</definedName>
    <definedName name="HTML_Control" hidden="1">{"'Breakup 01 Euro'!$A$3:$I$30"}</definedName>
    <definedName name="HTML_Control1" localSheetId="6" hidden="1">{"'Sheet1'!$A$1:$J$121"}</definedName>
    <definedName name="HTML_Control1" localSheetId="3" hidden="1">{"'Sheet1'!$A$1:$J$121"}</definedName>
    <definedName name="HTML_Control1" hidden="1">{"'Sheet1'!$A$1:$J$121"}</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 localSheetId="6">{"Qtr Op Mgd Q3",#N/A,FALSE,"Qtr-Op (Mng)";"Qtr Op Rpt Q3",#N/A,FALSE,"Qtr-Op (Rpt)";"Operating Vs Reported",#N/A,FALSE,"Rpt-Op Inc"}</definedName>
    <definedName name="i" localSheetId="3">{"Qtr Op Mgd Q3",#N/A,FALSE,"Qtr-Op (Mng)";"Qtr Op Rpt Q3",#N/A,FALSE,"Qtr-Op (Rpt)";"Operating Vs Reported",#N/A,FALSE,"Rpt-Op Inc"}</definedName>
    <definedName name="i" localSheetId="8">{"Qtr Op Mgd Q3",#N/A,FALSE,"Qtr-Op (Mng)";"Qtr Op Rpt Q3",#N/A,FALSE,"Qtr-Op (Rpt)";"Operating Vs Reported",#N/A,FALSE,"Rpt-Op Inc"}</definedName>
    <definedName name="i" localSheetId="9">{"Qtr Op Mgd Q3",#N/A,FALSE,"Qtr-Op (Mng)";"Qtr Op Rpt Q3",#N/A,FALSE,"Qtr-Op (Rpt)";"Operating Vs Reported",#N/A,FALSE,"Rpt-Op Inc"}</definedName>
    <definedName name="i" localSheetId="1">{"Qtr Op Mgd Q3",#N/A,FALSE,"Qtr-Op (Mng)";"Qtr Op Rpt Q3",#N/A,FALSE,"Qtr-Op (Rpt)";"Operating Vs Reported",#N/A,FALSE,"Rpt-Op Inc"}</definedName>
    <definedName name="i" localSheetId="7">{"Qtr Op Mgd Q3",#N/A,FALSE,"Qtr-Op (Mng)";"Qtr Op Rpt Q3",#N/A,FALSE,"Qtr-Op (Rpt)";"Operating Vs Reported",#N/A,FALSE,"Rpt-Op Inc"}</definedName>
    <definedName name="i">{"Qtr Op Mgd Q3",#N/A,FALSE,"Qtr-Op (Mng)";"Qtr Op Rpt Q3",#N/A,FALSE,"Qtr-Op (Rpt)";"Operating Vs Reported",#N/A,FALSE,"Rpt-Op Inc"}</definedName>
    <definedName name="IncomeEPSFullyDiluted">0</definedName>
    <definedName name="IncomeEPSPrimary">0</definedName>
    <definedName name="IncomeEPSRegular">0</definedName>
    <definedName name="IND" localSheetId="11">ModPubIndex!$A$9</definedName>
    <definedName name="Industry" localSheetId="0">ImportantDisclosures!$A$12</definedName>
    <definedName name="IndustryId" localSheetId="10">IndexInformation!$B$40</definedName>
    <definedName name="IndustryId">1500000223</definedName>
    <definedName name="IndustryRating" localSheetId="0">ImportantDisclosures!$A$13</definedName>
    <definedName name="Int_exp">8%</definedName>
    <definedName name="InterimColumn" hidden="1">16777215</definedName>
    <definedName name="InterimHeadFont" hidden="1">8388608</definedName>
    <definedName name="InterimHeading" hidden="1">16777215</definedName>
    <definedName name="InvestCapGrowth" localSheetId="6">OFFSET([0]!XRange2,4,0)</definedName>
    <definedName name="InvestCapGrowth" localSheetId="3">OFFSET([0]!XRange2,4,0)</definedName>
    <definedName name="InvestCapGrowth" localSheetId="1">OFFSET([0]!XRange2,4,0)</definedName>
    <definedName name="InvestCapGrowth">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 hidden="1">"IQ_EPS"</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5502997</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Y" hidden="1">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41392.4575</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6" hidden="1">39244.4711574074</definedName>
    <definedName name="IQ_REVISION_DATE_" localSheetId="8" hidden="1">39177.5491319444</definedName>
    <definedName name="IQ_REVISION_DATE_" localSheetId="9" hidden="1">39177.5491319444</definedName>
    <definedName name="IQ_REVISION_DATE_" localSheetId="1" hidden="1">39244.4711574074</definedName>
    <definedName name="IQ_REVISION_DATE_" localSheetId="7" hidden="1">39177.5491319444</definedName>
    <definedName name="IQ_REVISION_DATE_" hidden="1">39244.4711574074</definedName>
    <definedName name="IQ_REVISION_DATE_1" hidden="1">39120.6057175926</definedName>
    <definedName name="IQ_REVISION_DATE_2" hidden="1">39120.6057175926</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"iQHideSelected"</definedName>
    <definedName name="IsColHidden">FALSE</definedName>
    <definedName name="IsLTMColHidden">FALSE</definedName>
    <definedName name="ISMethod">1</definedName>
    <definedName name="ItemScale" hidden="1">#N/A</definedName>
    <definedName name="KeepVersions" localSheetId="10">IndexInformation!$B$8</definedName>
    <definedName name="LanguageCode" localSheetId="10">IndexInformation!$B$38</definedName>
    <definedName name="LanguageCode">"en-US"</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mcount" hidden="1">1</definedName>
    <definedName name="Linking_10">SOTP!$B$2:$Q$37</definedName>
    <definedName name="Linking_11">'Financial Model'!$B$65:$DC$122</definedName>
    <definedName name="Linking_12">SOTP!$B$3:$Q$36</definedName>
    <definedName name="Linking_13">'Financial Model'!$B$129:$DC$186</definedName>
    <definedName name="Linking_14">'DCF Valuation'!$A$1:$Q$40</definedName>
    <definedName name="Linking_3">'Financial Model'!$B$65:$DB$118</definedName>
    <definedName name="Linking_5">'Financial Model'!$B$9:$DC$58</definedName>
    <definedName name="Linking_6">'Financial Model'!$C$65:$DC$110</definedName>
    <definedName name="Linking_7">'Financial Model'!$B$65:$DC$110</definedName>
    <definedName name="Linking_8">'Financial Model'!$B$129:$DC$178</definedName>
    <definedName name="Linking_9">SOTP!$B$3:$Q$37</definedName>
    <definedName name="Linking_Range_10">'Financial Model'!$B$9:$CU$52</definedName>
    <definedName name="Linking_Range_11">'Financial Model'!$B$65:$CU$128</definedName>
    <definedName name="Linking_Range_12">'Financial Model'!$B$129:$CU$187</definedName>
    <definedName name="Linking_Range_13">'Financial Model'!$B$9:$CZ$51</definedName>
    <definedName name="Linking_Range_14" localSheetId="6">'DCF Valuation'!$C$8:$P$40</definedName>
    <definedName name="Linking_Range_15">'Financial Model'!$B$65:$CZ$118</definedName>
    <definedName name="Linking_Range_16">'Financial Model'!$B$65:$CZ$127</definedName>
    <definedName name="Linking_Range_17">'Financial Model'!$B$129:$CZ$186</definedName>
    <definedName name="Linking_Range_18">'Financial Model'!$B$9:$DB$51</definedName>
    <definedName name="Linking_Range_19">'Financial Model'!$B$65:$DB$125</definedName>
    <definedName name="Linking_Range_20">'Financial Model'!$B$129:$DB$186</definedName>
    <definedName name="Linking_Range_22" localSheetId="6">'DCF Valuation'!$C$6:$P$40</definedName>
    <definedName name="Linking_Range_23" localSheetId="6">'DCF Valuation'!$C$7:$P$40</definedName>
    <definedName name="Linking_Range_6">'Financial Model'!$B$9:$CU$51</definedName>
    <definedName name="Linking_Range_7">'Financial Model'!$B$65:$CU$118</definedName>
    <definedName name="Linking_Range_8">'Financial Model'!$B$129:$CU$186</definedName>
    <definedName name="Linking_Range_9">'Financial Model'!$B$65:$CU$127</definedName>
    <definedName name="Linking_Text_2">24.2</definedName>
    <definedName name="Macro03" localSheetId="6">'DCF Valuation'!Macro03</definedName>
    <definedName name="Macro03" localSheetId="3">Drivers!Macro03</definedName>
    <definedName name="Macro03">Drivers!Macro03</definedName>
    <definedName name="Macro031" localSheetId="6">'DCF Valuation'!Macro031</definedName>
    <definedName name="Macro031" localSheetId="3">Drivers!Macro031</definedName>
    <definedName name="Macro031">Drivers!Macro031</definedName>
    <definedName name="Macro1" localSheetId="6">'DCF Valuation'!Macro1</definedName>
    <definedName name="Macro1" localSheetId="3">Drivers!Macro1</definedName>
    <definedName name="Macro1">Drivers!Macro1</definedName>
    <definedName name="Macro11" localSheetId="6">'DCF Valuation'!Macro11</definedName>
    <definedName name="Macro11" localSheetId="3">Drivers!Macro11</definedName>
    <definedName name="Macro11">Drivers!Macro11</definedName>
    <definedName name="Macro2" localSheetId="6">'DCF Valuation'!Macro2</definedName>
    <definedName name="Macro2" localSheetId="3">Drivers!Macro2</definedName>
    <definedName name="Macro2">Drivers!Macro2</definedName>
    <definedName name="Macro21" localSheetId="6">'DCF Valuation'!Macro21</definedName>
    <definedName name="Macro21" localSheetId="3">Drivers!Macro21</definedName>
    <definedName name="Macro21">Drivers!Macro21</definedName>
    <definedName name="macro4" localSheetId="6">'DCF Valuation'!macro4</definedName>
    <definedName name="macro4" localSheetId="3">Drivers!macro4</definedName>
    <definedName name="macro4">Drivers!macro4</definedName>
    <definedName name="MacroVersion" localSheetId="10">IndexInformation!$B$1</definedName>
    <definedName name="ModelPrice" localSheetId="0">ImportantDisclosures!$A$14</definedName>
    <definedName name="MonitorCol">1</definedName>
    <definedName name="MonitorRow">1</definedName>
    <definedName name="Multiplier" localSheetId="10">IndexInformation!$B$35</definedName>
    <definedName name="nEW" localSheetId="6" hidden="1">{#N/A,#N/A,TRUE,"Historicals";#N/A,#N/A,TRUE,"Charts";#N/A,#N/A,TRUE,"Forecasts"}</definedName>
    <definedName name="nEW" localSheetId="3" hidden="1">{#N/A,#N/A,TRUE,"Historicals";#N/A,#N/A,TRUE,"Charts";#N/A,#N/A,TRUE,"Forecasts"}</definedName>
    <definedName name="nEW" localSheetId="8" hidden="1">{#N/A,#N/A,TRUE,"Historicals";#N/A,#N/A,TRUE,"Charts";#N/A,#N/A,TRUE,"Forecasts"}</definedName>
    <definedName name="nEW" localSheetId="9" hidden="1">{#N/A,#N/A,TRUE,"Historicals";#N/A,#N/A,TRUE,"Charts";#N/A,#N/A,TRUE,"Forecasts"}</definedName>
    <definedName name="nEW" localSheetId="1" hidden="1">{#N/A,#N/A,TRUE,"Historicals";#N/A,#N/A,TRUE,"Charts";#N/A,#N/A,TRUE,"Forecasts"}</definedName>
    <definedName name="nEW" localSheetId="7" hidden="1">{#N/A,#N/A,TRUE,"Historicals";#N/A,#N/A,TRUE,"Charts";#N/A,#N/A,TRUE,"Forecasts"}</definedName>
    <definedName name="nEW" hidden="1">{#N/A,#N/A,TRUE,"Historicals";#N/A,#N/A,TRUE,"Charts";#N/A,#N/A,TRUE,"Forecasts"}</definedName>
    <definedName name="NextYearEPS" localSheetId="10">IndexInformation!$B$13</definedName>
    <definedName name="NextYearTotalRevenue" localSheetId="10">IndexInformation!$B$12</definedName>
    <definedName name="NextYearTotalRevenueActual" localSheetId="10">IndexInformation!$B$33</definedName>
    <definedName name="Normalized_Income_Statement">"IS_Annual"</definedName>
    <definedName name="o" localSheetId="6" hidden="1">{"Pulp Production",#N/A,FALSE,"Pulp";"Pulp Earnings",#N/A,FALSE,"Pulp"}</definedName>
    <definedName name="o" localSheetId="3" hidden="1">{"Pulp Production",#N/A,FALSE,"Pulp";"Pulp Earnings",#N/A,FALSE,"Pulp"}</definedName>
    <definedName name="o" localSheetId="8" hidden="1">{"Pulp Production",#N/A,FALSE,"Pulp";"Pulp Earnings",#N/A,FALSE,"Pulp"}</definedName>
    <definedName name="o" localSheetId="9" hidden="1">{"Pulp Production",#N/A,FALSE,"Pulp";"Pulp Earnings",#N/A,FALSE,"Pulp"}</definedName>
    <definedName name="o" localSheetId="1" hidden="1">{"Pulp Production",#N/A,FALSE,"Pulp";"Pulp Earnings",#N/A,FALSE,"Pulp"}</definedName>
    <definedName name="o" localSheetId="7" hidden="1">{"Pulp Production",#N/A,FALSE,"Pulp";"Pulp Earnings",#N/A,FALSE,"Pulp"}</definedName>
    <definedName name="o" hidden="1">{"Pulp Production",#N/A,FALSE,"Pulp";"Pulp Earnings",#N/A,FALSE,"Pulp"}</definedName>
    <definedName name="ObjectType" localSheetId="10">IndexInformation!$B$37</definedName>
    <definedName name="ObjectType">"excel"</definedName>
    <definedName name="old" localSheetId="6"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old" localSheetId="3"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old"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pMargin" localSheetId="6">OFFSET([0]!XRange2,5,0)</definedName>
    <definedName name="OpMargin" localSheetId="3">OFFSET([0]!XRange2,5,0)</definedName>
    <definedName name="OpMargin" localSheetId="1">OFFSET([0]!XRange2,5,0)</definedName>
    <definedName name="OpMargin">OFFSET([0]!XRange2,5,0)</definedName>
    <definedName name="other2" localSheetId="1" hidden="1">{"Pulp Production",#N/A,FALSE,"Pulp";"Pulp Earnings",#N/A,FALSE,"Pulp"}</definedName>
    <definedName name="other2" hidden="1">{"Pulp Production",#N/A,FALSE,"Pulp";"Pulp Earnings",#N/A,FALSE,"Pulp"}</definedName>
    <definedName name="other3"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other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1">ModPubIndex!$A$11</definedName>
    <definedName name="PathName" localSheetId="10">IndexInformation!$B$25</definedName>
    <definedName name="pbPrinterFormat">"\\SUSNY007\P100088913 on Ne00:"</definedName>
    <definedName name="Phase1NPVFCF" localSheetId="6">OFFSET([0]!XRange,39,0)</definedName>
    <definedName name="Phase1NPVFCF" localSheetId="3">OFFSET([0]!XRange,39,0)</definedName>
    <definedName name="Phase1NPVFCF" localSheetId="1">OFFSET([0]!XRange,39,0)</definedName>
    <definedName name="Phase1NPVFCF">OFFSET([0]!XRange,39,0)</definedName>
    <definedName name="Phase2NPVFCF" localSheetId="6">OFFSET([0]!XRange,40,0)</definedName>
    <definedName name="Phase2NPVFCF" localSheetId="3">OFFSET([0]!XRange,40,0)</definedName>
    <definedName name="Phase2NPVFCF" localSheetId="1">OFFSET([0]!XRange,40,0)</definedName>
    <definedName name="Phase2NPVFCF">OFFSET([0]!XRange,40,0)</definedName>
    <definedName name="Phase3NPVFCF" localSheetId="6">OFFSET([0]!XRange,41,0)</definedName>
    <definedName name="Phase3NPVFCF" localSheetId="3">OFFSET([0]!XRange,41,0)</definedName>
    <definedName name="Phase3NPVFCF" localSheetId="1">OFFSET([0]!XRange,41,0)</definedName>
    <definedName name="Phase3NPVFCF">OFFSET([0]!XRange,41,0)</definedName>
    <definedName name="pooling_Premium">25%</definedName>
    <definedName name="_xlnm.Print_Area" localSheetId="9">OPEB!$A:$O</definedName>
    <definedName name="_xlnm.Print_Area">"Formula removed, name can be deleted."</definedName>
    <definedName name="Print_Area_1">"Formula removed, name can be deleted."</definedName>
    <definedName name="Print_Area2">"Formula removed, name can be deleted."</definedName>
    <definedName name="_xlnm.Print_Titles">"Formula removed, name can be deleted."</definedName>
    <definedName name="Print_Titles1">"Formula removed, name can be deleted."</definedName>
    <definedName name="Print_titles2">"Formula removed, name can be deleted."</definedName>
    <definedName name="PRODUCT" localSheetId="11">ModPubIndex!$A$6</definedName>
    <definedName name="ProjectName" localSheetId="6">{"Client Name or Project Name"}</definedName>
    <definedName name="ProjectName" localSheetId="3">{"Client Name or Project Name"}</definedName>
    <definedName name="ProjectName" localSheetId="8">{"Client Name or Project Name"}</definedName>
    <definedName name="ProjectName" localSheetId="9">{"Client Name or Project Name"}</definedName>
    <definedName name="ProjectName" localSheetId="1">{"Client Name or Project Name"}</definedName>
    <definedName name="ProjectName" localSheetId="7">{"Client Name or Project Name"}</definedName>
    <definedName name="ProjectName">{"Client Name or Project Name"}</definedName>
    <definedName name="ProjectName_1" localSheetId="1">{"Client Name or Project Name"}</definedName>
    <definedName name="ProjectName_1">{"Client Name or Project Name"}</definedName>
    <definedName name="ProjectName_2" localSheetId="1">{"Client Name or Project Name"}</definedName>
    <definedName name="ProjectName_2">{"Client Name or Project Name"}</definedName>
    <definedName name="ProjectName1" localSheetId="6">{"BU Name or Client/Project Name"}</definedName>
    <definedName name="ProjectName1" localSheetId="3">{"BU Name or Client/Project Name"}</definedName>
    <definedName name="ProjectName1">{"BU Name or Client/Project Name"}</definedName>
    <definedName name="ProjectName2" localSheetId="6">{"BU Name or Client/Project Name"}</definedName>
    <definedName name="ProjectName2" localSheetId="3">{"BU Name or Client/Project Name"}</definedName>
    <definedName name="ProjectName2">{"BU Name or Client/Project Name"}</definedName>
    <definedName name="ProjectName3" localSheetId="6">{"BU Name or Client/Project Name"}</definedName>
    <definedName name="ProjectName3" localSheetId="3">{"BU Name or Client/Project Name"}</definedName>
    <definedName name="ProjectName3">{"BU Name or Client/Project Name"}</definedName>
    <definedName name="ProjectName4" localSheetId="6">{"Client Name or Project Name"}</definedName>
    <definedName name="ProjectName4" localSheetId="3">{"Client Name or Project Name"}</definedName>
    <definedName name="ProjectName4">{"Client Name or Project Name"}</definedName>
    <definedName name="PSDScale" hidden="1">#N/A</definedName>
    <definedName name="PSYM" localSheetId="11">ModPubIndex!$A$4</definedName>
    <definedName name="PublishDate" localSheetId="10">IndexInformation!$B$2</definedName>
    <definedName name="Purchase_Premium_A">25%</definedName>
    <definedName name="Purchase_Premium_B">0.25</definedName>
    <definedName name="q" localSheetId="6" hidden="1">{"Qtr Op Mgd Q2",#N/A,FALSE,"Qtr-Op (Mng)";"Qtr Op Rpt Q2",#N/A,FALSE,"Qtr-Op (Rpt)";"Operating Vs Reported",#N/A,FALSE,"Rpt-Op Inc"}</definedName>
    <definedName name="q" localSheetId="3" hidden="1">{"Qtr Op Mgd Q2",#N/A,FALSE,"Qtr-Op (Mng)";"Qtr Op Rpt Q2",#N/A,FALSE,"Qtr-Op (Rpt)";"Operating Vs Reported",#N/A,FALSE,"Rpt-Op Inc"}</definedName>
    <definedName name="q" localSheetId="8" hidden="1">{"Qtr Op Mgd Q2",#N/A,FALSE,"Qtr-Op (Mng)";"Qtr Op Rpt Q2",#N/A,FALSE,"Qtr-Op (Rpt)";"Operating Vs Reported",#N/A,FALSE,"Rpt-Op Inc"}</definedName>
    <definedName name="q" localSheetId="9" hidden="1">{"Qtr Op Mgd Q2",#N/A,FALSE,"Qtr-Op (Mng)";"Qtr Op Rpt Q2",#N/A,FALSE,"Qtr-Op (Rpt)";"Operating Vs Reported",#N/A,FALSE,"Rpt-Op Inc"}</definedName>
    <definedName name="q" localSheetId="1" hidden="1">{"Qtr Op Mgd Q2",#N/A,FALSE,"Qtr-Op (Mng)";"Qtr Op Rpt Q2",#N/A,FALSE,"Qtr-Op (Rpt)";"Operating Vs Reported",#N/A,FALSE,"Rpt-Op Inc"}</definedName>
    <definedName name="q" localSheetId="7" hidden="1">{"Qtr Op Mgd Q2",#N/A,FALSE,"Qtr-Op (Mng)";"Qtr Op Rpt Q2",#N/A,FALSE,"Qtr-Op (Rpt)";"Operating Vs Reported",#N/A,FALSE,"Rpt-Op Inc"}</definedName>
    <definedName name="q" hidden="1">{"Qtr Op Mgd Q2",#N/A,FALSE,"Qtr-Op (Mng)";"Qtr Op Rpt Q2",#N/A,FALSE,"Qtr-Op (Rpt)";"Operating Vs Reported",#N/A,FALSE,"Rpt-Op Inc"}</definedName>
    <definedName name="QuarterlyColumn" hidden="1">16777215</definedName>
    <definedName name="QuarterlyHeadFont" hidden="1">8388608</definedName>
    <definedName name="QuarterlyHeading" hidden="1">16777215</definedName>
    <definedName name="Rating" localSheetId="10">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GIONAL">2</definedName>
    <definedName name="Rem_Bus_ROIC" localSheetId="6">OFFSET([0]!XRange,11,0)</definedName>
    <definedName name="Rem_Bus_ROIC" localSheetId="3">OFFSET([0]!XRange,11,0)</definedName>
    <definedName name="Rem_Bus_ROIC" localSheetId="1">OFFSET([0]!XRange,11,0)</definedName>
    <definedName name="Rem_Bus_ROIC">OFFSET([0]!XRange,11,0)</definedName>
    <definedName name="rep" localSheetId="6" hidden="1">{#N/A,#N/A,FALSE,"COVER";#N/A,#N/A,FALSE,"VALUATION";#N/A,#N/A,FALSE,"FORECAST";#N/A,#N/A,FALSE,"FY ANALYSIS ";#N/A,#N/A,FALSE," HY ANALYSIS"}</definedName>
    <definedName name="rep" localSheetId="3" hidden="1">{#N/A,#N/A,FALSE,"COVER";#N/A,#N/A,FALSE,"VALUATION";#N/A,#N/A,FALSE,"FORECAST";#N/A,#N/A,FALSE,"FY ANALYSIS ";#N/A,#N/A,FALSE," HY ANALYSIS"}</definedName>
    <definedName name="rep" localSheetId="8" hidden="1">{#N/A,#N/A,FALSE,"COVER";#N/A,#N/A,FALSE,"VALUATION";#N/A,#N/A,FALSE,"FORECAST";#N/A,#N/A,FALSE,"FY ANALYSIS ";#N/A,#N/A,FALSE," HY ANALYSIS"}</definedName>
    <definedName name="rep" localSheetId="9" hidden="1">{#N/A,#N/A,FALSE,"COVER";#N/A,#N/A,FALSE,"VALUATION";#N/A,#N/A,FALSE,"FORECAST";#N/A,#N/A,FALSE,"FY ANALYSIS ";#N/A,#N/A,FALSE," HY ANALYSIS"}</definedName>
    <definedName name="rep" localSheetId="1" hidden="1">{#N/A,#N/A,FALSE,"COVER";#N/A,#N/A,FALSE,"VALUATION";#N/A,#N/A,FALSE,"FORECAST";#N/A,#N/A,FALSE,"FY ANALYSIS ";#N/A,#N/A,FALSE," HY ANALYSIS"}</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0344" hidden="1">"iQShowAnnual"</definedName>
    <definedName name="RepairedName0620" hidden="1">"iQShowAnnual"</definedName>
    <definedName name="RepairedName2249" hidden="1">"iQShowAnnual"</definedName>
    <definedName name="ResearchTopic" localSheetId="10">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10">IndexInformation!$B$21</definedName>
    <definedName name="RMT_DataBridge_Template_File">""</definedName>
    <definedName name="RMT_DataBridge_Template_Sheet">""</definedName>
    <definedName name="RMT_DataBridge_Template_Type">""</definedName>
    <definedName name="scen_result" hidden="1">#VALUE!</definedName>
    <definedName name="SECSettlement" localSheetId="0">ImportantDisclosures!#REF!</definedName>
    <definedName name="SectionHeadFont" hidden="1">0</definedName>
    <definedName name="SectionHeading" hidden="1">12632256</definedName>
    <definedName name="SEDOL" localSheetId="10">IndexInformation!$B$22</definedName>
    <definedName name="sencount" hidden="1">2</definedName>
    <definedName name="ShareScale" hidden="1">#N/A</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lver_lin" hidden="1">0</definedName>
    <definedName name="solver_num" hidden="1">0</definedName>
    <definedName name="solver_typ" hidden="1">1</definedName>
    <definedName name="solver_val" hidden="1">0</definedName>
    <definedName name="SORT2" localSheetId="6">'DCF Valuation'!SORT2</definedName>
    <definedName name="SORT2" localSheetId="3">Drivers!SORT2</definedName>
    <definedName name="SORT2">Drivers!SORT2</definedName>
    <definedName name="SORT3" localSheetId="6">'DCF Valuation'!SORT3</definedName>
    <definedName name="SORT3" localSheetId="3">Drivers!SORT3</definedName>
    <definedName name="SORT3">Drivers!SORT3</definedName>
    <definedName name="SORT4" localSheetId="6">'DCF Valuation'!SORT4</definedName>
    <definedName name="SORT4" localSheetId="3">Drivers!SORT4</definedName>
    <definedName name="SORT4">Drivers!SORT4</definedName>
    <definedName name="SORT5" localSheetId="6">'DCF Valuation'!SORT5</definedName>
    <definedName name="SORT5" localSheetId="3">Drivers!SORT5</definedName>
    <definedName name="SORT5">Drivers!SORT5</definedName>
    <definedName name="SourceDefined" localSheetId="0">ImportantDisclosures!$A$19</definedName>
    <definedName name="Space">"          "</definedName>
    <definedName name="Spaces">"      "</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torage">"Chart 1"</definedName>
    <definedName name="STRANGE" localSheetId="1">{"Client Name or Project Name"}</definedName>
    <definedName name="STRANGE">{"Client Name or Project Name"}</definedName>
    <definedName name="STRANGE_1" localSheetId="1">{"Client Name or Project Name"}</definedName>
    <definedName name="STRANGE_1">{"Client Name or Project Name"}</definedName>
    <definedName name="STRANGE_2" localSheetId="1">{"Client Name or Project Name"}</definedName>
    <definedName name="STRANGE_2">{"Client Name or Project Name"}</definedName>
    <definedName name="SubjectCode" localSheetId="10">IndexInformation!$B$6</definedName>
    <definedName name="SubmitterUserId" localSheetId="10">IndexInformation!$B$39</definedName>
    <definedName name="SubmitterUserId">"hundlcar"</definedName>
    <definedName name="SUPPRESSED" localSheetId="11">ModPubIndex!$A$13</definedName>
    <definedName name="Table_16">"GENEYE"</definedName>
    <definedName name="TargetPrice" localSheetId="0">ImportantDisclosures!$A$15</definedName>
    <definedName name="Template.WIRE">"DBACCESS"</definedName>
    <definedName name="TemplateRegion" localSheetId="10">IndexInformation!$B$36</definedName>
    <definedName name="TemplateRegion">"NorthAmerica"</definedName>
    <definedName name="Ticker" localSheetId="0">ImportantDisclosures!$A$10</definedName>
    <definedName name="Ticker_EBITDAQ1_LA">"$K$26"</definedName>
    <definedName name="TickerRegion" localSheetId="10">IndexInformation!$B$41</definedName>
    <definedName name="TickerRegion">1</definedName>
    <definedName name="Tickers" localSheetId="10">IndexInformation!$B$19</definedName>
    <definedName name="Total_Bus_ROIC" localSheetId="6">OFFSET([0]!XRange,12,0)</definedName>
    <definedName name="Total_Bus_ROIC" localSheetId="3">OFFSET([0]!XRange,12,0)</definedName>
    <definedName name="Total_Bus_ROIC" localSheetId="1">OFFSET([0]!XRange,12,0)</definedName>
    <definedName name="Total_Bus_ROIC">OFFSET([0]!XRange,12,0)</definedName>
    <definedName name="trc_XLS_DATASHEET_ProtectDate">35417.7656018519</definedName>
    <definedName name="TRW"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unsure2" localSheetId="1"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nsure2"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pdateReason" localSheetId="10">IndexInformation!$B$17</definedName>
    <definedName name="USRegDisclosures" localSheetId="0">ImportantDisclosures!#REF!</definedName>
    <definedName name="Validation">"MAM"</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Version.WIRE">1</definedName>
    <definedName name="wrn.____EVERYTHING____." localSheetId="1"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localSheetId="1" hidden="1">{"PRICES",#N/A,TRUE,"PRICES";"RESULTS",#N/A,TRUE,"RESULTS";"SECTOR1",#N/A,TRUE,"SECTOR 1";"SECTOR2",#N/A,TRUE,"SECTOR 2";"SECTOR3",#N/A,TRUE,"SECTOR 3";"SECTOR4",#N/A,TRUE,"SECTOR 4";"Sector 5",#N/A,TRUE,"SECTOR 5";"Normalized_Potential",#N/A,TRUE,"SECTOR 5";"SECTOR6",#N/A,TRUE,"SECTOR 6";"TOP",#N/A,TRUE,"PERATIOS";"BOTTOM",#N/A,TRUE,"PERATIOS"}</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___EVERYTHING___." localSheetId="1"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___EVERYTHING___."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2._.pagers." localSheetId="6" hidden="1">{"Cover",#N/A,FALSE,"Cover";"Summary",#N/A,FALSE,"Summarpage"}</definedName>
    <definedName name="wrn.2._.pagers." localSheetId="3" hidden="1">{"Cover",#N/A,FALSE,"Cover";"Summary",#N/A,FALSE,"Summarpage"}</definedName>
    <definedName name="wrn.2._.pagers." localSheetId="8" hidden="1">{"Cover",#N/A,FALSE,"Cover";"Summary",#N/A,FALSE,"Summarpage"}</definedName>
    <definedName name="wrn.2._.pagers." localSheetId="9" hidden="1">{"Cover",#N/A,FALSE,"Cover";"Summary",#N/A,FALSE,"Summarpage"}</definedName>
    <definedName name="wrn.2._.pagers." localSheetId="1" hidden="1">{"Cover",#N/A,FALSE,"Cover";"Summary",#N/A,FALSE,"Summarpage"}</definedName>
    <definedName name="wrn.2._.pagers." localSheetId="7" hidden="1">{"Cover",#N/A,FALSE,"Cover";"Summary",#N/A,FALSE,"Summarpage"}</definedName>
    <definedName name="wrn.2._.pagers." hidden="1">{"Cover",#N/A,FALSE,"Cover";"Summary",#N/A,FALSE,"Summarpage"}</definedName>
    <definedName name="wrn.96_model." localSheetId="6" hidden="1">{"qtr_is_94_95",#N/A,FALSE,"MA";"ann_is_96",#N/A,FALSE,"MA";"seg_sales_96",#N/A,FALSE,"MA";"seg_inc_96",#N/A,FALSE,"MA";"divisional_91_95",#N/A,FALSE,"MA";"ann_bs_96",#N/A,FALSE,"MA";"ann_cf_96",#N/A,FALSE,"MA"}</definedName>
    <definedName name="wrn.96_model." localSheetId="3" hidden="1">{"qtr_is_94_95",#N/A,FALSE,"MA";"ann_is_96",#N/A,FALSE,"MA";"seg_sales_96",#N/A,FALSE,"MA";"seg_inc_96",#N/A,FALSE,"MA";"divisional_91_95",#N/A,FALSE,"MA";"ann_bs_96",#N/A,FALSE,"MA";"ann_cf_96",#N/A,FALSE,"MA"}</definedName>
    <definedName name="wrn.96_model." localSheetId="8" hidden="1">{"qtr_is_94_95",#N/A,FALSE,"MA";"ann_is_96",#N/A,FALSE,"MA";"seg_sales_96",#N/A,FALSE,"MA";"seg_inc_96",#N/A,FALSE,"MA";"divisional_91_95",#N/A,FALSE,"MA";"ann_bs_96",#N/A,FALSE,"MA";"ann_cf_96",#N/A,FALSE,"MA"}</definedName>
    <definedName name="wrn.96_model." localSheetId="9" hidden="1">{"qtr_is_94_95",#N/A,FALSE,"MA";"ann_is_96",#N/A,FALSE,"MA";"seg_sales_96",#N/A,FALSE,"MA";"seg_inc_96",#N/A,FALSE,"MA";"divisional_91_95",#N/A,FALSE,"MA";"ann_bs_96",#N/A,FALSE,"MA";"ann_cf_96",#N/A,FALSE,"MA"}</definedName>
    <definedName name="wrn.96_model." localSheetId="1" hidden="1">{"qtr_is_94_95",#N/A,FALSE,"MA";"ann_is_96",#N/A,FALSE,"MA";"seg_sales_96",#N/A,FALSE,"MA";"seg_inc_96",#N/A,FALSE,"MA";"divisional_91_95",#N/A,FALSE,"MA";"ann_bs_96",#N/A,FALSE,"MA";"ann_cf_96",#N/A,FALSE,"MA"}</definedName>
    <definedName name="wrn.96_model." localSheetId="7"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Aircraft._.Breakdown." localSheetId="6" hidden="1">{"Bell",#N/A,TRUE,"Earnings Model";"Cessna",#N/A,TRUE,"Earnings Model"}</definedName>
    <definedName name="wrn.Aircraft._.Breakdown." localSheetId="3" hidden="1">{"Bell",#N/A,TRUE,"Earnings Model";"Cessna",#N/A,TRUE,"Earnings Model"}</definedName>
    <definedName name="wrn.Aircraft._.Breakdown." localSheetId="8" hidden="1">{"Bell",#N/A,TRUE,"Earnings Model";"Cessna",#N/A,TRUE,"Earnings Model"}</definedName>
    <definedName name="wrn.Aircraft._.Breakdown." localSheetId="9" hidden="1">{"Bell",#N/A,TRUE,"Earnings Model";"Cessna",#N/A,TRUE,"Earnings Model"}</definedName>
    <definedName name="wrn.Aircraft._.Breakdown." localSheetId="1" hidden="1">{"Bell",#N/A,TRUE,"Earnings Model";"Cessna",#N/A,TRUE,"Earnings Model"}</definedName>
    <definedName name="wrn.Aircraft._.Breakdown." localSheetId="7" hidden="1">{"Bell",#N/A,TRUE,"Earnings Model";"Cessna",#N/A,TRUE,"Earnings Model"}</definedName>
    <definedName name="wrn.Aircraft._.Breakdown." hidden="1">{"Bell",#N/A,TRUE,"Earnings Model";"Cessna",#N/A,TRUE,"Earnings Model"}</definedName>
    <definedName name="wrn.allpages." localSheetId="6" hidden="1">{#N/A,#N/A,TRUE,"Historicals";#N/A,#N/A,TRUE,"Charts";#N/A,#N/A,TRUE,"Forecasts"}</definedName>
    <definedName name="wrn.allpages." localSheetId="3" hidden="1">{#N/A,#N/A,TRUE,"Historicals";#N/A,#N/A,TRUE,"Charts";#N/A,#N/A,TRUE,"Forecasts"}</definedName>
    <definedName name="wrn.allpages." localSheetId="8" hidden="1">{#N/A,#N/A,TRUE,"Historicals";#N/A,#N/A,TRUE,"Charts";#N/A,#N/A,TRUE,"Forecasts"}</definedName>
    <definedName name="wrn.allpages." localSheetId="9" hidden="1">{#N/A,#N/A,TRUE,"Historicals";#N/A,#N/A,TRUE,"Charts";#N/A,#N/A,TRUE,"Forecasts"}</definedName>
    <definedName name="wrn.allpages." localSheetId="1" hidden="1">{#N/A,#N/A,TRUE,"Historicals";#N/A,#N/A,TRUE,"Charts";#N/A,#N/A,TRUE,"Forecasts"}</definedName>
    <definedName name="wrn.allpages." localSheetId="7" hidden="1">{#N/A,#N/A,TRUE,"Historicals";#N/A,#N/A,TRUE,"Charts";#N/A,#N/A,TRUE,"Forecasts"}</definedName>
    <definedName name="wrn.allpages." hidden="1">{#N/A,#N/A,TRUE,"Historicals";#N/A,#N/A,TRUE,"Charts";#N/A,#N/A,TRUE,"Forecasts"}</definedName>
    <definedName name="wrn.Annual._.Operating._.Earnings." localSheetId="6" hidden="1">{"Annual 1996",#N/A,FALSE,"Ann-Op (Mng)";"Annual 1996",#N/A,FALSE,"Ann-Op (Rep)";"Operating Vs. Reported Earnings",#N/A,FALSE,"Rpt-Op Inc"}</definedName>
    <definedName name="wrn.Annual._.Operating._.Earnings." localSheetId="3" hidden="1">{"Annual 1996",#N/A,FALSE,"Ann-Op (Mng)";"Annual 1996",#N/A,FALSE,"Ann-Op (Rep)";"Operating Vs. Reported Earnings",#N/A,FALSE,"Rpt-Op Inc"}</definedName>
    <definedName name="wrn.Annual._.Operating._.Earnings." localSheetId="8" hidden="1">{"Annual 1996",#N/A,FALSE,"Ann-Op (Mng)";"Annual 1996",#N/A,FALSE,"Ann-Op (Rep)";"Operating Vs. Reported Earnings",#N/A,FALSE,"Rpt-Op Inc"}</definedName>
    <definedName name="wrn.Annual._.Operating._.Earnings." localSheetId="9" hidden="1">{"Annual 1996",#N/A,FALSE,"Ann-Op (Mng)";"Annual 1996",#N/A,FALSE,"Ann-Op (Rep)";"Operating Vs. Reported Earnings",#N/A,FALSE,"Rpt-Op Inc"}</definedName>
    <definedName name="wrn.Annual._.Operating._.Earnings." localSheetId="1" hidden="1">{"Annual 1996",#N/A,FALSE,"Ann-Op (Mng)";"Annual 1996",#N/A,FALSE,"Ann-Op (Rep)";"Operating Vs. Reported Earnings",#N/A,FALSE,"Rpt-Op Inc"}</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Operating._.Earnings1." localSheetId="3" hidden="1">{"Annual 1996",#N/A,FALSE,"Ann-Op (Mng)";"Annual 1996",#N/A,FALSE,"Ann-Op (Rep)";"Operating Vs. Reported Earnings",#N/A,FALSE,"Rpt-Op Inc"}</definedName>
    <definedName name="wrn.Annual._.Operating._.Earnings1." localSheetId="8" hidden="1">{"Annual 1996",#N/A,FALSE,"Ann-Op (Mng)";"Annual 1996",#N/A,FALSE,"Ann-Op (Rep)";"Operating Vs. Reported Earnings",#N/A,FALSE,"Rpt-Op Inc"}</definedName>
    <definedName name="wrn.Annual._.Operating._.Earnings1." localSheetId="9" hidden="1">{"Annual 1996",#N/A,FALSE,"Ann-Op (Mng)";"Annual 1996",#N/A,FALSE,"Ann-Op (Rep)";"Operating Vs. Reported Earnings",#N/A,FALSE,"Rpt-Op Inc"}</definedName>
    <definedName name="wrn.Annual._.Operating._.Earnings1." localSheetId="1"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UILDING._.VALUE." localSheetId="1"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cns" localSheetId="1"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localSheetId="1"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1"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nsolidated._.Statements." localSheetId="6" hidden="1">{"view1",#N/A,FALSE,"EARN (US$)";"view1",#N/A,FALSE,"DASTBS (US$)";"view1",#N/A,FALSE,"DASTCF (US$)"}</definedName>
    <definedName name="wrn.Consolidated._.Statements." localSheetId="3" hidden="1">{"view1",#N/A,FALSE,"EARN (US$)";"view1",#N/A,FALSE,"DASTBS (US$)";"view1",#N/A,FALSE,"DASTCF (US$)"}</definedName>
    <definedName name="wrn.Consolidated._.Statements." localSheetId="8" hidden="1">{"view1",#N/A,FALSE,"EARN (US$)";"view1",#N/A,FALSE,"DASTBS (US$)";"view1",#N/A,FALSE,"DASTCF (US$)"}</definedName>
    <definedName name="wrn.Consolidated._.Statements." localSheetId="9" hidden="1">{"view1",#N/A,FALSE,"EARN (US$)";"view1",#N/A,FALSE,"DASTBS (US$)";"view1",#N/A,FALSE,"DASTCF (US$)"}</definedName>
    <definedName name="wrn.Consolidated._.Statements." localSheetId="1" hidden="1">{"view1",#N/A,FALSE,"EARN (US$)";"view1",#N/A,FALSE,"DASTBS (US$)";"view1",#N/A,FALSE,"DASTCF (US$)"}</definedName>
    <definedName name="wrn.Consolidated._.Statements." localSheetId="7" hidden="1">{"view1",#N/A,FALSE,"EARN (US$)";"view1",#N/A,FALSE,"DASTBS (US$)";"view1",#N/A,FALSE,"DASTCF (US$)"}</definedName>
    <definedName name="wrn.Consolidated._.Statements." hidden="1">{"view1",#N/A,FALSE,"EARN (US$)";"view1",#N/A,FALSE,"DASTBS (US$)";"view1",#N/A,FALSE,"DASTCF (US$)"}</definedName>
    <definedName name="wrn.Covers." localSheetId="6" hidden="1">{"view1",#N/A,FALSE,"MOTEARN";"view1",#N/A,FALSE,"Bal Sht";"view1",#N/A,FALSE,"Cash Flows"}</definedName>
    <definedName name="wrn.Covers." localSheetId="3" hidden="1">{"view1",#N/A,FALSE,"MOTEARN";"view1",#N/A,FALSE,"Bal Sht";"view1",#N/A,FALSE,"Cash Flows"}</definedName>
    <definedName name="wrn.Covers." localSheetId="8" hidden="1">{"view1",#N/A,FALSE,"MOTEARN";"view1",#N/A,FALSE,"Bal Sht";"view1",#N/A,FALSE,"Cash Flows"}</definedName>
    <definedName name="wrn.Covers." localSheetId="9" hidden="1">{"view1",#N/A,FALSE,"MOTEARN";"view1",#N/A,FALSE,"Bal Sht";"view1",#N/A,FALSE,"Cash Flows"}</definedName>
    <definedName name="wrn.Covers." localSheetId="1" hidden="1">{"view1",#N/A,FALSE,"MOTEARN";"view1",#N/A,FALSE,"Bal Sht";"view1",#N/A,FALSE,"Cash Flows"}</definedName>
    <definedName name="wrn.Covers." localSheetId="7" hidden="1">{"view1",#N/A,FALSE,"MOTEARN";"view1",#N/A,FALSE,"Bal Sht";"view1",#N/A,FALSE,"Cash Flows"}</definedName>
    <definedName name="wrn.Covers." hidden="1">{"view1",#N/A,FALSE,"MOTEARN";"view1",#N/A,FALSE,"Bal Sht";"view1",#N/A,FALSE,"Cash Flows"}</definedName>
    <definedName name="wrn.DG" localSheetId="1"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1"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3"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8"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9"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1"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9"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9"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3"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8"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9"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1"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9"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9"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TS." localSheetId="1"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ll._.Report." localSheetId="6" hidden="1">{#N/A,#N/A,FALSE,"COVER";#N/A,#N/A,FALSE,"VALUATION";#N/A,#N/A,FALSE,"FORECAST";#N/A,#N/A,FALSE,"FY ANALYSIS ";#N/A,#N/A,FALSE," HY ANALYSIS"}</definedName>
    <definedName name="wrn.Full._.Report." localSheetId="3" hidden="1">{#N/A,#N/A,FALSE,"COVER";#N/A,#N/A,FALSE,"VALUATION";#N/A,#N/A,FALSE,"FORECAST";#N/A,#N/A,FALSE,"FY ANALYSIS ";#N/A,#N/A,FALSE," HY ANALYSIS"}</definedName>
    <definedName name="wrn.Full._.Report." localSheetId="8" hidden="1">{#N/A,#N/A,FALSE,"COVER";#N/A,#N/A,FALSE,"VALUATION";#N/A,#N/A,FALSE,"FORECAST";#N/A,#N/A,FALSE,"FY ANALYSIS ";#N/A,#N/A,FALSE," HY ANALYSIS"}</definedName>
    <definedName name="wrn.Full._.Report." localSheetId="9" hidden="1">{#N/A,#N/A,FALSE,"COVER";#N/A,#N/A,FALSE,"VALUATION";#N/A,#N/A,FALSE,"FORECAST";#N/A,#N/A,FALSE,"FY ANALYSIS ";#N/A,#N/A,FALSE," HY ANALYSIS"}</definedName>
    <definedName name="wrn.Full._.Report." localSheetId="1" hidden="1">{#N/A,#N/A,FALSE,"COVER";#N/A,#N/A,FALSE,"VALUATION";#N/A,#N/A,FALSE,"FORECAST";#N/A,#N/A,FALSE,"FY ANALYSIS ";#N/A,#N/A,FALSE," HY ANALYSIS"}</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FUZ_REP." localSheetId="6" hidden="1">{"FUZ_INC_A",#N/A,FALSE,"NOBE";"FUZ_INC_Q",#N/A,FALSE,"NOBE";"FUZ_BAL_A",#N/A,FALSE,"NOBE";"FUZ_CASH_A",#N/A,FALSE,"NOBE";"FUZ_PROD_A",#N/A,FALSE,"NOBE"}</definedName>
    <definedName name="wrn.FUZ_REP." localSheetId="3" hidden="1">{"FUZ_INC_A",#N/A,FALSE,"NOBE";"FUZ_INC_Q",#N/A,FALSE,"NOBE";"FUZ_BAL_A",#N/A,FALSE,"NOBE";"FUZ_CASH_A",#N/A,FALSE,"NOBE";"FUZ_PROD_A",#N/A,FALSE,"NOBE"}</definedName>
    <definedName name="wrn.FUZ_REP." localSheetId="8" hidden="1">{"FUZ_INC_A",#N/A,FALSE,"NOBE";"FUZ_INC_Q",#N/A,FALSE,"NOBE";"FUZ_BAL_A",#N/A,FALSE,"NOBE";"FUZ_CASH_A",#N/A,FALSE,"NOBE";"FUZ_PROD_A",#N/A,FALSE,"NOBE"}</definedName>
    <definedName name="wrn.FUZ_REP." localSheetId="9" hidden="1">{"FUZ_INC_A",#N/A,FALSE,"NOBE";"FUZ_INC_Q",#N/A,FALSE,"NOBE";"FUZ_BAL_A",#N/A,FALSE,"NOBE";"FUZ_CASH_A",#N/A,FALSE,"NOBE";"FUZ_PROD_A",#N/A,FALSE,"NOBE"}</definedName>
    <definedName name="wrn.FUZ_REP." localSheetId="1" hidden="1">{"FUZ_INC_A",#N/A,FALSE,"NOBE";"FUZ_INC_Q",#N/A,FALSE,"NOBE";"FUZ_BAL_A",#N/A,FALSE,"NOBE";"FUZ_CASH_A",#N/A,FALSE,"NOBE";"FUZ_PROD_A",#N/A,FALSE,"NOBE"}</definedName>
    <definedName name="wrn.FUZ_REP." localSheetId="7"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fuz_report." localSheetId="1" hidden="1">{"fuz_inc_a",#N/A,FALSE,"BKS";"fuz_inc_q",#N/A,FALSE,"BKS";"fuz_bal_a",#N/A,FALSE,"BKS";"fuz_cash_a",#N/A,FALSE,"BKS";"fuz_prod_a",#N/A,FALSE,"BKS";"fuz_div_a",#N/A,FALSE,"BKS";"fuz_div2_a",#N/A,FALSE,"BKS"}</definedName>
    <definedName name="wrn.fuz_report." hidden="1">{"fuz_inc_a",#N/A,FALSE,"BKS";"fuz_inc_q",#N/A,FALSE,"BKS";"fuz_bal_a",#N/A,FALSE,"BKS";"fuz_cash_a",#N/A,FALSE,"BKS";"fuz_prod_a",#N/A,FALSE,"BKS";"fuz_div_a",#N/A,FALSE,"BKS";"fuz_div2_a",#N/A,FALSE,"BKS"}</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localSheetId="3" hidden="1">{#N/A,#N/A,FALSE,"Earnings";#N/A,#N/A,FALSE,"Overview";#N/A,#N/A,FALSE,"Summary";#N/A,#N/A,FALSE,"Summary II";#N/A,#N/A,FALSE,"R&amp;D";#N/A,#N/A,FALSE,"R&amp;D Forecast";#N/A,#N/A,FALSE,"Tax Adj";#N/A,#N/A,FALSE,"Goodwill";#N/A,#N/A,FALSE,"FX ";#N/A,#N/A,FALSE,"Consolidation";#N/A,#N/A,FALSE,"Provisions"}</definedName>
    <definedName name="wrn.Industry.xls." localSheetId="8" hidden="1">{#N/A,#N/A,FALSE,"Earnings";#N/A,#N/A,FALSE,"Overview";#N/A,#N/A,FALSE,"Summary";#N/A,#N/A,FALSE,"Summary II";#N/A,#N/A,FALSE,"R&amp;D";#N/A,#N/A,FALSE,"R&amp;D Forecast";#N/A,#N/A,FALSE,"Tax Adj";#N/A,#N/A,FALSE,"Goodwill";#N/A,#N/A,FALSE,"FX ";#N/A,#N/A,FALSE,"Consolidation";#N/A,#N/A,FALSE,"Provisions"}</definedName>
    <definedName name="wrn.Industry.xls." localSheetId="9" hidden="1">{#N/A,#N/A,FALSE,"Earnings";#N/A,#N/A,FALSE,"Overview";#N/A,#N/A,FALSE,"Summary";#N/A,#N/A,FALSE,"Summary II";#N/A,#N/A,FALSE,"R&amp;D";#N/A,#N/A,FALSE,"R&amp;D Forecast";#N/A,#N/A,FALSE,"Tax Adj";#N/A,#N/A,FALSE,"Goodwill";#N/A,#N/A,FALSE,"FX ";#N/A,#N/A,FALSE,"Consolidation";#N/A,#N/A,FALSE,"Provisions"}</definedName>
    <definedName name="wrn.Industry.xls." localSheetId="1" hidden="1">{#N/A,#N/A,FALSE,"Earnings";#N/A,#N/A,FALSE,"Overview";#N/A,#N/A,FALSE,"Summary";#N/A,#N/A,FALSE,"Summary II";#N/A,#N/A,FALSE,"R&amp;D";#N/A,#N/A,FALSE,"R&amp;D Forecast";#N/A,#N/A,FALSE,"Tax Adj";#N/A,#N/A,FALSE,"Goodwill";#N/A,#N/A,FALSE,"FX ";#N/A,#N/A,FALSE,"Consolidation";#N/A,#N/A,FALSE,"Provisions"}</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JCI._.Earnings." localSheetId="6" hidden="1">{"Income Statement -- Quarterly",#N/A,FALSE,"Model";"Balance Sheet",#N/A,FALSE,"Model";"Income Statement Annual",#N/A,FALSE,"Model"}</definedName>
    <definedName name="wrn.JCI._.Earnings." localSheetId="3" hidden="1">{"Income Statement -- Quarterly",#N/A,FALSE,"Model";"Balance Sheet",#N/A,FALSE,"Model";"Income Statement Annual",#N/A,FALSE,"Model"}</definedName>
    <definedName name="wrn.JCI._.Earnings." localSheetId="8" hidden="1">{"Income Statement -- Quarterly",#N/A,FALSE,"Model";"Balance Sheet",#N/A,FALSE,"Model";"Income Statement Annual",#N/A,FALSE,"Model"}</definedName>
    <definedName name="wrn.JCI._.Earnings." localSheetId="9" hidden="1">{"Income Statement -- Quarterly",#N/A,FALSE,"Model";"Balance Sheet",#N/A,FALSE,"Model";"Income Statement Annual",#N/A,FALSE,"Model"}</definedName>
    <definedName name="wrn.JCI._.Earnings." localSheetId="1" hidden="1">{"Income Statement -- Quarterly",#N/A,FALSE,"Model";"Balance Sheet",#N/A,FALSE,"Model";"Income Statement Annual",#N/A,FALSE,"Model"}</definedName>
    <definedName name="wrn.JCI._.Earnings." localSheetId="7" hidden="1">{"Income Statement -- Quarterly",#N/A,FALSE,"Model";"Balance Sheet",#N/A,FALSE,"Model";"Income Statement Annual",#N/A,FALSE,"Model"}</definedName>
    <definedName name="wrn.JCI._.Earnings." hidden="1">{"Income Statement -- Quarterly",#N/A,FALSE,"Model";"Balance Sheet",#N/A,FALSE,"Model";"Income Statement Annual",#N/A,FALSE,"Model"}</definedName>
    <definedName name="wrn.LBO._.Summary." localSheetId="6" hidden="1">{"LBO Summary",#N/A,FALSE,"Summary"}</definedName>
    <definedName name="wrn.LBO._.Summary." localSheetId="3" hidden="1">{"LBO Summary",#N/A,FALSE,"Summary"}</definedName>
    <definedName name="wrn.LBO._.Summary." hidden="1">{"LBO Summary",#N/A,FALSE,"Summary"}</definedName>
    <definedName name="wrn.MOBIL." localSheetId="6" hidden="1">{"quarter",#N/A,FALSE,"MOB"}</definedName>
    <definedName name="wrn.MOBIL." localSheetId="3" hidden="1">{"quarter",#N/A,FALSE,"MOB"}</definedName>
    <definedName name="wrn.MOBIL." localSheetId="8" hidden="1">{"quarter",#N/A,FALSE,"MOB"}</definedName>
    <definedName name="wrn.MOBIL." localSheetId="9" hidden="1">{"quarter",#N/A,FALSE,"MOB"}</definedName>
    <definedName name="wrn.MOBIL." localSheetId="1" hidden="1">{"quarter",#N/A,FALSE,"MOB"}</definedName>
    <definedName name="wrn.MOBIL." localSheetId="7" hidden="1">{"quarter",#N/A,FALSE,"MOB"}</definedName>
    <definedName name="wrn.MOBIL." hidden="1">{"quarter",#N/A,FALSE,"MOB"}</definedName>
    <definedName name="wrn.Model_Print." localSheetId="6" hidden="1">{"Auto_Segs",#N/A,FALSE,"Segs Auto";"FMCC",#N/A,FALSE,"Segs Auto";"Fin_Stmt",#N/A,FALSE,"Segs Auto"}</definedName>
    <definedName name="wrn.Model_Print." localSheetId="8" hidden="1">{"Auto_Segs",#N/A,FALSE,"Segs Auto";"FMCC",#N/A,FALSE,"Segs Auto";"Fin_Stmt",#N/A,FALSE,"Segs Auto"}</definedName>
    <definedName name="wrn.Model_Print." localSheetId="9" hidden="1">{"Auto_Segs",#N/A,FALSE,"Segs Auto";"FMCC",#N/A,FALSE,"Segs Auto";"Fin_Stmt",#N/A,FALSE,"Segs Auto"}</definedName>
    <definedName name="wrn.Model_Print." localSheetId="1" hidden="1">{"Auto_Segs",#N/A,FALSE,"Segs Auto";"FMCC",#N/A,FALSE,"Segs Auto";"Fin_Stmt",#N/A,FALSE,"Segs Auto"}</definedName>
    <definedName name="wrn.Model_Print." hidden="1">{"Auto_Segs",#N/A,FALSE,"Segs Auto";"FMCC",#N/A,FALSE,"Segs Auto";"Fin_Stmt",#N/A,FALSE,"Segs Auto"}</definedName>
    <definedName name="wrn.njr." localSheetId="6" hidden="1">{"balance_sheet",#N/A,FALSE;"cash_flow",#N/A,FALSE;"Consolidated_Earnings",#N/A,FALSE;"EandP_and_Real_Estate",#N/A,FALSE;"Earnings_Review",#N/A,FALSE;"financial_outlook",#N/A,FALSE;"LDC_and_PL_Earnings",#N/A,FALSE;"PP_and_EA",#N/A,FALSE;"ratio_analysis",#N/A,FALSE;"PP_and_Eb",#N/A,FALSE;"throughput_A",#N/A,FALSE;"throughput_b",#N/A,FALSE}</definedName>
    <definedName name="wrn.njr." localSheetId="3" hidden="1">{"balance_sheet",#N/A,FALSE;"cash_flow",#N/A,FALSE;"Consolidated_Earnings",#N/A,FALSE;"EandP_and_Real_Estate",#N/A,FALSE;"Earnings_Review",#N/A,FALSE;"financial_outlook",#N/A,FALSE;"LDC_and_PL_Earnings",#N/A,FALSE;"PP_and_EA",#N/A,FALSE;"ratio_analysis",#N/A,FALSE;"PP_and_Eb",#N/A,FALSE;"throughput_A",#N/A,FALSE;"throughput_b",#N/A,FALSE}</definedName>
    <definedName name="wrn.njr." hidden="1">{"balance_sheet",#N/A,FALSE;"cash_flow",#N/A,FALSE;"Consolidated_Earnings",#N/A,FALSE;"EandP_and_Real_Estate",#N/A,FALSE;"Earnings_Review",#N/A,FALSE;"financial_outlook",#N/A,FALSE;"LDC_and_PL_Earnings",#N/A,FALSE;"PP_and_EA",#N/A,FALSE;"ratio_analysis",#N/A,FALSE;"PP_and_Eb",#N/A,FALSE;"throughput_A",#N/A,FALSE;"throughput_b",#N/A,FALSE}</definedName>
    <definedName name="wrn.PETC." localSheetId="1"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rint._.all." localSheetId="6"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 localSheetId="3"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_.Pages." localSheetId="6"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offshore." localSheetId="6" hidden="1">{"off_at",#N/A,FALSE,"Off AT POT";"off_bt",#N/A,FALSE,"Off POT"}</definedName>
    <definedName name="wrn.print._.offshore." localSheetId="3" hidden="1">{"off_at",#N/A,FALSE,"Off AT POT";"off_bt",#N/A,FALSE,"Off POT"}</definedName>
    <definedName name="wrn.print._.offshore." hidden="1">{"off_at",#N/A,FALSE,"Off AT POT";"off_bt",#N/A,FALSE,"Off POT"}</definedName>
    <definedName name="wrn.Pulp." localSheetId="6" hidden="1">{"Pulp Production",#N/A,FALSE,"Pulp";"Pulp Earnings",#N/A,FALSE,"Pulp"}</definedName>
    <definedName name="wrn.Pulp." localSheetId="3" hidden="1">{"Pulp Production",#N/A,FALSE,"Pulp";"Pulp Earnings",#N/A,FALSE,"Pulp"}</definedName>
    <definedName name="wrn.Pulp." localSheetId="8" hidden="1">{"Pulp Production",#N/A,FALSE,"Pulp";"Pulp Earnings",#N/A,FALSE,"Pulp"}</definedName>
    <definedName name="wrn.Pulp." localSheetId="9" hidden="1">{"Pulp Production",#N/A,FALSE,"Pulp";"Pulp Earnings",#N/A,FALSE,"Pulp"}</definedName>
    <definedName name="wrn.Pulp." localSheetId="1" hidden="1">{"Pulp Production",#N/A,FALSE,"Pulp";"Pulp Earnings",#N/A,FALSE,"Pulp"}</definedName>
    <definedName name="wrn.Pulp." localSheetId="7" hidden="1">{"Pulp Production",#N/A,FALSE,"Pulp";"Pulp Earnings",#N/A,FALSE,"Pulp"}</definedName>
    <definedName name="wrn.Pulp." hidden="1">{"Pulp Production",#N/A,FALSE,"Pulp";"Pulp Earnings",#N/A,FALSE,"Pulp"}</definedName>
    <definedName name="wrn.Q._.Report." localSheetId="1" hidden="1">{"Quarterly Earnings",#N/A,FALSE,"FTS";"Quarterly Margins",#N/A,FALSE,"FTS";"Q Sales",#N/A,FALSE,"FTS";"Q EBIT",#N/A,FALSE,"FTS";"Unit Analysis",#N/A,FALSE,"FTS";"Inventory Analysis",#N/A,FALSE,"FTS"}</definedName>
    <definedName name="wrn.Q._.Report." hidden="1">{"Quarterly Earnings",#N/A,FALSE,"FTS";"Quarterly Margins",#N/A,FALSE,"FTS";"Q Sales",#N/A,FALSE,"FTS";"Q EBIT",#N/A,FALSE,"FTS";"Unit Analysis",#N/A,FALSE,"FTS";"Inventory Analysis",#N/A,FALSE,"FTS"}</definedName>
    <definedName name="wrn.Qtr._.Op._.Q1." localSheetId="6" hidden="1">{"Qtr Op Mgd Q1",#N/A,FALSE,"Qtr-Op (Mng)";"Qtr Op Rpt Q1",#N/A,FALSE,"Qtr-Op (Rpt)";"Operating Vs Reported",#N/A,FALSE,"Rpt-Op Inc"}</definedName>
    <definedName name="wrn.Qtr._.Op._.Q1." localSheetId="3" hidden="1">{"Qtr Op Mgd Q1",#N/A,FALSE,"Qtr-Op (Mng)";"Qtr Op Rpt Q1",#N/A,FALSE,"Qtr-Op (Rpt)";"Operating Vs Reported",#N/A,FALSE,"Rpt-Op Inc"}</definedName>
    <definedName name="wrn.Qtr._.Op._.Q1." localSheetId="8" hidden="1">{"Qtr Op Mgd Q1",#N/A,FALSE,"Qtr-Op (Mng)";"Qtr Op Rpt Q1",#N/A,FALSE,"Qtr-Op (Rpt)";"Operating Vs Reported",#N/A,FALSE,"Rpt-Op Inc"}</definedName>
    <definedName name="wrn.Qtr._.Op._.Q1." localSheetId="9" hidden="1">{"Qtr Op Mgd Q1",#N/A,FALSE,"Qtr-Op (Mng)";"Qtr Op Rpt Q1",#N/A,FALSE,"Qtr-Op (Rpt)";"Operating Vs Reported",#N/A,FALSE,"Rpt-Op Inc"}</definedName>
    <definedName name="wrn.Qtr._.Op._.Q1." localSheetId="1" hidden="1">{"Qtr Op Mgd Q1",#N/A,FALSE,"Qtr-Op (Mng)";"Qtr Op Rpt Q1",#N/A,FALSE,"Qtr-Op (Rpt)";"Operating Vs Reported",#N/A,FALSE,"Rpt-Op Inc"}</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6" hidden="1">{"Qtr Op Mgd Q2",#N/A,FALSE,"Qtr-Op (Mng)";"Qtr Op Rpt Q2",#N/A,FALSE,"Qtr-Op (Rpt)";"Operating Vs Reported",#N/A,FALSE,"Rpt-Op Inc"}</definedName>
    <definedName name="wrn.Qtr._.Op._.Q2." localSheetId="3" hidden="1">{"Qtr Op Mgd Q2",#N/A,FALSE,"Qtr-Op (Mng)";"Qtr Op Rpt Q2",#N/A,FALSE,"Qtr-Op (Rpt)";"Operating Vs Reported",#N/A,FALSE,"Rpt-Op Inc"}</definedName>
    <definedName name="wrn.Qtr._.Op._.Q2." localSheetId="8" hidden="1">{"Qtr Op Mgd Q2",#N/A,FALSE,"Qtr-Op (Mng)";"Qtr Op Rpt Q2",#N/A,FALSE,"Qtr-Op (Rpt)";"Operating Vs Reported",#N/A,FALSE,"Rpt-Op Inc"}</definedName>
    <definedName name="wrn.Qtr._.Op._.Q2." localSheetId="9" hidden="1">{"Qtr Op Mgd Q2",#N/A,FALSE,"Qtr-Op (Mng)";"Qtr Op Rpt Q2",#N/A,FALSE,"Qtr-Op (Rpt)";"Operating Vs Reported",#N/A,FALSE,"Rpt-Op Inc"}</definedName>
    <definedName name="wrn.Qtr._.Op._.Q2." localSheetId="1" hidden="1">{"Qtr Op Mgd Q2",#N/A,FALSE,"Qtr-Op (Mng)";"Qtr Op Rpt Q2",#N/A,FALSE,"Qtr-Op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6" hidden="1">{"Qtr Op Mgd Q3",#N/A,FALSE,"Qtr-Op (Mng)";"Qtr Op Rpt Q3",#N/A,FALSE,"Qtr-Op (Rpt)";"Operating Vs Reported",#N/A,FALSE,"Rpt-Op Inc"}</definedName>
    <definedName name="wrn.Qtr._.Op._.Q3." localSheetId="3" hidden="1">{"Qtr Op Mgd Q3",#N/A,FALSE,"Qtr-Op (Mng)";"Qtr Op Rpt Q3",#N/A,FALSE,"Qtr-Op (Rpt)";"Operating Vs Reported",#N/A,FALSE,"Rpt-Op Inc"}</definedName>
    <definedName name="wrn.Qtr._.Op._.Q3." localSheetId="8" hidden="1">{"Qtr Op Mgd Q3",#N/A,FALSE,"Qtr-Op (Mng)";"Qtr Op Rpt Q3",#N/A,FALSE,"Qtr-Op (Rpt)";"Operating Vs Reported",#N/A,FALSE,"Rpt-Op Inc"}</definedName>
    <definedName name="wrn.Qtr._.Op._.Q3." localSheetId="9" hidden="1">{"Qtr Op Mgd Q3",#N/A,FALSE,"Qtr-Op (Mng)";"Qtr Op Rpt Q3",#N/A,FALSE,"Qtr-Op (Rpt)";"Operating Vs Reported",#N/A,FALSE,"Rpt-Op Inc"}</definedName>
    <definedName name="wrn.Qtr._.Op._.Q3." localSheetId="1" hidden="1">{"Qtr Op Mgd Q3",#N/A,FALSE,"Qtr-Op (Mng)";"Qtr Op Rpt Q3",#N/A,FALSE,"Qtr-Op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6" hidden="1">{"Qtr Op Mgd Q3",#N/A,FALSE,"Qtr-Op (Mng)";"Qtr Op Rpt Q4",#N/A,FALSE,"Qtr-Op (Rpt)";"Operating Vs Reported",#N/A,FALSE,"Rpt-Op Inc"}</definedName>
    <definedName name="wrn.Qtr._.Op._.Q4." localSheetId="3"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localSheetId="9" hidden="1">{"Qtr Op Mgd Q3",#N/A,FALSE,"Qtr-Op (Mng)";"Qtr Op Rpt Q4",#N/A,FALSE,"Qtr-Op (Rpt)";"Operating Vs Reported",#N/A,FALSE,"Rpt-Op Inc"}</definedName>
    <definedName name="wrn.Qtr._.Op._.Q4." localSheetId="1" hidden="1">{"Qtr Op Mgd Q3",#N/A,FALSE,"Qtr-Op (Mng)";"Qtr Op Rpt Q4",#N/A,FALSE,"Qtr-Op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6" hidden="1">{"Qtr Op Mgd Q2",#N/A,FALSE,"Qtr-Op (Mng)";"Qtr Op Rpt Q2",#N/A,FALSE,"Qtr-Op (Rpt)";"Operating Vs Reported",#N/A,FALSE,"Rpt-Op Inc"}</definedName>
    <definedName name="wrn.Qtr._.Op._Q2a." localSheetId="3" hidden="1">{"Qtr Op Mgd Q2",#N/A,FALSE,"Qtr-Op (Mng)";"Qtr Op Rpt Q2",#N/A,FALSE,"Qtr-Op (Rpt)";"Operating Vs Reported",#N/A,FALSE,"Rpt-Op Inc"}</definedName>
    <definedName name="wrn.Qtr._.Op._Q2a." localSheetId="8" hidden="1">{"Qtr Op Mgd Q2",#N/A,FALSE,"Qtr-Op (Mng)";"Qtr Op Rpt Q2",#N/A,FALSE,"Qtr-Op (Rpt)";"Operating Vs Reported",#N/A,FALSE,"Rpt-Op Inc"}</definedName>
    <definedName name="wrn.Qtr._.Op._Q2a." localSheetId="9" hidden="1">{"Qtr Op Mgd Q2",#N/A,FALSE,"Qtr-Op (Mng)";"Qtr Op Rpt Q2",#N/A,FALSE,"Qtr-Op (Rpt)";"Operating Vs Reported",#N/A,FALSE,"Rpt-Op Inc"}</definedName>
    <definedName name="wrn.Qtr._.Op._Q2a." localSheetId="1" hidden="1">{"Qtr Op Mgd Q2",#N/A,FALSE,"Qtr-Op (Mng)";"Qtr Op Rpt Q2",#N/A,FALSE,"Qtr-Op (Rpt)";"Operating Vs Reported",#N/A,FALSE,"Rpt-Op Inc"}</definedName>
    <definedName name="wrn.Qtr._.Op._Q2a." localSheetId="7"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6" hidden="1">{"Qtr Op Mgd Q3",#N/A,FALSE,"Qtr-Op (Mng)";"Qtr Op Rpt Q4",#N/A,FALSE,"Qtr-Op (Rpt)";"Operating Vs Reported",#N/A,FALSE,"Rpt-Op Inc"}</definedName>
    <definedName name="wrn.Qtr_.Op._.Q4." localSheetId="3"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localSheetId="9" hidden="1">{"Qtr Op Mgd Q3",#N/A,FALSE,"Qtr-Op (Mng)";"Qtr Op Rpt Q4",#N/A,FALSE,"Qtr-Op (Rpt)";"Operating Vs Reported",#N/A,FALSE,"Rpt-Op Inc"}</definedName>
    <definedName name="wrn.Qtr_.Op._.Q4." localSheetId="1" hidden="1">{"Qtr Op Mgd Q3",#N/A,FALSE,"Qtr-Op (Mng)";"Qtr Op Rpt Q4",#N/A,FALSE,"Qtr-Op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6" hidden="1">{#N/A,#N/A,FALSE,"COVER";#N/A,#N/A,FALSE,"FORECAST";#N/A,#N/A,FALSE,"VALUATION";#N/A,#N/A,FALSE,"FY ANALYSIS ";#N/A,#N/A,FALSE," HY ANALYSIS"}</definedName>
    <definedName name="wrn.Report." localSheetId="3" hidden="1">{#N/A,#N/A,FALSE,"COVER";#N/A,#N/A,FALSE,"FORECAST";#N/A,#N/A,FALSE,"VALUATION";#N/A,#N/A,FALSE,"FY ANALYSIS ";#N/A,#N/A,FALSE," HY ANALYSIS"}</definedName>
    <definedName name="wrn.Report." localSheetId="8" hidden="1">{#N/A,#N/A,FALSE,"COVER";#N/A,#N/A,FALSE,"FORECAST";#N/A,#N/A,FALSE,"VALUATION";#N/A,#N/A,FALSE,"FY ANALYSIS ";#N/A,#N/A,FALSE," HY ANALYSIS"}</definedName>
    <definedName name="wrn.Report." localSheetId="9" hidden="1">{#N/A,#N/A,FALSE,"COVER";#N/A,#N/A,FALSE,"FORECAST";#N/A,#N/A,FALSE,"VALUATION";#N/A,#N/A,FALSE,"FY ANALYSIS ";#N/A,#N/A,FALSE," HY ANALYSIS"}</definedName>
    <definedName name="wrn.Report." localSheetId="1" hidden="1">{#N/A,#N/A,FALSE,"COVER";#N/A,#N/A,FALSE,"FORECAST";#N/A,#N/A,FALSE,"VALUATION";#N/A,#N/A,FALSE,"FY ANALYSIS ";#N/A,#N/A,FALSE," HY ANALYSIS"}</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RETURNS." localSheetId="1"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Segments." localSheetId="6"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8"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7"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nt." localSheetId="6"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wrn.snt." localSheetId="3"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wrn.snt."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wrn.Tables." localSheetId="6" hidden="1">{"view1",#N/A,FALSE,"Tables";"view2",#N/A,FALSE,"Tables";"view3",#N/A,FALSE,"Tables"}</definedName>
    <definedName name="wrn.Tables." localSheetId="3" hidden="1">{"view1",#N/A,FALSE,"Tables";"view2",#N/A,FALSE,"Tables";"view3",#N/A,FALSE,"Tables"}</definedName>
    <definedName name="wrn.Tables." localSheetId="8" hidden="1">{"view1",#N/A,FALSE,"Tables";"view2",#N/A,FALSE,"Tables";"view3",#N/A,FALSE,"Tables"}</definedName>
    <definedName name="wrn.Tables." localSheetId="9" hidden="1">{"view1",#N/A,FALSE,"Tables";"view2",#N/A,FALSE,"Tables";"view3",#N/A,FALSE,"Tables"}</definedName>
    <definedName name="wrn.Tables." localSheetId="1" hidden="1">{"view1",#N/A,FALSE,"Tables";"view2",#N/A,FALSE,"Tables";"view3",#N/A,FALSE,"Tables"}</definedName>
    <definedName name="wrn.Tables." localSheetId="7" hidden="1">{"view1",#N/A,FALSE,"Tables";"view2",#N/A,FALSE,"Tables";"view3",#N/A,FALSE,"Tables"}</definedName>
    <definedName name="wrn.Tables." hidden="1">{"view1",#N/A,FALSE,"Tables";"view2",#N/A,FALSE,"Tables";"view3",#N/A,FALSE,"Tables"}</definedName>
    <definedName name="wrn.Variance._.3." localSheetId="6" hidden="1">{"Variance Q3",#N/A,FALSE,"Var"}</definedName>
    <definedName name="wrn.Variance._.3." localSheetId="3" hidden="1">{"Variance Q3",#N/A,FALSE,"Var"}</definedName>
    <definedName name="wrn.Variance._.3." localSheetId="8" hidden="1">{"Variance Q3",#N/A,FALSE,"Var"}</definedName>
    <definedName name="wrn.Variance._.3." localSheetId="9" hidden="1">{"Variance Q3",#N/A,FALSE,"Var"}</definedName>
    <definedName name="wrn.Variance._.3." localSheetId="1" hidden="1">{"Variance Q3",#N/A,FALSE,"Var"}</definedName>
    <definedName name="wrn.Variance._.3." localSheetId="7" hidden="1">{"Variance Q3",#N/A,FALSE,"Var"}</definedName>
    <definedName name="wrn.Variance._.3." hidden="1">{"Variance Q3",#N/A,FALSE,"Var"}</definedName>
    <definedName name="wrn.Variance._.Q1." localSheetId="6" hidden="1">{"Variance Q1",#N/A,FALSE,"Var"}</definedName>
    <definedName name="wrn.Variance._.Q1." localSheetId="3" hidden="1">{"Variance Q1",#N/A,FALSE,"Var"}</definedName>
    <definedName name="wrn.Variance._.Q1." localSheetId="8" hidden="1">{"Variance Q1",#N/A,FALSE,"Var"}</definedName>
    <definedName name="wrn.Variance._.Q1." localSheetId="9" hidden="1">{"Variance Q1",#N/A,FALSE,"Var"}</definedName>
    <definedName name="wrn.Variance._.Q1." localSheetId="1" hidden="1">{"Variance Q1",#N/A,FALSE,"Var"}</definedName>
    <definedName name="wrn.Variance._.Q1." localSheetId="7" hidden="1">{"Variance Q1",#N/A,FALSE,"Var"}</definedName>
    <definedName name="wrn.Variance._.Q1." hidden="1">{"Variance Q1",#N/A,FALSE,"Var"}</definedName>
    <definedName name="wrn.Variance._.Q2." localSheetId="6" hidden="1">{"Variance Q2",#N/A,FALSE,"Var"}</definedName>
    <definedName name="wrn.Variance._.Q2." localSheetId="3" hidden="1">{"Variance Q2",#N/A,FALSE,"Var"}</definedName>
    <definedName name="wrn.Variance._.Q2." localSheetId="8" hidden="1">{"Variance Q2",#N/A,FALSE,"Var"}</definedName>
    <definedName name="wrn.Variance._.Q2." localSheetId="9" hidden="1">{"Variance Q2",#N/A,FALSE,"Var"}</definedName>
    <definedName name="wrn.Variance._.Q2." localSheetId="1" hidden="1">{"Variance Q2",#N/A,FALSE,"Var"}</definedName>
    <definedName name="wrn.Variance._.Q2." localSheetId="7" hidden="1">{"Variance Q2",#N/A,FALSE,"Var"}</definedName>
    <definedName name="wrn.Variance._.Q2." hidden="1">{"Variance Q2",#N/A,FALSE,"Var"}</definedName>
    <definedName name="wrn.Variance._.Q3." localSheetId="6" hidden="1">{"Variance Q3",#N/A,FALSE,"Var"}</definedName>
    <definedName name="wrn.Variance._.Q3." localSheetId="3" hidden="1">{"Variance Q3",#N/A,FALSE,"Var"}</definedName>
    <definedName name="wrn.Variance._.Q3." localSheetId="8" hidden="1">{"Variance Q3",#N/A,FALSE,"Var"}</definedName>
    <definedName name="wrn.Variance._.Q3." localSheetId="9" hidden="1">{"Variance Q3",#N/A,FALSE,"Var"}</definedName>
    <definedName name="wrn.Variance._.Q3." localSheetId="1" hidden="1">{"Variance Q3",#N/A,FALSE,"Var"}</definedName>
    <definedName name="wrn.Variance._.Q3." localSheetId="7" hidden="1">{"Variance Q3",#N/A,FALSE,"Var"}</definedName>
    <definedName name="wrn.Variance._.Q3." hidden="1">{"Variance Q3",#N/A,FALSE,"Var"}</definedName>
    <definedName name="wrn.Variance._.Q4" localSheetId="6" hidden="1">{"Variance Q4",#N/A,FALSE,"Var"}</definedName>
    <definedName name="wrn.Variance._.Q4" localSheetId="3" hidden="1">{"Variance Q4",#N/A,FALSE,"Var"}</definedName>
    <definedName name="wrn.Variance._.Q4" localSheetId="8" hidden="1">{"Variance Q4",#N/A,FALSE,"Var"}</definedName>
    <definedName name="wrn.Variance._.Q4" localSheetId="9" hidden="1">{"Variance Q4",#N/A,FALSE,"Var"}</definedName>
    <definedName name="wrn.Variance._.Q4" localSheetId="1" hidden="1">{"Variance Q4",#N/A,FALSE,"Var"}</definedName>
    <definedName name="wrn.Variance._.Q4" localSheetId="7" hidden="1">{"Variance Q4",#N/A,FALSE,"Var"}</definedName>
    <definedName name="wrn.Variance._.Q4" hidden="1">{"Variance Q4",#N/A,FALSE,"Var"}</definedName>
    <definedName name="wrn.Variance._.Q4." localSheetId="6" hidden="1">{"Variance Q4",#N/A,FALSE,"Var"}</definedName>
    <definedName name="wrn.Variance._.Q4." localSheetId="3" hidden="1">{"Variance Q4",#N/A,FALSE,"Var"}</definedName>
    <definedName name="wrn.Variance._.Q4." localSheetId="8" hidden="1">{"Variance Q4",#N/A,FALSE,"Var"}</definedName>
    <definedName name="wrn.Variance._.Q4." localSheetId="9" hidden="1">{"Variance Q4",#N/A,FALSE,"Var"}</definedName>
    <definedName name="wrn.Variance._.Q4." localSheetId="1" hidden="1">{"Variance Q4",#N/A,FALSE,"Var"}</definedName>
    <definedName name="wrn.Variance._.Q4." localSheetId="7" hidden="1">{"Variance Q4",#N/A,FALSE,"Var"}</definedName>
    <definedName name="wrn.Variance._.Q4." hidden="1">{"Variance Q4",#N/A,FALSE,"Var"}</definedName>
    <definedName name="wvu.balance_sheet." localSheetId="6" hidden="1">{TRUE,TRUE,-1.25,-15.5,484.5,279.75,FALSE,TRUE,TRUE,TRUE,0,1,#N/A,419,#N/A,7.33823529411765,19.5,1,FALSE,FALSE,3,TRUE,1,FALSE,95,"Swvu.balance_sheet.","ACwvu.balance_sheet.",1,FALSE,FALSE,0.5,0,0.5,0,2,"","",TRUE,FALSE,FALSE,FALSE,1,#N/A,1,1,"=R428C1:R462C10",FALSE,#N/A,#N/A,FALSE,FALSE}</definedName>
    <definedName name="wvu.balance_sheet." localSheetId="3" hidden="1">{TRUE,TRUE,-1.25,-15.5,484.5,279.75,FALSE,TRUE,TRUE,TRUE,0,1,#N/A,419,#N/A,7.33823529411765,19.5,1,FALSE,FALSE,3,TRUE,1,FALSE,95,"Swvu.balance_sheet.","ACwvu.balance_sheet.",1,FALSE,FALSE,0.5,0,0.5,0,2,"","",TRUE,FALSE,FALSE,FALSE,1,#N/A,1,1,"=R428C1:R462C10",FALSE,#N/A,#N/A,FALSE,FALSE}</definedName>
    <definedName name="wvu.balance_sheet." hidden="1">{TRUE,TRUE,-1.25,-15.5,484.5,279.75,FALSE,TRUE,TRUE,TRUE,0,1,#N/A,419,#N/A,7.33823529411765,19.5,1,FALSE,FALSE,3,TRUE,1,FALSE,95,"Swvu.balance_sheet.","ACwvu.balance_sheet.",1,FALSE,FALSE,0.5,0,0.5,0,2,"","",TRUE,FALSE,FALSE,FALSE,1,#N/A,1,1,"=R428C1:R462C10",FALSE,#N/A,#N/A,FALSE,FALSE}</definedName>
    <definedName name="wvu.cash_flow." localSheetId="6" hidden="1">{TRUE,TRUE,-1.25,-15.5,484.5,279.75,FALSE,TRUE,TRUE,TRUE,0,1,#N/A,375,#N/A,7.33823529411765,19.5,1,FALSE,FALSE,3,TRUE,1,FALSE,95,"Swvu.cash_flow.","ACwvu.cash_flow.",1,FALSE,FALSE,0.5,0,0.5,0,2,"","",TRUE,FALSE,FALSE,FALSE,1,#N/A,1,1,"=R384C1:R423C10",FALSE,#N/A,#N/A,FALSE,FALSE}</definedName>
    <definedName name="wvu.cash_flow." localSheetId="3" hidden="1">{TRUE,TRUE,-1.25,-15.5,484.5,279.75,FALSE,TRUE,TRUE,TRUE,0,1,#N/A,375,#N/A,7.33823529411765,19.5,1,FALSE,FALSE,3,TRUE,1,FALSE,95,"Swvu.cash_flow.","ACwvu.cash_flow.",1,FALSE,FALSE,0.5,0,0.5,0,2,"","",TRUE,FALSE,FALSE,FALSE,1,#N/A,1,1,"=R384C1:R423C10",FALSE,#N/A,#N/A,FALSE,FALSE}</definedName>
    <definedName name="wvu.cash_flow." hidden="1">{TRUE,TRUE,-1.25,-15.5,484.5,279.75,FALSE,TRUE,TRUE,TRUE,0,1,#N/A,375,#N/A,7.33823529411765,19.5,1,FALSE,FALSE,3,TRUE,1,FALSE,95,"Swvu.cash_flow.","ACwvu.cash_flow.",1,FALSE,FALSE,0.5,0,0.5,0,2,"","",TRUE,FALSE,FALSE,FALSE,1,#N/A,1,1,"=R384C1:R423C10",FALSE,#N/A,#N/A,FALSE,FALSE}</definedName>
    <definedName name="wvu.Consolidated_Earnings." localSheetId="6" hidden="1">{TRUE,TRUE,-1.25,-15.5,484.5,279.75,FALSE,TRUE,TRUE,TRUE,0,1,#N/A,283,#N/A,7.33823529411765,19.5,1,FALSE,FALSE,3,TRUE,1,FALSE,95,"Swvu.Consolidated_Earnings.","ACwvu.Consolidated_Earnings.",1,FALSE,FALSE,0.5,0,0.5,0,2,"","",TRUE,FALSE,FALSE,FALSE,1,#N/A,1,1,"=R292C1:R332C10",FALSE,#N/A,#N/A,FALSE,FALSE}</definedName>
    <definedName name="wvu.Consolidated_Earnings." localSheetId="3" hidden="1">{TRUE,TRUE,-1.25,-15.5,484.5,279.75,FALSE,TRUE,TRUE,TRUE,0,1,#N/A,283,#N/A,7.33823529411765,19.5,1,FALSE,FALSE,3,TRUE,1,FALSE,95,"Swvu.Consolidated_Earnings.","ACwvu.Consolidated_Earnings.",1,FALSE,FALSE,0.5,0,0.5,0,2,"","",TRUE,FALSE,FALSE,FALSE,1,#N/A,1,1,"=R292C1:R332C10",FALSE,#N/A,#N/A,FALSE,FALSE}</definedName>
    <definedName name="wvu.Consolidated_Earnings." hidden="1">{TRUE,TRUE,-1.25,-15.5,484.5,279.75,FALSE,TRUE,TRUE,TRUE,0,1,#N/A,283,#N/A,7.33823529411765,19.5,1,FALSE,FALSE,3,TRUE,1,FALSE,95,"Swvu.Consolidated_Earnings.","ACwvu.Consolidated_Earnings.",1,FALSE,FALSE,0.5,0,0.5,0,2,"","",TRUE,FALSE,FALSE,FALSE,1,#N/A,1,1,"=R292C1:R332C10",FALSE,#N/A,#N/A,FALSE,FALSE}</definedName>
    <definedName name="wvu.EandP_and_Real_Estate." localSheetId="6" hidden="1">{TRUE,TRUE,-1.25,-15.5,484.5,279.75,FALSE,TRUE,TRUE,TRUE,0,1,#N/A,244,#N/A,7.33823529411765,19.5,1,FALSE,FALSE,3,TRUE,1,FALSE,95,"Swvu.EandP_and_Real_Estate.","ACwvu.EandP_and_Real_Estate.",1,FALSE,FALSE,0.5,0,0.5,0,2,"","",TRUE,FALSE,FALSE,FALSE,1,#N/A,1,1,"=R253C1:R278C10",FALSE,#N/A,#N/A,FALSE,FALSE}</definedName>
    <definedName name="wvu.EandP_and_Real_Estate." localSheetId="3" hidden="1">{TRUE,TRUE,-1.25,-15.5,484.5,279.75,FALSE,TRUE,TRUE,TRUE,0,1,#N/A,244,#N/A,7.33823529411765,19.5,1,FALSE,FALSE,3,TRUE,1,FALSE,95,"Swvu.EandP_and_Real_Estate.","ACwvu.EandP_and_Real_Estate.",1,FALSE,FALSE,0.5,0,0.5,0,2,"","",TRUE,FALSE,FALSE,FALSE,1,#N/A,1,1,"=R253C1:R278C10",FALSE,#N/A,#N/A,FALSE,FALSE}</definedName>
    <definedName name="wvu.EandP_and_Real_Estate." hidden="1">{TRUE,TRUE,-1.25,-15.5,484.5,279.75,FALSE,TRUE,TRUE,TRUE,0,1,#N/A,244,#N/A,7.33823529411765,19.5,1,FALSE,FALSE,3,TRUE,1,FALSE,95,"Swvu.EandP_and_Real_Estate.","ACwvu.EandP_and_Real_Estate.",1,FALSE,FALSE,0.5,0,0.5,0,2,"","",TRUE,FALSE,FALSE,FALSE,1,#N/A,1,1,"=R253C1:R278C10",FALSE,#N/A,#N/A,FALSE,FALSE}</definedName>
    <definedName name="wvu.Earnings_Review." localSheetId="6" hidden="1">{TRUE,TRUE,-1.25,-15.5,484.5,279.75,FALSE,TRUE,TRUE,TRUE,0,1,#N/A,339,#N/A,7.33823529411765,19.5,1,FALSE,FALSE,3,TRUE,1,FALSE,95,"Swvu.Earnings_Review.","ACwvu.Earnings_Review.",1,FALSE,FALSE,0.5,0,0.5,0,2,"","",TRUE,FALSE,FALSE,FALSE,1,#N/A,1,1,"=R348C1:R380C10",FALSE,#N/A,#N/A,FALSE,FALSE}</definedName>
    <definedName name="wvu.Earnings_Review." localSheetId="3" hidden="1">{TRUE,TRUE,-1.25,-15.5,484.5,279.75,FALSE,TRUE,TRUE,TRUE,0,1,#N/A,339,#N/A,7.33823529411765,19.5,1,FALSE,FALSE,3,TRUE,1,FALSE,95,"Swvu.Earnings_Review.","ACwvu.Earnings_Review.",1,FALSE,FALSE,0.5,0,0.5,0,2,"","",TRUE,FALSE,FALSE,FALSE,1,#N/A,1,1,"=R348C1:R380C10",FALSE,#N/A,#N/A,FALSE,FALSE}</definedName>
    <definedName name="wvu.Earnings_Review." hidden="1">{TRUE,TRUE,-1.25,-15.5,484.5,279.75,FALSE,TRUE,TRUE,TRUE,0,1,#N/A,339,#N/A,7.33823529411765,19.5,1,FALSE,FALSE,3,TRUE,1,FALSE,95,"Swvu.Earnings_Review.","ACwvu.Earnings_Review.",1,FALSE,FALSE,0.5,0,0.5,0,2,"","",TRUE,FALSE,FALSE,FALSE,1,#N/A,1,1,"=R348C1:R380C10",FALSE,#N/A,#N/A,FALSE,FALSE}</definedName>
    <definedName name="wvu.financial_outlook." localSheetId="6" hidden="1">{TRUE,TRUE,-1.25,-15.5,484.5,279.75,FALSE,TRUE,TRUE,TRUE,0,1,#N/A,503,#N/A,7.33823529411765,19.5,1,FALSE,FALSE,3,TRUE,1,FALSE,95,"Swvu.financial_outlook.","ACwvu.financial_outlook.",1,FALSE,FALSE,0.5,0,0.5,0,2,"","",TRUE,FALSE,FALSE,FALSE,1,#N/A,1,1,"=R509C1:R536C10",FALSE,#N/A,#N/A,FALSE,FALSE}</definedName>
    <definedName name="wvu.financial_outlook." localSheetId="3" hidden="1">{TRUE,TRUE,-1.25,-15.5,484.5,279.75,FALSE,TRUE,TRUE,TRUE,0,1,#N/A,503,#N/A,7.33823529411765,19.5,1,FALSE,FALSE,3,TRUE,1,FALSE,95,"Swvu.financial_outlook.","ACwvu.financial_outlook.",1,FALSE,FALSE,0.5,0,0.5,0,2,"","",TRUE,FALSE,FALSE,FALSE,1,#N/A,1,1,"=R509C1:R536C10",FALSE,#N/A,#N/A,FALSE,FALSE}</definedName>
    <definedName name="wvu.financial_outlook." hidden="1">{TRUE,TRUE,-1.25,-15.5,484.5,279.75,FALSE,TRUE,TRUE,TRUE,0,1,#N/A,503,#N/A,7.33823529411765,19.5,1,FALSE,FALSE,3,TRUE,1,FALSE,95,"Swvu.financial_outlook.","ACwvu.financial_outlook.",1,FALSE,FALSE,0.5,0,0.5,0,2,"","",TRUE,FALSE,FALSE,FALSE,1,#N/A,1,1,"=R509C1:R536C10",FALSE,#N/A,#N/A,FALSE,FALSE}</definedName>
    <definedName name="wvu.LDC_and_PL_Earnings." localSheetId="6" hidden="1">{TRUE,TRUE,-1.25,-15.5,484.5,279.75,FALSE,TRUE,TRUE,TRUE,0,1,#N/A,171,#N/A,7.33823529411765,19.5,1,FALSE,FALSE,3,TRUE,1,FALSE,95,"Swvu.LDC_and_PL_Earnings.","ACwvu.LDC_and_PL_Earnings.",1,FALSE,FALSE,0.5,0,0.5,0,2,"","",TRUE,FALSE,FALSE,FALSE,1,#N/A,1,1,"=R180C1:R233C10",FALSE,#N/A,#N/A,FALSE,FALSE}</definedName>
    <definedName name="wvu.LDC_and_PL_Earnings." localSheetId="3" hidden="1">{TRUE,TRUE,-1.25,-15.5,484.5,279.75,FALSE,TRUE,TRUE,TRUE,0,1,#N/A,171,#N/A,7.33823529411765,19.5,1,FALSE,FALSE,3,TRUE,1,FALSE,95,"Swvu.LDC_and_PL_Earnings.","ACwvu.LDC_and_PL_Earnings.",1,FALSE,FALSE,0.5,0,0.5,0,2,"","",TRUE,FALSE,FALSE,FALSE,1,#N/A,1,1,"=R180C1:R233C10",FALSE,#N/A,#N/A,FALSE,FALSE}</definedName>
    <definedName name="wvu.LDC_and_PL_Earnings." hidden="1">{TRUE,TRUE,-1.25,-15.5,484.5,279.75,FALSE,TRUE,TRUE,TRUE,0,1,#N/A,171,#N/A,7.33823529411765,19.5,1,FALSE,FALSE,3,TRUE,1,FALSE,95,"Swvu.LDC_and_PL_Earnings.","ACwvu.LDC_and_PL_Earnings.",1,FALSE,FALSE,0.5,0,0.5,0,2,"","",TRUE,FALSE,FALSE,FALSE,1,#N/A,1,1,"=R180C1:R233C10",FALSE,#N/A,#N/A,FALSE,FALSE}</definedName>
    <definedName name="wvu.PP_and_EA." localSheetId="6" hidden="1">{TRUE,TRUE,-1.25,-15.5,484.5,279.75,FALSE,TRUE,TRUE,TRUE,0,1,#N/A,1,#N/A,7.33823529411765,19.5,1,FALSE,FALSE,3,TRUE,1,FALSE,95,"Swvu.PP_and_EA.","ACwvu.PP_and_EA.",1,FALSE,FALSE,0.5,0,0.5,0,2,"","",TRUE,FALSE,FALSE,FALSE,1,#N/A,1,1,"=R6C1:R42C10",FALSE,#N/A,#N/A,FALSE,FALSE}</definedName>
    <definedName name="wvu.PP_and_EA." localSheetId="3" hidden="1">{TRUE,TRUE,-1.25,-15.5,484.5,279.75,FALSE,TRUE,TRUE,TRUE,0,1,#N/A,1,#N/A,7.33823529411765,19.5,1,FALSE,FALSE,3,TRUE,1,FALSE,95,"Swvu.PP_and_EA.","ACwvu.PP_and_EA.",1,FALSE,FALSE,0.5,0,0.5,0,2,"","",TRUE,FALSE,FALSE,FALSE,1,#N/A,1,1,"=R6C1:R42C10",FALSE,#N/A,#N/A,FALSE,FALSE}</definedName>
    <definedName name="wvu.PP_and_EA." hidden="1">{TRUE,TRUE,-1.25,-15.5,484.5,279.75,FALSE,TRUE,TRUE,TRUE,0,1,#N/A,1,#N/A,7.33823529411765,19.5,1,FALSE,FALSE,3,TRUE,1,FALSE,95,"Swvu.PP_and_EA.","ACwvu.PP_and_EA.",1,FALSE,FALSE,0.5,0,0.5,0,2,"","",TRUE,FALSE,FALSE,FALSE,1,#N/A,1,1,"=R6C1:R42C10",FALSE,#N/A,#N/A,FALSE,FALSE}</definedName>
    <definedName name="wvu.PP_and_Eb." localSheetId="6" hidden="1">{TRUE,TRUE,-1.25,-15.5,484.5,279.75,FALSE,TRUE,TRUE,TRUE,0,1,#N/A,36,#N/A,7.33823529411765,19.5,1,FALSE,FALSE,3,TRUE,1,FALSE,95,"Swvu.PP_and_Eb.","ACwvu.PP_and_Eb.",1,FALSE,FALSE,0.5,0,0.5,0,2,"","",TRUE,FALSE,FALSE,FALSE,1,#N/A,1,1,"=R45C1:R82C10",FALSE,#N/A,#N/A,FALSE,FALSE}</definedName>
    <definedName name="wvu.PP_and_Eb." localSheetId="3" hidden="1">{TRUE,TRUE,-1.25,-15.5,484.5,279.75,FALSE,TRUE,TRUE,TRUE,0,1,#N/A,36,#N/A,7.33823529411765,19.5,1,FALSE,FALSE,3,TRUE,1,FALSE,95,"Swvu.PP_and_Eb.","ACwvu.PP_and_Eb.",1,FALSE,FALSE,0.5,0,0.5,0,2,"","",TRUE,FALSE,FALSE,FALSE,1,#N/A,1,1,"=R45C1:R82C10",FALSE,#N/A,#N/A,FALSE,FALSE}</definedName>
    <definedName name="wvu.PP_and_Eb." hidden="1">{TRUE,TRUE,-1.25,-15.5,484.5,279.75,FALSE,TRUE,TRUE,TRUE,0,1,#N/A,36,#N/A,7.33823529411765,19.5,1,FALSE,FALSE,3,TRUE,1,FALSE,95,"Swvu.PP_and_Eb.","ACwvu.PP_and_Eb.",1,FALSE,FALSE,0.5,0,0.5,0,2,"","",TRUE,FALSE,FALSE,FALSE,1,#N/A,1,1,"=R45C1:R82C10",FALSE,#N/A,#N/A,FALSE,FALSE}</definedName>
    <definedName name="wvu.ratio_analysis." localSheetId="6" hidden="1">{TRUE,TRUE,-1.25,-15.5,484.5,279.75,FALSE,TRUE,TRUE,TRUE,0,1,#N/A,458,#N/A,7.33823529411765,19.5,1,FALSE,FALSE,3,TRUE,1,FALSE,95,"Swvu.ratio_analysis.","ACwvu.ratio_analysis.",1,FALSE,FALSE,0.5,0,0.5,0,2,"","",TRUE,FALSE,FALSE,FALSE,1,#N/A,1,1,"=R467C1:R506C10",FALSE,#N/A,#N/A,FALSE,FALSE}</definedName>
    <definedName name="wvu.ratio_analysis." localSheetId="3" hidden="1">{TRUE,TRUE,-1.25,-15.5,484.5,279.75,FALSE,TRUE,TRUE,TRUE,0,1,#N/A,458,#N/A,7.33823529411765,19.5,1,FALSE,FALSE,3,TRUE,1,FALSE,95,"Swvu.ratio_analysis.","ACwvu.ratio_analysis.",1,FALSE,FALSE,0.5,0,0.5,0,2,"","",TRUE,FALSE,FALSE,FALSE,1,#N/A,1,1,"=R467C1:R506C10",FALSE,#N/A,#N/A,FALSE,FALSE}</definedName>
    <definedName name="wvu.ratio_analysis." hidden="1">{TRUE,TRUE,-1.25,-15.5,484.5,279.75,FALSE,TRUE,TRUE,TRUE,0,1,#N/A,458,#N/A,7.33823529411765,19.5,1,FALSE,FALSE,3,TRUE,1,FALSE,95,"Swvu.ratio_analysis.","ACwvu.ratio_analysis.",1,FALSE,FALSE,0.5,0,0.5,0,2,"","",TRUE,FALSE,FALSE,FALSE,1,#N/A,1,1,"=R467C1:R506C10",FALSE,#N/A,#N/A,FALSE,FALSE}</definedName>
    <definedName name="wvu.throughput_A." localSheetId="6" hidden="1">{TRUE,TRUE,-1.25,-15.5,484.5,279.75,FALSE,TRUE,TRUE,TRUE,0,1,#N/A,85,#N/A,7.33823529411765,19.5,1,FALSE,FALSE,3,TRUE,1,FALSE,95,"Swvu.throughput_A.","ACwvu.throughput_A.",1,FALSE,FALSE,0.5,0,0.5,0,2,"","",TRUE,FALSE,FALSE,FALSE,1,#N/A,1,1,"=R94C1:R117C10",FALSE,#N/A,#N/A,FALSE,FALSE}</definedName>
    <definedName name="wvu.throughput_A." localSheetId="3" hidden="1">{TRUE,TRUE,-1.25,-15.5,484.5,279.75,FALSE,TRUE,TRUE,TRUE,0,1,#N/A,85,#N/A,7.33823529411765,19.5,1,FALSE,FALSE,3,TRUE,1,FALSE,95,"Swvu.throughput_A.","ACwvu.throughput_A.",1,FALSE,FALSE,0.5,0,0.5,0,2,"","",TRUE,FALSE,FALSE,FALSE,1,#N/A,1,1,"=R94C1:R117C10",FALSE,#N/A,#N/A,FALSE,FALSE}</definedName>
    <definedName name="wvu.throughput_A." hidden="1">{TRUE,TRUE,-1.25,-15.5,484.5,279.75,FALSE,TRUE,TRUE,TRUE,0,1,#N/A,85,#N/A,7.33823529411765,19.5,1,FALSE,FALSE,3,TRUE,1,FALSE,95,"Swvu.throughput_A.","ACwvu.throughput_A.",1,FALSE,FALSE,0.5,0,0.5,0,2,"","",TRUE,FALSE,FALSE,FALSE,1,#N/A,1,1,"=R94C1:R117C10",FALSE,#N/A,#N/A,FALSE,FALSE}</definedName>
    <definedName name="wvu.throughput_b." localSheetId="6" hidden="1">{TRUE,TRUE,-1.25,-15.5,484.5,279.75,FALSE,TRUE,TRUE,TRUE,0,1,#N/A,113,#N/A,7.33823529411765,19.5,1,FALSE,FALSE,3,TRUE,1,FALSE,95,"Swvu.throughput_b.","ACwvu.throughput_b.",1,FALSE,FALSE,0.5,0,0.5,0,2,"","",TRUE,FALSE,FALSE,FALSE,1,#N/A,1,1,"=R122C1:R170C10",FALSE,#N/A,#N/A,FALSE,FALSE}</definedName>
    <definedName name="wvu.throughput_b." localSheetId="3" hidden="1">{TRUE,TRUE,-1.25,-15.5,484.5,279.75,FALSE,TRUE,TRUE,TRUE,0,1,#N/A,113,#N/A,7.33823529411765,19.5,1,FALSE,FALSE,3,TRUE,1,FALSE,95,"Swvu.throughput_b.","ACwvu.throughput_b.",1,FALSE,FALSE,0.5,0,0.5,0,2,"","",TRUE,FALSE,FALSE,FALSE,1,#N/A,1,1,"=R122C1:R170C10",FALSE,#N/A,#N/A,FALSE,FALSE}</definedName>
    <definedName name="wvu.throughput_b." hidden="1">{TRUE,TRUE,-1.25,-15.5,484.5,279.75,FALSE,TRUE,TRUE,TRUE,0,1,#N/A,113,#N/A,7.33823529411765,19.5,1,FALSE,FALSE,3,TRUE,1,FALSE,95,"Swvu.throughput_b.","ACwvu.throughput_b.",1,FALSE,FALSE,0.5,0,0.5,0,2,"","",TRUE,FALSE,FALSE,FALSE,1,#N/A,1,1,"=R122C1:R170C10",FALSE,#N/A,#N/A,FALSE,FALSE}</definedName>
    <definedName name="xxx" localSheetId="6" hidden="1">{"cover a","1q",FALSE,"Cover";"Op Earn Mgd Q1",#N/A,FALSE,"Op-Earn (Mng)";"Op Earn Rpt Q1",#N/A,FALSE,"Op-Earn (Rpt)";"Loans",#N/A,FALSE,"Loans";"Credit Costs",#N/A,FALSE,"CCosts";"Net Interest Margin",#N/A,FALSE,"Margin";"Nonint Income",#N/A,FALSE,"NonII";"Nonint Exp",#N/A,FALSE,"NonIE";"Valuation",#N/A,FALSE,"Valuation"}</definedName>
    <definedName name="xxx" localSheetId="3" hidden="1">{"cover a","1q",FALSE,"Cover";"Op Earn Mgd Q1",#N/A,FALSE,"Op-Earn (Mng)";"Op Earn Rpt Q1",#N/A,FALSE,"Op-Earn (Rpt)";"Loans",#N/A,FALSE,"Loans";"Credit Costs",#N/A,FALSE,"CCosts";"Net Interest Margin",#N/A,FALSE,"Margin";"Nonint Income",#N/A,FALSE,"NonII";"Nonint Exp",#N/A,FALSE,"NonIE";"Valuation",#N/A,FALSE,"Valuation"}</definedName>
    <definedName name="xxx" localSheetId="8" hidden="1">{"cover a","1q",FALSE,"Cover";"Op Earn Mgd Q1",#N/A,FALSE,"Op-Earn (Mng)";"Op Earn Rpt Q1",#N/A,FALSE,"Op-Earn (Rpt)";"Loans",#N/A,FALSE,"Loans";"Credit Costs",#N/A,FALSE,"CCosts";"Net Interest Margin",#N/A,FALSE,"Margin";"Nonint Income",#N/A,FALSE,"NonII";"Nonint Exp",#N/A,FALSE,"NonIE";"Valuation",#N/A,FALSE,"Valuation"}</definedName>
    <definedName name="xxx" localSheetId="9" hidden="1">{"cover a","1q",FALSE,"Cover";"Op Earn Mgd Q1",#N/A,FALSE,"Op-Earn (Mng)";"Op Earn Rpt Q1",#N/A,FALSE,"Op-Earn (Rpt)";"Loans",#N/A,FALSE,"Loans";"Credit Costs",#N/A,FALSE,"CCosts";"Net Interest Margin",#N/A,FALSE,"Margin";"Nonint Income",#N/A,FALSE,"NonII";"Nonint Exp",#N/A,FALSE,"NonIE";"Valuation",#N/A,FALSE,"Valuation"}</definedName>
    <definedName name="xxx" localSheetId="1" hidden="1">{"cover a","1q",FALSE,"Cover";"Op Earn Mgd Q1",#N/A,FALSE,"Op-Earn (Mng)";"Op Earn Rpt Q1",#N/A,FALSE,"Op-Earn (Rpt)";"Loans",#N/A,FALSE,"Loans";"Credit Costs",#N/A,FALSE,"CCosts";"Net Interest Margin",#N/A,FALSE,"Margin";"Nonint Income",#N/A,FALSE,"NonII";"Nonint Exp",#N/A,FALSE,"NonIE";"Valuation",#N/A,FALSE,"Valuation"}</definedName>
    <definedName name="xxx" localSheetId="7" hidden="1">{"cover a","1q",FALSE,"Cover";"Op Earn Mgd Q1",#N/A,FALSE,"Op-Earn (Mng)";"Op Earn Rpt Q1",#N/A,FALSE,"Op-Earn (Rpt)";"Loans",#N/A,FALSE,"Loans";"Credit Costs",#N/A,FALSE,"CCosts";"Net Interest Margin",#N/A,FALSE,"Margin";"Nonint Income",#N/A,FALSE,"NonII";"Nonint Exp",#N/A,FALSE,"NonIE";"Valuation",#N/A,FALSE,"Valuation"}</definedName>
    <definedName name="xxx" hidden="1">{"cover a","1q",FALSE,"Cover";"Op Earn Mgd Q1",#N/A,FALSE,"Op-Earn (Mng)";"Op Earn Rpt Q1",#N/A,FALSE,"Op-Earn (Rpt)";"Loans",#N/A,FALSE,"Loans";"Credit Costs",#N/A,FALSE,"CCosts";"Net Interest Margin",#N/A,FALSE,"Margin";"Nonint Income",#N/A,FALSE,"NonII";"Nonint Exp",#N/A,FALSE,"NonIE";"Valuation",#N/A,FALSE,"Valuation"}</definedName>
    <definedName name="YrEnd_FFr_USD">0.1767</definedName>
    <definedName name="Z_2A82A09C_3BBB_4611_B6AA_7AE8EB9D6C99_.wvu.PrintArea" localSheetId="2" hidden="1">'Financial Model'!$C$6:$C$218</definedName>
  </definedNames>
  <calcPr calcId="145621" iterate="1"/>
  <customWorkbookViews>
    <customWorkbookView name="Annual Income Statement" guid="{2A82A09C-3BBB-4611-B6AA-7AE8EB9D6C99}" maximized="1" windowWidth="776" windowHeight="570" activeSheetId="1"/>
  </customWorkbookViews>
</workbook>
</file>

<file path=xl/calcChain.xml><?xml version="1.0" encoding="utf-8"?>
<calcChain xmlns="http://schemas.openxmlformats.org/spreadsheetml/2006/main">
  <c r="DC235" i="1" l="1"/>
  <c r="DB235" i="1"/>
  <c r="DA235" i="1"/>
  <c r="AR62" i="1" l="1"/>
  <c r="CU121" i="1"/>
  <c r="CP121" i="1"/>
  <c r="F121" i="1"/>
  <c r="E121" i="1"/>
  <c r="E122" i="1" s="1"/>
  <c r="CN120" i="1"/>
  <c r="CM120" i="1"/>
  <c r="CL120" i="1"/>
  <c r="CK120" i="1"/>
  <c r="CJ120" i="1"/>
  <c r="CI120" i="1"/>
  <c r="CH120" i="1"/>
  <c r="CG120" i="1"/>
  <c r="CF120" i="1"/>
  <c r="CE120" i="1"/>
  <c r="CD120" i="1"/>
  <c r="CC120" i="1"/>
  <c r="CB120" i="1"/>
  <c r="CA120" i="1"/>
  <c r="BZ120" i="1"/>
  <c r="BY120" i="1"/>
  <c r="BX120" i="1"/>
  <c r="BW120" i="1"/>
  <c r="BV120" i="1"/>
  <c r="BU120" i="1"/>
  <c r="BT120" i="1"/>
  <c r="BS120" i="1"/>
  <c r="BR120" i="1"/>
  <c r="BQ120" i="1"/>
  <c r="BP120" i="1"/>
  <c r="BO120" i="1"/>
  <c r="BN120" i="1"/>
  <c r="BM120" i="1"/>
  <c r="BL120" i="1"/>
  <c r="BK120" i="1"/>
  <c r="BJ120" i="1"/>
  <c r="BI120" i="1"/>
  <c r="BH120" i="1"/>
  <c r="BG120" i="1"/>
  <c r="BF120" i="1"/>
  <c r="BE120" i="1"/>
  <c r="BD120" i="1"/>
  <c r="BC120" i="1"/>
  <c r="BB120" i="1"/>
  <c r="BA120" i="1"/>
  <c r="AZ120" i="1"/>
  <c r="AY120" i="1"/>
  <c r="AX120" i="1"/>
  <c r="AW120" i="1"/>
  <c r="AV120" i="1"/>
  <c r="AU120" i="1"/>
  <c r="AT120" i="1"/>
  <c r="AS120" i="1"/>
  <c r="AR120" i="1"/>
  <c r="AQ120" i="1"/>
  <c r="AP120" i="1"/>
  <c r="AO120" i="1"/>
  <c r="AN120" i="1"/>
  <c r="AM120" i="1"/>
  <c r="AL120" i="1"/>
  <c r="AK120" i="1"/>
  <c r="AJ120" i="1"/>
  <c r="AI120" i="1"/>
  <c r="AH120" i="1"/>
  <c r="AG120" i="1"/>
  <c r="AF120" i="1"/>
  <c r="AE120" i="1"/>
  <c r="AD120" i="1"/>
  <c r="AC120" i="1"/>
  <c r="AB120" i="1"/>
  <c r="AA120" i="1"/>
  <c r="Z120" i="1"/>
  <c r="Y120" i="1"/>
  <c r="X120" i="1"/>
  <c r="W120" i="1"/>
  <c r="V120" i="1"/>
  <c r="U120" i="1"/>
  <c r="T120" i="1"/>
  <c r="S120" i="1"/>
  <c r="R120" i="1"/>
  <c r="Q120" i="1"/>
  <c r="P120" i="1"/>
  <c r="O120" i="1"/>
  <c r="N120" i="1"/>
  <c r="M120" i="1"/>
  <c r="L120" i="1"/>
  <c r="K120" i="1"/>
  <c r="J120" i="1"/>
  <c r="I120" i="1"/>
  <c r="H120" i="1"/>
  <c r="G120" i="1"/>
  <c r="F120" i="1"/>
  <c r="E120" i="1"/>
  <c r="CP79" i="226" l="1"/>
  <c r="CQ79" i="226"/>
  <c r="CR79" i="226"/>
  <c r="CS79" i="226"/>
  <c r="CT79" i="226"/>
  <c r="CU79" i="226"/>
  <c r="W15" i="236" l="1"/>
  <c r="V17" i="236" s="1"/>
  <c r="A185" i="1" l="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184" i="1"/>
  <c r="CD35" i="1" l="1"/>
  <c r="CD24" i="1"/>
  <c r="CC24" i="1"/>
  <c r="CJ37" i="1"/>
  <c r="CI37" i="1"/>
  <c r="CH37" i="1"/>
  <c r="CG37" i="1"/>
  <c r="BP37" i="1"/>
  <c r="BO37" i="1"/>
  <c r="BN37" i="1"/>
  <c r="BM37" i="1"/>
  <c r="BU37" i="1"/>
  <c r="BT37" i="1"/>
  <c r="BS37" i="1"/>
  <c r="BR37" i="1"/>
  <c r="BZ37" i="1"/>
  <c r="BY37" i="1"/>
  <c r="BX37" i="1"/>
  <c r="BW37" i="1"/>
  <c r="BQ37" i="1"/>
  <c r="BV37" i="1"/>
  <c r="CF37" i="1"/>
  <c r="CE37" i="1"/>
  <c r="CD37" i="1"/>
  <c r="CC37" i="1"/>
  <c r="CB37" i="1"/>
  <c r="CA37" i="1"/>
  <c r="CK26" i="1"/>
  <c r="CK37" i="1"/>
  <c r="CF24" i="1"/>
  <c r="CA24" i="1"/>
  <c r="CT27" i="1" l="1"/>
  <c r="CW133" i="1" l="1"/>
  <c r="CV133" i="1"/>
  <c r="CU207" i="1"/>
  <c r="CT207" i="1"/>
  <c r="CS207" i="1"/>
  <c r="CR207" i="1"/>
  <c r="CQ207" i="1"/>
  <c r="CU162" i="226" l="1"/>
  <c r="CU160" i="226"/>
  <c r="CU159" i="226"/>
  <c r="CU158" i="226"/>
  <c r="CU157" i="226"/>
  <c r="CU156" i="226"/>
  <c r="CU155" i="226"/>
  <c r="CU154" i="226"/>
  <c r="CU153" i="226"/>
  <c r="CT160" i="226"/>
  <c r="CT159" i="226"/>
  <c r="CT156" i="226"/>
  <c r="CT157" i="226"/>
  <c r="CT158" i="226"/>
  <c r="CT154" i="226"/>
  <c r="CT155" i="226"/>
  <c r="CO162" i="226"/>
  <c r="CT153" i="226"/>
  <c r="CT162" i="226" s="1"/>
  <c r="CS160" i="226"/>
  <c r="CS159" i="226"/>
  <c r="CS157" i="226"/>
  <c r="CS158" i="226"/>
  <c r="CS156" i="226"/>
  <c r="CS154" i="226"/>
  <c r="CS155" i="226"/>
  <c r="CN162" i="226"/>
  <c r="CS153" i="226" s="1"/>
  <c r="CR160" i="226"/>
  <c r="CR159" i="226"/>
  <c r="CR157" i="226"/>
  <c r="CR158" i="226"/>
  <c r="CR156" i="226"/>
  <c r="CR154" i="226"/>
  <c r="CR155" i="226"/>
  <c r="CM162" i="226"/>
  <c r="CR153" i="226"/>
  <c r="CP178" i="226"/>
  <c r="CP145" i="226"/>
  <c r="CP129" i="226"/>
  <c r="CU177" i="226"/>
  <c r="CU176" i="226"/>
  <c r="CU175" i="226"/>
  <c r="CU174" i="226"/>
  <c r="CU173" i="226"/>
  <c r="CU172" i="226"/>
  <c r="CU171" i="226"/>
  <c r="CT174" i="226"/>
  <c r="CT171" i="226"/>
  <c r="CT170" i="226"/>
  <c r="CT178" i="226" s="1"/>
  <c r="CS174" i="226"/>
  <c r="CS171" i="226"/>
  <c r="CS170" i="226"/>
  <c r="CR171" i="226"/>
  <c r="CR170" i="226"/>
  <c r="CU170" i="226" s="1"/>
  <c r="CU178" i="226" s="1"/>
  <c r="CU144" i="226"/>
  <c r="CU143" i="226"/>
  <c r="CU142" i="226"/>
  <c r="CU141" i="226"/>
  <c r="CU140" i="226"/>
  <c r="CU139" i="226"/>
  <c r="CU138" i="226"/>
  <c r="CT138" i="226"/>
  <c r="CT137" i="226"/>
  <c r="CT145" i="226" s="1"/>
  <c r="CS141" i="226"/>
  <c r="CS138" i="226"/>
  <c r="CS137" i="226"/>
  <c r="CS145" i="226" s="1"/>
  <c r="CR138" i="226"/>
  <c r="CR137" i="226"/>
  <c r="CR145" i="226" s="1"/>
  <c r="CU129" i="226"/>
  <c r="CU128" i="226"/>
  <c r="CU127" i="226"/>
  <c r="CU126" i="226"/>
  <c r="CU125" i="226"/>
  <c r="CU124" i="226"/>
  <c r="CU123" i="226"/>
  <c r="CU122" i="226"/>
  <c r="CU121" i="226"/>
  <c r="CT129" i="226"/>
  <c r="CT125" i="226"/>
  <c r="CT126" i="226"/>
  <c r="CT122" i="226"/>
  <c r="CT121" i="226"/>
  <c r="CS125" i="226"/>
  <c r="CS126" i="226"/>
  <c r="CS122" i="226"/>
  <c r="CS121" i="226"/>
  <c r="CS129" i="226" s="1"/>
  <c r="CR125" i="226"/>
  <c r="CR129" i="226" s="1"/>
  <c r="CR126" i="226"/>
  <c r="CR122" i="226"/>
  <c r="CR121" i="226"/>
  <c r="CQ171" i="226"/>
  <c r="CQ170" i="226"/>
  <c r="CQ178" i="226" s="1"/>
  <c r="CQ154" i="226"/>
  <c r="CQ155" i="226"/>
  <c r="CQ160" i="226"/>
  <c r="CQ159" i="226"/>
  <c r="CQ158" i="226"/>
  <c r="CQ157" i="226"/>
  <c r="CQ156" i="226"/>
  <c r="CL162" i="226"/>
  <c r="CQ153" i="226"/>
  <c r="CQ137" i="226"/>
  <c r="CQ145" i="226" s="1"/>
  <c r="CQ125" i="226"/>
  <c r="CQ126" i="226"/>
  <c r="CQ122" i="226"/>
  <c r="CQ129" i="226" s="1"/>
  <c r="CQ121" i="226"/>
  <c r="CS162" i="226" l="1"/>
  <c r="CR162" i="226"/>
  <c r="CR178" i="226"/>
  <c r="CS178" i="226"/>
  <c r="CU137" i="226"/>
  <c r="CU145" i="226" s="1"/>
  <c r="CQ162" i="226"/>
  <c r="Z6" i="229"/>
  <c r="DC14" i="1" l="1"/>
  <c r="DB14" i="1"/>
  <c r="DA14" i="1"/>
  <c r="CY14" i="1"/>
  <c r="CX14" i="1"/>
  <c r="CW14" i="1"/>
  <c r="O16" i="234" l="1"/>
  <c r="CV170" i="226"/>
  <c r="CZ187" i="226"/>
  <c r="CZ190" i="226"/>
  <c r="CZ189" i="226"/>
  <c r="CZ188" i="226"/>
  <c r="M49" i="1" l="1"/>
  <c r="N49" i="1" s="1"/>
  <c r="R49" i="1"/>
  <c r="S49" i="1" s="1"/>
  <c r="V49" i="1"/>
  <c r="W49" i="1"/>
  <c r="AB49" i="1"/>
  <c r="AC49" i="1" s="1"/>
  <c r="AG49" i="1"/>
  <c r="AH49" i="1" s="1"/>
  <c r="AL49" i="1"/>
  <c r="AM49" i="1" s="1"/>
  <c r="AQ49" i="1"/>
  <c r="AR49" i="1" s="1"/>
  <c r="AV49" i="1"/>
  <c r="AW49" i="1" s="1"/>
  <c r="BA49" i="1"/>
  <c r="BB49" i="1" s="1"/>
  <c r="BF49" i="1"/>
  <c r="BG49" i="1" s="1"/>
  <c r="BL49" i="1"/>
  <c r="BQ49" i="1"/>
  <c r="BV49" i="1"/>
  <c r="BZ49" i="1"/>
  <c r="CA49" i="1" s="1"/>
  <c r="CE49" i="1"/>
  <c r="CF49" i="1" s="1"/>
  <c r="CJ49" i="1"/>
  <c r="CK49" i="1"/>
  <c r="CO49" i="1"/>
  <c r="CP49" i="1" s="1"/>
  <c r="CT49" i="1"/>
  <c r="DF49" i="1" s="1"/>
  <c r="CZ49" i="1"/>
  <c r="E50" i="1"/>
  <c r="F50" i="1"/>
  <c r="G50" i="1"/>
  <c r="H50" i="1"/>
  <c r="I50" i="1"/>
  <c r="J50" i="1"/>
  <c r="K50" i="1"/>
  <c r="L50" i="1"/>
  <c r="O50" i="1"/>
  <c r="P50" i="1"/>
  <c r="R50" i="1" s="1"/>
  <c r="Q50" i="1"/>
  <c r="T50" i="1"/>
  <c r="U50" i="1"/>
  <c r="V50" i="1"/>
  <c r="AB50" i="1"/>
  <c r="AC50" i="1" s="1"/>
  <c r="AG50" i="1"/>
  <c r="AH50" i="1"/>
  <c r="AL50" i="1"/>
  <c r="AM50" i="1" s="1"/>
  <c r="AQ50" i="1"/>
  <c r="AR50" i="1" s="1"/>
  <c r="AV50" i="1"/>
  <c r="AW50" i="1" s="1"/>
  <c r="BA50" i="1"/>
  <c r="BB50" i="1" s="1"/>
  <c r="BF50" i="1"/>
  <c r="BG50" i="1" s="1"/>
  <c r="BK50" i="1"/>
  <c r="BL50" i="1" s="1"/>
  <c r="BP50" i="1"/>
  <c r="BQ50" i="1" s="1"/>
  <c r="BU50" i="1"/>
  <c r="BV50" i="1"/>
  <c r="BZ50" i="1"/>
  <c r="CA50" i="1" s="1"/>
  <c r="CE50" i="1"/>
  <c r="CF50" i="1" s="1"/>
  <c r="CJ50" i="1"/>
  <c r="CK50" i="1" s="1"/>
  <c r="CO50" i="1"/>
  <c r="CP50" i="1" s="1"/>
  <c r="CT50" i="1"/>
  <c r="DF50" i="1" s="1"/>
  <c r="CZ50" i="1"/>
  <c r="DH50" i="1"/>
  <c r="M48" i="1"/>
  <c r="N48" i="1" s="1"/>
  <c r="R48" i="1"/>
  <c r="S48" i="1" s="1"/>
  <c r="W48" i="1"/>
  <c r="X48" i="1" s="1"/>
  <c r="AA48" i="1"/>
  <c r="AB48" i="1" s="1"/>
  <c r="AG48" i="1"/>
  <c r="AH48" i="1" s="1"/>
  <c r="AL48" i="1"/>
  <c r="AM48" i="1" s="1"/>
  <c r="AR48" i="1"/>
  <c r="AT48" i="1"/>
  <c r="AU48" i="1"/>
  <c r="AX48" i="1"/>
  <c r="AY48" i="1"/>
  <c r="AZ48" i="1"/>
  <c r="BC48" i="1"/>
  <c r="BF48" i="1" s="1"/>
  <c r="BD48" i="1"/>
  <c r="BE48" i="1"/>
  <c r="BH48" i="1"/>
  <c r="BI48" i="1"/>
  <c r="BJ48" i="1"/>
  <c r="BM48" i="1"/>
  <c r="BN48" i="1"/>
  <c r="BO48" i="1"/>
  <c r="BR48" i="1"/>
  <c r="BS48" i="1"/>
  <c r="BT48" i="1"/>
  <c r="BW48" i="1"/>
  <c r="BX48" i="1"/>
  <c r="BY48" i="1"/>
  <c r="CB48" i="1"/>
  <c r="CC48" i="1"/>
  <c r="CD48" i="1"/>
  <c r="CI48" i="1"/>
  <c r="CJ48" i="1" s="1"/>
  <c r="CP48" i="1"/>
  <c r="CU48" i="1"/>
  <c r="CZ48" i="1"/>
  <c r="DF48" i="1"/>
  <c r="DH48" i="1"/>
  <c r="CZ33" i="1"/>
  <c r="BP48" i="1" l="1"/>
  <c r="AV48" i="1"/>
  <c r="CU49" i="1"/>
  <c r="BZ48" i="1"/>
  <c r="CU50" i="1"/>
  <c r="W50" i="1"/>
  <c r="X50" i="1" s="1"/>
  <c r="S50" i="1"/>
  <c r="M50" i="1"/>
  <c r="DJ48" i="1"/>
  <c r="DI48" i="1"/>
  <c r="DH49" i="1"/>
  <c r="DJ49" i="1" s="1"/>
  <c r="X49" i="1"/>
  <c r="DI49" i="1"/>
  <c r="DJ50" i="1"/>
  <c r="DI50" i="1"/>
  <c r="N50" i="1"/>
  <c r="CK48" i="1"/>
  <c r="CA48" i="1"/>
  <c r="CE48" i="1"/>
  <c r="CF48" i="1" s="1"/>
  <c r="BG48" i="1"/>
  <c r="BK48" i="1"/>
  <c r="BL48" i="1" s="1"/>
  <c r="BQ48" i="1"/>
  <c r="BU48" i="1"/>
  <c r="BV48" i="1" s="1"/>
  <c r="BA48" i="1"/>
  <c r="BB48" i="1" s="1"/>
  <c r="AW48" i="1"/>
  <c r="AC48" i="1"/>
  <c r="CJ30" i="1" l="1"/>
  <c r="CP33" i="1"/>
  <c r="CU33" i="1"/>
  <c r="CV14" i="1"/>
  <c r="CT186" i="226"/>
  <c r="CS186" i="226"/>
  <c r="CR186" i="226"/>
  <c r="CQ186" i="226"/>
  <c r="CW116" i="226"/>
  <c r="CW115" i="226" s="1"/>
  <c r="DB116" i="226"/>
  <c r="DC116" i="226" s="1"/>
  <c r="DF114" i="226"/>
  <c r="DI114" i="226" s="1"/>
  <c r="DH114" i="226"/>
  <c r="BZ115" i="226"/>
  <c r="CA115" i="226" s="1"/>
  <c r="CA39" i="226" s="1"/>
  <c r="CE115" i="226"/>
  <c r="CJ115" i="226"/>
  <c r="CK115" i="226" s="1"/>
  <c r="CK39" i="226" s="1"/>
  <c r="CO115" i="226"/>
  <c r="CT115" i="226" s="1"/>
  <c r="CB116" i="226"/>
  <c r="CC116" i="226"/>
  <c r="CD116" i="226"/>
  <c r="CG116" i="226"/>
  <c r="CH116" i="226"/>
  <c r="CI116" i="226"/>
  <c r="CL116" i="226"/>
  <c r="CM116" i="226"/>
  <c r="CN116" i="226"/>
  <c r="CQ116" i="226"/>
  <c r="CR116" i="226"/>
  <c r="CS116" i="226"/>
  <c r="DF116" i="226"/>
  <c r="DI116" i="226" s="1"/>
  <c r="CY186" i="226"/>
  <c r="CX186" i="226"/>
  <c r="CW186" i="226"/>
  <c r="CV186" i="226"/>
  <c r="CY170" i="226"/>
  <c r="CX170" i="226"/>
  <c r="CW170" i="226"/>
  <c r="CZ170" i="226"/>
  <c r="BW138" i="226"/>
  <c r="BX138" i="226"/>
  <c r="BY138" i="226"/>
  <c r="BZ138" i="226"/>
  <c r="BX140" i="226"/>
  <c r="BY140" i="226"/>
  <c r="BZ140" i="226"/>
  <c r="BW141" i="226"/>
  <c r="BR145" i="226"/>
  <c r="BW137" i="226" s="1"/>
  <c r="BS145" i="226"/>
  <c r="BX137" i="226" s="1"/>
  <c r="BT145" i="226"/>
  <c r="BY137" i="226" s="1"/>
  <c r="BW145" i="226"/>
  <c r="BX145" i="226"/>
  <c r="BY145" i="226"/>
  <c r="CY137" i="226"/>
  <c r="CX137" i="226"/>
  <c r="CW137" i="226"/>
  <c r="CV137" i="226"/>
  <c r="CY121" i="226"/>
  <c r="CX121" i="226"/>
  <c r="CW121" i="226"/>
  <c r="CV121" i="226"/>
  <c r="DF93" i="226"/>
  <c r="DI93" i="226" s="1"/>
  <c r="DH93" i="226"/>
  <c r="M94" i="226"/>
  <c r="N94" i="226" s="1"/>
  <c r="R94" i="226"/>
  <c r="S94" i="226" s="1"/>
  <c r="W94" i="226"/>
  <c r="X94" i="226" s="1"/>
  <c r="AB94" i="226"/>
  <c r="AG94" i="226"/>
  <c r="AH94" i="226" s="1"/>
  <c r="AI94" i="226"/>
  <c r="AN94" i="226"/>
  <c r="AQ94" i="226" s="1"/>
  <c r="AV94" i="226"/>
  <c r="AW94" i="226" s="1"/>
  <c r="BA94" i="226"/>
  <c r="BB94" i="226" s="1"/>
  <c r="BF94" i="226"/>
  <c r="BG94" i="226" s="1"/>
  <c r="BK94" i="226"/>
  <c r="BP94" i="226"/>
  <c r="BQ94" i="226" s="1"/>
  <c r="BU94" i="226"/>
  <c r="BV94" i="226" s="1"/>
  <c r="BZ94" i="226"/>
  <c r="CA94" i="226" s="1"/>
  <c r="CE94" i="226"/>
  <c r="CK94" i="226"/>
  <c r="CP94" i="226"/>
  <c r="CU94" i="226"/>
  <c r="DF94" i="226"/>
  <c r="DI94" i="226" s="1"/>
  <c r="DH94" i="226"/>
  <c r="I95" i="226"/>
  <c r="J95" i="226"/>
  <c r="K95" i="226"/>
  <c r="L95" i="226"/>
  <c r="O95" i="226"/>
  <c r="P95" i="226"/>
  <c r="Q95" i="226"/>
  <c r="T95" i="226"/>
  <c r="U95" i="226"/>
  <c r="V95" i="226"/>
  <c r="Y95" i="226"/>
  <c r="Z95" i="226"/>
  <c r="AA95" i="226"/>
  <c r="AD95" i="226"/>
  <c r="AE95" i="226"/>
  <c r="AF95" i="226"/>
  <c r="AJ95" i="226"/>
  <c r="AK95" i="226"/>
  <c r="AO95" i="226"/>
  <c r="AP95" i="226"/>
  <c r="AS95" i="226"/>
  <c r="AT95" i="226"/>
  <c r="AU95" i="226"/>
  <c r="AX95" i="226"/>
  <c r="AY95" i="226"/>
  <c r="AZ95" i="226"/>
  <c r="BC95" i="226"/>
  <c r="BH95" i="226"/>
  <c r="BI95" i="226"/>
  <c r="BJ95" i="226"/>
  <c r="BM95" i="226"/>
  <c r="BN95" i="226"/>
  <c r="BO95" i="226"/>
  <c r="BR95" i="226"/>
  <c r="BS95" i="226"/>
  <c r="BT95" i="226"/>
  <c r="BW95" i="226"/>
  <c r="BX95" i="226"/>
  <c r="BY95" i="226"/>
  <c r="CB95" i="226"/>
  <c r="CC95" i="226"/>
  <c r="CD95" i="226"/>
  <c r="CG95" i="226"/>
  <c r="CH95" i="226"/>
  <c r="CI95" i="226"/>
  <c r="CL95" i="226"/>
  <c r="CM95" i="226"/>
  <c r="CN95" i="226"/>
  <c r="CQ95" i="226"/>
  <c r="CR95" i="226"/>
  <c r="CS95" i="226"/>
  <c r="CT95" i="226"/>
  <c r="DF95" i="226" s="1"/>
  <c r="DI95" i="226" s="1"/>
  <c r="M96" i="226"/>
  <c r="N96" i="226" s="1"/>
  <c r="R96" i="226"/>
  <c r="W96" i="226"/>
  <c r="X96" i="226" s="1"/>
  <c r="AB96" i="226"/>
  <c r="AC96" i="226" s="1"/>
  <c r="AG96" i="226"/>
  <c r="AH96" i="226" s="1"/>
  <c r="AI96" i="226"/>
  <c r="AN96" i="226"/>
  <c r="AQ96" i="226" s="1"/>
  <c r="AV96" i="226"/>
  <c r="AW96" i="226" s="1"/>
  <c r="BA96" i="226"/>
  <c r="BF96" i="226"/>
  <c r="BG96" i="226" s="1"/>
  <c r="BK96" i="226"/>
  <c r="BL96" i="226" s="1"/>
  <c r="BP96" i="226"/>
  <c r="BQ96" i="226" s="1"/>
  <c r="BU96" i="226"/>
  <c r="BU145" i="226" s="1"/>
  <c r="BZ137" i="226" s="1"/>
  <c r="BZ96" i="226"/>
  <c r="BZ145" i="226" s="1"/>
  <c r="CE96" i="226"/>
  <c r="CF96" i="226" s="1"/>
  <c r="CK96" i="226"/>
  <c r="CL96" i="226"/>
  <c r="CM96" i="226"/>
  <c r="CU96" i="226"/>
  <c r="DF96" i="226"/>
  <c r="DI96" i="226" s="1"/>
  <c r="DH96" i="226"/>
  <c r="I97" i="226"/>
  <c r="J97" i="226"/>
  <c r="K97" i="226"/>
  <c r="L97" i="226"/>
  <c r="O97" i="226"/>
  <c r="P97" i="226"/>
  <c r="Q97" i="226"/>
  <c r="T97" i="226"/>
  <c r="U97" i="226"/>
  <c r="V97" i="226"/>
  <c r="Y97" i="226"/>
  <c r="Z97" i="226"/>
  <c r="AA97" i="226"/>
  <c r="AD97" i="226"/>
  <c r="AE97" i="226"/>
  <c r="AF97" i="226"/>
  <c r="AJ97" i="226"/>
  <c r="AK97" i="226"/>
  <c r="AO97" i="226"/>
  <c r="AP97" i="226"/>
  <c r="AS97" i="226"/>
  <c r="AT97" i="226"/>
  <c r="AU97" i="226"/>
  <c r="AX97" i="226"/>
  <c r="AY97" i="226"/>
  <c r="AZ97" i="226"/>
  <c r="BC97" i="226"/>
  <c r="BD97" i="226"/>
  <c r="BE97" i="226"/>
  <c r="BH97" i="226"/>
  <c r="BI97" i="226"/>
  <c r="BJ97" i="226"/>
  <c r="BM97" i="226"/>
  <c r="BN97" i="226"/>
  <c r="BO97" i="226"/>
  <c r="BR97" i="226"/>
  <c r="BS97" i="226"/>
  <c r="BT97" i="226"/>
  <c r="BW97" i="226"/>
  <c r="BX97" i="226"/>
  <c r="BY97" i="226"/>
  <c r="CB97" i="226"/>
  <c r="CC97" i="226"/>
  <c r="CD97" i="226"/>
  <c r="CG97" i="226"/>
  <c r="CH97" i="226"/>
  <c r="CI97" i="226"/>
  <c r="CL97" i="226"/>
  <c r="CM97" i="226"/>
  <c r="CN97" i="226"/>
  <c r="CQ97" i="226"/>
  <c r="CR97" i="226"/>
  <c r="CS97" i="226"/>
  <c r="CT97" i="226"/>
  <c r="DF97" i="226" s="1"/>
  <c r="M98" i="226"/>
  <c r="R98" i="226"/>
  <c r="S98" i="226" s="1"/>
  <c r="W98" i="226"/>
  <c r="AB98" i="226"/>
  <c r="AC98" i="226" s="1"/>
  <c r="AG98" i="226"/>
  <c r="AI98" i="226"/>
  <c r="AL98" i="226" s="1"/>
  <c r="AM98" i="226" s="1"/>
  <c r="AN98" i="226"/>
  <c r="AQ98" i="226" s="1"/>
  <c r="AV98" i="226"/>
  <c r="AW98" i="226" s="1"/>
  <c r="BA98" i="226"/>
  <c r="BB98" i="226" s="1"/>
  <c r="BF98" i="226"/>
  <c r="BK98" i="226"/>
  <c r="BL98" i="226" s="1"/>
  <c r="BP98" i="226"/>
  <c r="BQ98" i="226" s="1"/>
  <c r="BU98" i="226"/>
  <c r="BV98" i="226" s="1"/>
  <c r="BZ98" i="226"/>
  <c r="CB98" i="226"/>
  <c r="CB106" i="226" s="1"/>
  <c r="CB111" i="226" s="1"/>
  <c r="CC98" i="226"/>
  <c r="CC106" i="226" s="1"/>
  <c r="CC111" i="226" s="1"/>
  <c r="CD98" i="226"/>
  <c r="CD106" i="226" s="1"/>
  <c r="CD111" i="226" s="1"/>
  <c r="CG98" i="226"/>
  <c r="CG106" i="226" s="1"/>
  <c r="CG111" i="226" s="1"/>
  <c r="CH98" i="226"/>
  <c r="CH106" i="226" s="1"/>
  <c r="CH111" i="226" s="1"/>
  <c r="CI98" i="226"/>
  <c r="CI106" i="226" s="1"/>
  <c r="CI111" i="226" s="1"/>
  <c r="CJ98" i="226"/>
  <c r="CJ106" i="226" s="1"/>
  <c r="CJ111" i="226" s="1"/>
  <c r="CL98" i="226"/>
  <c r="CM98" i="226"/>
  <c r="CN98" i="226"/>
  <c r="CN106" i="226" s="1"/>
  <c r="CN111" i="226" s="1"/>
  <c r="CO98" i="226"/>
  <c r="CO106" i="226" s="1"/>
  <c r="DH106" i="226" s="1"/>
  <c r="CQ98" i="226"/>
  <c r="CQ106" i="226" s="1"/>
  <c r="CQ111" i="226" s="1"/>
  <c r="CR98" i="226"/>
  <c r="CR106" i="226" s="1"/>
  <c r="CR111" i="226" s="1"/>
  <c r="CS98" i="226"/>
  <c r="CS106" i="226" s="1"/>
  <c r="CS111" i="226" s="1"/>
  <c r="CT98" i="226"/>
  <c r="CT106" i="226" s="1"/>
  <c r="I99" i="226"/>
  <c r="J99" i="226"/>
  <c r="K99" i="226"/>
  <c r="L99" i="226"/>
  <c r="O99" i="226"/>
  <c r="P99" i="226"/>
  <c r="Q99" i="226"/>
  <c r="T99" i="226"/>
  <c r="U99" i="226"/>
  <c r="V99" i="226"/>
  <c r="Y99" i="226"/>
  <c r="Z99" i="226"/>
  <c r="AA99" i="226"/>
  <c r="AD99" i="226"/>
  <c r="AE99" i="226"/>
  <c r="AF99" i="226"/>
  <c r="AJ99" i="226"/>
  <c r="AK99" i="226"/>
  <c r="AO99" i="226"/>
  <c r="AP99" i="226"/>
  <c r="AS99" i="226"/>
  <c r="AT99" i="226"/>
  <c r="AU99" i="226"/>
  <c r="AX99" i="226"/>
  <c r="AY99" i="226"/>
  <c r="AZ99" i="226"/>
  <c r="BC99" i="226"/>
  <c r="BH99" i="226"/>
  <c r="BI99" i="226"/>
  <c r="BJ99" i="226"/>
  <c r="BM99" i="226"/>
  <c r="BN99" i="226"/>
  <c r="BO99" i="226"/>
  <c r="BR99" i="226"/>
  <c r="BS99" i="226"/>
  <c r="BT99" i="226"/>
  <c r="BW99" i="226"/>
  <c r="BX99" i="226"/>
  <c r="BY99" i="226"/>
  <c r="M100" i="226"/>
  <c r="N100" i="226" s="1"/>
  <c r="R100" i="226"/>
  <c r="S100" i="226" s="1"/>
  <c r="W100" i="226"/>
  <c r="X100" i="226" s="1"/>
  <c r="Y100" i="226"/>
  <c r="Y101" i="226" s="1"/>
  <c r="Z100" i="226"/>
  <c r="Z101" i="226" s="1"/>
  <c r="AA100" i="226"/>
  <c r="AA106" i="226" s="1"/>
  <c r="AA111" i="226" s="1"/>
  <c r="AD100" i="226"/>
  <c r="AD106" i="226" s="1"/>
  <c r="AD111" i="226" s="1"/>
  <c r="AE100" i="226"/>
  <c r="AE101" i="226" s="1"/>
  <c r="AF100" i="226"/>
  <c r="AF106" i="226" s="1"/>
  <c r="AF111" i="226" s="1"/>
  <c r="AI100" i="226"/>
  <c r="AL100" i="226" s="1"/>
  <c r="AM100" i="226" s="1"/>
  <c r="AN100" i="226"/>
  <c r="AQ100" i="226" s="1"/>
  <c r="AR100" i="226" s="1"/>
  <c r="AV100" i="226"/>
  <c r="AW100" i="226" s="1"/>
  <c r="AX100" i="226"/>
  <c r="AX101" i="226" s="1"/>
  <c r="AY100" i="226"/>
  <c r="AY101" i="226" s="1"/>
  <c r="AZ100" i="226"/>
  <c r="AZ106" i="226" s="1"/>
  <c r="AZ111" i="226" s="1"/>
  <c r="BF100" i="226"/>
  <c r="BG100" i="226" s="1"/>
  <c r="BK100" i="226"/>
  <c r="BL100" i="226" s="1"/>
  <c r="BP100" i="226"/>
  <c r="BQ100" i="226" s="1"/>
  <c r="BU100" i="226"/>
  <c r="BV100" i="226" s="1"/>
  <c r="BZ100" i="226"/>
  <c r="CA100" i="226" s="1"/>
  <c r="CE100" i="226"/>
  <c r="CF100" i="226" s="1"/>
  <c r="CK100" i="226"/>
  <c r="CM100" i="226"/>
  <c r="CP100" i="226" s="1"/>
  <c r="CU100" i="226"/>
  <c r="DF100" i="226"/>
  <c r="DH100" i="226"/>
  <c r="I101" i="226"/>
  <c r="J101" i="226"/>
  <c r="K101" i="226"/>
  <c r="L101" i="226"/>
  <c r="O101" i="226"/>
  <c r="P101" i="226"/>
  <c r="Q101" i="226"/>
  <c r="T101" i="226"/>
  <c r="U101" i="226"/>
  <c r="V101" i="226"/>
  <c r="AJ101" i="226"/>
  <c r="AK101" i="226"/>
  <c r="AO101" i="226"/>
  <c r="AP101" i="226"/>
  <c r="AS101" i="226"/>
  <c r="AT101" i="226"/>
  <c r="AU101" i="226"/>
  <c r="BC101" i="226"/>
  <c r="BD101" i="226"/>
  <c r="BE101" i="226"/>
  <c r="BH101" i="226"/>
  <c r="BI101" i="226"/>
  <c r="BJ101" i="226"/>
  <c r="BM101" i="226"/>
  <c r="BN101" i="226"/>
  <c r="BO101" i="226"/>
  <c r="BR101" i="226"/>
  <c r="BS101" i="226"/>
  <c r="BT101" i="226"/>
  <c r="BW101" i="226"/>
  <c r="BX101" i="226"/>
  <c r="BY101" i="226"/>
  <c r="CB101" i="226"/>
  <c r="CC101" i="226"/>
  <c r="CD101" i="226"/>
  <c r="CG101" i="226"/>
  <c r="CH101" i="226"/>
  <c r="CI101" i="226"/>
  <c r="CL101" i="226"/>
  <c r="CN101" i="226"/>
  <c r="CQ101" i="226"/>
  <c r="CR101" i="226"/>
  <c r="CS101" i="226"/>
  <c r="CT101" i="226"/>
  <c r="DF101" i="226" s="1"/>
  <c r="N102" i="226"/>
  <c r="S102" i="226"/>
  <c r="X102" i="226"/>
  <c r="AB102" i="226"/>
  <c r="AC102" i="226" s="1"/>
  <c r="AC103" i="226" s="1"/>
  <c r="AG102" i="226"/>
  <c r="AH102" i="226" s="1"/>
  <c r="AH103" i="226" s="1"/>
  <c r="AI102" i="226"/>
  <c r="AL102" i="226" s="1"/>
  <c r="AL103" i="226" s="1"/>
  <c r="AN102" i="226"/>
  <c r="AN103" i="226" s="1"/>
  <c r="AV102" i="226"/>
  <c r="AW102" i="226" s="1"/>
  <c r="AW103" i="226" s="1"/>
  <c r="AX102" i="226"/>
  <c r="AX103" i="226" s="1"/>
  <c r="BC102" i="226"/>
  <c r="BC106" i="226" s="1"/>
  <c r="BC111" i="226" s="1"/>
  <c r="BD102" i="226"/>
  <c r="BD106" i="226" s="1"/>
  <c r="BD111" i="226" s="1"/>
  <c r="BL102" i="226"/>
  <c r="BQ102" i="226"/>
  <c r="BV102" i="226"/>
  <c r="CA102" i="226"/>
  <c r="CF102" i="226"/>
  <c r="CK102" i="226"/>
  <c r="CP102" i="226"/>
  <c r="Y103" i="226"/>
  <c r="Z103" i="226"/>
  <c r="AA103" i="226"/>
  <c r="AD103" i="226"/>
  <c r="AE103" i="226"/>
  <c r="AF103" i="226"/>
  <c r="AJ103" i="226"/>
  <c r="AK103" i="226"/>
  <c r="AO103" i="226"/>
  <c r="AP103" i="226"/>
  <c r="AS103" i="226"/>
  <c r="AT103" i="226"/>
  <c r="AU103" i="226"/>
  <c r="AY103" i="226"/>
  <c r="AZ103" i="226"/>
  <c r="BC103" i="226"/>
  <c r="BE103" i="226"/>
  <c r="N104" i="226"/>
  <c r="S104" i="226"/>
  <c r="X104" i="226"/>
  <c r="AB104" i="226"/>
  <c r="AG104" i="226"/>
  <c r="AH104" i="226" s="1"/>
  <c r="AI104" i="226"/>
  <c r="AL104" i="226" s="1"/>
  <c r="AN104" i="226"/>
  <c r="AQ104" i="226" s="1"/>
  <c r="AR104" i="226" s="1"/>
  <c r="AV104" i="226"/>
  <c r="AW104" i="226" s="1"/>
  <c r="BA104" i="226"/>
  <c r="BB104" i="226" s="1"/>
  <c r="BF104" i="226"/>
  <c r="BG104" i="226" s="1"/>
  <c r="BK104" i="226"/>
  <c r="BP104" i="226"/>
  <c r="BQ104" i="226" s="1"/>
  <c r="BU104" i="226"/>
  <c r="BV104" i="226" s="1"/>
  <c r="BZ104" i="226"/>
  <c r="CA104" i="226" s="1"/>
  <c r="CE104" i="226"/>
  <c r="CK104" i="226"/>
  <c r="CL104" i="226"/>
  <c r="CP104" i="226" s="1"/>
  <c r="CU104" i="226"/>
  <c r="DF104" i="226"/>
  <c r="DI104" i="226" s="1"/>
  <c r="DH104" i="226"/>
  <c r="DF105" i="226"/>
  <c r="I106" i="226"/>
  <c r="I111" i="226" s="1"/>
  <c r="J106" i="226"/>
  <c r="J111" i="226" s="1"/>
  <c r="K106" i="226"/>
  <c r="K111" i="226" s="1"/>
  <c r="L106" i="226"/>
  <c r="L111" i="226" s="1"/>
  <c r="O106" i="226"/>
  <c r="O111" i="226" s="1"/>
  <c r="P106" i="226"/>
  <c r="P111" i="226" s="1"/>
  <c r="Q106" i="226"/>
  <c r="Q111" i="226" s="1"/>
  <c r="T106" i="226"/>
  <c r="T111" i="226" s="1"/>
  <c r="U106" i="226"/>
  <c r="U111" i="226" s="1"/>
  <c r="V106" i="226"/>
  <c r="V111" i="226" s="1"/>
  <c r="AJ106" i="226"/>
  <c r="AJ111" i="226" s="1"/>
  <c r="AK106" i="226"/>
  <c r="AK111" i="226" s="1"/>
  <c r="AO106" i="226"/>
  <c r="AO111" i="226" s="1"/>
  <c r="AP106" i="226"/>
  <c r="AP111" i="226" s="1"/>
  <c r="AS106" i="226"/>
  <c r="AS111" i="226" s="1"/>
  <c r="AT106" i="226"/>
  <c r="AT111" i="226" s="1"/>
  <c r="AU106" i="226"/>
  <c r="BE106" i="226"/>
  <c r="BE111" i="226" s="1"/>
  <c r="BH106" i="226"/>
  <c r="BH111" i="226" s="1"/>
  <c r="BI106" i="226"/>
  <c r="BI111" i="226" s="1"/>
  <c r="BJ106" i="226"/>
  <c r="BJ111" i="226" s="1"/>
  <c r="BM106" i="226"/>
  <c r="BM111" i="226" s="1"/>
  <c r="BN106" i="226"/>
  <c r="BN111" i="226" s="1"/>
  <c r="BO106" i="226"/>
  <c r="BO111" i="226" s="1"/>
  <c r="BR106" i="226"/>
  <c r="BR111" i="226" s="1"/>
  <c r="BS106" i="226"/>
  <c r="BS111" i="226" s="1"/>
  <c r="BT106" i="226"/>
  <c r="BT111" i="226" s="1"/>
  <c r="BW106" i="226"/>
  <c r="BW111" i="226" s="1"/>
  <c r="BX106" i="226"/>
  <c r="BX111" i="226" s="1"/>
  <c r="BY106" i="226"/>
  <c r="BY111" i="226" s="1"/>
  <c r="N107" i="226"/>
  <c r="S107" i="226"/>
  <c r="X107" i="226"/>
  <c r="AC107" i="226"/>
  <c r="AH107" i="226"/>
  <c r="AM107" i="226"/>
  <c r="AR107" i="226"/>
  <c r="AW107" i="226"/>
  <c r="BA107" i="226"/>
  <c r="BB107" i="226" s="1"/>
  <c r="N109" i="226"/>
  <c r="S109" i="226"/>
  <c r="X109" i="226"/>
  <c r="AC109" i="226"/>
  <c r="AH109" i="226"/>
  <c r="AM109" i="226"/>
  <c r="AR109" i="226"/>
  <c r="AW109" i="226"/>
  <c r="BB109" i="226"/>
  <c r="BG109" i="226"/>
  <c r="BL109" i="226"/>
  <c r="BQ109" i="226"/>
  <c r="BV109" i="226"/>
  <c r="CA109" i="226"/>
  <c r="CF109" i="226"/>
  <c r="CK109" i="226"/>
  <c r="CP109" i="226"/>
  <c r="AU111" i="226"/>
  <c r="DF112" i="226"/>
  <c r="DI112" i="226" s="1"/>
  <c r="DH112" i="226"/>
  <c r="CP77" i="226"/>
  <c r="CP76" i="226"/>
  <c r="CP74" i="226"/>
  <c r="CU77" i="226"/>
  <c r="CU76" i="226"/>
  <c r="CU74" i="226"/>
  <c r="CU37" i="226"/>
  <c r="CZ77" i="226"/>
  <c r="CZ74" i="226"/>
  <c r="CS39" i="226"/>
  <c r="CX39" i="226" s="1"/>
  <c r="CX13" i="1" s="1"/>
  <c r="CR39" i="226"/>
  <c r="CQ39" i="226"/>
  <c r="CN39" i="226"/>
  <c r="CM39" i="226"/>
  <c r="CL39" i="226"/>
  <c r="CZ37" i="226"/>
  <c r="CZ137" i="226" l="1"/>
  <c r="CU186" i="226"/>
  <c r="CQ192" i="226"/>
  <c r="CX116" i="226"/>
  <c r="Y106" i="226"/>
  <c r="Y111" i="226" s="1"/>
  <c r="AE106" i="226"/>
  <c r="AE111" i="226" s="1"/>
  <c r="AX106" i="226"/>
  <c r="AX111" i="226" s="1"/>
  <c r="Z106" i="226"/>
  <c r="Z111" i="226" s="1"/>
  <c r="CJ116" i="226"/>
  <c r="CU115" i="226"/>
  <c r="DF115" i="226"/>
  <c r="DI115" i="226" s="1"/>
  <c r="CE116" i="226"/>
  <c r="DH115" i="226"/>
  <c r="CP115" i="226"/>
  <c r="CP116" i="226" s="1"/>
  <c r="CF115" i="226"/>
  <c r="DJ114" i="226"/>
  <c r="CO116" i="226"/>
  <c r="DH116" i="226" s="1"/>
  <c r="DJ116" i="226" s="1"/>
  <c r="AI103" i="226"/>
  <c r="AA101" i="226"/>
  <c r="AQ102" i="226"/>
  <c r="AQ106" i="226" s="1"/>
  <c r="AQ111" i="226" s="1"/>
  <c r="AZ101" i="226"/>
  <c r="CZ186" i="226"/>
  <c r="CM101" i="226"/>
  <c r="AD101" i="226"/>
  <c r="CM106" i="226"/>
  <c r="CM111" i="226" s="1"/>
  <c r="CZ121" i="226"/>
  <c r="R106" i="226"/>
  <c r="R111" i="226" s="1"/>
  <c r="BU106" i="226"/>
  <c r="BU111" i="226" s="1"/>
  <c r="AN106" i="226"/>
  <c r="AN111" i="226" s="1"/>
  <c r="AY106" i="226"/>
  <c r="AY111" i="226" s="1"/>
  <c r="CP96" i="226"/>
  <c r="BZ106" i="226"/>
  <c r="BZ111" i="226" s="1"/>
  <c r="BP106" i="226"/>
  <c r="BP111" i="226" s="1"/>
  <c r="AV106" i="226"/>
  <c r="AV111" i="226" s="1"/>
  <c r="AB100" i="226"/>
  <c r="AB106" i="226" s="1"/>
  <c r="AB111" i="226" s="1"/>
  <c r="DJ100" i="226"/>
  <c r="AV103" i="226"/>
  <c r="M106" i="226"/>
  <c r="M111" i="226" s="1"/>
  <c r="CL106" i="226"/>
  <c r="CL111" i="226" s="1"/>
  <c r="BX144" i="226"/>
  <c r="W106" i="226"/>
  <c r="W111" i="226" s="1"/>
  <c r="AG103" i="226"/>
  <c r="CP98" i="226"/>
  <c r="BY144" i="226"/>
  <c r="BQ106" i="226"/>
  <c r="BQ111" i="226" s="1"/>
  <c r="DJ104" i="226"/>
  <c r="CA96" i="226"/>
  <c r="BW144" i="226"/>
  <c r="BZ144" i="226"/>
  <c r="DH98" i="226"/>
  <c r="AR96" i="226"/>
  <c r="DJ96" i="226"/>
  <c r="DJ93" i="226"/>
  <c r="DJ112" i="226"/>
  <c r="BA100" i="226"/>
  <c r="BB100" i="226" s="1"/>
  <c r="AR94" i="226"/>
  <c r="CO111" i="226"/>
  <c r="CT111" i="226"/>
  <c r="DF106" i="226"/>
  <c r="CF104" i="226"/>
  <c r="BL104" i="226"/>
  <c r="BK106" i="226"/>
  <c r="BK111" i="226" s="1"/>
  <c r="DI101" i="226"/>
  <c r="AW106" i="226"/>
  <c r="AW111" i="226" s="1"/>
  <c r="AI106" i="226"/>
  <c r="AI111" i="226" s="1"/>
  <c r="AM104" i="226"/>
  <c r="AM102" i="226"/>
  <c r="AM103" i="226" s="1"/>
  <c r="AF101" i="226"/>
  <c r="AG100" i="226"/>
  <c r="AH100" i="226" s="1"/>
  <c r="CE98" i="226"/>
  <c r="CE106" i="226" s="1"/>
  <c r="CE111" i="226" s="1"/>
  <c r="BG98" i="226"/>
  <c r="DI97" i="226"/>
  <c r="AC104" i="226"/>
  <c r="BD103" i="226"/>
  <c r="AB103" i="226"/>
  <c r="BF102" i="226"/>
  <c r="BA102" i="226"/>
  <c r="X98" i="226"/>
  <c r="CK98" i="226"/>
  <c r="CU98" i="226"/>
  <c r="DF98" i="226"/>
  <c r="CA98" i="226"/>
  <c r="AH98" i="226"/>
  <c r="N98" i="226"/>
  <c r="DI100" i="226"/>
  <c r="BV96" i="226"/>
  <c r="BV145" i="226" s="1"/>
  <c r="BB96" i="226"/>
  <c r="AL96" i="226"/>
  <c r="AM96" i="226" s="1"/>
  <c r="S96" i="226"/>
  <c r="CF94" i="226"/>
  <c r="BL94" i="226"/>
  <c r="AL94" i="226"/>
  <c r="AC94" i="226"/>
  <c r="AR98" i="226"/>
  <c r="DJ94" i="226"/>
  <c r="DA74" i="226"/>
  <c r="CS40" i="226"/>
  <c r="CR40" i="226"/>
  <c r="CW39" i="226"/>
  <c r="CW13" i="1" s="1"/>
  <c r="CQ40" i="226"/>
  <c r="CV39" i="226"/>
  <c r="CV13" i="1" s="1"/>
  <c r="CT88" i="226"/>
  <c r="CS88" i="226"/>
  <c r="CR88" i="226"/>
  <c r="CQ88" i="226"/>
  <c r="CT84" i="226"/>
  <c r="CS84" i="226"/>
  <c r="CR84" i="226"/>
  <c r="CQ84" i="226"/>
  <c r="CT82" i="226"/>
  <c r="CS82" i="226"/>
  <c r="CR82" i="226"/>
  <c r="CQ82" i="226"/>
  <c r="CN88" i="226"/>
  <c r="CM88" i="226"/>
  <c r="CL88" i="226"/>
  <c r="CN84" i="226"/>
  <c r="CM84" i="226"/>
  <c r="CL84" i="226"/>
  <c r="CN82" i="226"/>
  <c r="CM82" i="226"/>
  <c r="CL82" i="226"/>
  <c r="DH81" i="226"/>
  <c r="DF81" i="226"/>
  <c r="CT70" i="226"/>
  <c r="CS70" i="226"/>
  <c r="CX153" i="226" s="1"/>
  <c r="CR70" i="226"/>
  <c r="CW153" i="226" s="1"/>
  <c r="CQ70" i="226"/>
  <c r="CV153" i="226" s="1"/>
  <c r="CO70" i="226"/>
  <c r="CO78" i="226" s="1"/>
  <c r="CO27" i="1" s="1"/>
  <c r="CO37" i="1" s="1"/>
  <c r="CN70" i="226"/>
  <c r="CM70" i="226"/>
  <c r="CL70" i="226"/>
  <c r="CT73" i="226"/>
  <c r="CS73" i="226"/>
  <c r="CR73" i="226"/>
  <c r="CQ73" i="226"/>
  <c r="CT69" i="226"/>
  <c r="CS69" i="226"/>
  <c r="CR69" i="226"/>
  <c r="CQ69" i="226"/>
  <c r="CN73" i="226"/>
  <c r="CM73" i="226"/>
  <c r="CL73" i="226"/>
  <c r="CN69" i="226"/>
  <c r="CM69" i="226"/>
  <c r="CL69" i="226"/>
  <c r="CT67" i="226"/>
  <c r="DF67" i="226" s="1"/>
  <c r="CS67" i="226"/>
  <c r="CR67" i="226"/>
  <c r="CQ67" i="226"/>
  <c r="CN67" i="226"/>
  <c r="CM67" i="226"/>
  <c r="CL67" i="226"/>
  <c r="CK70" i="226"/>
  <c r="DH72" i="226"/>
  <c r="DF72" i="226"/>
  <c r="CU72" i="226"/>
  <c r="DH68" i="226"/>
  <c r="DF68" i="226"/>
  <c r="DI68" i="226" s="1"/>
  <c r="CU68" i="226"/>
  <c r="CP68" i="226"/>
  <c r="DH66" i="226"/>
  <c r="DF66" i="226"/>
  <c r="DI66" i="226" s="1"/>
  <c r="CU66" i="226"/>
  <c r="CP66" i="226"/>
  <c r="DH65" i="226"/>
  <c r="DF65" i="226"/>
  <c r="DI65" i="226" s="1"/>
  <c r="CX34" i="1" l="1"/>
  <c r="CX115" i="226"/>
  <c r="CY116" i="226"/>
  <c r="CY115" i="226" s="1"/>
  <c r="DJ115" i="226"/>
  <c r="CF116" i="226"/>
  <c r="CF39" i="226"/>
  <c r="CK116" i="226"/>
  <c r="CU116" i="226"/>
  <c r="AR102" i="226"/>
  <c r="AR103" i="226" s="1"/>
  <c r="AQ103" i="226"/>
  <c r="CA106" i="226"/>
  <c r="CA111" i="226" s="1"/>
  <c r="AC100" i="226"/>
  <c r="AC106" i="226" s="1"/>
  <c r="AC111" i="226" s="1"/>
  <c r="CP106" i="226"/>
  <c r="CP111" i="226" s="1"/>
  <c r="CT78" i="226"/>
  <c r="CT37" i="1" s="1"/>
  <c r="CY153" i="226"/>
  <c r="CZ153" i="226" s="1"/>
  <c r="CF98" i="226"/>
  <c r="CF106" i="226" s="1"/>
  <c r="CF111" i="226" s="1"/>
  <c r="BL106" i="226"/>
  <c r="BL111" i="226" s="1"/>
  <c r="CQ83" i="226"/>
  <c r="AL106" i="226"/>
  <c r="AL111" i="226" s="1"/>
  <c r="CU106" i="226"/>
  <c r="CU111" i="226" s="1"/>
  <c r="DJ106" i="226"/>
  <c r="DI106" i="226"/>
  <c r="X106" i="226"/>
  <c r="X111" i="226" s="1"/>
  <c r="AH106" i="226"/>
  <c r="AH111" i="226" s="1"/>
  <c r="DF111" i="226"/>
  <c r="BV106" i="226"/>
  <c r="BV111" i="226" s="1"/>
  <c r="BA103" i="226"/>
  <c r="BA106" i="226"/>
  <c r="BA111" i="226" s="1"/>
  <c r="AG106" i="226"/>
  <c r="AG111" i="226" s="1"/>
  <c r="BB102" i="226"/>
  <c r="BB106" i="226" s="1"/>
  <c r="BB111" i="226" s="1"/>
  <c r="S106" i="226"/>
  <c r="S111" i="226" s="1"/>
  <c r="N106" i="226"/>
  <c r="N111" i="226" s="1"/>
  <c r="DI98" i="226"/>
  <c r="DJ98" i="226"/>
  <c r="CK106" i="226"/>
  <c r="CK111" i="226" s="1"/>
  <c r="BF103" i="226"/>
  <c r="BF106" i="226"/>
  <c r="BF111" i="226" s="1"/>
  <c r="AM94" i="226"/>
  <c r="BG102" i="226"/>
  <c r="DH111" i="226"/>
  <c r="CL78" i="226"/>
  <c r="CQ71" i="226"/>
  <c r="CQ78" i="226"/>
  <c r="CM71" i="226"/>
  <c r="CM78" i="226"/>
  <c r="CM27" i="1" s="1"/>
  <c r="CM37" i="1" s="1"/>
  <c r="CR71" i="226"/>
  <c r="CR78" i="226"/>
  <c r="CN78" i="226"/>
  <c r="CS71" i="226"/>
  <c r="CS78" i="226"/>
  <c r="DB74" i="226"/>
  <c r="CL71" i="226"/>
  <c r="CQ89" i="226"/>
  <c r="DF82" i="226"/>
  <c r="DI82" i="226" s="1"/>
  <c r="CR85" i="226"/>
  <c r="CR83" i="226"/>
  <c r="DF84" i="226"/>
  <c r="DI84" i="226" s="1"/>
  <c r="CQ85" i="226"/>
  <c r="CR86" i="226"/>
  <c r="CT71" i="226"/>
  <c r="DF71" i="226" s="1"/>
  <c r="CS89" i="226"/>
  <c r="CS85" i="226"/>
  <c r="DF88" i="226"/>
  <c r="DI88" i="226" s="1"/>
  <c r="DJ81" i="226"/>
  <c r="DI81" i="226"/>
  <c r="DH83" i="226"/>
  <c r="CS83" i="226"/>
  <c r="DH85" i="226"/>
  <c r="DH87" i="226"/>
  <c r="CR89" i="226"/>
  <c r="DF70" i="226"/>
  <c r="DI70" i="226" s="1"/>
  <c r="CN71" i="226"/>
  <c r="DJ65" i="226"/>
  <c r="DI67" i="226"/>
  <c r="DJ66" i="226"/>
  <c r="DJ68" i="226"/>
  <c r="CP70" i="226"/>
  <c r="DI72" i="226"/>
  <c r="DJ72" i="226"/>
  <c r="CU70" i="226"/>
  <c r="CU78" i="226" s="1"/>
  <c r="DH70" i="226"/>
  <c r="CP72" i="226"/>
  <c r="CY34" i="1" l="1"/>
  <c r="CV34" i="1"/>
  <c r="CW34" i="1"/>
  <c r="CR27" i="1"/>
  <c r="CR37" i="1" s="1"/>
  <c r="CS27" i="1"/>
  <c r="CS37" i="1" s="1"/>
  <c r="CL79" i="226"/>
  <c r="CL27" i="1"/>
  <c r="CN79" i="226"/>
  <c r="CN27" i="1"/>
  <c r="CN37" i="1" s="1"/>
  <c r="CQ90" i="226"/>
  <c r="CQ27" i="1"/>
  <c r="CZ115" i="226"/>
  <c r="DA115" i="226" s="1"/>
  <c r="DB115" i="226" s="1"/>
  <c r="DC115" i="226" s="1"/>
  <c r="CN90" i="226"/>
  <c r="AR106" i="226"/>
  <c r="AR111" i="226" s="1"/>
  <c r="CL90" i="226"/>
  <c r="CP78" i="226"/>
  <c r="BB103" i="226"/>
  <c r="DJ111" i="226"/>
  <c r="DI111" i="226"/>
  <c r="AM106" i="226"/>
  <c r="AM111" i="226" s="1"/>
  <c r="BG103" i="226"/>
  <c r="BG106" i="226"/>
  <c r="BG111" i="226" s="1"/>
  <c r="DC74" i="226"/>
  <c r="CR90" i="226"/>
  <c r="CS90" i="226"/>
  <c r="DF79" i="226"/>
  <c r="CT90" i="226"/>
  <c r="DF90" i="226" s="1"/>
  <c r="DI90" i="226" s="1"/>
  <c r="CM79" i="226"/>
  <c r="CM90" i="226"/>
  <c r="DJ70" i="226"/>
  <c r="DH78" i="226"/>
  <c r="DI71" i="226"/>
  <c r="DF78" i="226"/>
  <c r="DC34" i="1" l="1"/>
  <c r="CU27" i="1"/>
  <c r="CQ37" i="1"/>
  <c r="CP27" i="1"/>
  <c r="CL37" i="1"/>
  <c r="CQ91" i="226"/>
  <c r="CZ116" i="226"/>
  <c r="CS91" i="226"/>
  <c r="CR91" i="226"/>
  <c r="DI79" i="226"/>
  <c r="DJ78" i="226"/>
  <c r="DI78" i="226"/>
  <c r="CT191" i="226"/>
  <c r="CT259" i="1"/>
  <c r="CT210" i="1" l="1"/>
  <c r="CU54" i="1"/>
  <c r="CU53" i="1"/>
  <c r="CU44" i="1"/>
  <c r="CT34" i="1"/>
  <c r="CU34" i="1" s="1"/>
  <c r="CT32" i="1"/>
  <c r="CU32" i="1" s="1"/>
  <c r="CT22" i="1"/>
  <c r="CT20" i="1"/>
  <c r="CT14" i="1"/>
  <c r="CU14" i="1" s="1"/>
  <c r="CT13" i="1"/>
  <c r="CU13" i="1" s="1"/>
  <c r="CT12" i="1"/>
  <c r="CU12" i="1" s="1"/>
  <c r="CT54" i="226"/>
  <c r="CT50" i="226"/>
  <c r="CT48" i="226"/>
  <c r="CT33" i="226"/>
  <c r="CT99" i="226" s="1"/>
  <c r="DF99" i="226" s="1"/>
  <c r="CT14" i="226"/>
  <c r="CU15" i="1" l="1"/>
  <c r="CU30" i="1"/>
  <c r="CU37" i="1" s="1"/>
  <c r="CT86" i="226"/>
  <c r="DI99" i="226"/>
  <c r="CT52" i="226"/>
  <c r="CT15" i="1"/>
  <c r="DF86" i="226" l="1"/>
  <c r="DI86" i="226" s="1"/>
  <c r="CY9" i="1"/>
  <c r="CX9" i="1"/>
  <c r="CW9" i="1"/>
  <c r="DH47" i="226" l="1"/>
  <c r="DH28" i="226"/>
  <c r="DH5" i="226"/>
  <c r="DF47" i="226"/>
  <c r="DF28" i="226"/>
  <c r="DF5" i="226"/>
  <c r="DH219" i="1"/>
  <c r="DH218" i="1"/>
  <c r="DH206" i="1"/>
  <c r="DH109" i="1"/>
  <c r="DH106" i="1"/>
  <c r="DH105" i="1"/>
  <c r="DH104" i="1"/>
  <c r="DH103" i="1"/>
  <c r="DH102" i="1"/>
  <c r="DH101" i="1"/>
  <c r="DH98" i="1"/>
  <c r="DH95" i="1"/>
  <c r="DH94" i="1"/>
  <c r="DH93" i="1"/>
  <c r="DH92" i="1"/>
  <c r="DH89" i="1"/>
  <c r="DH88" i="1"/>
  <c r="DH87" i="1"/>
  <c r="DH86" i="1"/>
  <c r="DH82" i="1"/>
  <c r="DH81" i="1"/>
  <c r="DH80" i="1"/>
  <c r="DH79" i="1"/>
  <c r="DH78" i="1"/>
  <c r="DH77" i="1"/>
  <c r="DH76" i="1"/>
  <c r="DH73" i="1"/>
  <c r="DH72" i="1"/>
  <c r="DH71" i="1"/>
  <c r="DH70" i="1"/>
  <c r="DH69" i="1"/>
  <c r="DH68" i="1"/>
  <c r="DH54" i="1"/>
  <c r="DH53" i="1"/>
  <c r="DH5" i="1"/>
  <c r="DF219" i="1"/>
  <c r="DF183" i="1"/>
  <c r="DF173" i="1"/>
  <c r="DF171" i="1"/>
  <c r="DF166" i="1"/>
  <c r="DF155" i="1"/>
  <c r="DF154" i="1"/>
  <c r="DF153" i="1"/>
  <c r="DF152" i="1"/>
  <c r="DF151" i="1"/>
  <c r="DF148" i="1"/>
  <c r="DF53" i="1"/>
  <c r="DF30" i="1"/>
  <c r="DF21" i="1"/>
  <c r="DF14" i="1"/>
  <c r="DF13" i="1"/>
  <c r="DF12" i="1"/>
  <c r="DF5" i="1"/>
  <c r="S137" i="229" l="1"/>
  <c r="W134" i="229"/>
  <c r="U134" i="229"/>
  <c r="T134" i="229"/>
  <c r="G133" i="229"/>
  <c r="W127" i="229"/>
  <c r="U127" i="229"/>
  <c r="T127" i="229"/>
  <c r="G121" i="229"/>
  <c r="M116" i="229"/>
  <c r="T111" i="229"/>
  <c r="D111" i="229"/>
  <c r="B111" i="229"/>
  <c r="M109" i="229"/>
  <c r="L109" i="229"/>
  <c r="L116" i="229" s="1"/>
  <c r="K109" i="229"/>
  <c r="J109" i="229"/>
  <c r="I109" i="229"/>
  <c r="I116" i="229" s="1"/>
  <c r="H109" i="229"/>
  <c r="H116" i="229" s="1"/>
  <c r="G109" i="229"/>
  <c r="G116" i="229" s="1"/>
  <c r="F109" i="229"/>
  <c r="E109" i="229"/>
  <c r="E116" i="229" s="1"/>
  <c r="D109" i="229"/>
  <c r="D116" i="229" s="1"/>
  <c r="C109" i="229"/>
  <c r="C116" i="229" s="1"/>
  <c r="B109" i="229"/>
  <c r="W108" i="229"/>
  <c r="X111" i="229" s="1"/>
  <c r="X113" i="229" s="1"/>
  <c r="V108" i="229"/>
  <c r="W111" i="229" s="1"/>
  <c r="W113" i="229" s="1"/>
  <c r="U108" i="229"/>
  <c r="V111" i="229" s="1"/>
  <c r="T108" i="229"/>
  <c r="U111" i="229" s="1"/>
  <c r="S108" i="229"/>
  <c r="R108" i="229"/>
  <c r="R115" i="229" s="1"/>
  <c r="Q108" i="229"/>
  <c r="P108" i="229"/>
  <c r="Q111" i="229" s="1"/>
  <c r="O108" i="229"/>
  <c r="O115" i="229" s="1"/>
  <c r="N108" i="229"/>
  <c r="N115" i="229" s="1"/>
  <c r="M108" i="229"/>
  <c r="L108" i="229"/>
  <c r="M111" i="229" s="1"/>
  <c r="K108" i="229"/>
  <c r="K115" i="229" s="1"/>
  <c r="J108" i="229"/>
  <c r="J115" i="229" s="1"/>
  <c r="I108" i="229"/>
  <c r="H108" i="229"/>
  <c r="I111" i="229" s="1"/>
  <c r="G108" i="229"/>
  <c r="G115" i="229" s="1"/>
  <c r="F108" i="229"/>
  <c r="F115" i="229" s="1"/>
  <c r="E108" i="229"/>
  <c r="D108" i="229"/>
  <c r="E111" i="229" s="1"/>
  <c r="C108" i="229"/>
  <c r="C115" i="229" s="1"/>
  <c r="B108" i="229"/>
  <c r="B115" i="229" s="1"/>
  <c r="AB107" i="229"/>
  <c r="AA107" i="229"/>
  <c r="Z107" i="229"/>
  <c r="Y107" i="229"/>
  <c r="X107" i="229"/>
  <c r="W107" i="229"/>
  <c r="U107" i="229"/>
  <c r="T107" i="229"/>
  <c r="S107" i="229"/>
  <c r="R107" i="229"/>
  <c r="Q107" i="229"/>
  <c r="P107" i="229"/>
  <c r="O107" i="229"/>
  <c r="N106" i="229"/>
  <c r="M106" i="229"/>
  <c r="L106" i="229"/>
  <c r="K106" i="229"/>
  <c r="J106" i="229"/>
  <c r="I106" i="229"/>
  <c r="H106" i="229"/>
  <c r="G106" i="229"/>
  <c r="G107" i="229" s="1"/>
  <c r="G112" i="229" s="1"/>
  <c r="F106" i="229"/>
  <c r="E106" i="229"/>
  <c r="D106" i="229"/>
  <c r="C106" i="229"/>
  <c r="C107" i="229" s="1"/>
  <c r="G105" i="229"/>
  <c r="P101" i="229"/>
  <c r="P102" i="229" s="1"/>
  <c r="O101" i="229"/>
  <c r="N101" i="229"/>
  <c r="M101" i="229"/>
  <c r="L101" i="229"/>
  <c r="L102" i="229" s="1"/>
  <c r="K101" i="229"/>
  <c r="J101" i="229"/>
  <c r="I101" i="229"/>
  <c r="H101" i="229"/>
  <c r="H102" i="229" s="1"/>
  <c r="G101" i="229"/>
  <c r="F101" i="229"/>
  <c r="E101" i="229"/>
  <c r="D101" i="229"/>
  <c r="D102" i="229" s="1"/>
  <c r="C101" i="229"/>
  <c r="B101" i="229"/>
  <c r="AB100" i="229"/>
  <c r="AA100" i="229"/>
  <c r="Z100" i="229"/>
  <c r="Y100" i="229"/>
  <c r="X100" i="229"/>
  <c r="W100" i="229"/>
  <c r="V100" i="229"/>
  <c r="U100" i="229"/>
  <c r="R100" i="229"/>
  <c r="Q100" i="229"/>
  <c r="P100" i="229"/>
  <c r="O100" i="229"/>
  <c r="N100" i="229"/>
  <c r="M100" i="229"/>
  <c r="M102" i="229" s="1"/>
  <c r="L100" i="229"/>
  <c r="K100" i="229"/>
  <c r="J100" i="229"/>
  <c r="I100" i="229"/>
  <c r="I102" i="229" s="1"/>
  <c r="H100" i="229"/>
  <c r="G100" i="229"/>
  <c r="F100" i="229"/>
  <c r="E100" i="229"/>
  <c r="E102" i="229" s="1"/>
  <c r="D100" i="229"/>
  <c r="C100" i="229"/>
  <c r="B100" i="229"/>
  <c r="N98" i="229"/>
  <c r="O98" i="229" s="1"/>
  <c r="P98" i="229" s="1"/>
  <c r="Q98" i="229" s="1"/>
  <c r="R98" i="229" s="1"/>
  <c r="S98" i="229" s="1"/>
  <c r="T98" i="229" s="1"/>
  <c r="U98" i="229" s="1"/>
  <c r="V98" i="229" s="1"/>
  <c r="W98" i="229" s="1"/>
  <c r="X98" i="229" s="1"/>
  <c r="Y98" i="229" s="1"/>
  <c r="Z98" i="229" s="1"/>
  <c r="AA98" i="229" s="1"/>
  <c r="AB98" i="229" s="1"/>
  <c r="M98" i="229"/>
  <c r="F98" i="229"/>
  <c r="C98" i="229"/>
  <c r="B98" i="229"/>
  <c r="G96" i="229"/>
  <c r="G88" i="229"/>
  <c r="G74" i="229"/>
  <c r="O71" i="229"/>
  <c r="E98" i="229" s="1"/>
  <c r="N71" i="229"/>
  <c r="M71" i="229"/>
  <c r="L71" i="229"/>
  <c r="K71" i="229"/>
  <c r="J71" i="229"/>
  <c r="I71" i="229"/>
  <c r="AB66" i="229"/>
  <c r="AA66" i="229"/>
  <c r="Z66" i="229"/>
  <c r="Y66" i="229"/>
  <c r="X66" i="229"/>
  <c r="W66" i="229"/>
  <c r="V66" i="229"/>
  <c r="U66" i="229"/>
  <c r="T66" i="229"/>
  <c r="S66" i="229"/>
  <c r="R66" i="229"/>
  <c r="Q66" i="229"/>
  <c r="I66" i="229"/>
  <c r="F66" i="229"/>
  <c r="N64" i="229"/>
  <c r="N63" i="229"/>
  <c r="X64" i="229"/>
  <c r="Y64" i="229" s="1"/>
  <c r="Z64" i="229" s="1"/>
  <c r="AA64" i="229" s="1"/>
  <c r="AB64" i="229" s="1"/>
  <c r="AB63" i="229"/>
  <c r="AA63" i="229"/>
  <c r="AA84" i="229" s="1"/>
  <c r="AA22" i="229" s="1"/>
  <c r="Z63" i="229"/>
  <c r="Y63" i="229"/>
  <c r="X63" i="229"/>
  <c r="W63" i="229"/>
  <c r="V63" i="229"/>
  <c r="U63" i="229"/>
  <c r="T63" i="229"/>
  <c r="S63" i="229"/>
  <c r="R63" i="229"/>
  <c r="Q63" i="229"/>
  <c r="P63" i="229"/>
  <c r="O63" i="229"/>
  <c r="M63" i="229"/>
  <c r="L63" i="229"/>
  <c r="K63" i="229"/>
  <c r="J63" i="229"/>
  <c r="I63" i="229"/>
  <c r="H63" i="229"/>
  <c r="G63" i="229"/>
  <c r="F63" i="229"/>
  <c r="E63" i="229"/>
  <c r="D63" i="229"/>
  <c r="C63" i="229"/>
  <c r="G61" i="229"/>
  <c r="R57" i="229"/>
  <c r="S48" i="229" s="1"/>
  <c r="Q57" i="229"/>
  <c r="P57" i="229"/>
  <c r="Q48" i="229" s="1"/>
  <c r="O57" i="229"/>
  <c r="N57" i="229"/>
  <c r="O48" i="229" s="1"/>
  <c r="M57" i="229"/>
  <c r="L57" i="229"/>
  <c r="M48" i="229" s="1"/>
  <c r="K57" i="229"/>
  <c r="L48" i="229" s="1"/>
  <c r="J57" i="229"/>
  <c r="K48" i="229" s="1"/>
  <c r="I57" i="229"/>
  <c r="H57" i="229"/>
  <c r="I48" i="229" s="1"/>
  <c r="G57" i="229"/>
  <c r="F57" i="229"/>
  <c r="G48" i="229" s="1"/>
  <c r="E57" i="229"/>
  <c r="D57" i="229"/>
  <c r="E48" i="229" s="1"/>
  <c r="C57" i="229"/>
  <c r="B57" i="229"/>
  <c r="C48" i="229" s="1"/>
  <c r="G54" i="229"/>
  <c r="W51" i="229"/>
  <c r="U51" i="229"/>
  <c r="T51" i="229"/>
  <c r="S51" i="229"/>
  <c r="R51" i="229"/>
  <c r="Q51" i="229"/>
  <c r="P51" i="229"/>
  <c r="O51" i="229"/>
  <c r="N51" i="229"/>
  <c r="W50" i="229"/>
  <c r="U50" i="229"/>
  <c r="T50" i="229"/>
  <c r="S50" i="229"/>
  <c r="R50" i="229"/>
  <c r="Q50" i="229"/>
  <c r="P50" i="229"/>
  <c r="O50" i="229"/>
  <c r="N50" i="229"/>
  <c r="M50" i="229"/>
  <c r="L50" i="229"/>
  <c r="K50" i="229"/>
  <c r="J50" i="229"/>
  <c r="I50" i="229"/>
  <c r="H50" i="229"/>
  <c r="G50" i="229"/>
  <c r="F50" i="229"/>
  <c r="E50" i="229"/>
  <c r="D50" i="229"/>
  <c r="C50" i="229"/>
  <c r="B50" i="229"/>
  <c r="R48" i="229"/>
  <c r="P48" i="229"/>
  <c r="N48" i="229"/>
  <c r="J48" i="229"/>
  <c r="H48" i="229"/>
  <c r="F48" i="229"/>
  <c r="D48" i="229"/>
  <c r="B48" i="229"/>
  <c r="C45" i="229"/>
  <c r="B45" i="229"/>
  <c r="B52" i="229" s="1"/>
  <c r="N44" i="229"/>
  <c r="O44" i="229" s="1"/>
  <c r="P44" i="229" s="1"/>
  <c r="Q44" i="229" s="1"/>
  <c r="R44" i="229" s="1"/>
  <c r="S44" i="229" s="1"/>
  <c r="T44" i="229" s="1"/>
  <c r="U44" i="229" s="1"/>
  <c r="V44" i="229" s="1"/>
  <c r="W44" i="229" s="1"/>
  <c r="X44" i="229" s="1"/>
  <c r="Y44" i="229" s="1"/>
  <c r="Z44" i="229" s="1"/>
  <c r="AA44" i="229" s="1"/>
  <c r="AB44" i="229" s="1"/>
  <c r="N43" i="229"/>
  <c r="O8" i="229" s="1"/>
  <c r="N42" i="229"/>
  <c r="G40" i="229"/>
  <c r="I35" i="229"/>
  <c r="J28" i="229" s="1"/>
  <c r="J35" i="229" s="1"/>
  <c r="K28" i="229" s="1"/>
  <c r="K66" i="229" s="1"/>
  <c r="F35" i="229"/>
  <c r="G28" i="229" s="1"/>
  <c r="D35" i="229"/>
  <c r="E28" i="229" s="1"/>
  <c r="C35" i="229"/>
  <c r="V25" i="229"/>
  <c r="T25" i="229"/>
  <c r="S25" i="229"/>
  <c r="Q25" i="229"/>
  <c r="P25" i="229"/>
  <c r="O25" i="229"/>
  <c r="N25" i="229"/>
  <c r="M25" i="229"/>
  <c r="L25" i="229"/>
  <c r="H25" i="229"/>
  <c r="G25" i="229"/>
  <c r="F25" i="229"/>
  <c r="E25" i="229"/>
  <c r="R24" i="229"/>
  <c r="O24" i="229"/>
  <c r="V23" i="229"/>
  <c r="V107" i="229" s="1"/>
  <c r="V112" i="229" s="1"/>
  <c r="U22" i="229"/>
  <c r="V20" i="229"/>
  <c r="W19" i="229"/>
  <c r="W18" i="229"/>
  <c r="J19" i="229"/>
  <c r="I19" i="229"/>
  <c r="I26" i="229" s="1"/>
  <c r="J17" i="229" s="1"/>
  <c r="H19" i="229"/>
  <c r="G19" i="229"/>
  <c r="D19" i="229"/>
  <c r="C19" i="229"/>
  <c r="K18" i="229"/>
  <c r="J18" i="229"/>
  <c r="I18" i="229"/>
  <c r="H18" i="229"/>
  <c r="G18" i="229"/>
  <c r="F18" i="229"/>
  <c r="F26" i="229" s="1"/>
  <c r="E18" i="229"/>
  <c r="D18" i="229"/>
  <c r="D26" i="229" s="1"/>
  <c r="C18" i="229"/>
  <c r="X21" i="229"/>
  <c r="Y21" i="229" s="1"/>
  <c r="Z21" i="229" s="1"/>
  <c r="AA21" i="229" s="1"/>
  <c r="AB21" i="229" s="1"/>
  <c r="X20" i="229"/>
  <c r="U19" i="229"/>
  <c r="T19" i="229"/>
  <c r="S19" i="229"/>
  <c r="R19" i="229"/>
  <c r="Q19" i="229"/>
  <c r="P19" i="229"/>
  <c r="O19" i="229"/>
  <c r="N19" i="229"/>
  <c r="M19" i="229"/>
  <c r="L19" i="229"/>
  <c r="U18" i="229"/>
  <c r="T18" i="229"/>
  <c r="S18" i="229"/>
  <c r="R18" i="229"/>
  <c r="Q18" i="229"/>
  <c r="P18" i="229"/>
  <c r="O18" i="229"/>
  <c r="N18" i="229"/>
  <c r="M18" i="229"/>
  <c r="L18" i="229"/>
  <c r="G16" i="229"/>
  <c r="V12" i="229"/>
  <c r="S12" i="229"/>
  <c r="R12" i="229"/>
  <c r="Q12" i="229"/>
  <c r="P12" i="229"/>
  <c r="O12" i="229"/>
  <c r="N12" i="229"/>
  <c r="M12" i="229"/>
  <c r="L12" i="229"/>
  <c r="J12" i="229"/>
  <c r="I12" i="229"/>
  <c r="H12" i="229"/>
  <c r="G12" i="229"/>
  <c r="R10" i="229"/>
  <c r="N10" i="229"/>
  <c r="N13" i="229" s="1"/>
  <c r="N49" i="229" s="1"/>
  <c r="M10" i="229"/>
  <c r="M13" i="229" s="1"/>
  <c r="M49" i="229" s="1"/>
  <c r="L10" i="229"/>
  <c r="L13" i="229" s="1"/>
  <c r="L49" i="229" s="1"/>
  <c r="K10" i="229"/>
  <c r="K13" i="229" s="1"/>
  <c r="K49" i="229" s="1"/>
  <c r="J10" i="229"/>
  <c r="I10" i="229"/>
  <c r="H10" i="229"/>
  <c r="G10" i="229"/>
  <c r="D10" i="229"/>
  <c r="D13" i="229" s="1"/>
  <c r="D49" i="229" s="1"/>
  <c r="C10" i="229"/>
  <c r="C13" i="229" s="1"/>
  <c r="C49" i="229" s="1"/>
  <c r="B10" i="229"/>
  <c r="B13" i="229" s="1"/>
  <c r="B49" i="229" s="1"/>
  <c r="F9" i="229"/>
  <c r="F10" i="229" s="1"/>
  <c r="F13" i="229" s="1"/>
  <c r="F49" i="229" s="1"/>
  <c r="X9" i="229"/>
  <c r="Y9" i="229" s="1"/>
  <c r="Z9" i="229" s="1"/>
  <c r="AA9" i="229" s="1"/>
  <c r="AB9" i="229" s="1"/>
  <c r="V6" i="229"/>
  <c r="E6" i="229"/>
  <c r="E10" i="229" s="1"/>
  <c r="E13" i="229" s="1"/>
  <c r="E49" i="229" s="1"/>
  <c r="V4" i="229"/>
  <c r="V18" i="229" s="1"/>
  <c r="X5" i="229"/>
  <c r="X4" i="229"/>
  <c r="X18" i="229" s="1"/>
  <c r="H3" i="229"/>
  <c r="I3" i="229" s="1"/>
  <c r="F3" i="229"/>
  <c r="E3" i="229" s="1"/>
  <c r="S175" i="228"/>
  <c r="Q175" i="228"/>
  <c r="P175" i="228"/>
  <c r="O175" i="228"/>
  <c r="N175" i="228"/>
  <c r="W172" i="228"/>
  <c r="U172" i="228"/>
  <c r="T172" i="228"/>
  <c r="M171" i="228"/>
  <c r="L171" i="228"/>
  <c r="K171" i="228"/>
  <c r="G171" i="228"/>
  <c r="F171" i="228"/>
  <c r="E171" i="228"/>
  <c r="D171" i="228"/>
  <c r="C171" i="228"/>
  <c r="B171" i="228"/>
  <c r="T166" i="228"/>
  <c r="M164" i="228"/>
  <c r="L164" i="228"/>
  <c r="K164" i="228"/>
  <c r="G164" i="228"/>
  <c r="F164" i="228"/>
  <c r="E164" i="228"/>
  <c r="D164" i="228"/>
  <c r="C164" i="228"/>
  <c r="B164" i="228"/>
  <c r="T160" i="228"/>
  <c r="U160" i="228" s="1"/>
  <c r="V160" i="228" s="1"/>
  <c r="W160" i="228" s="1"/>
  <c r="X160" i="228" s="1"/>
  <c r="Y160" i="228" s="1"/>
  <c r="Z160" i="228" s="1"/>
  <c r="AA160" i="228" s="1"/>
  <c r="AB160" i="228" s="1"/>
  <c r="T153" i="228"/>
  <c r="U153" i="228" s="1"/>
  <c r="V153" i="228" s="1"/>
  <c r="W153" i="228" s="1"/>
  <c r="X153" i="228" s="1"/>
  <c r="Y153" i="228" s="1"/>
  <c r="Z153" i="228" s="1"/>
  <c r="AA153" i="228" s="1"/>
  <c r="AB153" i="228" s="1"/>
  <c r="M150" i="228"/>
  <c r="L150" i="228"/>
  <c r="K150" i="228"/>
  <c r="G150" i="228"/>
  <c r="F150" i="228"/>
  <c r="E150" i="228"/>
  <c r="D150" i="228"/>
  <c r="C150" i="228"/>
  <c r="B150" i="228"/>
  <c r="C141" i="228"/>
  <c r="AB135" i="228"/>
  <c r="AA135" i="228"/>
  <c r="Z135" i="228"/>
  <c r="Y135" i="228"/>
  <c r="X135" i="228"/>
  <c r="W135" i="228"/>
  <c r="V135" i="228"/>
  <c r="U135" i="228"/>
  <c r="T135" i="228"/>
  <c r="S135" i="228"/>
  <c r="R135" i="228"/>
  <c r="Q135" i="228"/>
  <c r="P131" i="228"/>
  <c r="N123" i="228"/>
  <c r="N124" i="228" s="1"/>
  <c r="N125" i="228" s="1"/>
  <c r="O123" i="228" s="1"/>
  <c r="N119" i="228"/>
  <c r="N120" i="228" s="1"/>
  <c r="N121" i="228" s="1"/>
  <c r="O119" i="228" s="1"/>
  <c r="N114" i="228"/>
  <c r="N113" i="228"/>
  <c r="F106" i="228"/>
  <c r="F107" i="228" s="1"/>
  <c r="E106" i="228"/>
  <c r="E107" i="228" s="1"/>
  <c r="D106" i="228"/>
  <c r="D107" i="228" s="1"/>
  <c r="C106" i="228"/>
  <c r="C107" i="228" s="1"/>
  <c r="B106" i="228"/>
  <c r="B107" i="228" s="1"/>
  <c r="S105" i="228"/>
  <c r="R105" i="228"/>
  <c r="Q105" i="228"/>
  <c r="O105" i="228"/>
  <c r="N105" i="228"/>
  <c r="M105" i="228"/>
  <c r="L105" i="228"/>
  <c r="K105" i="228"/>
  <c r="J105" i="228"/>
  <c r="I105" i="228"/>
  <c r="H105" i="228"/>
  <c r="G105" i="228"/>
  <c r="W98" i="228"/>
  <c r="V98" i="228"/>
  <c r="U98" i="228"/>
  <c r="T98" i="228"/>
  <c r="S98" i="228"/>
  <c r="R98" i="228"/>
  <c r="Q98" i="228"/>
  <c r="P98" i="228"/>
  <c r="O98" i="228"/>
  <c r="N98" i="228"/>
  <c r="M98" i="228"/>
  <c r="L98" i="228"/>
  <c r="K98" i="228"/>
  <c r="J98" i="228"/>
  <c r="I98" i="228"/>
  <c r="H98" i="228"/>
  <c r="G98" i="228"/>
  <c r="L94" i="228"/>
  <c r="K94" i="228"/>
  <c r="J94" i="228"/>
  <c r="I94" i="228"/>
  <c r="H94" i="228"/>
  <c r="G94" i="228"/>
  <c r="W92" i="228"/>
  <c r="V92" i="228"/>
  <c r="U92" i="228"/>
  <c r="O92" i="228"/>
  <c r="L92" i="228"/>
  <c r="W91" i="228"/>
  <c r="U91" i="228"/>
  <c r="T91" i="228"/>
  <c r="S91" i="228"/>
  <c r="Q91" i="228"/>
  <c r="P91" i="228"/>
  <c r="O91" i="228"/>
  <c r="M91" i="228"/>
  <c r="L91" i="228"/>
  <c r="K91" i="228"/>
  <c r="J91" i="228"/>
  <c r="I91" i="228"/>
  <c r="AB90" i="228"/>
  <c r="AA90" i="228"/>
  <c r="Z90" i="228"/>
  <c r="Y90" i="228"/>
  <c r="X90" i="228"/>
  <c r="W90" i="228"/>
  <c r="V90" i="228"/>
  <c r="U90" i="228"/>
  <c r="T90" i="228"/>
  <c r="S90" i="228"/>
  <c r="R90" i="228"/>
  <c r="Q90" i="228"/>
  <c r="P90" i="228"/>
  <c r="O90" i="228"/>
  <c r="N90" i="228"/>
  <c r="M90" i="228"/>
  <c r="L90" i="228"/>
  <c r="K90" i="228"/>
  <c r="J90" i="228"/>
  <c r="I90" i="228"/>
  <c r="H90" i="228"/>
  <c r="G90" i="228"/>
  <c r="W89" i="228"/>
  <c r="V89" i="228"/>
  <c r="U89" i="228"/>
  <c r="T89" i="228"/>
  <c r="S89" i="228"/>
  <c r="R89" i="228"/>
  <c r="Q89" i="228"/>
  <c r="P89" i="228"/>
  <c r="O89" i="228"/>
  <c r="N89" i="228"/>
  <c r="M89" i="228"/>
  <c r="L89" i="228"/>
  <c r="K89" i="228"/>
  <c r="J89" i="228"/>
  <c r="I89" i="228"/>
  <c r="H89" i="228"/>
  <c r="G89" i="228"/>
  <c r="M88" i="228"/>
  <c r="L88" i="228"/>
  <c r="L93" i="228" s="1"/>
  <c r="K88" i="228"/>
  <c r="J88" i="228"/>
  <c r="I88" i="228"/>
  <c r="H88" i="228"/>
  <c r="G88" i="228"/>
  <c r="M86" i="228"/>
  <c r="L86" i="228"/>
  <c r="K86" i="228"/>
  <c r="G86" i="228"/>
  <c r="F86" i="228"/>
  <c r="E86" i="228"/>
  <c r="D86" i="228"/>
  <c r="C86" i="228"/>
  <c r="B86" i="228"/>
  <c r="O79" i="228"/>
  <c r="N79" i="228"/>
  <c r="M79" i="228"/>
  <c r="L79" i="228"/>
  <c r="K79" i="228"/>
  <c r="J79" i="228"/>
  <c r="I79" i="228"/>
  <c r="H79" i="228"/>
  <c r="G79" i="228"/>
  <c r="C79" i="228"/>
  <c r="B79" i="228"/>
  <c r="Q78" i="228"/>
  <c r="P78" i="228"/>
  <c r="P79" i="228" s="1"/>
  <c r="F78" i="228"/>
  <c r="F79" i="228" s="1"/>
  <c r="E78" i="228"/>
  <c r="E79" i="228" s="1"/>
  <c r="D78" i="228"/>
  <c r="D77" i="228"/>
  <c r="V77" i="228"/>
  <c r="W77" i="228" s="1"/>
  <c r="X77" i="228" s="1"/>
  <c r="Y77" i="228" s="1"/>
  <c r="Z77" i="228" s="1"/>
  <c r="AA77" i="228" s="1"/>
  <c r="AB77" i="228" s="1"/>
  <c r="U77" i="228"/>
  <c r="N74" i="228"/>
  <c r="O74" i="228" s="1"/>
  <c r="P74" i="228" s="1"/>
  <c r="Q74" i="228" s="1"/>
  <c r="R74" i="228" s="1"/>
  <c r="S74" i="228" s="1"/>
  <c r="T74" i="228" s="1"/>
  <c r="U74" i="228" s="1"/>
  <c r="V74" i="228" s="1"/>
  <c r="W74" i="228" s="1"/>
  <c r="X74" i="228" s="1"/>
  <c r="Y74" i="228" s="1"/>
  <c r="Z74" i="228" s="1"/>
  <c r="AA74" i="228" s="1"/>
  <c r="AB74" i="228" s="1"/>
  <c r="C72" i="228"/>
  <c r="C80" i="228" s="1"/>
  <c r="N70" i="228"/>
  <c r="O70" i="228" s="1"/>
  <c r="P70" i="228" s="1"/>
  <c r="Q70" i="228" s="1"/>
  <c r="R70" i="228" s="1"/>
  <c r="S70" i="228" s="1"/>
  <c r="T70" i="228" s="1"/>
  <c r="U70" i="228" s="1"/>
  <c r="V70" i="228" s="1"/>
  <c r="W70" i="228" s="1"/>
  <c r="X70" i="228" s="1"/>
  <c r="Y70" i="228" s="1"/>
  <c r="Z70" i="228" s="1"/>
  <c r="AA70" i="228" s="1"/>
  <c r="AB70" i="228" s="1"/>
  <c r="N69" i="228"/>
  <c r="O69" i="228" s="1"/>
  <c r="P69" i="228" s="1"/>
  <c r="Q69" i="228" s="1"/>
  <c r="R69" i="228" s="1"/>
  <c r="S69" i="228" s="1"/>
  <c r="T69" i="228" s="1"/>
  <c r="U69" i="228" s="1"/>
  <c r="V69" i="228" s="1"/>
  <c r="W69" i="228" s="1"/>
  <c r="X69" i="228" s="1"/>
  <c r="Y69" i="228" s="1"/>
  <c r="Z69" i="228" s="1"/>
  <c r="AA69" i="228" s="1"/>
  <c r="AB69" i="228" s="1"/>
  <c r="O66" i="228"/>
  <c r="N66" i="228"/>
  <c r="M66" i="228"/>
  <c r="L66" i="228"/>
  <c r="K66" i="228"/>
  <c r="J66" i="228"/>
  <c r="I66" i="228"/>
  <c r="W64" i="228"/>
  <c r="V64" i="228"/>
  <c r="U64" i="228"/>
  <c r="T64" i="228"/>
  <c r="S64" i="228"/>
  <c r="R64" i="228"/>
  <c r="Q64" i="228"/>
  <c r="P64" i="228"/>
  <c r="O64" i="228"/>
  <c r="N64" i="228"/>
  <c r="M64" i="228"/>
  <c r="L64" i="228"/>
  <c r="K64" i="228"/>
  <c r="J64" i="228"/>
  <c r="I64" i="228"/>
  <c r="O63" i="228"/>
  <c r="N63" i="228"/>
  <c r="M63" i="228"/>
  <c r="L63" i="228"/>
  <c r="K63" i="228"/>
  <c r="J63" i="228"/>
  <c r="I63" i="228"/>
  <c r="T62" i="228"/>
  <c r="S62" i="228"/>
  <c r="R62" i="228"/>
  <c r="P62" i="228"/>
  <c r="O62" i="228"/>
  <c r="N62" i="228"/>
  <c r="M62" i="228"/>
  <c r="L62" i="228"/>
  <c r="K62" i="228"/>
  <c r="J62" i="228"/>
  <c r="I62" i="228"/>
  <c r="O59" i="228"/>
  <c r="N59" i="228"/>
  <c r="M59" i="228"/>
  <c r="L59" i="228"/>
  <c r="K59" i="228"/>
  <c r="J59" i="228"/>
  <c r="I59" i="228"/>
  <c r="O57" i="228"/>
  <c r="O127" i="228" s="1"/>
  <c r="N57" i="228"/>
  <c r="N127" i="228" s="1"/>
  <c r="M57" i="228"/>
  <c r="L57" i="228"/>
  <c r="K57" i="228"/>
  <c r="J57" i="228"/>
  <c r="I57" i="228"/>
  <c r="P56" i="228"/>
  <c r="O56" i="228"/>
  <c r="N56" i="228"/>
  <c r="M56" i="228"/>
  <c r="L56" i="228"/>
  <c r="K56" i="228"/>
  <c r="J56" i="228"/>
  <c r="I56" i="228"/>
  <c r="V49" i="228"/>
  <c r="V48" i="228"/>
  <c r="V47" i="228"/>
  <c r="Q49" i="228"/>
  <c r="O49" i="228"/>
  <c r="O50" i="228" s="1"/>
  <c r="N49" i="228"/>
  <c r="L49" i="228"/>
  <c r="H49" i="228"/>
  <c r="G49" i="228"/>
  <c r="E49" i="228"/>
  <c r="T48" i="228"/>
  <c r="T45" i="228"/>
  <c r="T92" i="228" s="1"/>
  <c r="S45" i="228"/>
  <c r="S92" i="228" s="1"/>
  <c r="R45" i="228"/>
  <c r="R92" i="228" s="1"/>
  <c r="Q45" i="228"/>
  <c r="Q92" i="228" s="1"/>
  <c r="P45" i="228"/>
  <c r="P92" i="228" s="1"/>
  <c r="N45" i="228"/>
  <c r="N92" i="228" s="1"/>
  <c r="M45" i="228"/>
  <c r="M92" i="228" s="1"/>
  <c r="K45" i="228"/>
  <c r="K92" i="228" s="1"/>
  <c r="J45" i="228"/>
  <c r="J92" i="228" s="1"/>
  <c r="I45" i="228"/>
  <c r="I92" i="228" s="1"/>
  <c r="H45" i="228"/>
  <c r="H92" i="228" s="1"/>
  <c r="G45" i="228"/>
  <c r="G92" i="228" s="1"/>
  <c r="F45" i="228"/>
  <c r="E45" i="228"/>
  <c r="D45" i="228"/>
  <c r="C45" i="228"/>
  <c r="B45" i="228"/>
  <c r="V44" i="228"/>
  <c r="V91" i="228" s="1"/>
  <c r="R44" i="228"/>
  <c r="R91" i="228" s="1"/>
  <c r="N44" i="228"/>
  <c r="N91" i="228" s="1"/>
  <c r="H44" i="228"/>
  <c r="H91" i="228" s="1"/>
  <c r="G44" i="228"/>
  <c r="G91" i="228" s="1"/>
  <c r="F44" i="228"/>
  <c r="F50" i="228" s="1"/>
  <c r="E44" i="228"/>
  <c r="D44" i="228"/>
  <c r="C44" i="228"/>
  <c r="B44" i="228"/>
  <c r="B41" i="228"/>
  <c r="W37" i="228"/>
  <c r="R37" i="228"/>
  <c r="Q37" i="228"/>
  <c r="P37" i="228"/>
  <c r="O37" i="228"/>
  <c r="O38" i="228" s="1"/>
  <c r="N37" i="228"/>
  <c r="M37" i="228"/>
  <c r="L37" i="228"/>
  <c r="H37" i="228"/>
  <c r="G37" i="228"/>
  <c r="F37" i="228"/>
  <c r="F38" i="228" s="1"/>
  <c r="F52" i="228" s="1"/>
  <c r="E37" i="228"/>
  <c r="V36" i="228"/>
  <c r="P36" i="228"/>
  <c r="P38" i="228" s="1"/>
  <c r="N36" i="228"/>
  <c r="R35" i="228"/>
  <c r="X34" i="228"/>
  <c r="Y34" i="228" s="1"/>
  <c r="V34" i="228"/>
  <c r="V32" i="228"/>
  <c r="U31" i="228"/>
  <c r="U30" i="228"/>
  <c r="R31" i="228"/>
  <c r="R30" i="228"/>
  <c r="R29" i="228"/>
  <c r="T30" i="228"/>
  <c r="S30" i="228"/>
  <c r="N30" i="228"/>
  <c r="M30" i="228"/>
  <c r="L30" i="228"/>
  <c r="K30" i="228"/>
  <c r="J30" i="228"/>
  <c r="I30" i="228"/>
  <c r="H30" i="228"/>
  <c r="E30" i="228"/>
  <c r="D30" i="228"/>
  <c r="C30" i="228"/>
  <c r="B30" i="228"/>
  <c r="Q29" i="228"/>
  <c r="N28" i="228"/>
  <c r="M28" i="228"/>
  <c r="L28" i="228"/>
  <c r="K28" i="228"/>
  <c r="J28" i="228"/>
  <c r="J38" i="228" s="1"/>
  <c r="I28" i="228"/>
  <c r="I38" i="228" s="1"/>
  <c r="H28" i="228"/>
  <c r="E28" i="228"/>
  <c r="D28" i="228"/>
  <c r="C28" i="228"/>
  <c r="B28" i="228"/>
  <c r="X32" i="228"/>
  <c r="AB29" i="228"/>
  <c r="AA29" i="228"/>
  <c r="Z29" i="228"/>
  <c r="Y29" i="228"/>
  <c r="X29" i="228"/>
  <c r="W30" i="228"/>
  <c r="W29" i="228"/>
  <c r="V29" i="228"/>
  <c r="W28" i="228"/>
  <c r="U28" i="228"/>
  <c r="T28" i="228"/>
  <c r="S28" i="228"/>
  <c r="B27" i="228"/>
  <c r="B38" i="228" s="1"/>
  <c r="P23" i="228"/>
  <c r="W22" i="228"/>
  <c r="V22" i="228"/>
  <c r="T22" i="228"/>
  <c r="P22" i="228"/>
  <c r="O22" i="228"/>
  <c r="N22" i="228"/>
  <c r="J22" i="228"/>
  <c r="I22" i="228"/>
  <c r="F22" i="228"/>
  <c r="D22" i="228"/>
  <c r="U21" i="228"/>
  <c r="U22" i="228" s="1"/>
  <c r="N20" i="228"/>
  <c r="O20" i="228" s="1"/>
  <c r="P20" i="228" s="1"/>
  <c r="Q20" i="228" s="1"/>
  <c r="R20" i="228" s="1"/>
  <c r="S20" i="228" s="1"/>
  <c r="T20" i="228" s="1"/>
  <c r="U20" i="228" s="1"/>
  <c r="V20" i="228" s="1"/>
  <c r="W20" i="228" s="1"/>
  <c r="X20" i="228" s="1"/>
  <c r="Y20" i="228" s="1"/>
  <c r="Z20" i="228" s="1"/>
  <c r="AA20" i="228" s="1"/>
  <c r="AB20" i="228" s="1"/>
  <c r="X21" i="228"/>
  <c r="X22" i="228" s="1"/>
  <c r="X19" i="228"/>
  <c r="Y19" i="228" s="1"/>
  <c r="Z19" i="228" s="1"/>
  <c r="AA19" i="228" s="1"/>
  <c r="AB19" i="228" s="1"/>
  <c r="AB17" i="228"/>
  <c r="AA17" i="228"/>
  <c r="Z17" i="228"/>
  <c r="Y17" i="228"/>
  <c r="X17" i="228"/>
  <c r="W17" i="228"/>
  <c r="V17" i="228"/>
  <c r="U17" i="228"/>
  <c r="T17" i="228"/>
  <c r="S17" i="228"/>
  <c r="R17" i="228"/>
  <c r="Q17" i="228"/>
  <c r="Q63" i="228" s="1"/>
  <c r="P17" i="228"/>
  <c r="P63" i="228" s="1"/>
  <c r="P66" i="228" s="1"/>
  <c r="O17" i="228"/>
  <c r="N17" i="228"/>
  <c r="M17" i="228"/>
  <c r="L17" i="228"/>
  <c r="K17" i="228"/>
  <c r="J17" i="228"/>
  <c r="I17" i="228"/>
  <c r="H17" i="228"/>
  <c r="G17" i="228"/>
  <c r="F17" i="228"/>
  <c r="E17" i="228"/>
  <c r="D17" i="228"/>
  <c r="C17" i="228"/>
  <c r="B17" i="228"/>
  <c r="W14" i="228"/>
  <c r="T14" i="228"/>
  <c r="S14" i="228"/>
  <c r="W12" i="228"/>
  <c r="V12" i="228"/>
  <c r="U12" i="228"/>
  <c r="T12" i="228"/>
  <c r="R12" i="228"/>
  <c r="P12" i="228"/>
  <c r="N12" i="228"/>
  <c r="M12" i="228"/>
  <c r="W10" i="228"/>
  <c r="T10" i="228"/>
  <c r="T13" i="228" s="1"/>
  <c r="S10" i="228"/>
  <c r="S13" i="228" s="1"/>
  <c r="Q10" i="228"/>
  <c r="Q13" i="228" s="1"/>
  <c r="P10" i="228"/>
  <c r="O10" i="228"/>
  <c r="O13" i="228" s="1"/>
  <c r="N10" i="228"/>
  <c r="N13" i="228" s="1"/>
  <c r="M10" i="228"/>
  <c r="M13" i="228" s="1"/>
  <c r="L10" i="228"/>
  <c r="L13" i="228" s="1"/>
  <c r="K10" i="228"/>
  <c r="K13" i="228" s="1"/>
  <c r="J10" i="228"/>
  <c r="J13" i="228" s="1"/>
  <c r="I10" i="228"/>
  <c r="I13" i="228" s="1"/>
  <c r="H10" i="228"/>
  <c r="H13" i="228" s="1"/>
  <c r="B10" i="228"/>
  <c r="B13" i="228" s="1"/>
  <c r="U8" i="228"/>
  <c r="U14" i="228" s="1"/>
  <c r="F8" i="228"/>
  <c r="F10" i="228" s="1"/>
  <c r="F13" i="228" s="1"/>
  <c r="E8" i="228"/>
  <c r="E10" i="228" s="1"/>
  <c r="E13" i="228" s="1"/>
  <c r="D8" i="228"/>
  <c r="D10" i="228" s="1"/>
  <c r="D13" i="228" s="1"/>
  <c r="C8" i="228"/>
  <c r="C10" i="228" s="1"/>
  <c r="C13" i="228" s="1"/>
  <c r="V6" i="228"/>
  <c r="V30" i="228" s="1"/>
  <c r="V5" i="228"/>
  <c r="V4" i="228"/>
  <c r="V10" i="228" s="1"/>
  <c r="V13" i="228" s="1"/>
  <c r="G6" i="228"/>
  <c r="G30" i="228" s="1"/>
  <c r="R5" i="228"/>
  <c r="R4" i="228"/>
  <c r="G4" i="228"/>
  <c r="X5" i="228"/>
  <c r="Y5" i="228" s="1"/>
  <c r="X4" i="228"/>
  <c r="Y4" i="228" s="1"/>
  <c r="N3" i="228"/>
  <c r="O3" i="228" s="1"/>
  <c r="J3" i="228"/>
  <c r="I3" i="228" s="1"/>
  <c r="I86" i="228" s="1"/>
  <c r="W172" i="227"/>
  <c r="U172" i="227"/>
  <c r="T172" i="227"/>
  <c r="S172" i="227"/>
  <c r="M171" i="227"/>
  <c r="L171" i="227"/>
  <c r="K171" i="227"/>
  <c r="G171" i="227"/>
  <c r="F171" i="227"/>
  <c r="E171" i="227"/>
  <c r="D171" i="227"/>
  <c r="C171" i="227"/>
  <c r="B171" i="227"/>
  <c r="T166" i="227"/>
  <c r="S166" i="227"/>
  <c r="M164" i="227"/>
  <c r="L164" i="227"/>
  <c r="K164" i="227"/>
  <c r="G164" i="227"/>
  <c r="F164" i="227"/>
  <c r="E164" i="227"/>
  <c r="D164" i="227"/>
  <c r="C164" i="227"/>
  <c r="B164" i="227"/>
  <c r="U160" i="227"/>
  <c r="V160" i="227" s="1"/>
  <c r="W160" i="227" s="1"/>
  <c r="X160" i="227" s="1"/>
  <c r="Y160" i="227" s="1"/>
  <c r="Z160" i="227" s="1"/>
  <c r="AA160" i="227" s="1"/>
  <c r="AB160" i="227" s="1"/>
  <c r="S160" i="227"/>
  <c r="T160" i="227" s="1"/>
  <c r="S153" i="227"/>
  <c r="T153" i="227" s="1"/>
  <c r="U153" i="227" s="1"/>
  <c r="V153" i="227" s="1"/>
  <c r="W153" i="227" s="1"/>
  <c r="X153" i="227" s="1"/>
  <c r="Y153" i="227" s="1"/>
  <c r="Z153" i="227" s="1"/>
  <c r="AA153" i="227" s="1"/>
  <c r="AB153" i="227" s="1"/>
  <c r="M150" i="227"/>
  <c r="L150" i="227"/>
  <c r="K150" i="227"/>
  <c r="G150" i="227"/>
  <c r="F150" i="227"/>
  <c r="E150" i="227"/>
  <c r="D150" i="227"/>
  <c r="C150" i="227"/>
  <c r="B150" i="227"/>
  <c r="C141" i="227"/>
  <c r="AB135" i="227"/>
  <c r="AA135" i="227"/>
  <c r="Z135" i="227"/>
  <c r="Y135" i="227"/>
  <c r="X135" i="227"/>
  <c r="W135" i="227"/>
  <c r="V135" i="227"/>
  <c r="U135" i="227"/>
  <c r="T135" i="227"/>
  <c r="S135" i="227"/>
  <c r="R135" i="227"/>
  <c r="Q135" i="227"/>
  <c r="P131" i="227"/>
  <c r="P132" i="227" s="1"/>
  <c r="N123" i="227"/>
  <c r="N124" i="227" s="1"/>
  <c r="N125" i="227" s="1"/>
  <c r="O123" i="227" s="1"/>
  <c r="N119" i="227"/>
  <c r="N114" i="227"/>
  <c r="N113" i="227"/>
  <c r="S105" i="227"/>
  <c r="R105" i="227"/>
  <c r="Q105" i="227"/>
  <c r="P105" i="227"/>
  <c r="O105" i="227"/>
  <c r="N105" i="227"/>
  <c r="M105" i="227"/>
  <c r="L105" i="227"/>
  <c r="K105" i="227"/>
  <c r="J105" i="227"/>
  <c r="I105" i="227"/>
  <c r="H105" i="227"/>
  <c r="G105" i="227"/>
  <c r="F105" i="227"/>
  <c r="E105" i="227"/>
  <c r="D105" i="227"/>
  <c r="C105" i="227"/>
  <c r="B105" i="227"/>
  <c r="W98" i="227"/>
  <c r="U98" i="227"/>
  <c r="T98" i="227"/>
  <c r="S98" i="227"/>
  <c r="Q98" i="227"/>
  <c r="P98" i="227"/>
  <c r="O98" i="227"/>
  <c r="N98" i="227"/>
  <c r="M98" i="227"/>
  <c r="L98" i="227"/>
  <c r="K98" i="227"/>
  <c r="J98" i="227"/>
  <c r="I98" i="227"/>
  <c r="H98" i="227"/>
  <c r="G98" i="227"/>
  <c r="F98" i="227"/>
  <c r="E98" i="227"/>
  <c r="D98" i="227"/>
  <c r="C98" i="227"/>
  <c r="B98" i="227"/>
  <c r="M94" i="227"/>
  <c r="L94" i="227"/>
  <c r="K94" i="227"/>
  <c r="J94" i="227"/>
  <c r="I94" i="227"/>
  <c r="H94" i="227"/>
  <c r="W92" i="227"/>
  <c r="V92" i="227"/>
  <c r="U92" i="227"/>
  <c r="W91" i="227"/>
  <c r="U91" i="227"/>
  <c r="T91" i="227"/>
  <c r="S91" i="227"/>
  <c r="R91" i="227"/>
  <c r="Q91" i="227"/>
  <c r="P91" i="227"/>
  <c r="M91" i="227"/>
  <c r="L91" i="227"/>
  <c r="K91" i="227"/>
  <c r="J91" i="227"/>
  <c r="I91" i="227"/>
  <c r="AB90" i="227"/>
  <c r="AA90" i="227"/>
  <c r="Z90" i="227"/>
  <c r="Y90" i="227"/>
  <c r="X90" i="227"/>
  <c r="W90" i="227"/>
  <c r="V90" i="227"/>
  <c r="U90" i="227"/>
  <c r="T90" i="227"/>
  <c r="S90" i="227"/>
  <c r="R90" i="227"/>
  <c r="Q90" i="227"/>
  <c r="P90" i="227"/>
  <c r="O90" i="227"/>
  <c r="N90" i="227"/>
  <c r="M90" i="227"/>
  <c r="L90" i="227"/>
  <c r="K90" i="227"/>
  <c r="J90" i="227"/>
  <c r="I90" i="227"/>
  <c r="H90" i="227"/>
  <c r="W89" i="227"/>
  <c r="U89" i="227"/>
  <c r="T89" i="227"/>
  <c r="S89" i="227"/>
  <c r="R89" i="227"/>
  <c r="Q89" i="227"/>
  <c r="P89" i="227"/>
  <c r="O89" i="227"/>
  <c r="N89" i="227"/>
  <c r="M89" i="227"/>
  <c r="L89" i="227"/>
  <c r="K89" i="227"/>
  <c r="J89" i="227"/>
  <c r="I89" i="227"/>
  <c r="H89" i="227"/>
  <c r="E91" i="227"/>
  <c r="G90" i="227"/>
  <c r="F90" i="227"/>
  <c r="E90" i="227"/>
  <c r="D90" i="227"/>
  <c r="C90" i="227"/>
  <c r="B90" i="227"/>
  <c r="G89" i="227"/>
  <c r="F89" i="227"/>
  <c r="E89" i="227"/>
  <c r="D89" i="227"/>
  <c r="C89" i="227"/>
  <c r="B89" i="227"/>
  <c r="M88" i="227"/>
  <c r="L88" i="227"/>
  <c r="K88" i="227"/>
  <c r="J88" i="227"/>
  <c r="I88" i="227"/>
  <c r="M86" i="227"/>
  <c r="L86" i="227"/>
  <c r="K86" i="227"/>
  <c r="G86" i="227"/>
  <c r="F86" i="227"/>
  <c r="E86" i="227"/>
  <c r="D86" i="227"/>
  <c r="C86" i="227"/>
  <c r="B86" i="227"/>
  <c r="I82" i="227"/>
  <c r="M79" i="227"/>
  <c r="L79" i="227"/>
  <c r="K79" i="227"/>
  <c r="J79" i="227"/>
  <c r="I79" i="227"/>
  <c r="H79" i="227"/>
  <c r="G79" i="227"/>
  <c r="C79" i="227"/>
  <c r="B79" i="227"/>
  <c r="N78" i="227"/>
  <c r="N79" i="227" s="1"/>
  <c r="F78" i="227"/>
  <c r="F79" i="227" s="1"/>
  <c r="E78" i="227"/>
  <c r="D78" i="227"/>
  <c r="D79" i="227" s="1"/>
  <c r="S77" i="227"/>
  <c r="E76" i="227"/>
  <c r="N74" i="227"/>
  <c r="O74" i="227" s="1"/>
  <c r="P74" i="227" s="1"/>
  <c r="Q74" i="227" s="1"/>
  <c r="R74" i="227" s="1"/>
  <c r="S74" i="227" s="1"/>
  <c r="T74" i="227" s="1"/>
  <c r="U74" i="227" s="1"/>
  <c r="V74" i="227" s="1"/>
  <c r="W74" i="227" s="1"/>
  <c r="X74" i="227" s="1"/>
  <c r="Y74" i="227" s="1"/>
  <c r="Z74" i="227" s="1"/>
  <c r="AA74" i="227" s="1"/>
  <c r="AB74" i="227" s="1"/>
  <c r="C72" i="227"/>
  <c r="C80" i="227" s="1"/>
  <c r="N70" i="227"/>
  <c r="O70" i="227" s="1"/>
  <c r="P70" i="227" s="1"/>
  <c r="Q70" i="227" s="1"/>
  <c r="R70" i="227" s="1"/>
  <c r="S70" i="227" s="1"/>
  <c r="T70" i="227" s="1"/>
  <c r="U70" i="227" s="1"/>
  <c r="V70" i="227" s="1"/>
  <c r="W70" i="227" s="1"/>
  <c r="X70" i="227" s="1"/>
  <c r="Y70" i="227" s="1"/>
  <c r="Z70" i="227" s="1"/>
  <c r="AA70" i="227" s="1"/>
  <c r="AB70" i="227" s="1"/>
  <c r="N69" i="227"/>
  <c r="O69" i="227" s="1"/>
  <c r="P69" i="227" s="1"/>
  <c r="Q69" i="227" s="1"/>
  <c r="R69" i="227" s="1"/>
  <c r="S69" i="227" s="1"/>
  <c r="T69" i="227" s="1"/>
  <c r="U69" i="227" s="1"/>
  <c r="V69" i="227" s="1"/>
  <c r="W69" i="227" s="1"/>
  <c r="X69" i="227" s="1"/>
  <c r="Y69" i="227" s="1"/>
  <c r="Z69" i="227" s="1"/>
  <c r="AA69" i="227" s="1"/>
  <c r="AB69" i="227" s="1"/>
  <c r="Q66" i="227"/>
  <c r="P66" i="227"/>
  <c r="O66" i="227"/>
  <c r="N66" i="227"/>
  <c r="M66" i="227"/>
  <c r="L66" i="227"/>
  <c r="K66" i="227"/>
  <c r="J66" i="227"/>
  <c r="I66" i="227"/>
  <c r="H66" i="227"/>
  <c r="G66" i="227"/>
  <c r="B66" i="227"/>
  <c r="W64" i="227"/>
  <c r="U64" i="227"/>
  <c r="T64" i="227"/>
  <c r="S64" i="227"/>
  <c r="Q64" i="227"/>
  <c r="P64" i="227"/>
  <c r="O64" i="227"/>
  <c r="N64" i="227"/>
  <c r="M64" i="227"/>
  <c r="L64" i="227"/>
  <c r="K64" i="227"/>
  <c r="J64" i="227"/>
  <c r="I64" i="227"/>
  <c r="H64" i="227"/>
  <c r="G64" i="227"/>
  <c r="F64" i="227"/>
  <c r="E64" i="227"/>
  <c r="D64" i="227"/>
  <c r="C64" i="227"/>
  <c r="B64" i="227"/>
  <c r="M63" i="227"/>
  <c r="L63" i="227"/>
  <c r="K63" i="227"/>
  <c r="J63" i="227"/>
  <c r="I63" i="227"/>
  <c r="H63" i="227"/>
  <c r="G63" i="227"/>
  <c r="G65" i="227" s="1"/>
  <c r="F63" i="227"/>
  <c r="E63" i="227"/>
  <c r="D63" i="227"/>
  <c r="C63" i="227"/>
  <c r="B63" i="227"/>
  <c r="B65" i="227" s="1"/>
  <c r="T62" i="227"/>
  <c r="S62" i="227"/>
  <c r="R62" i="227"/>
  <c r="Q62" i="227"/>
  <c r="P62" i="227"/>
  <c r="O62" i="227"/>
  <c r="N62" i="227"/>
  <c r="M62" i="227"/>
  <c r="L62" i="227"/>
  <c r="L65" i="227" s="1"/>
  <c r="K62" i="227"/>
  <c r="J62" i="227"/>
  <c r="J65" i="227" s="1"/>
  <c r="I62" i="227"/>
  <c r="H62" i="227"/>
  <c r="H65" i="227" s="1"/>
  <c r="O59" i="227"/>
  <c r="N59" i="227"/>
  <c r="M59" i="227"/>
  <c r="L59" i="227"/>
  <c r="K59" i="227"/>
  <c r="J59" i="227"/>
  <c r="I59" i="227"/>
  <c r="H59" i="227"/>
  <c r="G59" i="227"/>
  <c r="F59" i="227"/>
  <c r="E59" i="227"/>
  <c r="D59" i="227"/>
  <c r="C59" i="227"/>
  <c r="B59" i="227"/>
  <c r="O57" i="227"/>
  <c r="O127" i="227" s="1"/>
  <c r="N57" i="227"/>
  <c r="N127" i="227" s="1"/>
  <c r="M57" i="227"/>
  <c r="L57" i="227"/>
  <c r="K57" i="227"/>
  <c r="J57" i="227"/>
  <c r="J58" i="227" s="1"/>
  <c r="I57" i="227"/>
  <c r="H57" i="227"/>
  <c r="G57" i="227"/>
  <c r="G58" i="227" s="1"/>
  <c r="F57" i="227"/>
  <c r="F58" i="227" s="1"/>
  <c r="E57" i="227"/>
  <c r="D57" i="227"/>
  <c r="C57" i="227"/>
  <c r="C58" i="227" s="1"/>
  <c r="B57" i="227"/>
  <c r="B58" i="227" s="1"/>
  <c r="P56" i="227"/>
  <c r="O56" i="227"/>
  <c r="N56" i="227"/>
  <c r="M56" i="227"/>
  <c r="L56" i="227"/>
  <c r="K56" i="227"/>
  <c r="J56" i="227"/>
  <c r="I56" i="227"/>
  <c r="H56" i="227"/>
  <c r="I50" i="227"/>
  <c r="J41" i="227" s="1"/>
  <c r="V49" i="227"/>
  <c r="L49" i="227"/>
  <c r="H49" i="227"/>
  <c r="G49" i="227"/>
  <c r="F49" i="227"/>
  <c r="E49" i="227"/>
  <c r="D49" i="227"/>
  <c r="T48" i="227"/>
  <c r="S48" i="227"/>
  <c r="T45" i="227"/>
  <c r="T92" i="227" s="1"/>
  <c r="S45" i="227"/>
  <c r="S92" i="227" s="1"/>
  <c r="R45" i="227"/>
  <c r="R92" i="227" s="1"/>
  <c r="Q45" i="227"/>
  <c r="Q92" i="227" s="1"/>
  <c r="P45" i="227"/>
  <c r="P92" i="227" s="1"/>
  <c r="O45" i="227"/>
  <c r="O92" i="227" s="1"/>
  <c r="N45" i="227"/>
  <c r="N92" i="227" s="1"/>
  <c r="M45" i="227"/>
  <c r="M92" i="227" s="1"/>
  <c r="L45" i="227"/>
  <c r="L92" i="227" s="1"/>
  <c r="K45" i="227"/>
  <c r="K92" i="227" s="1"/>
  <c r="J45" i="227"/>
  <c r="J92" i="227" s="1"/>
  <c r="I45" i="227"/>
  <c r="I92" i="227" s="1"/>
  <c r="H45" i="227"/>
  <c r="H92" i="227" s="1"/>
  <c r="G45" i="227"/>
  <c r="G92" i="227" s="1"/>
  <c r="F45" i="227"/>
  <c r="F92" i="227" s="1"/>
  <c r="E45" i="227"/>
  <c r="E92" i="227" s="1"/>
  <c r="D45" i="227"/>
  <c r="D92" i="227" s="1"/>
  <c r="C45" i="227"/>
  <c r="C92" i="227" s="1"/>
  <c r="B45" i="227"/>
  <c r="B92" i="227" s="1"/>
  <c r="V44" i="227"/>
  <c r="V91" i="227" s="1"/>
  <c r="O44" i="227"/>
  <c r="N44" i="227"/>
  <c r="N91" i="227" s="1"/>
  <c r="H44" i="227"/>
  <c r="H91" i="227" s="1"/>
  <c r="G44" i="227"/>
  <c r="G91" i="227" s="1"/>
  <c r="F44" i="227"/>
  <c r="F91" i="227" s="1"/>
  <c r="E44" i="227"/>
  <c r="D44" i="227"/>
  <c r="D91" i="227" s="1"/>
  <c r="C44" i="227"/>
  <c r="C91" i="227" s="1"/>
  <c r="B44" i="227"/>
  <c r="B91" i="227" s="1"/>
  <c r="V42" i="227"/>
  <c r="R42" i="227"/>
  <c r="B41" i="227"/>
  <c r="V37" i="227"/>
  <c r="S37" i="227"/>
  <c r="R37" i="227"/>
  <c r="Q37" i="227"/>
  <c r="N37" i="227"/>
  <c r="N36" i="227"/>
  <c r="L37" i="227"/>
  <c r="H37" i="227"/>
  <c r="G37" i="227"/>
  <c r="F37" i="227"/>
  <c r="F38" i="227" s="1"/>
  <c r="E37" i="227"/>
  <c r="D37" i="227"/>
  <c r="X34" i="227"/>
  <c r="X45" i="227" s="1"/>
  <c r="X92" i="227" s="1"/>
  <c r="V34" i="227"/>
  <c r="V32" i="227"/>
  <c r="W30" i="227"/>
  <c r="U30" i="227"/>
  <c r="T30" i="227"/>
  <c r="S30" i="227"/>
  <c r="R30" i="227"/>
  <c r="O30" i="227"/>
  <c r="N30" i="227"/>
  <c r="M30" i="227"/>
  <c r="L30" i="227"/>
  <c r="K30" i="227"/>
  <c r="J30" i="227"/>
  <c r="I30" i="227"/>
  <c r="H30" i="227"/>
  <c r="E30" i="227"/>
  <c r="D30" i="227"/>
  <c r="C30" i="227"/>
  <c r="B30" i="227"/>
  <c r="R29" i="227"/>
  <c r="Q29" i="227"/>
  <c r="P29" i="227"/>
  <c r="T28" i="227"/>
  <c r="S28" i="227"/>
  <c r="Q28" i="227"/>
  <c r="P28" i="227"/>
  <c r="O28" i="227"/>
  <c r="N28" i="227"/>
  <c r="M28" i="227"/>
  <c r="L28" i="227"/>
  <c r="K28" i="227"/>
  <c r="J28" i="227"/>
  <c r="J38" i="227" s="1"/>
  <c r="I28" i="227"/>
  <c r="H28" i="227"/>
  <c r="E28" i="227"/>
  <c r="D28" i="227"/>
  <c r="D38" i="227" s="1"/>
  <c r="C28" i="227"/>
  <c r="B28" i="227"/>
  <c r="X32" i="227"/>
  <c r="Y32" i="227" s="1"/>
  <c r="AB29" i="227"/>
  <c r="AA29" i="227"/>
  <c r="Z29" i="227"/>
  <c r="Y29" i="227"/>
  <c r="X29" i="227"/>
  <c r="W29" i="227"/>
  <c r="V29" i="227"/>
  <c r="U29" i="227"/>
  <c r="W28" i="227"/>
  <c r="U28" i="227"/>
  <c r="B27" i="227"/>
  <c r="B38" i="227" s="1"/>
  <c r="P23" i="227"/>
  <c r="Q23" i="227" s="1"/>
  <c r="O22" i="227"/>
  <c r="N22" i="227"/>
  <c r="I22" i="227"/>
  <c r="R20" i="227"/>
  <c r="S20" i="227" s="1"/>
  <c r="T20" i="227" s="1"/>
  <c r="U20" i="227" s="1"/>
  <c r="V20" i="227" s="1"/>
  <c r="W20" i="227" s="1"/>
  <c r="X20" i="227" s="1"/>
  <c r="Y20" i="227" s="1"/>
  <c r="Z20" i="227" s="1"/>
  <c r="AA20" i="227" s="1"/>
  <c r="AB20" i="227" s="1"/>
  <c r="O20" i="227"/>
  <c r="N20" i="227"/>
  <c r="X21" i="227"/>
  <c r="Y21" i="227" s="1"/>
  <c r="Z21" i="227" s="1"/>
  <c r="AA21" i="227" s="1"/>
  <c r="AB21" i="227" s="1"/>
  <c r="X19" i="227"/>
  <c r="Y19" i="227" s="1"/>
  <c r="Z19" i="227" s="1"/>
  <c r="AA19" i="227" s="1"/>
  <c r="AB19" i="227" s="1"/>
  <c r="N19" i="227"/>
  <c r="AB17" i="227"/>
  <c r="AA17" i="227"/>
  <c r="Z17" i="227"/>
  <c r="Y17" i="227"/>
  <c r="X17" i="227"/>
  <c r="W17" i="227"/>
  <c r="V17" i="227"/>
  <c r="U17" i="227"/>
  <c r="T17" i="227"/>
  <c r="S17" i="227"/>
  <c r="R17" i="227"/>
  <c r="Q17" i="227"/>
  <c r="P17" i="227"/>
  <c r="O17" i="227"/>
  <c r="O63" i="227" s="1"/>
  <c r="N17" i="227"/>
  <c r="N63" i="227" s="1"/>
  <c r="M17" i="227"/>
  <c r="L17" i="227"/>
  <c r="K17" i="227"/>
  <c r="J17" i="227"/>
  <c r="I17" i="227"/>
  <c r="W14" i="227"/>
  <c r="W15" i="227" s="1"/>
  <c r="T14" i="227"/>
  <c r="S14" i="227"/>
  <c r="S15" i="227" s="1"/>
  <c r="V12" i="227"/>
  <c r="T12" i="227"/>
  <c r="S12" i="227"/>
  <c r="O12" i="227"/>
  <c r="N12" i="227"/>
  <c r="M12" i="227"/>
  <c r="L12" i="227"/>
  <c r="K12" i="227"/>
  <c r="H12" i="227"/>
  <c r="G12" i="227"/>
  <c r="W10" i="227"/>
  <c r="W13" i="227" s="1"/>
  <c r="T10" i="227"/>
  <c r="S10" i="227"/>
  <c r="S13" i="227" s="1"/>
  <c r="Q10" i="227"/>
  <c r="Q13" i="227" s="1"/>
  <c r="P10" i="227"/>
  <c r="P13" i="227" s="1"/>
  <c r="O10" i="227"/>
  <c r="O13" i="227" s="1"/>
  <c r="N10" i="227"/>
  <c r="N13" i="227" s="1"/>
  <c r="M10" i="227"/>
  <c r="M13" i="227" s="1"/>
  <c r="L10" i="227"/>
  <c r="L13" i="227" s="1"/>
  <c r="K10" i="227"/>
  <c r="K13" i="227" s="1"/>
  <c r="J10" i="227"/>
  <c r="J13" i="227" s="1"/>
  <c r="H10" i="227"/>
  <c r="G10" i="227"/>
  <c r="C10" i="227"/>
  <c r="C13" i="227" s="1"/>
  <c r="B10" i="227"/>
  <c r="B13" i="227" s="1"/>
  <c r="I9" i="227"/>
  <c r="I10" i="227" s="1"/>
  <c r="I13" i="227" s="1"/>
  <c r="V8" i="227"/>
  <c r="U8" i="227"/>
  <c r="U166" i="227" s="1"/>
  <c r="R8" i="227"/>
  <c r="F8" i="227"/>
  <c r="F66" i="227" s="1"/>
  <c r="F65" i="227" s="1"/>
  <c r="E8" i="227"/>
  <c r="E66" i="227" s="1"/>
  <c r="D8" i="227"/>
  <c r="D66" i="227" s="1"/>
  <c r="C8" i="227"/>
  <c r="C66" i="227" s="1"/>
  <c r="V7" i="227"/>
  <c r="V6" i="227"/>
  <c r="V30" i="227" s="1"/>
  <c r="V5" i="227"/>
  <c r="V4" i="227"/>
  <c r="V28" i="227" s="1"/>
  <c r="R4" i="227"/>
  <c r="R10" i="227" s="1"/>
  <c r="R13" i="227" s="1"/>
  <c r="X5" i="227"/>
  <c r="Y5" i="227" s="1"/>
  <c r="X4" i="227"/>
  <c r="X28" i="227" s="1"/>
  <c r="N3" i="227"/>
  <c r="O3" i="227" s="1"/>
  <c r="J3" i="227"/>
  <c r="I3" i="227" s="1"/>
  <c r="H3" i="227" s="1"/>
  <c r="CY191" i="226"/>
  <c r="CX191" i="226"/>
  <c r="CW191" i="226"/>
  <c r="CV191" i="226"/>
  <c r="CS191" i="226"/>
  <c r="CR191" i="226"/>
  <c r="CU190" i="226"/>
  <c r="CU189" i="226"/>
  <c r="CU188" i="226"/>
  <c r="CU187" i="226"/>
  <c r="BY183" i="226"/>
  <c r="BX183" i="226"/>
  <c r="BW183" i="226"/>
  <c r="BY182" i="226"/>
  <c r="BX182" i="226"/>
  <c r="BW182" i="226"/>
  <c r="BY178" i="226"/>
  <c r="BX178" i="226"/>
  <c r="BW178" i="226"/>
  <c r="BT178" i="226"/>
  <c r="BY170" i="226" s="1"/>
  <c r="BS178" i="226"/>
  <c r="BX170" i="226" s="1"/>
  <c r="BR178" i="226"/>
  <c r="CZ177" i="226"/>
  <c r="CZ176" i="226"/>
  <c r="CZ175" i="226"/>
  <c r="CZ174" i="226"/>
  <c r="CZ173" i="226"/>
  <c r="CZ172" i="226"/>
  <c r="BX177" i="226"/>
  <c r="BW177" i="226"/>
  <c r="BZ174" i="226"/>
  <c r="BY174" i="226"/>
  <c r="BX174" i="226"/>
  <c r="BW174" i="226"/>
  <c r="CX171" i="226"/>
  <c r="CW171" i="226"/>
  <c r="CV171" i="226"/>
  <c r="BZ171" i="226"/>
  <c r="BY171" i="226"/>
  <c r="BX171" i="226"/>
  <c r="BW171" i="226"/>
  <c r="BW170" i="226"/>
  <c r="BY167" i="226"/>
  <c r="BX167" i="226"/>
  <c r="BW167" i="226"/>
  <c r="BY166" i="226"/>
  <c r="BX166" i="226"/>
  <c r="BW166" i="226"/>
  <c r="BY162" i="226"/>
  <c r="BX162" i="226"/>
  <c r="BW162" i="226"/>
  <c r="BT162" i="226"/>
  <c r="BY153" i="226" s="1"/>
  <c r="BS162" i="226"/>
  <c r="BX153" i="226" s="1"/>
  <c r="BR162" i="226"/>
  <c r="CZ160" i="226"/>
  <c r="CZ159" i="226"/>
  <c r="CZ158" i="226"/>
  <c r="CZ157" i="226"/>
  <c r="CZ156" i="226"/>
  <c r="CZ155" i="226"/>
  <c r="BX160" i="226"/>
  <c r="BW160" i="226"/>
  <c r="BZ157" i="226"/>
  <c r="BX157" i="226"/>
  <c r="BW157" i="226"/>
  <c r="BZ154" i="226"/>
  <c r="BY154" i="226"/>
  <c r="BX154" i="226"/>
  <c r="BW154" i="226"/>
  <c r="BW153" i="226"/>
  <c r="BY150" i="226"/>
  <c r="BX150" i="226"/>
  <c r="BW150" i="226"/>
  <c r="BW149" i="226"/>
  <c r="CZ144" i="226"/>
  <c r="CZ143" i="226"/>
  <c r="CZ142" i="226"/>
  <c r="CZ141" i="226"/>
  <c r="CZ140" i="226"/>
  <c r="CZ139" i="226"/>
  <c r="CX138" i="226"/>
  <c r="CW138" i="226"/>
  <c r="CV138" i="226"/>
  <c r="BY134" i="226"/>
  <c r="BX134" i="226"/>
  <c r="BW134" i="226"/>
  <c r="BY133" i="226"/>
  <c r="BX133" i="226"/>
  <c r="BY129" i="226"/>
  <c r="BX129" i="226"/>
  <c r="BW129" i="226"/>
  <c r="BT129" i="226"/>
  <c r="BY121" i="226" s="1"/>
  <c r="BS129" i="226"/>
  <c r="BX121" i="226" s="1"/>
  <c r="BR129" i="226"/>
  <c r="BW121" i="226" s="1"/>
  <c r="CZ128" i="226"/>
  <c r="CZ127" i="226"/>
  <c r="CZ126" i="226"/>
  <c r="CZ125" i="226"/>
  <c r="CZ124" i="226"/>
  <c r="CZ123" i="226"/>
  <c r="BZ126" i="226"/>
  <c r="BZ125" i="226"/>
  <c r="BY125" i="226"/>
  <c r="BW125" i="226"/>
  <c r="BW124" i="226"/>
  <c r="CX122" i="226"/>
  <c r="CW122" i="226"/>
  <c r="CV122" i="226"/>
  <c r="BZ122" i="226"/>
  <c r="BY122" i="226"/>
  <c r="BX122" i="226"/>
  <c r="BW122" i="226"/>
  <c r="AY58" i="226"/>
  <c r="AX58" i="226"/>
  <c r="BE56" i="226"/>
  <c r="BD56" i="226"/>
  <c r="BC56" i="226"/>
  <c r="CS54" i="226"/>
  <c r="CX54" i="226" s="1"/>
  <c r="CR54" i="226"/>
  <c r="CW54" i="226" s="1"/>
  <c r="CQ54" i="226"/>
  <c r="CV54" i="226" s="1"/>
  <c r="CN54" i="226"/>
  <c r="CM54" i="226"/>
  <c r="CL54" i="226"/>
  <c r="CI54" i="226"/>
  <c r="CH54" i="226"/>
  <c r="CG54" i="226"/>
  <c r="CD54" i="226"/>
  <c r="CC54" i="226"/>
  <c r="CB54" i="226"/>
  <c r="BY54" i="226"/>
  <c r="BX54" i="226"/>
  <c r="BW54" i="226"/>
  <c r="BT54" i="226"/>
  <c r="BS54" i="226"/>
  <c r="BR54" i="226"/>
  <c r="BO54" i="226"/>
  <c r="BN54" i="226"/>
  <c r="BM54" i="226"/>
  <c r="BJ54" i="226"/>
  <c r="BI54" i="226"/>
  <c r="BH54" i="226"/>
  <c r="BE54" i="226"/>
  <c r="BD54" i="226"/>
  <c r="BC54" i="226"/>
  <c r="BY52" i="226"/>
  <c r="BX52" i="226"/>
  <c r="BW52" i="226"/>
  <c r="BT52" i="226"/>
  <c r="BS52" i="226"/>
  <c r="BR52" i="226"/>
  <c r="BO52" i="226"/>
  <c r="BN52" i="226"/>
  <c r="BM52" i="226"/>
  <c r="BJ52" i="226"/>
  <c r="BI52" i="226"/>
  <c r="BH52" i="226"/>
  <c r="BC52" i="226"/>
  <c r="L52" i="226"/>
  <c r="K52" i="226"/>
  <c r="J52" i="226"/>
  <c r="I52" i="226"/>
  <c r="CS50" i="226"/>
  <c r="CR50" i="226"/>
  <c r="CQ50" i="226"/>
  <c r="CV50" i="226" s="1"/>
  <c r="CN50" i="226"/>
  <c r="CM50" i="226"/>
  <c r="CL50" i="226"/>
  <c r="CI50" i="226"/>
  <c r="CH50" i="226"/>
  <c r="CG50" i="226"/>
  <c r="CD50" i="226"/>
  <c r="CC50" i="226"/>
  <c r="CB50" i="226"/>
  <c r="BY50" i="226"/>
  <c r="BX50" i="226"/>
  <c r="BW50" i="226"/>
  <c r="BT50" i="226"/>
  <c r="BS50" i="226"/>
  <c r="BR50" i="226"/>
  <c r="BO50" i="226"/>
  <c r="BN50" i="226"/>
  <c r="BM50" i="226"/>
  <c r="BJ50" i="226"/>
  <c r="BI50" i="226"/>
  <c r="BH50" i="226"/>
  <c r="BE50" i="226"/>
  <c r="BD50" i="226"/>
  <c r="BC50" i="226"/>
  <c r="J50" i="226"/>
  <c r="CS48" i="226"/>
  <c r="CX48" i="226" s="1"/>
  <c r="CR48" i="226"/>
  <c r="CW48" i="226" s="1"/>
  <c r="CQ48" i="226"/>
  <c r="CV48" i="226" s="1"/>
  <c r="CN48" i="226"/>
  <c r="CM48" i="226"/>
  <c r="CL48" i="226"/>
  <c r="CI48" i="226"/>
  <c r="CH48" i="226"/>
  <c r="CG48" i="226"/>
  <c r="CD48" i="226"/>
  <c r="CC48" i="226"/>
  <c r="CB48" i="226"/>
  <c r="BY48" i="226"/>
  <c r="BX48" i="226"/>
  <c r="BW48" i="226"/>
  <c r="BT48" i="226"/>
  <c r="BS48" i="226"/>
  <c r="BR48" i="226"/>
  <c r="BO48" i="226"/>
  <c r="BN48" i="226"/>
  <c r="BM48" i="226"/>
  <c r="BJ48" i="226"/>
  <c r="BI48" i="226"/>
  <c r="BH48" i="226"/>
  <c r="BC48" i="226"/>
  <c r="AZ56" i="226"/>
  <c r="AY56" i="226"/>
  <c r="BD57" i="226" s="1"/>
  <c r="AX56" i="226"/>
  <c r="AU56" i="226"/>
  <c r="AT56" i="226"/>
  <c r="AS56" i="226"/>
  <c r="AP56" i="226"/>
  <c r="AO56" i="226"/>
  <c r="AK56" i="226"/>
  <c r="AJ56" i="226"/>
  <c r="AF56" i="226"/>
  <c r="AE56" i="226"/>
  <c r="AD56" i="226"/>
  <c r="AZ54" i="226"/>
  <c r="AY54" i="226"/>
  <c r="AX54" i="226"/>
  <c r="AJ54" i="226"/>
  <c r="AF54" i="226"/>
  <c r="AE54" i="226"/>
  <c r="AD54" i="226"/>
  <c r="AZ52" i="226"/>
  <c r="AY52" i="226"/>
  <c r="AX52" i="226"/>
  <c r="AU52" i="226"/>
  <c r="AT52" i="226"/>
  <c r="AS52" i="226"/>
  <c r="AP52" i="226"/>
  <c r="AO52" i="226"/>
  <c r="AK52" i="226"/>
  <c r="AJ52" i="226"/>
  <c r="AF52" i="226"/>
  <c r="AE52" i="226"/>
  <c r="AD52" i="226"/>
  <c r="AZ50" i="226"/>
  <c r="AY50" i="226"/>
  <c r="AX50" i="226"/>
  <c r="AU50" i="226"/>
  <c r="AT50" i="226"/>
  <c r="AS50" i="226"/>
  <c r="AP50" i="226"/>
  <c r="AO50" i="226"/>
  <c r="AK50" i="226"/>
  <c r="AJ50" i="226"/>
  <c r="AF50" i="226"/>
  <c r="AE50" i="226"/>
  <c r="AD50" i="226"/>
  <c r="AZ48" i="226"/>
  <c r="AY48" i="226"/>
  <c r="AX48" i="226"/>
  <c r="AU48" i="226"/>
  <c r="AT48" i="226"/>
  <c r="AS48" i="226"/>
  <c r="AP48" i="226"/>
  <c r="AO48" i="226"/>
  <c r="AK48" i="226"/>
  <c r="AJ48" i="226"/>
  <c r="AF48" i="226"/>
  <c r="AE48" i="226"/>
  <c r="AD48" i="226"/>
  <c r="AA56" i="226"/>
  <c r="Z56" i="226"/>
  <c r="Y56" i="226"/>
  <c r="AA54" i="226"/>
  <c r="Z54" i="226"/>
  <c r="Y54" i="226"/>
  <c r="AA52" i="226"/>
  <c r="Z52" i="226"/>
  <c r="Y52" i="226"/>
  <c r="AA50" i="226"/>
  <c r="Z50" i="226"/>
  <c r="Y50" i="226"/>
  <c r="AA48" i="226"/>
  <c r="Z48" i="226"/>
  <c r="Y48" i="226"/>
  <c r="V52" i="226"/>
  <c r="U52" i="226"/>
  <c r="T52" i="226"/>
  <c r="Q52" i="226"/>
  <c r="P52" i="226"/>
  <c r="O52" i="226"/>
  <c r="V50" i="226"/>
  <c r="AA51" i="226" s="1"/>
  <c r="U50" i="226"/>
  <c r="T50" i="226"/>
  <c r="O50" i="226"/>
  <c r="V48" i="226"/>
  <c r="U48" i="226"/>
  <c r="T48" i="226"/>
  <c r="Q48" i="226"/>
  <c r="P48" i="226"/>
  <c r="O48" i="226"/>
  <c r="L48" i="226"/>
  <c r="K48" i="226"/>
  <c r="J48" i="226"/>
  <c r="I48" i="226"/>
  <c r="DJ47" i="226"/>
  <c r="DI47" i="226"/>
  <c r="AT43" i="226"/>
  <c r="AP43" i="226"/>
  <c r="AD43" i="226"/>
  <c r="Z43" i="226"/>
  <c r="K43" i="226"/>
  <c r="J43" i="226"/>
  <c r="I43" i="226"/>
  <c r="CZ41" i="226"/>
  <c r="CU41" i="226"/>
  <c r="CP41" i="226"/>
  <c r="BG41" i="226"/>
  <c r="BA41" i="226"/>
  <c r="BB41" i="226" s="1"/>
  <c r="AW41" i="226"/>
  <c r="AR41" i="226"/>
  <c r="AM41" i="226"/>
  <c r="AH41" i="226"/>
  <c r="AC41" i="226"/>
  <c r="X41" i="226"/>
  <c r="S41" i="226"/>
  <c r="N41" i="226"/>
  <c r="BF35" i="226"/>
  <c r="BF101" i="226" s="1"/>
  <c r="BF31" i="226"/>
  <c r="BF97" i="226" s="1"/>
  <c r="AV35" i="226"/>
  <c r="AV101" i="226" s="1"/>
  <c r="AV33" i="226"/>
  <c r="AV99" i="226" s="1"/>
  <c r="AV31" i="226"/>
  <c r="AV97" i="226" s="1"/>
  <c r="AV29" i="226"/>
  <c r="AV95" i="226" s="1"/>
  <c r="AN35" i="226"/>
  <c r="AN33" i="226"/>
  <c r="AN31" i="226"/>
  <c r="AS32" i="226" s="1"/>
  <c r="AN29" i="226"/>
  <c r="AI56" i="226"/>
  <c r="AI35" i="226"/>
  <c r="AI33" i="226"/>
  <c r="AI31" i="226"/>
  <c r="AI97" i="226" s="1"/>
  <c r="AI29" i="226"/>
  <c r="AI95" i="226" s="1"/>
  <c r="AG35" i="226"/>
  <c r="AG101" i="226" s="1"/>
  <c r="AG33" i="226"/>
  <c r="AG31" i="226"/>
  <c r="AG97" i="226" s="1"/>
  <c r="AG29" i="226"/>
  <c r="CS36" i="226"/>
  <c r="CR36" i="226"/>
  <c r="CQ36" i="226"/>
  <c r="CN36" i="226"/>
  <c r="CM36" i="226"/>
  <c r="CL36" i="226"/>
  <c r="CI36" i="226"/>
  <c r="CH36" i="226"/>
  <c r="CG36" i="226"/>
  <c r="CD36" i="226"/>
  <c r="CC36" i="226"/>
  <c r="CB36" i="226"/>
  <c r="BY36" i="226"/>
  <c r="BX36" i="226"/>
  <c r="BW36" i="226"/>
  <c r="BT36" i="226"/>
  <c r="BS36" i="226"/>
  <c r="BR36" i="226"/>
  <c r="BO36" i="226"/>
  <c r="BN36" i="226"/>
  <c r="BM36" i="226"/>
  <c r="BJ36" i="226"/>
  <c r="BI36" i="226"/>
  <c r="BH36" i="226"/>
  <c r="BE36" i="226"/>
  <c r="BD36" i="226"/>
  <c r="BC36" i="226"/>
  <c r="AZ36" i="226"/>
  <c r="AY36" i="226"/>
  <c r="AX36" i="226"/>
  <c r="AU36" i="226"/>
  <c r="AT36" i="226"/>
  <c r="AP36" i="226"/>
  <c r="AO36" i="226"/>
  <c r="AK36" i="226"/>
  <c r="AJ36" i="226"/>
  <c r="AF36" i="226"/>
  <c r="AE36" i="226"/>
  <c r="AD36" i="226"/>
  <c r="AA36" i="226"/>
  <c r="Z36" i="226"/>
  <c r="Y36" i="226"/>
  <c r="V36" i="226"/>
  <c r="U36" i="226"/>
  <c r="T36" i="226"/>
  <c r="Q36" i="226"/>
  <c r="P36" i="226"/>
  <c r="O36" i="226"/>
  <c r="CO35" i="226"/>
  <c r="CJ35" i="226"/>
  <c r="CJ101" i="226" s="1"/>
  <c r="CE35" i="226"/>
  <c r="BZ35" i="226"/>
  <c r="BZ101" i="226" s="1"/>
  <c r="BU35" i="226"/>
  <c r="BU101" i="226" s="1"/>
  <c r="BP35" i="226"/>
  <c r="BP101" i="226" s="1"/>
  <c r="BK35" i="226"/>
  <c r="BK101" i="226" s="1"/>
  <c r="BA35" i="226"/>
  <c r="BA101" i="226" s="1"/>
  <c r="AB35" i="226"/>
  <c r="W35" i="226"/>
  <c r="W33" i="226"/>
  <c r="W99" i="226" s="1"/>
  <c r="W31" i="226"/>
  <c r="W29" i="226"/>
  <c r="W95" i="226" s="1"/>
  <c r="R35" i="226"/>
  <c r="R33" i="226"/>
  <c r="R99" i="226" s="1"/>
  <c r="R31" i="226"/>
  <c r="R97" i="226" s="1"/>
  <c r="R29" i="226"/>
  <c r="R95" i="226" s="1"/>
  <c r="M35" i="226"/>
  <c r="M101" i="226" s="1"/>
  <c r="BY34" i="226"/>
  <c r="BX34" i="226"/>
  <c r="BW34" i="226"/>
  <c r="BT34" i="226"/>
  <c r="BS34" i="226"/>
  <c r="BR34" i="226"/>
  <c r="BO34" i="226"/>
  <c r="BN34" i="226"/>
  <c r="BM34" i="226"/>
  <c r="BH34" i="226"/>
  <c r="BC34" i="226"/>
  <c r="AZ34" i="226"/>
  <c r="AY34" i="226"/>
  <c r="AX34" i="226"/>
  <c r="AU34" i="226"/>
  <c r="AT34" i="226"/>
  <c r="AP34" i="226"/>
  <c r="AO34" i="226"/>
  <c r="AK34" i="226"/>
  <c r="AJ34" i="226"/>
  <c r="AF34" i="226"/>
  <c r="AE34" i="226"/>
  <c r="AD34" i="226"/>
  <c r="AA34" i="226"/>
  <c r="Z34" i="226"/>
  <c r="Y34" i="226"/>
  <c r="V34" i="226"/>
  <c r="U34" i="226"/>
  <c r="T34" i="226"/>
  <c r="Q34" i="226"/>
  <c r="P34" i="226"/>
  <c r="O34" i="226"/>
  <c r="BU33" i="226"/>
  <c r="BU99" i="226" s="1"/>
  <c r="BP33" i="226"/>
  <c r="BP99" i="226" s="1"/>
  <c r="BK33" i="226"/>
  <c r="BA33" i="226"/>
  <c r="BA99" i="226" s="1"/>
  <c r="AB33" i="226"/>
  <c r="AB99" i="226" s="1"/>
  <c r="M33" i="226"/>
  <c r="CS33" i="226"/>
  <c r="CR33" i="226"/>
  <c r="CQ33" i="226"/>
  <c r="CN33" i="226"/>
  <c r="CM33" i="226"/>
  <c r="CL33" i="226"/>
  <c r="CI33" i="226"/>
  <c r="CI99" i="226" s="1"/>
  <c r="CH33" i="226"/>
  <c r="CH99" i="226" s="1"/>
  <c r="CG33" i="226"/>
  <c r="CG99" i="226" s="1"/>
  <c r="CD33" i="226"/>
  <c r="CD99" i="226" s="1"/>
  <c r="CC33" i="226"/>
  <c r="CB33" i="226"/>
  <c r="CB99" i="226" s="1"/>
  <c r="BZ33" i="226"/>
  <c r="CS32" i="226"/>
  <c r="CR32" i="226"/>
  <c r="CQ32" i="226"/>
  <c r="CN32" i="226"/>
  <c r="CM32" i="226"/>
  <c r="CL32" i="226"/>
  <c r="CI32" i="226"/>
  <c r="CH32" i="226"/>
  <c r="CG32" i="226"/>
  <c r="CD32" i="226"/>
  <c r="CC32" i="226"/>
  <c r="CB32" i="226"/>
  <c r="BY32" i="226"/>
  <c r="BX32" i="226"/>
  <c r="BW32" i="226"/>
  <c r="BT32" i="226"/>
  <c r="BS32" i="226"/>
  <c r="BR32" i="226"/>
  <c r="BO32" i="226"/>
  <c r="BN32" i="226"/>
  <c r="BM32" i="226"/>
  <c r="BJ32" i="226"/>
  <c r="BI32" i="226"/>
  <c r="BH32" i="226"/>
  <c r="BE33" i="226"/>
  <c r="BE99" i="226" s="1"/>
  <c r="BD33" i="226"/>
  <c r="BD99" i="226" s="1"/>
  <c r="BE32" i="226"/>
  <c r="BD32" i="226"/>
  <c r="BC32" i="226"/>
  <c r="AZ32" i="226"/>
  <c r="AY32" i="226"/>
  <c r="AX32" i="226"/>
  <c r="AU32" i="226"/>
  <c r="AT32" i="226"/>
  <c r="AP32" i="226"/>
  <c r="AO32" i="226"/>
  <c r="AK32" i="226"/>
  <c r="AJ32" i="226"/>
  <c r="AF32" i="226"/>
  <c r="AE32" i="226"/>
  <c r="AD32" i="226"/>
  <c r="AA32" i="226"/>
  <c r="Z32" i="226"/>
  <c r="Y32" i="226"/>
  <c r="V32" i="226"/>
  <c r="U32" i="226"/>
  <c r="T32" i="226"/>
  <c r="Q32" i="226"/>
  <c r="P32" i="226"/>
  <c r="O32" i="226"/>
  <c r="CO31" i="226"/>
  <c r="CO97" i="226" s="1"/>
  <c r="DH97" i="226" s="1"/>
  <c r="DJ97" i="226" s="1"/>
  <c r="CJ31" i="226"/>
  <c r="CE31" i="226"/>
  <c r="CE97" i="226" s="1"/>
  <c r="BZ31" i="226"/>
  <c r="BU31" i="226"/>
  <c r="BU97" i="226" s="1"/>
  <c r="BP31" i="226"/>
  <c r="BK31" i="226"/>
  <c r="BA31" i="226"/>
  <c r="AB31" i="226"/>
  <c r="AB97" i="226" s="1"/>
  <c r="M31" i="226"/>
  <c r="M97" i="226" s="1"/>
  <c r="CS30" i="226"/>
  <c r="CR30" i="226"/>
  <c r="CQ30" i="226"/>
  <c r="CN30" i="226"/>
  <c r="CM30" i="226"/>
  <c r="CL30" i="226"/>
  <c r="CI30" i="226"/>
  <c r="CH30" i="226"/>
  <c r="CG30" i="226"/>
  <c r="CD30" i="226"/>
  <c r="CC30" i="226"/>
  <c r="CB30" i="226"/>
  <c r="BY30" i="226"/>
  <c r="BX30" i="226"/>
  <c r="BW30" i="226"/>
  <c r="BT30" i="226"/>
  <c r="BS30" i="226"/>
  <c r="BR30" i="226"/>
  <c r="BO30" i="226"/>
  <c r="BN30" i="226"/>
  <c r="BM30" i="226"/>
  <c r="BH30" i="226"/>
  <c r="BC30" i="226"/>
  <c r="AZ30" i="226"/>
  <c r="AY30" i="226"/>
  <c r="AX30" i="226"/>
  <c r="AU30" i="226"/>
  <c r="AT30" i="226"/>
  <c r="AP30" i="226"/>
  <c r="AO30" i="226"/>
  <c r="AK30" i="226"/>
  <c r="AJ30" i="226"/>
  <c r="AF30" i="226"/>
  <c r="AE30" i="226"/>
  <c r="AD30" i="226"/>
  <c r="AA30" i="226"/>
  <c r="Z30" i="226"/>
  <c r="Y30" i="226"/>
  <c r="V30" i="226"/>
  <c r="U30" i="226"/>
  <c r="T30" i="226"/>
  <c r="Q30" i="226"/>
  <c r="P30" i="226"/>
  <c r="O30" i="226"/>
  <c r="CO29" i="226"/>
  <c r="CO95" i="226" s="1"/>
  <c r="DH95" i="226" s="1"/>
  <c r="DJ95" i="226" s="1"/>
  <c r="CJ29" i="226"/>
  <c r="CE29" i="226"/>
  <c r="CE95" i="226" s="1"/>
  <c r="BZ29" i="226"/>
  <c r="BU29" i="226"/>
  <c r="BU95" i="226" s="1"/>
  <c r="BP29" i="226"/>
  <c r="BK29" i="226"/>
  <c r="BK95" i="226" s="1"/>
  <c r="BE29" i="226"/>
  <c r="BE95" i="226" s="1"/>
  <c r="BD29" i="226"/>
  <c r="BA29" i="226"/>
  <c r="BA95" i="226" s="1"/>
  <c r="AB29" i="226"/>
  <c r="M29" i="226"/>
  <c r="M95" i="226" s="1"/>
  <c r="DJ28" i="226"/>
  <c r="DI28" i="226"/>
  <c r="CR22" i="226"/>
  <c r="BY22" i="226"/>
  <c r="BX22" i="226"/>
  <c r="BW22" i="226"/>
  <c r="BW24" i="226" s="1"/>
  <c r="BT22" i="226"/>
  <c r="BS22" i="226"/>
  <c r="BS24" i="226" s="1"/>
  <c r="BR22" i="226"/>
  <c r="BR24" i="226" s="1"/>
  <c r="BO22" i="226"/>
  <c r="BO24" i="226" s="1"/>
  <c r="BN22" i="226"/>
  <c r="BN24" i="226" s="1"/>
  <c r="BM22" i="226"/>
  <c r="BJ22" i="226"/>
  <c r="BJ24" i="226" s="1"/>
  <c r="BI22" i="226"/>
  <c r="BH22" i="226"/>
  <c r="BE22" i="226"/>
  <c r="BD22" i="226"/>
  <c r="BC22" i="226"/>
  <c r="BC24" i="226" s="1"/>
  <c r="AZ22" i="226"/>
  <c r="AY22" i="226"/>
  <c r="AY24" i="226" s="1"/>
  <c r="AX22" i="226"/>
  <c r="AX24" i="226" s="1"/>
  <c r="AJ22" i="226"/>
  <c r="AI22" i="226"/>
  <c r="AI24" i="226" s="1"/>
  <c r="AF22" i="226"/>
  <c r="AE22" i="226"/>
  <c r="AE24" i="226" s="1"/>
  <c r="AD22" i="226"/>
  <c r="AD24" i="226" s="1"/>
  <c r="AA22" i="226"/>
  <c r="AA24" i="226" s="1"/>
  <c r="Z22" i="226"/>
  <c r="Z24" i="226" s="1"/>
  <c r="Y22" i="226"/>
  <c r="BA20" i="226"/>
  <c r="BB20" i="226" s="1"/>
  <c r="AW20" i="226"/>
  <c r="AR20" i="226"/>
  <c r="AM20" i="226"/>
  <c r="AH20" i="226"/>
  <c r="AC20" i="226"/>
  <c r="X20" i="226"/>
  <c r="S20" i="226"/>
  <c r="N20" i="226"/>
  <c r="BE19" i="226"/>
  <c r="BD19" i="226"/>
  <c r="BC19" i="226"/>
  <c r="AZ19" i="226"/>
  <c r="AY19" i="226"/>
  <c r="AX19" i="226"/>
  <c r="AU19" i="226"/>
  <c r="AT19" i="226"/>
  <c r="AS19" i="226"/>
  <c r="AP19" i="226"/>
  <c r="AO19" i="226"/>
  <c r="AN19" i="226"/>
  <c r="AK19" i="226"/>
  <c r="AJ19" i="226"/>
  <c r="AI19" i="226"/>
  <c r="AF19" i="226"/>
  <c r="AE19" i="226"/>
  <c r="AD19" i="226"/>
  <c r="BF18" i="226"/>
  <c r="BA18" i="226"/>
  <c r="AV18" i="226"/>
  <c r="AV14" i="226"/>
  <c r="AV12" i="226"/>
  <c r="AV10" i="226"/>
  <c r="AQ18" i="226"/>
  <c r="AQ14" i="226"/>
  <c r="AQ12" i="226"/>
  <c r="AQ10" i="226"/>
  <c r="AL18" i="226"/>
  <c r="AM18" i="226" s="1"/>
  <c r="AL14" i="226"/>
  <c r="AL12" i="226"/>
  <c r="AL10" i="226"/>
  <c r="AG18" i="226"/>
  <c r="AG16" i="226"/>
  <c r="AG14" i="226"/>
  <c r="AG12" i="226"/>
  <c r="AG10" i="226"/>
  <c r="AB18" i="226"/>
  <c r="X18" i="226"/>
  <c r="S18" i="226"/>
  <c r="N18" i="226"/>
  <c r="CS17" i="226"/>
  <c r="CR17" i="226"/>
  <c r="CQ17" i="226"/>
  <c r="CN17" i="226"/>
  <c r="CM17" i="226"/>
  <c r="CL17" i="226"/>
  <c r="CI17" i="226"/>
  <c r="CH17" i="226"/>
  <c r="CG17" i="226"/>
  <c r="CD17" i="226"/>
  <c r="CC17" i="226"/>
  <c r="CB17" i="226"/>
  <c r="BY17" i="226"/>
  <c r="BX17" i="226"/>
  <c r="BW17" i="226"/>
  <c r="BT17" i="226"/>
  <c r="BS17" i="226"/>
  <c r="BR17" i="226"/>
  <c r="BO17" i="226"/>
  <c r="BN17" i="226"/>
  <c r="BM17" i="226"/>
  <c r="BJ17" i="226"/>
  <c r="BI17" i="226"/>
  <c r="BH17" i="226"/>
  <c r="BE17" i="226"/>
  <c r="BD17" i="226"/>
  <c r="BC17" i="226"/>
  <c r="AJ17" i="226"/>
  <c r="AI17" i="226"/>
  <c r="AF17" i="226"/>
  <c r="AE17" i="226"/>
  <c r="AD17" i="226"/>
  <c r="CX16" i="226"/>
  <c r="CW16" i="226"/>
  <c r="CV16" i="226"/>
  <c r="CO16" i="226"/>
  <c r="CJ16" i="226"/>
  <c r="CE16" i="226"/>
  <c r="BZ16" i="226"/>
  <c r="BU16" i="226"/>
  <c r="BP16" i="226"/>
  <c r="BK16" i="226"/>
  <c r="BF16" i="226"/>
  <c r="BA16" i="226"/>
  <c r="AK16" i="226"/>
  <c r="AK54" i="226" s="1"/>
  <c r="AK15" i="226"/>
  <c r="AB16" i="226"/>
  <c r="L16" i="226"/>
  <c r="L54" i="226" s="1"/>
  <c r="K16" i="226"/>
  <c r="J16" i="226"/>
  <c r="I16" i="226"/>
  <c r="H16" i="226"/>
  <c r="G16" i="226"/>
  <c r="F16" i="226"/>
  <c r="E16" i="226"/>
  <c r="BY15" i="226"/>
  <c r="BX15" i="226"/>
  <c r="BW15" i="226"/>
  <c r="BT15" i="226"/>
  <c r="BS15" i="226"/>
  <c r="BR15" i="226"/>
  <c r="BO15" i="226"/>
  <c r="BN15" i="226"/>
  <c r="BM15" i="226"/>
  <c r="BJ15" i="226"/>
  <c r="BI15" i="226"/>
  <c r="BH15" i="226"/>
  <c r="BE15" i="226"/>
  <c r="BD15" i="226"/>
  <c r="BC15" i="226"/>
  <c r="AZ15" i="226"/>
  <c r="AY15" i="226"/>
  <c r="AX15" i="226"/>
  <c r="AU16" i="226"/>
  <c r="AT16" i="226"/>
  <c r="AS16" i="226"/>
  <c r="AU15" i="226"/>
  <c r="AT15" i="226"/>
  <c r="AS15" i="226"/>
  <c r="AP16" i="226"/>
  <c r="AO16" i="226"/>
  <c r="AN16" i="226"/>
  <c r="AP15" i="226"/>
  <c r="AO15" i="226"/>
  <c r="AN15" i="226"/>
  <c r="AJ15" i="226"/>
  <c r="AI15" i="226"/>
  <c r="AF15" i="226"/>
  <c r="AE15" i="226"/>
  <c r="AD15" i="226"/>
  <c r="AA15" i="226"/>
  <c r="Z15" i="226"/>
  <c r="Y15" i="226"/>
  <c r="V16" i="226"/>
  <c r="V54" i="226" s="1"/>
  <c r="U16" i="226"/>
  <c r="T16" i="226"/>
  <c r="V15" i="226"/>
  <c r="U15" i="226"/>
  <c r="T15" i="226"/>
  <c r="Q16" i="226"/>
  <c r="Q54" i="226" s="1"/>
  <c r="Q55" i="226" s="1"/>
  <c r="P16" i="226"/>
  <c r="O16" i="226"/>
  <c r="Q15" i="226"/>
  <c r="P15" i="226"/>
  <c r="O15" i="226"/>
  <c r="I15" i="226"/>
  <c r="H15" i="226"/>
  <c r="G15" i="226"/>
  <c r="F15" i="226"/>
  <c r="CW14" i="226"/>
  <c r="CS14" i="226"/>
  <c r="CQ14" i="226"/>
  <c r="CN14" i="226"/>
  <c r="CM14" i="226"/>
  <c r="CL14" i="226"/>
  <c r="CI14" i="226"/>
  <c r="CH14" i="226"/>
  <c r="CG14" i="226"/>
  <c r="CD14" i="226"/>
  <c r="CC14" i="226"/>
  <c r="CB14" i="226"/>
  <c r="BZ14" i="226"/>
  <c r="BU14" i="226"/>
  <c r="BP14" i="226"/>
  <c r="BK14" i="226"/>
  <c r="BF14" i="226"/>
  <c r="BA14" i="226"/>
  <c r="AB14" i="226"/>
  <c r="W14" i="226"/>
  <c r="W12" i="226"/>
  <c r="W10" i="226"/>
  <c r="R14" i="226"/>
  <c r="R10" i="226"/>
  <c r="M14" i="226"/>
  <c r="CS13" i="226"/>
  <c r="CR13" i="226"/>
  <c r="CQ13" i="226"/>
  <c r="CN13" i="226"/>
  <c r="CM13" i="226"/>
  <c r="CL13" i="226"/>
  <c r="CI13" i="226"/>
  <c r="CH13" i="226"/>
  <c r="CG13" i="226"/>
  <c r="CD13" i="226"/>
  <c r="CC13" i="226"/>
  <c r="CB13" i="226"/>
  <c r="BY13" i="226"/>
  <c r="BX13" i="226"/>
  <c r="BW13" i="226"/>
  <c r="BT13" i="226"/>
  <c r="BS13" i="226"/>
  <c r="BR13" i="226"/>
  <c r="BO13" i="226"/>
  <c r="BN13" i="226"/>
  <c r="BM13" i="226"/>
  <c r="BJ13" i="226"/>
  <c r="BI13" i="226"/>
  <c r="BH13" i="226"/>
  <c r="BE13" i="226"/>
  <c r="BD13" i="226"/>
  <c r="BC13" i="226"/>
  <c r="AZ13" i="226"/>
  <c r="AY13" i="226"/>
  <c r="AX13" i="226"/>
  <c r="AU13" i="226"/>
  <c r="AT13" i="226"/>
  <c r="AS13" i="226"/>
  <c r="AP13" i="226"/>
  <c r="AO13" i="226"/>
  <c r="AN13" i="226"/>
  <c r="AK13" i="226"/>
  <c r="AJ13" i="226"/>
  <c r="AI13" i="226"/>
  <c r="AF13" i="226"/>
  <c r="AE13" i="226"/>
  <c r="AD13" i="226"/>
  <c r="AA13" i="226"/>
  <c r="Z13" i="226"/>
  <c r="Y13" i="226"/>
  <c r="T13" i="226"/>
  <c r="O13" i="226"/>
  <c r="CX12" i="226"/>
  <c r="CW12" i="226"/>
  <c r="CV12" i="226"/>
  <c r="CO12" i="226"/>
  <c r="CJ12" i="226"/>
  <c r="CE12" i="226"/>
  <c r="BZ12" i="226"/>
  <c r="BU12" i="226"/>
  <c r="BP12" i="226"/>
  <c r="BK12" i="226"/>
  <c r="BF12" i="226"/>
  <c r="BA12" i="226"/>
  <c r="AB12" i="226"/>
  <c r="L12" i="226"/>
  <c r="K12" i="226"/>
  <c r="E12" i="226"/>
  <c r="CS11" i="226"/>
  <c r="CR11" i="226"/>
  <c r="CQ11" i="226"/>
  <c r="CN11" i="226"/>
  <c r="CM11" i="226"/>
  <c r="CL11" i="226"/>
  <c r="CI11" i="226"/>
  <c r="CH11" i="226"/>
  <c r="CG11" i="226"/>
  <c r="CD11" i="226"/>
  <c r="CC11" i="226"/>
  <c r="CB11" i="226"/>
  <c r="BY11" i="226"/>
  <c r="BX11" i="226"/>
  <c r="BW11" i="226"/>
  <c r="BT11" i="226"/>
  <c r="BS11" i="226"/>
  <c r="BR11" i="226"/>
  <c r="BO11" i="226"/>
  <c r="BN11" i="226"/>
  <c r="BM11" i="226"/>
  <c r="BJ11" i="226"/>
  <c r="BI11" i="226"/>
  <c r="BH11" i="226"/>
  <c r="BE11" i="226"/>
  <c r="BD11" i="226"/>
  <c r="BC11" i="226"/>
  <c r="AZ11" i="226"/>
  <c r="AY11" i="226"/>
  <c r="AX11" i="226"/>
  <c r="AU11" i="226"/>
  <c r="AT11" i="226"/>
  <c r="AS11" i="226"/>
  <c r="AP11" i="226"/>
  <c r="AO11" i="226"/>
  <c r="AN11" i="226"/>
  <c r="AK11" i="226"/>
  <c r="AJ11" i="226"/>
  <c r="AI11" i="226"/>
  <c r="AF11" i="226"/>
  <c r="AE11" i="226"/>
  <c r="AD11" i="226"/>
  <c r="AA11" i="226"/>
  <c r="Z11" i="226"/>
  <c r="Y11" i="226"/>
  <c r="V11" i="226"/>
  <c r="U11" i="226"/>
  <c r="T11" i="226"/>
  <c r="Q12" i="226"/>
  <c r="P12" i="226"/>
  <c r="Q11" i="226"/>
  <c r="P11" i="226"/>
  <c r="O11" i="226"/>
  <c r="I12" i="226"/>
  <c r="H12" i="226"/>
  <c r="G12" i="226"/>
  <c r="G22" i="226" s="1"/>
  <c r="F12" i="226"/>
  <c r="F22" i="226" s="1"/>
  <c r="I11" i="226"/>
  <c r="H11" i="226"/>
  <c r="G11" i="226"/>
  <c r="F11" i="226"/>
  <c r="CX10" i="226"/>
  <c r="CW10" i="226"/>
  <c r="CV10" i="226"/>
  <c r="CO10" i="226"/>
  <c r="CJ10" i="226"/>
  <c r="CE10" i="226"/>
  <c r="BZ10" i="226"/>
  <c r="BU10" i="226"/>
  <c r="BP10" i="226"/>
  <c r="BK10" i="226"/>
  <c r="BF10" i="226"/>
  <c r="BA10" i="226"/>
  <c r="AB10" i="226"/>
  <c r="M10" i="226"/>
  <c r="J7" i="226"/>
  <c r="C5" i="226"/>
  <c r="C6" i="226" s="1"/>
  <c r="C7" i="226" s="1"/>
  <c r="K6" i="226"/>
  <c r="L6" i="226" s="1"/>
  <c r="M31" i="236"/>
  <c r="N31" i="236" s="1"/>
  <c r="D16" i="236"/>
  <c r="D12" i="236" s="1"/>
  <c r="D14" i="236" s="1"/>
  <c r="E5" i="236"/>
  <c r="E4" i="236" s="1"/>
  <c r="F6" i="236"/>
  <c r="G6" i="236" s="1"/>
  <c r="I261" i="1"/>
  <c r="H261" i="1"/>
  <c r="G261" i="1"/>
  <c r="F261" i="1"/>
  <c r="E261" i="1"/>
  <c r="CO260" i="1"/>
  <c r="CN260" i="1"/>
  <c r="CM260" i="1"/>
  <c r="CL260" i="1"/>
  <c r="CJ260" i="1"/>
  <c r="CI260" i="1"/>
  <c r="CH260" i="1"/>
  <c r="CG260" i="1"/>
  <c r="CE260" i="1"/>
  <c r="CD260" i="1"/>
  <c r="CC260" i="1"/>
  <c r="CB260" i="1"/>
  <c r="BZ260" i="1"/>
  <c r="BY260" i="1"/>
  <c r="BX260" i="1"/>
  <c r="BW260" i="1"/>
  <c r="BU260" i="1"/>
  <c r="BT260" i="1"/>
  <c r="BS260" i="1"/>
  <c r="BR260" i="1"/>
  <c r="BP260" i="1"/>
  <c r="BO260" i="1"/>
  <c r="BN260" i="1"/>
  <c r="BM260" i="1"/>
  <c r="BK260" i="1"/>
  <c r="BJ260" i="1"/>
  <c r="BI260" i="1"/>
  <c r="BH260" i="1"/>
  <c r="BF260" i="1"/>
  <c r="BE260" i="1"/>
  <c r="BD260" i="1"/>
  <c r="BC260" i="1"/>
  <c r="BA260" i="1"/>
  <c r="AZ260" i="1"/>
  <c r="AY260" i="1"/>
  <c r="AX260" i="1"/>
  <c r="AV260" i="1"/>
  <c r="AU260" i="1"/>
  <c r="AT260" i="1"/>
  <c r="AS260" i="1"/>
  <c r="AQ260" i="1"/>
  <c r="AP260" i="1"/>
  <c r="AO260" i="1"/>
  <c r="AN260" i="1"/>
  <c r="AL260" i="1"/>
  <c r="AK260" i="1"/>
  <c r="AJ260" i="1"/>
  <c r="AI260" i="1"/>
  <c r="AG260" i="1"/>
  <c r="AF260" i="1"/>
  <c r="AE260" i="1"/>
  <c r="AD260" i="1"/>
  <c r="AB260" i="1"/>
  <c r="AA260" i="1"/>
  <c r="Z260" i="1"/>
  <c r="Y260" i="1"/>
  <c r="W260" i="1"/>
  <c r="V260" i="1"/>
  <c r="U260" i="1"/>
  <c r="T260" i="1"/>
  <c r="R260" i="1"/>
  <c r="Q260" i="1"/>
  <c r="P260" i="1"/>
  <c r="O260" i="1"/>
  <c r="M260" i="1"/>
  <c r="L260" i="1"/>
  <c r="K260" i="1"/>
  <c r="J260" i="1"/>
  <c r="CO259" i="1"/>
  <c r="CO261" i="1" s="1"/>
  <c r="CN259" i="1"/>
  <c r="CN261" i="1" s="1"/>
  <c r="CM259" i="1"/>
  <c r="CM261" i="1" s="1"/>
  <c r="CL259" i="1"/>
  <c r="CL261" i="1" s="1"/>
  <c r="CJ259" i="1"/>
  <c r="CJ261" i="1" s="1"/>
  <c r="CI259" i="1"/>
  <c r="CI261" i="1" s="1"/>
  <c r="CH259" i="1"/>
  <c r="CH261" i="1" s="1"/>
  <c r="CG259" i="1"/>
  <c r="CE259" i="1"/>
  <c r="CE261" i="1" s="1"/>
  <c r="CD259" i="1"/>
  <c r="CD261" i="1" s="1"/>
  <c r="CC259" i="1"/>
  <c r="CC261" i="1" s="1"/>
  <c r="CB259" i="1"/>
  <c r="CB261" i="1" s="1"/>
  <c r="BZ259" i="1"/>
  <c r="BZ261" i="1" s="1"/>
  <c r="BY259" i="1"/>
  <c r="BY261" i="1" s="1"/>
  <c r="BX259" i="1"/>
  <c r="BX261" i="1" s="1"/>
  <c r="BW259" i="1"/>
  <c r="BW261" i="1" s="1"/>
  <c r="BU259" i="1"/>
  <c r="BU261" i="1" s="1"/>
  <c r="BT259" i="1"/>
  <c r="BT261" i="1" s="1"/>
  <c r="BS259" i="1"/>
  <c r="BS261" i="1" s="1"/>
  <c r="BR259" i="1"/>
  <c r="BP259" i="1"/>
  <c r="BP261" i="1" s="1"/>
  <c r="BO259" i="1"/>
  <c r="BO261" i="1" s="1"/>
  <c r="BN259" i="1"/>
  <c r="BM259" i="1"/>
  <c r="BK259" i="1"/>
  <c r="BK261" i="1" s="1"/>
  <c r="BJ259" i="1"/>
  <c r="BJ261" i="1" s="1"/>
  <c r="BI259" i="1"/>
  <c r="BI261" i="1" s="1"/>
  <c r="BH259" i="1"/>
  <c r="BH261" i="1" s="1"/>
  <c r="BF259" i="1"/>
  <c r="BE259" i="1"/>
  <c r="BE261" i="1" s="1"/>
  <c r="BD259" i="1"/>
  <c r="BD261" i="1" s="1"/>
  <c r="BC259" i="1"/>
  <c r="BC261" i="1" s="1"/>
  <c r="BA259" i="1"/>
  <c r="BA261" i="1" s="1"/>
  <c r="AZ259" i="1"/>
  <c r="AZ261" i="1" s="1"/>
  <c r="AY259" i="1"/>
  <c r="AY261" i="1" s="1"/>
  <c r="AX259" i="1"/>
  <c r="AX261" i="1" s="1"/>
  <c r="AV259" i="1"/>
  <c r="AV261" i="1" s="1"/>
  <c r="AU259" i="1"/>
  <c r="AU261" i="1" s="1"/>
  <c r="AT259" i="1"/>
  <c r="AT261" i="1" s="1"/>
  <c r="AS259" i="1"/>
  <c r="AQ259" i="1"/>
  <c r="AQ261" i="1" s="1"/>
  <c r="AP259" i="1"/>
  <c r="AP261" i="1" s="1"/>
  <c r="AO259" i="1"/>
  <c r="AO261" i="1" s="1"/>
  <c r="AN259" i="1"/>
  <c r="AN261" i="1" s="1"/>
  <c r="AL259" i="1"/>
  <c r="AL261" i="1" s="1"/>
  <c r="AK259" i="1"/>
  <c r="AK261" i="1" s="1"/>
  <c r="AJ259" i="1"/>
  <c r="AJ261" i="1" s="1"/>
  <c r="AI259" i="1"/>
  <c r="AI261" i="1" s="1"/>
  <c r="AG259" i="1"/>
  <c r="AG261" i="1" s="1"/>
  <c r="AF259" i="1"/>
  <c r="AF261" i="1" s="1"/>
  <c r="AE259" i="1"/>
  <c r="AE261" i="1" s="1"/>
  <c r="AD259" i="1"/>
  <c r="AD261" i="1" s="1"/>
  <c r="AB259" i="1"/>
  <c r="AB261" i="1" s="1"/>
  <c r="AA259" i="1"/>
  <c r="AA261" i="1" s="1"/>
  <c r="Z259" i="1"/>
  <c r="Z261" i="1" s="1"/>
  <c r="Y259" i="1"/>
  <c r="W259" i="1"/>
  <c r="W261" i="1" s="1"/>
  <c r="V259" i="1"/>
  <c r="U259" i="1"/>
  <c r="U261" i="1" s="1"/>
  <c r="T259" i="1"/>
  <c r="T261" i="1" s="1"/>
  <c r="R259" i="1"/>
  <c r="Q259" i="1"/>
  <c r="Q261" i="1" s="1"/>
  <c r="P259" i="1"/>
  <c r="P261" i="1" s="1"/>
  <c r="O259" i="1"/>
  <c r="O261" i="1" s="1"/>
  <c r="M259" i="1"/>
  <c r="M261" i="1" s="1"/>
  <c r="L259" i="1"/>
  <c r="L261" i="1" s="1"/>
  <c r="K259" i="1"/>
  <c r="K261" i="1" s="1"/>
  <c r="J259" i="1"/>
  <c r="J261" i="1" s="1"/>
  <c r="CQ257" i="1"/>
  <c r="CR257" i="1" s="1"/>
  <c r="CS257" i="1" s="1"/>
  <c r="CT257" i="1" s="1"/>
  <c r="CU257" i="1" s="1"/>
  <c r="CV257" i="1" s="1"/>
  <c r="CW257" i="1" s="1"/>
  <c r="CX257" i="1" s="1"/>
  <c r="CY257" i="1" s="1"/>
  <c r="CZ257" i="1" s="1"/>
  <c r="DA257" i="1" s="1"/>
  <c r="DB257" i="1" s="1"/>
  <c r="DC257" i="1" s="1"/>
  <c r="CQ256" i="1"/>
  <c r="CR256" i="1" s="1"/>
  <c r="CS256" i="1" s="1"/>
  <c r="CT256" i="1" s="1"/>
  <c r="CU256" i="1" s="1"/>
  <c r="CV256" i="1" s="1"/>
  <c r="CW256" i="1" s="1"/>
  <c r="CX256" i="1" s="1"/>
  <c r="CY256" i="1" s="1"/>
  <c r="CZ256" i="1" s="1"/>
  <c r="DA256" i="1" s="1"/>
  <c r="DB256" i="1" s="1"/>
  <c r="DC256" i="1" s="1"/>
  <c r="CQ255" i="1"/>
  <c r="CR255" i="1" s="1"/>
  <c r="CS255" i="1" s="1"/>
  <c r="CT255" i="1" s="1"/>
  <c r="CU255" i="1" s="1"/>
  <c r="CV255" i="1" s="1"/>
  <c r="CW255" i="1" s="1"/>
  <c r="CX255" i="1" s="1"/>
  <c r="CY255" i="1" s="1"/>
  <c r="CZ255" i="1" s="1"/>
  <c r="DA255" i="1" s="1"/>
  <c r="DB255" i="1" s="1"/>
  <c r="DC255" i="1" s="1"/>
  <c r="CQ254" i="1"/>
  <c r="CR254" i="1" s="1"/>
  <c r="CS252" i="1"/>
  <c r="CR252" i="1"/>
  <c r="CQ252" i="1"/>
  <c r="CO252" i="1"/>
  <c r="CN252" i="1"/>
  <c r="CM252" i="1"/>
  <c r="CL252" i="1"/>
  <c r="CJ252" i="1"/>
  <c r="CI252" i="1"/>
  <c r="CH252" i="1"/>
  <c r="CP246" i="1"/>
  <c r="CO246" i="1"/>
  <c r="CN246" i="1"/>
  <c r="CM246" i="1"/>
  <c r="CL246" i="1"/>
  <c r="CK246" i="1"/>
  <c r="CJ246" i="1"/>
  <c r="CI246" i="1"/>
  <c r="CH246" i="1"/>
  <c r="CG246" i="1"/>
  <c r="CF246" i="1"/>
  <c r="CE246" i="1"/>
  <c r="CD246" i="1"/>
  <c r="CC246" i="1"/>
  <c r="CB246" i="1"/>
  <c r="BP246" i="1"/>
  <c r="BO246" i="1"/>
  <c r="BN246" i="1"/>
  <c r="BM246" i="1"/>
  <c r="BK246" i="1"/>
  <c r="BJ246" i="1"/>
  <c r="BI246" i="1"/>
  <c r="BH246" i="1"/>
  <c r="BF246" i="1"/>
  <c r="BE246" i="1"/>
  <c r="BD246" i="1"/>
  <c r="BC246" i="1"/>
  <c r="BA246" i="1"/>
  <c r="AZ246" i="1"/>
  <c r="AY246" i="1"/>
  <c r="AX246" i="1"/>
  <c r="AV246" i="1"/>
  <c r="AU246" i="1"/>
  <c r="AT246" i="1"/>
  <c r="AS246" i="1"/>
  <c r="AQ246" i="1"/>
  <c r="AP246" i="1"/>
  <c r="AO246" i="1"/>
  <c r="AN246" i="1"/>
  <c r="AL246" i="1"/>
  <c r="AK246" i="1"/>
  <c r="AJ246" i="1"/>
  <c r="AI246" i="1"/>
  <c r="AG246" i="1"/>
  <c r="AF246" i="1"/>
  <c r="AE246" i="1"/>
  <c r="AD246" i="1"/>
  <c r="AB246" i="1"/>
  <c r="AA246" i="1"/>
  <c r="Z246" i="1"/>
  <c r="Y246" i="1"/>
  <c r="CO243" i="1"/>
  <c r="CN243" i="1"/>
  <c r="CM243" i="1"/>
  <c r="CL243" i="1"/>
  <c r="CJ243" i="1"/>
  <c r="CI243" i="1"/>
  <c r="CH243" i="1"/>
  <c r="AZ243" i="1"/>
  <c r="AY243" i="1"/>
  <c r="AX243" i="1"/>
  <c r="CZ235" i="1"/>
  <c r="CU235" i="1"/>
  <c r="CP235" i="1"/>
  <c r="CK235" i="1"/>
  <c r="CX230" i="1"/>
  <c r="CY230" i="1" s="1"/>
  <c r="CS227" i="1"/>
  <c r="CR227" i="1"/>
  <c r="CQ227" i="1"/>
  <c r="CO227" i="1"/>
  <c r="CN227" i="1"/>
  <c r="CM227" i="1"/>
  <c r="CL227" i="1"/>
  <c r="CJ227" i="1"/>
  <c r="CI227" i="1"/>
  <c r="CH227" i="1"/>
  <c r="CG227" i="1"/>
  <c r="CE227" i="1"/>
  <c r="CD227" i="1"/>
  <c r="CC227" i="1"/>
  <c r="CB227" i="1"/>
  <c r="BZ227" i="1"/>
  <c r="BY227" i="1"/>
  <c r="BX227" i="1"/>
  <c r="BW227" i="1"/>
  <c r="BU227" i="1"/>
  <c r="BT227" i="1"/>
  <c r="BS227" i="1"/>
  <c r="BR227" i="1"/>
  <c r="BP227" i="1"/>
  <c r="BO227" i="1"/>
  <c r="BN227" i="1"/>
  <c r="BM227" i="1"/>
  <c r="BK227" i="1"/>
  <c r="BJ227" i="1"/>
  <c r="BI227" i="1"/>
  <c r="BH227" i="1"/>
  <c r="BF227" i="1"/>
  <c r="BE227" i="1"/>
  <c r="BD227" i="1"/>
  <c r="BC227" i="1"/>
  <c r="BA227" i="1"/>
  <c r="AZ227" i="1"/>
  <c r="Y227" i="1"/>
  <c r="W227" i="1"/>
  <c r="R227" i="1"/>
  <c r="CS226" i="1"/>
  <c r="CS228" i="1" s="1"/>
  <c r="CT230" i="1" s="1"/>
  <c r="CR226" i="1"/>
  <c r="CR228" i="1" s="1"/>
  <c r="CS230" i="1" s="1"/>
  <c r="CQ226" i="1"/>
  <c r="CQ228" i="1" s="1"/>
  <c r="CR230" i="1" s="1"/>
  <c r="CO226" i="1"/>
  <c r="CO228" i="1" s="1"/>
  <c r="CN226" i="1"/>
  <c r="CN228" i="1" s="1"/>
  <c r="CM226" i="1"/>
  <c r="CM228" i="1" s="1"/>
  <c r="CN230" i="1" s="1"/>
  <c r="CJ226" i="1"/>
  <c r="V226" i="1"/>
  <c r="U226" i="1"/>
  <c r="T226" i="1"/>
  <c r="Q226" i="1"/>
  <c r="P226" i="1"/>
  <c r="O226" i="1"/>
  <c r="L226" i="1"/>
  <c r="K226" i="1"/>
  <c r="J226" i="1"/>
  <c r="DC221" i="1"/>
  <c r="DB221" i="1"/>
  <c r="DA221" i="1"/>
  <c r="CY221" i="1"/>
  <c r="CX221" i="1"/>
  <c r="CW221" i="1"/>
  <c r="CV221" i="1"/>
  <c r="CQ221" i="1"/>
  <c r="CL221" i="1"/>
  <c r="CG221" i="1"/>
  <c r="CB221" i="1"/>
  <c r="BW221" i="1"/>
  <c r="BR221" i="1"/>
  <c r="BM221" i="1"/>
  <c r="CQ218" i="1"/>
  <c r="CR218" i="1" s="1"/>
  <c r="CS218" i="1" s="1"/>
  <c r="CP218" i="1"/>
  <c r="CN218" i="1"/>
  <c r="CM218" i="1"/>
  <c r="CL218" i="1"/>
  <c r="CK218" i="1"/>
  <c r="CI218" i="1"/>
  <c r="CH218" i="1"/>
  <c r="CG218" i="1"/>
  <c r="CF218" i="1"/>
  <c r="CD218" i="1"/>
  <c r="CC218" i="1"/>
  <c r="CB218" i="1"/>
  <c r="CA218" i="1"/>
  <c r="BY218" i="1"/>
  <c r="BX218" i="1"/>
  <c r="BW218" i="1"/>
  <c r="BV218" i="1"/>
  <c r="BT218" i="1"/>
  <c r="BS218" i="1"/>
  <c r="BR218" i="1"/>
  <c r="BQ218" i="1"/>
  <c r="BO218" i="1"/>
  <c r="BN218" i="1"/>
  <c r="BM218" i="1"/>
  <c r="BL218" i="1"/>
  <c r="BJ218" i="1"/>
  <c r="BI218" i="1"/>
  <c r="BH218" i="1"/>
  <c r="BG218" i="1"/>
  <c r="BE218" i="1"/>
  <c r="BD218" i="1"/>
  <c r="BC218" i="1"/>
  <c r="BB218" i="1"/>
  <c r="AZ218" i="1"/>
  <c r="AY218" i="1"/>
  <c r="AX218" i="1"/>
  <c r="AW218" i="1"/>
  <c r="AU218" i="1"/>
  <c r="AT218" i="1"/>
  <c r="AS218" i="1"/>
  <c r="AR218" i="1"/>
  <c r="AP218" i="1"/>
  <c r="AO218" i="1"/>
  <c r="AN218" i="1"/>
  <c r="AM218" i="1"/>
  <c r="AK218" i="1"/>
  <c r="AJ218" i="1"/>
  <c r="AI218" i="1"/>
  <c r="AH218" i="1"/>
  <c r="AF218" i="1"/>
  <c r="AE218" i="1"/>
  <c r="AD218" i="1"/>
  <c r="AC218" i="1"/>
  <c r="AA218" i="1"/>
  <c r="Z218" i="1"/>
  <c r="Y218" i="1"/>
  <c r="X218" i="1"/>
  <c r="V218" i="1"/>
  <c r="U218" i="1"/>
  <c r="T218" i="1"/>
  <c r="S218" i="1"/>
  <c r="Q218" i="1"/>
  <c r="P218" i="1"/>
  <c r="O218" i="1"/>
  <c r="N218" i="1"/>
  <c r="L218" i="1"/>
  <c r="K218" i="1"/>
  <c r="J218" i="1"/>
  <c r="I218" i="1"/>
  <c r="H218" i="1"/>
  <c r="G218" i="1"/>
  <c r="F218" i="1"/>
  <c r="E218" i="1"/>
  <c r="CO217" i="1"/>
  <c r="DH217" i="1" s="1"/>
  <c r="CN217" i="1"/>
  <c r="CM217" i="1"/>
  <c r="CL217" i="1"/>
  <c r="CO216" i="1"/>
  <c r="DH216" i="1" s="1"/>
  <c r="CN216" i="1"/>
  <c r="CM216" i="1"/>
  <c r="CL216" i="1"/>
  <c r="CO215" i="1"/>
  <c r="DH215" i="1" s="1"/>
  <c r="CN215" i="1"/>
  <c r="CM215" i="1"/>
  <c r="CL215" i="1"/>
  <c r="CJ217" i="1"/>
  <c r="CI217" i="1"/>
  <c r="CH217" i="1"/>
  <c r="CG217" i="1"/>
  <c r="CJ216" i="1"/>
  <c r="CI216" i="1"/>
  <c r="CH216" i="1"/>
  <c r="CG216" i="1"/>
  <c r="CJ215" i="1"/>
  <c r="CI215" i="1"/>
  <c r="CH215" i="1"/>
  <c r="CG215" i="1"/>
  <c r="CE217" i="1"/>
  <c r="CD217" i="1"/>
  <c r="CC217" i="1"/>
  <c r="CB217" i="1"/>
  <c r="CE216" i="1"/>
  <c r="CD216" i="1"/>
  <c r="CC216" i="1"/>
  <c r="CB216" i="1"/>
  <c r="CE215" i="1"/>
  <c r="CD215" i="1"/>
  <c r="CC215" i="1"/>
  <c r="CB215" i="1"/>
  <c r="BZ217" i="1"/>
  <c r="BY217" i="1"/>
  <c r="BX217" i="1"/>
  <c r="BW217" i="1"/>
  <c r="BZ216" i="1"/>
  <c r="BY216" i="1"/>
  <c r="BX216" i="1"/>
  <c r="BW216" i="1"/>
  <c r="BZ215" i="1"/>
  <c r="BY215" i="1"/>
  <c r="BX215" i="1"/>
  <c r="BW215" i="1"/>
  <c r="BU217" i="1"/>
  <c r="BT217" i="1"/>
  <c r="BS217" i="1"/>
  <c r="BR217" i="1"/>
  <c r="BU216" i="1"/>
  <c r="BT216" i="1"/>
  <c r="BS216" i="1"/>
  <c r="BR216" i="1"/>
  <c r="BU215" i="1"/>
  <c r="BT215" i="1"/>
  <c r="BS215" i="1"/>
  <c r="BR215" i="1"/>
  <c r="BP217" i="1"/>
  <c r="BO217" i="1"/>
  <c r="BN217" i="1"/>
  <c r="BM217" i="1"/>
  <c r="BP216" i="1"/>
  <c r="BO216" i="1"/>
  <c r="BN216" i="1"/>
  <c r="BM216" i="1"/>
  <c r="BP215" i="1"/>
  <c r="BO215" i="1"/>
  <c r="BN215" i="1"/>
  <c r="BM215" i="1"/>
  <c r="BK217" i="1"/>
  <c r="BJ217" i="1"/>
  <c r="BI217" i="1"/>
  <c r="BH217" i="1"/>
  <c r="BK216" i="1"/>
  <c r="BJ216" i="1"/>
  <c r="BI216" i="1"/>
  <c r="BH216" i="1"/>
  <c r="BK215" i="1"/>
  <c r="BJ215" i="1"/>
  <c r="BI215" i="1"/>
  <c r="BH215" i="1"/>
  <c r="BF217" i="1"/>
  <c r="BE217" i="1"/>
  <c r="BD217" i="1"/>
  <c r="BC217" i="1"/>
  <c r="BF216" i="1"/>
  <c r="BE216" i="1"/>
  <c r="BD216" i="1"/>
  <c r="BC216" i="1"/>
  <c r="BF215" i="1"/>
  <c r="BE215" i="1"/>
  <c r="BD215" i="1"/>
  <c r="BC215" i="1"/>
  <c r="BA217" i="1"/>
  <c r="AZ217" i="1"/>
  <c r="AY217" i="1"/>
  <c r="AX217" i="1"/>
  <c r="BA216" i="1"/>
  <c r="AZ216" i="1"/>
  <c r="AY216" i="1"/>
  <c r="AX216" i="1"/>
  <c r="BA215" i="1"/>
  <c r="AZ215" i="1"/>
  <c r="AY215" i="1"/>
  <c r="AX215" i="1"/>
  <c r="AV217" i="1"/>
  <c r="AU217" i="1"/>
  <c r="AT217" i="1"/>
  <c r="AS217" i="1"/>
  <c r="AV216" i="1"/>
  <c r="AU216" i="1"/>
  <c r="AT216" i="1"/>
  <c r="AS216" i="1"/>
  <c r="AV215" i="1"/>
  <c r="AU215" i="1"/>
  <c r="AT215" i="1"/>
  <c r="AS215" i="1"/>
  <c r="AQ217" i="1"/>
  <c r="AP217" i="1"/>
  <c r="AO217" i="1"/>
  <c r="AN217" i="1"/>
  <c r="AQ216" i="1"/>
  <c r="AP216" i="1"/>
  <c r="AO216" i="1"/>
  <c r="AN216" i="1"/>
  <c r="AQ215" i="1"/>
  <c r="AP215" i="1"/>
  <c r="AO215" i="1"/>
  <c r="AN215" i="1"/>
  <c r="AL217" i="1"/>
  <c r="AK217" i="1"/>
  <c r="AJ217" i="1"/>
  <c r="AI217" i="1"/>
  <c r="AL216" i="1"/>
  <c r="AK216" i="1"/>
  <c r="AJ216" i="1"/>
  <c r="AI216" i="1"/>
  <c r="AL215" i="1"/>
  <c r="AK215" i="1"/>
  <c r="AJ215" i="1"/>
  <c r="AI215" i="1"/>
  <c r="AG217" i="1"/>
  <c r="AF217" i="1"/>
  <c r="AE217" i="1"/>
  <c r="AD217" i="1"/>
  <c r="AG216" i="1"/>
  <c r="AF216" i="1"/>
  <c r="AE216" i="1"/>
  <c r="AD216" i="1"/>
  <c r="AG215" i="1"/>
  <c r="AF215" i="1"/>
  <c r="AE215" i="1"/>
  <c r="AD215" i="1"/>
  <c r="AB217" i="1"/>
  <c r="AA217" i="1"/>
  <c r="Z217" i="1"/>
  <c r="Y217" i="1"/>
  <c r="AB216" i="1"/>
  <c r="AA216" i="1"/>
  <c r="Z216" i="1"/>
  <c r="Y216" i="1"/>
  <c r="AB215" i="1"/>
  <c r="AA215" i="1"/>
  <c r="Z215" i="1"/>
  <c r="Y215" i="1"/>
  <c r="W217" i="1"/>
  <c r="V217" i="1"/>
  <c r="U217" i="1"/>
  <c r="T217" i="1"/>
  <c r="W216" i="1"/>
  <c r="V216" i="1"/>
  <c r="U216" i="1"/>
  <c r="T216" i="1"/>
  <c r="W215" i="1"/>
  <c r="V215" i="1"/>
  <c r="U215" i="1"/>
  <c r="T215" i="1"/>
  <c r="R217" i="1"/>
  <c r="Q217" i="1"/>
  <c r="P217" i="1"/>
  <c r="O217" i="1"/>
  <c r="R216" i="1"/>
  <c r="Q216" i="1"/>
  <c r="P216" i="1"/>
  <c r="O216" i="1"/>
  <c r="R215" i="1"/>
  <c r="Q215" i="1"/>
  <c r="P215" i="1"/>
  <c r="O215" i="1"/>
  <c r="M217" i="1"/>
  <c r="L217" i="1"/>
  <c r="K217" i="1"/>
  <c r="J217" i="1"/>
  <c r="M216" i="1"/>
  <c r="L216" i="1"/>
  <c r="K216" i="1"/>
  <c r="J216" i="1"/>
  <c r="M215" i="1"/>
  <c r="L215" i="1"/>
  <c r="K215" i="1"/>
  <c r="J215" i="1"/>
  <c r="DI219" i="1"/>
  <c r="DJ219" i="1"/>
  <c r="CU217" i="1"/>
  <c r="CS217" i="1" s="1"/>
  <c r="CU216" i="1"/>
  <c r="CS216" i="1" s="1"/>
  <c r="CU215" i="1"/>
  <c r="CT215" i="1" s="1"/>
  <c r="DF215" i="1" s="1"/>
  <c r="DI215" i="1" s="1"/>
  <c r="CP214" i="1"/>
  <c r="CU214" i="1" s="1"/>
  <c r="CS214" i="1" s="1"/>
  <c r="CK214" i="1"/>
  <c r="CJ214" i="1" s="1"/>
  <c r="CI214" i="1" s="1"/>
  <c r="CH214" i="1" s="1"/>
  <c r="CG214" i="1" s="1"/>
  <c r="CF214" i="1"/>
  <c r="CE214" i="1" s="1"/>
  <c r="CD214" i="1" s="1"/>
  <c r="CC214" i="1" s="1"/>
  <c r="CB214" i="1" s="1"/>
  <c r="CA214" i="1"/>
  <c r="BZ214" i="1" s="1"/>
  <c r="BY214" i="1" s="1"/>
  <c r="BX214" i="1" s="1"/>
  <c r="BW214" i="1" s="1"/>
  <c r="BV214" i="1"/>
  <c r="BU214" i="1" s="1"/>
  <c r="BT214" i="1" s="1"/>
  <c r="BS214" i="1" s="1"/>
  <c r="BR214" i="1" s="1"/>
  <c r="BQ214" i="1"/>
  <c r="BP214" i="1" s="1"/>
  <c r="BO214" i="1" s="1"/>
  <c r="BN214" i="1" s="1"/>
  <c r="BM214" i="1" s="1"/>
  <c r="BL214" i="1"/>
  <c r="BK214" i="1" s="1"/>
  <c r="BJ214" i="1" s="1"/>
  <c r="BI214" i="1" s="1"/>
  <c r="BH214" i="1" s="1"/>
  <c r="BG214" i="1"/>
  <c r="BF214" i="1" s="1"/>
  <c r="BE214" i="1" s="1"/>
  <c r="BD214" i="1" s="1"/>
  <c r="BC214" i="1" s="1"/>
  <c r="BB214" i="1"/>
  <c r="BA214" i="1" s="1"/>
  <c r="AZ214" i="1" s="1"/>
  <c r="AY214" i="1" s="1"/>
  <c r="AX214" i="1" s="1"/>
  <c r="AW214" i="1"/>
  <c r="AV214" i="1" s="1"/>
  <c r="AU214" i="1" s="1"/>
  <c r="AT214" i="1" s="1"/>
  <c r="AS214" i="1" s="1"/>
  <c r="AR214" i="1"/>
  <c r="AQ214" i="1" s="1"/>
  <c r="AP214" i="1" s="1"/>
  <c r="AO214" i="1" s="1"/>
  <c r="AN214" i="1" s="1"/>
  <c r="AM214" i="1"/>
  <c r="AL214" i="1" s="1"/>
  <c r="AK214" i="1" s="1"/>
  <c r="AJ214" i="1" s="1"/>
  <c r="AI214" i="1" s="1"/>
  <c r="AH214" i="1"/>
  <c r="AG214" i="1" s="1"/>
  <c r="AF214" i="1" s="1"/>
  <c r="AE214" i="1" s="1"/>
  <c r="AD214" i="1" s="1"/>
  <c r="AC214" i="1"/>
  <c r="AB214" i="1" s="1"/>
  <c r="AA214" i="1" s="1"/>
  <c r="Z214" i="1" s="1"/>
  <c r="Y214" i="1" s="1"/>
  <c r="X214" i="1"/>
  <c r="W214" i="1" s="1"/>
  <c r="V214" i="1" s="1"/>
  <c r="U214" i="1" s="1"/>
  <c r="T214" i="1" s="1"/>
  <c r="S214" i="1"/>
  <c r="R214" i="1" s="1"/>
  <c r="Q214" i="1" s="1"/>
  <c r="P214" i="1" s="1"/>
  <c r="O214" i="1" s="1"/>
  <c r="N214" i="1"/>
  <c r="M214" i="1" s="1"/>
  <c r="L214" i="1" s="1"/>
  <c r="K214" i="1" s="1"/>
  <c r="J214" i="1" s="1"/>
  <c r="I214" i="1"/>
  <c r="H214" i="1"/>
  <c r="G214" i="1"/>
  <c r="F214" i="1"/>
  <c r="E214" i="1"/>
  <c r="CK210" i="1"/>
  <c r="CY210" i="1"/>
  <c r="CS210" i="1"/>
  <c r="CX210" i="1" s="1"/>
  <c r="CR210" i="1"/>
  <c r="CW210" i="1" s="1"/>
  <c r="CQ210" i="1"/>
  <c r="CV210" i="1" s="1"/>
  <c r="CP210" i="1"/>
  <c r="CW201" i="1"/>
  <c r="CX201" i="1" s="1"/>
  <c r="CY201" i="1" s="1"/>
  <c r="DB199" i="1"/>
  <c r="DC199" i="1" s="1"/>
  <c r="DB198" i="1"/>
  <c r="DC198" i="1" s="1"/>
  <c r="I193" i="1"/>
  <c r="I199" i="1" s="1"/>
  <c r="H193" i="1"/>
  <c r="H199" i="1" s="1"/>
  <c r="G193" i="1"/>
  <c r="G199" i="1" s="1"/>
  <c r="F193" i="1"/>
  <c r="F199" i="1" s="1"/>
  <c r="E193" i="1"/>
  <c r="E199" i="1" s="1"/>
  <c r="DC188" i="1"/>
  <c r="DB188" i="1"/>
  <c r="DA188" i="1"/>
  <c r="CZ188" i="1"/>
  <c r="CY188" i="1"/>
  <c r="CX188" i="1"/>
  <c r="CW188" i="1"/>
  <c r="CV188" i="1"/>
  <c r="CU188" i="1"/>
  <c r="CT188" i="1"/>
  <c r="CS188" i="1"/>
  <c r="CR188" i="1"/>
  <c r="CQ188" i="1"/>
  <c r="CP188" i="1"/>
  <c r="CO188" i="1"/>
  <c r="CN188" i="1"/>
  <c r="CM188" i="1"/>
  <c r="CL188" i="1"/>
  <c r="CK188" i="1"/>
  <c r="CJ188" i="1"/>
  <c r="CI188" i="1"/>
  <c r="CH188" i="1"/>
  <c r="CG188" i="1"/>
  <c r="CF188" i="1"/>
  <c r="CE188" i="1"/>
  <c r="CD188" i="1"/>
  <c r="CC188" i="1"/>
  <c r="CB188" i="1"/>
  <c r="CA188" i="1"/>
  <c r="BZ188" i="1"/>
  <c r="BY188" i="1"/>
  <c r="BX188" i="1"/>
  <c r="BW188" i="1"/>
  <c r="BV188" i="1"/>
  <c r="BU188" i="1"/>
  <c r="BT188" i="1"/>
  <c r="BS188" i="1"/>
  <c r="BR188" i="1"/>
  <c r="BQ188" i="1"/>
  <c r="BP188" i="1"/>
  <c r="BO188" i="1"/>
  <c r="BN188" i="1"/>
  <c r="BM188" i="1"/>
  <c r="BL188" i="1"/>
  <c r="BK188" i="1"/>
  <c r="BJ188" i="1"/>
  <c r="BI188" i="1"/>
  <c r="BH188" i="1"/>
  <c r="BG188" i="1"/>
  <c r="BF188" i="1"/>
  <c r="BE188" i="1"/>
  <c r="BD188" i="1"/>
  <c r="BC188" i="1"/>
  <c r="BB188" i="1"/>
  <c r="BA188" i="1"/>
  <c r="AZ188" i="1"/>
  <c r="AY188" i="1"/>
  <c r="AX188" i="1"/>
  <c r="AW188" i="1"/>
  <c r="AV188" i="1"/>
  <c r="AU188" i="1"/>
  <c r="AT188" i="1"/>
  <c r="AS188" i="1"/>
  <c r="AR188" i="1"/>
  <c r="AQ188" i="1"/>
  <c r="AP188" i="1"/>
  <c r="AO188" i="1"/>
  <c r="AN188" i="1"/>
  <c r="AM188" i="1"/>
  <c r="AL188" i="1"/>
  <c r="AK188" i="1"/>
  <c r="AJ188" i="1"/>
  <c r="AI188" i="1"/>
  <c r="AH188" i="1"/>
  <c r="AG188" i="1"/>
  <c r="AF188" i="1"/>
  <c r="AE188" i="1"/>
  <c r="AD188" i="1"/>
  <c r="AC188" i="1"/>
  <c r="AB188" i="1"/>
  <c r="AA188" i="1"/>
  <c r="Z188" i="1"/>
  <c r="Y188" i="1"/>
  <c r="X188" i="1"/>
  <c r="W188" i="1"/>
  <c r="V188" i="1"/>
  <c r="U188" i="1"/>
  <c r="T188" i="1"/>
  <c r="S188" i="1"/>
  <c r="R188" i="1"/>
  <c r="Q188" i="1"/>
  <c r="P188" i="1"/>
  <c r="O188" i="1"/>
  <c r="N188" i="1"/>
  <c r="M188" i="1"/>
  <c r="L188" i="1"/>
  <c r="K188" i="1"/>
  <c r="J188" i="1"/>
  <c r="I188" i="1"/>
  <c r="H188" i="1"/>
  <c r="G188" i="1"/>
  <c r="F188" i="1"/>
  <c r="E188" i="1"/>
  <c r="CQ186" i="1"/>
  <c r="CL186" i="1"/>
  <c r="CG186" i="1"/>
  <c r="CB186" i="1"/>
  <c r="BW186" i="1"/>
  <c r="BR186" i="1"/>
  <c r="BM186" i="1"/>
  <c r="BH186" i="1"/>
  <c r="BC186" i="1"/>
  <c r="AX186" i="1"/>
  <c r="AS186" i="1"/>
  <c r="AN186" i="1"/>
  <c r="AI186" i="1"/>
  <c r="AD186" i="1"/>
  <c r="Y186" i="1"/>
  <c r="T186" i="1"/>
  <c r="CQ184" i="1"/>
  <c r="CL184" i="1"/>
  <c r="CR183" i="1"/>
  <c r="CS183" i="1" s="1"/>
  <c r="CM183" i="1"/>
  <c r="CL183" i="1" s="1"/>
  <c r="E177" i="1"/>
  <c r="DI173" i="1"/>
  <c r="CZ173" i="1"/>
  <c r="CU173" i="1"/>
  <c r="CM173" i="1"/>
  <c r="CN173" i="1" s="1"/>
  <c r="CH173" i="1"/>
  <c r="CI173" i="1" s="1"/>
  <c r="CJ173" i="1" s="1"/>
  <c r="CC173" i="1"/>
  <c r="CD173" i="1" s="1"/>
  <c r="CE173" i="1" s="1"/>
  <c r="BV173" i="1"/>
  <c r="BI173" i="1"/>
  <c r="BJ173" i="1" s="1"/>
  <c r="P173" i="1"/>
  <c r="Q173" i="1" s="1"/>
  <c r="K173" i="1"/>
  <c r="L173" i="1" s="1"/>
  <c r="M173" i="1" s="1"/>
  <c r="CZ171" i="1"/>
  <c r="CZ170" i="1"/>
  <c r="CU171" i="1"/>
  <c r="K171" i="1"/>
  <c r="L171" i="1" s="1"/>
  <c r="M171" i="1" s="1"/>
  <c r="DI171" i="1"/>
  <c r="CR170" i="1"/>
  <c r="CM171" i="1"/>
  <c r="CN171" i="1" s="1"/>
  <c r="CO171" i="1" s="1"/>
  <c r="DH171" i="1" s="1"/>
  <c r="CM170" i="1"/>
  <c r="CN170" i="1" s="1"/>
  <c r="CO170" i="1" s="1"/>
  <c r="DH170" i="1" s="1"/>
  <c r="CH171" i="1"/>
  <c r="CI171" i="1" s="1"/>
  <c r="CJ171" i="1" s="1"/>
  <c r="CH170" i="1"/>
  <c r="CI170" i="1" s="1"/>
  <c r="CJ170" i="1" s="1"/>
  <c r="CC171" i="1"/>
  <c r="CD171" i="1" s="1"/>
  <c r="CE171" i="1" s="1"/>
  <c r="CC170" i="1"/>
  <c r="CD170" i="1" s="1"/>
  <c r="CE170" i="1" s="1"/>
  <c r="BX171" i="1"/>
  <c r="BY171" i="1" s="1"/>
  <c r="BZ171" i="1" s="1"/>
  <c r="BX170" i="1"/>
  <c r="BY170" i="1" s="1"/>
  <c r="BZ170" i="1" s="1"/>
  <c r="BS171" i="1"/>
  <c r="BT171" i="1" s="1"/>
  <c r="BU171" i="1" s="1"/>
  <c r="BS170" i="1"/>
  <c r="BT170" i="1" s="1"/>
  <c r="BU170" i="1" s="1"/>
  <c r="BN171" i="1"/>
  <c r="BO171" i="1" s="1"/>
  <c r="BP171" i="1" s="1"/>
  <c r="BN170" i="1"/>
  <c r="BO170" i="1" s="1"/>
  <c r="BP170" i="1" s="1"/>
  <c r="BI171" i="1"/>
  <c r="BJ171" i="1" s="1"/>
  <c r="BK171" i="1" s="1"/>
  <c r="BI170" i="1"/>
  <c r="BJ170" i="1" s="1"/>
  <c r="BK170" i="1" s="1"/>
  <c r="BD171" i="1"/>
  <c r="BE171" i="1" s="1"/>
  <c r="BF171" i="1" s="1"/>
  <c r="BD170" i="1"/>
  <c r="BE170" i="1" s="1"/>
  <c r="BF170" i="1" s="1"/>
  <c r="AY171" i="1"/>
  <c r="AZ171" i="1" s="1"/>
  <c r="BA171" i="1" s="1"/>
  <c r="AY170" i="1"/>
  <c r="AZ170" i="1" s="1"/>
  <c r="BA170" i="1" s="1"/>
  <c r="AT171" i="1"/>
  <c r="AU171" i="1" s="1"/>
  <c r="AV171" i="1" s="1"/>
  <c r="AT170" i="1"/>
  <c r="AU170" i="1" s="1"/>
  <c r="AV170" i="1" s="1"/>
  <c r="AO171" i="1"/>
  <c r="AP171" i="1" s="1"/>
  <c r="AQ171" i="1" s="1"/>
  <c r="AO170" i="1"/>
  <c r="AP170" i="1" s="1"/>
  <c r="AJ171" i="1"/>
  <c r="AK171" i="1" s="1"/>
  <c r="AL171" i="1" s="1"/>
  <c r="AJ170" i="1"/>
  <c r="AK170" i="1" s="1"/>
  <c r="AL170" i="1" s="1"/>
  <c r="AE171" i="1"/>
  <c r="AF171" i="1" s="1"/>
  <c r="AE170" i="1"/>
  <c r="AF170" i="1" s="1"/>
  <c r="Z171" i="1"/>
  <c r="AA171" i="1" s="1"/>
  <c r="AB171" i="1" s="1"/>
  <c r="Z170" i="1"/>
  <c r="AA170" i="1" s="1"/>
  <c r="AB170" i="1" s="1"/>
  <c r="U171" i="1"/>
  <c r="V171" i="1" s="1"/>
  <c r="W171" i="1" s="1"/>
  <c r="U170" i="1"/>
  <c r="V170" i="1" s="1"/>
  <c r="P171" i="1"/>
  <c r="Q171" i="1" s="1"/>
  <c r="R171" i="1" s="1"/>
  <c r="O170" i="1"/>
  <c r="P170" i="1" s="1"/>
  <c r="Q170" i="1" s="1"/>
  <c r="R170" i="1" s="1"/>
  <c r="J170" i="1"/>
  <c r="I170" i="1"/>
  <c r="H170" i="1"/>
  <c r="G170" i="1"/>
  <c r="F170" i="1"/>
  <c r="E170" i="1"/>
  <c r="CQ168" i="1"/>
  <c r="CL168" i="1"/>
  <c r="CG168" i="1"/>
  <c r="CB168" i="1"/>
  <c r="BW168" i="1"/>
  <c r="BR168" i="1"/>
  <c r="BM168" i="1"/>
  <c r="BH168" i="1"/>
  <c r="BC168" i="1"/>
  <c r="AX168" i="1"/>
  <c r="AI168" i="1"/>
  <c r="AD168" i="1"/>
  <c r="Y168" i="1"/>
  <c r="CR167" i="1"/>
  <c r="BX167" i="1"/>
  <c r="BY167" i="1" s="1"/>
  <c r="BZ167" i="1" s="1"/>
  <c r="T167" i="1"/>
  <c r="T168" i="1" s="1"/>
  <c r="O167" i="1"/>
  <c r="P167" i="1" s="1"/>
  <c r="Q167" i="1" s="1"/>
  <c r="R167" i="1" s="1"/>
  <c r="S167" i="1" s="1"/>
  <c r="J167" i="1"/>
  <c r="K167" i="1" s="1"/>
  <c r="L167" i="1" s="1"/>
  <c r="M167" i="1" s="1"/>
  <c r="N167" i="1" s="1"/>
  <c r="I167" i="1"/>
  <c r="H167" i="1"/>
  <c r="G167" i="1"/>
  <c r="F167" i="1"/>
  <c r="E167" i="1"/>
  <c r="CZ166" i="1"/>
  <c r="CZ162" i="1"/>
  <c r="CZ221" i="1" s="1"/>
  <c r="CU166" i="1"/>
  <c r="CA166" i="1"/>
  <c r="K166" i="1"/>
  <c r="L166" i="1" s="1"/>
  <c r="M166" i="1" s="1"/>
  <c r="N166" i="1" s="1"/>
  <c r="CR165" i="1"/>
  <c r="CR164" i="1"/>
  <c r="CR163" i="1"/>
  <c r="AO167" i="1"/>
  <c r="AP167" i="1" s="1"/>
  <c r="AO166" i="1"/>
  <c r="AP166" i="1" s="1"/>
  <c r="AO165" i="1"/>
  <c r="AP165" i="1" s="1"/>
  <c r="AO164" i="1"/>
  <c r="AP164" i="1" s="1"/>
  <c r="AO163" i="1"/>
  <c r="AP163" i="1" s="1"/>
  <c r="AJ167" i="1"/>
  <c r="AK167" i="1" s="1"/>
  <c r="AJ166" i="1"/>
  <c r="AK166" i="1" s="1"/>
  <c r="AJ165" i="1"/>
  <c r="AK165" i="1" s="1"/>
  <c r="AJ164" i="1"/>
  <c r="AK164" i="1" s="1"/>
  <c r="AJ163" i="1"/>
  <c r="AK163" i="1" s="1"/>
  <c r="O165" i="1"/>
  <c r="P165" i="1" s="1"/>
  <c r="J165" i="1"/>
  <c r="K165" i="1" s="1"/>
  <c r="L165" i="1" s="1"/>
  <c r="M165" i="1" s="1"/>
  <c r="I165" i="1"/>
  <c r="H165" i="1"/>
  <c r="G165" i="1"/>
  <c r="F165" i="1"/>
  <c r="E165" i="1"/>
  <c r="O164" i="1"/>
  <c r="P164" i="1" s="1"/>
  <c r="J164" i="1"/>
  <c r="K164" i="1" s="1"/>
  <c r="L164" i="1" s="1"/>
  <c r="M164" i="1" s="1"/>
  <c r="I164" i="1"/>
  <c r="H164" i="1"/>
  <c r="G164" i="1"/>
  <c r="F164" i="1"/>
  <c r="E164" i="1"/>
  <c r="O163" i="1"/>
  <c r="J163" i="1"/>
  <c r="K163" i="1" s="1"/>
  <c r="L163" i="1" s="1"/>
  <c r="M163" i="1" s="1"/>
  <c r="I163" i="1"/>
  <c r="H163" i="1"/>
  <c r="G163" i="1"/>
  <c r="F163" i="1"/>
  <c r="E163" i="1"/>
  <c r="CR162" i="1"/>
  <c r="AS162" i="1"/>
  <c r="AS168" i="1" s="1"/>
  <c r="AN162" i="1"/>
  <c r="AN168" i="1" s="1"/>
  <c r="AJ162" i="1"/>
  <c r="AK162" i="1" s="1"/>
  <c r="AL162" i="1" s="1"/>
  <c r="I162" i="1"/>
  <c r="H162" i="1"/>
  <c r="G162" i="1"/>
  <c r="F162" i="1"/>
  <c r="DI166" i="1"/>
  <c r="CR161" i="1"/>
  <c r="CM167" i="1"/>
  <c r="CM166" i="1"/>
  <c r="CM165" i="1"/>
  <c r="CM164" i="1"/>
  <c r="CM163" i="1"/>
  <c r="CM162" i="1"/>
  <c r="CM221" i="1" s="1"/>
  <c r="CM161" i="1"/>
  <c r="CH167" i="1"/>
  <c r="CH166" i="1"/>
  <c r="CH165" i="1"/>
  <c r="CH164" i="1"/>
  <c r="CH163" i="1"/>
  <c r="CH162" i="1"/>
  <c r="CH221" i="1" s="1"/>
  <c r="CH161" i="1"/>
  <c r="CC167" i="1"/>
  <c r="CC166" i="1"/>
  <c r="CC165" i="1"/>
  <c r="CC164" i="1"/>
  <c r="CC163" i="1"/>
  <c r="CC162" i="1"/>
  <c r="CC221" i="1" s="1"/>
  <c r="CC161" i="1"/>
  <c r="BX165" i="1"/>
  <c r="BY165" i="1" s="1"/>
  <c r="BX164" i="1"/>
  <c r="BY164" i="1" s="1"/>
  <c r="BZ164" i="1" s="1"/>
  <c r="BX163" i="1"/>
  <c r="BY163" i="1" s="1"/>
  <c r="BZ163" i="1" s="1"/>
  <c r="BX162" i="1"/>
  <c r="BY162" i="1" s="1"/>
  <c r="BX161" i="1"/>
  <c r="BY161" i="1" s="1"/>
  <c r="BS167" i="1"/>
  <c r="BT167" i="1" s="1"/>
  <c r="BS166" i="1"/>
  <c r="BT166" i="1" s="1"/>
  <c r="BS165" i="1"/>
  <c r="BT165" i="1" s="1"/>
  <c r="BS164" i="1"/>
  <c r="BT164" i="1" s="1"/>
  <c r="BS163" i="1"/>
  <c r="BT163" i="1" s="1"/>
  <c r="BS162" i="1"/>
  <c r="BS221" i="1" s="1"/>
  <c r="BS161" i="1"/>
  <c r="BN167" i="1"/>
  <c r="BO167" i="1" s="1"/>
  <c r="BN166" i="1"/>
  <c r="BO166" i="1" s="1"/>
  <c r="BN165" i="1"/>
  <c r="BO165" i="1" s="1"/>
  <c r="BN164" i="1"/>
  <c r="BO164" i="1" s="1"/>
  <c r="BN163" i="1"/>
  <c r="BO163" i="1" s="1"/>
  <c r="BN162" i="1"/>
  <c r="BN221" i="1" s="1"/>
  <c r="BN161" i="1"/>
  <c r="BO161" i="1" s="1"/>
  <c r="BI167" i="1"/>
  <c r="BJ167" i="1" s="1"/>
  <c r="BI166" i="1"/>
  <c r="BJ166" i="1" s="1"/>
  <c r="BI165" i="1"/>
  <c r="BJ165" i="1" s="1"/>
  <c r="BI164" i="1"/>
  <c r="BJ164" i="1" s="1"/>
  <c r="BI163" i="1"/>
  <c r="BJ163" i="1" s="1"/>
  <c r="BI162" i="1"/>
  <c r="BJ162" i="1" s="1"/>
  <c r="BI161" i="1"/>
  <c r="BJ161" i="1" s="1"/>
  <c r="BD167" i="1"/>
  <c r="BE167" i="1" s="1"/>
  <c r="BD166" i="1"/>
  <c r="BE166" i="1" s="1"/>
  <c r="BD165" i="1"/>
  <c r="BE165" i="1" s="1"/>
  <c r="BD164" i="1"/>
  <c r="BE164" i="1" s="1"/>
  <c r="BD163" i="1"/>
  <c r="BE163" i="1" s="1"/>
  <c r="BD162" i="1"/>
  <c r="BE162" i="1" s="1"/>
  <c r="BD161" i="1"/>
  <c r="AY167" i="1"/>
  <c r="AZ167" i="1" s="1"/>
  <c r="AY166" i="1"/>
  <c r="AZ166" i="1" s="1"/>
  <c r="AY165" i="1"/>
  <c r="AZ165" i="1" s="1"/>
  <c r="AY164" i="1"/>
  <c r="AZ164" i="1" s="1"/>
  <c r="AY163" i="1"/>
  <c r="AZ163" i="1" s="1"/>
  <c r="AY162" i="1"/>
  <c r="AZ162" i="1" s="1"/>
  <c r="AY161" i="1"/>
  <c r="AT167" i="1"/>
  <c r="AU167" i="1" s="1"/>
  <c r="AT166" i="1"/>
  <c r="AU166" i="1" s="1"/>
  <c r="AT165" i="1"/>
  <c r="AU165" i="1" s="1"/>
  <c r="AT164" i="1"/>
  <c r="AU164" i="1" s="1"/>
  <c r="AT163" i="1"/>
  <c r="AU163" i="1" s="1"/>
  <c r="AT161" i="1"/>
  <c r="AU161" i="1" s="1"/>
  <c r="AO161" i="1"/>
  <c r="AP161" i="1" s="1"/>
  <c r="AJ161" i="1"/>
  <c r="AK161" i="1" s="1"/>
  <c r="AE167" i="1"/>
  <c r="AF167" i="1" s="1"/>
  <c r="AE166" i="1"/>
  <c r="AF166" i="1" s="1"/>
  <c r="AE165" i="1"/>
  <c r="AF165" i="1" s="1"/>
  <c r="AE164" i="1"/>
  <c r="AF164" i="1" s="1"/>
  <c r="AE163" i="1"/>
  <c r="AF163" i="1" s="1"/>
  <c r="AE162" i="1"/>
  <c r="AF162" i="1" s="1"/>
  <c r="AE161" i="1"/>
  <c r="Z167" i="1"/>
  <c r="AA167" i="1" s="1"/>
  <c r="Z166" i="1"/>
  <c r="AA166" i="1" s="1"/>
  <c r="Z165" i="1"/>
  <c r="AA165" i="1" s="1"/>
  <c r="Z164" i="1"/>
  <c r="AA164" i="1" s="1"/>
  <c r="Z163" i="1"/>
  <c r="AA163" i="1" s="1"/>
  <c r="Z162" i="1"/>
  <c r="AA162" i="1" s="1"/>
  <c r="Z161" i="1"/>
  <c r="U166" i="1"/>
  <c r="V166" i="1" s="1"/>
  <c r="U165" i="1"/>
  <c r="V165" i="1" s="1"/>
  <c r="U164" i="1"/>
  <c r="V164" i="1" s="1"/>
  <c r="U163" i="1"/>
  <c r="V163" i="1" s="1"/>
  <c r="U162" i="1"/>
  <c r="V162" i="1" s="1"/>
  <c r="U161" i="1"/>
  <c r="P166" i="1"/>
  <c r="Q166" i="1" s="1"/>
  <c r="P162" i="1"/>
  <c r="Q162" i="1" s="1"/>
  <c r="P161" i="1"/>
  <c r="Q161" i="1" s="1"/>
  <c r="K162" i="1"/>
  <c r="L162" i="1" s="1"/>
  <c r="K161" i="1"/>
  <c r="CQ157" i="1"/>
  <c r="CL157" i="1"/>
  <c r="CG157" i="1"/>
  <c r="CB157" i="1"/>
  <c r="BW157" i="1"/>
  <c r="BR157" i="1"/>
  <c r="BM157" i="1"/>
  <c r="BH157" i="1"/>
  <c r="BC157" i="1"/>
  <c r="AX157" i="1"/>
  <c r="AS157" i="1"/>
  <c r="AN157" i="1"/>
  <c r="AI157" i="1"/>
  <c r="AD157" i="1"/>
  <c r="T157" i="1"/>
  <c r="CZ156" i="1"/>
  <c r="CZ155" i="1"/>
  <c r="CZ154" i="1"/>
  <c r="CZ153" i="1"/>
  <c r="CZ152" i="1"/>
  <c r="CZ151" i="1"/>
  <c r="CZ150" i="1"/>
  <c r="CZ149" i="1"/>
  <c r="CZ148" i="1"/>
  <c r="CZ147" i="1"/>
  <c r="CU148" i="1"/>
  <c r="CR156" i="1"/>
  <c r="Y156" i="1"/>
  <c r="Y157" i="1" s="1"/>
  <c r="U156" i="1"/>
  <c r="V156" i="1" s="1"/>
  <c r="W156" i="1" s="1"/>
  <c r="X156" i="1" s="1"/>
  <c r="O156" i="1"/>
  <c r="P156" i="1" s="1"/>
  <c r="Q156" i="1" s="1"/>
  <c r="R156" i="1" s="1"/>
  <c r="J156" i="1"/>
  <c r="I156" i="1"/>
  <c r="H156" i="1"/>
  <c r="G156" i="1"/>
  <c r="F156" i="1"/>
  <c r="E156" i="1"/>
  <c r="CR155" i="1"/>
  <c r="CU155" i="1" s="1"/>
  <c r="CR154" i="1"/>
  <c r="CU154" i="1" s="1"/>
  <c r="CR153" i="1"/>
  <c r="CU153" i="1" s="1"/>
  <c r="CR152" i="1"/>
  <c r="CU152" i="1" s="1"/>
  <c r="CR151" i="1"/>
  <c r="CU151" i="1" s="1"/>
  <c r="CR150" i="1"/>
  <c r="CR149" i="1"/>
  <c r="O155" i="1"/>
  <c r="J155" i="1"/>
  <c r="K155" i="1" s="1"/>
  <c r="L155" i="1" s="1"/>
  <c r="M155" i="1" s="1"/>
  <c r="I155" i="1"/>
  <c r="Z155" i="1"/>
  <c r="Z154" i="1"/>
  <c r="Z153" i="1"/>
  <c r="Z152" i="1"/>
  <c r="Z151" i="1"/>
  <c r="Z150" i="1"/>
  <c r="Z149" i="1"/>
  <c r="Z148" i="1"/>
  <c r="Z147" i="1"/>
  <c r="Z146" i="1"/>
  <c r="Z145" i="1"/>
  <c r="Z144" i="1"/>
  <c r="U155" i="1"/>
  <c r="U154" i="1"/>
  <c r="U153" i="1"/>
  <c r="U152" i="1"/>
  <c r="U151" i="1"/>
  <c r="U150" i="1"/>
  <c r="U149" i="1"/>
  <c r="U148" i="1"/>
  <c r="U147" i="1"/>
  <c r="U146" i="1"/>
  <c r="U145" i="1"/>
  <c r="U144" i="1"/>
  <c r="P154" i="1"/>
  <c r="P153" i="1"/>
  <c r="P152" i="1"/>
  <c r="P151" i="1"/>
  <c r="P150" i="1"/>
  <c r="K154" i="1"/>
  <c r="K153" i="1"/>
  <c r="L153" i="1" s="1"/>
  <c r="K152" i="1"/>
  <c r="L152" i="1" s="1"/>
  <c r="M152" i="1" s="1"/>
  <c r="K151" i="1"/>
  <c r="L151" i="1" s="1"/>
  <c r="K150" i="1"/>
  <c r="L150" i="1" s="1"/>
  <c r="M150" i="1" s="1"/>
  <c r="DI155" i="1"/>
  <c r="DI154" i="1"/>
  <c r="DI153" i="1"/>
  <c r="DI152" i="1"/>
  <c r="DI151" i="1"/>
  <c r="DI148" i="1"/>
  <c r="CM156" i="1"/>
  <c r="CM155" i="1"/>
  <c r="CM154" i="1"/>
  <c r="CM153" i="1"/>
  <c r="CM152" i="1"/>
  <c r="CM151" i="1"/>
  <c r="CM150" i="1"/>
  <c r="CM149" i="1"/>
  <c r="CM148" i="1"/>
  <c r="CM147" i="1"/>
  <c r="CM146" i="1"/>
  <c r="CM145" i="1"/>
  <c r="CM144" i="1"/>
  <c r="CH156" i="1"/>
  <c r="CH155" i="1"/>
  <c r="CH154" i="1"/>
  <c r="CH153" i="1"/>
  <c r="CH152" i="1"/>
  <c r="CH151" i="1"/>
  <c r="CH150" i="1"/>
  <c r="CH149" i="1"/>
  <c r="CH148" i="1"/>
  <c r="CH147" i="1"/>
  <c r="CH146" i="1"/>
  <c r="CH145" i="1"/>
  <c r="CH144" i="1"/>
  <c r="CC156" i="1"/>
  <c r="CC155" i="1"/>
  <c r="CC154" i="1"/>
  <c r="CC153" i="1"/>
  <c r="CC152" i="1"/>
  <c r="CC151" i="1"/>
  <c r="CC150" i="1"/>
  <c r="CC149" i="1"/>
  <c r="CC148" i="1"/>
  <c r="CC147" i="1"/>
  <c r="CC146" i="1"/>
  <c r="CC145" i="1"/>
  <c r="CC144" i="1"/>
  <c r="BX156" i="1"/>
  <c r="BX155" i="1"/>
  <c r="BX154" i="1"/>
  <c r="BX153" i="1"/>
  <c r="BX152" i="1"/>
  <c r="BX151" i="1"/>
  <c r="BX150" i="1"/>
  <c r="BX149" i="1"/>
  <c r="BX148" i="1"/>
  <c r="BX147" i="1"/>
  <c r="BX146" i="1"/>
  <c r="BX145" i="1"/>
  <c r="BX144" i="1"/>
  <c r="BS156" i="1"/>
  <c r="BS155" i="1"/>
  <c r="BS154" i="1"/>
  <c r="BS153" i="1"/>
  <c r="BS152" i="1"/>
  <c r="BS151" i="1"/>
  <c r="BS150" i="1"/>
  <c r="BS149" i="1"/>
  <c r="BT149" i="1" s="1"/>
  <c r="BU149" i="1" s="1"/>
  <c r="BS148" i="1"/>
  <c r="BT148" i="1" s="1"/>
  <c r="BU148" i="1" s="1"/>
  <c r="BS147" i="1"/>
  <c r="BT147" i="1" s="1"/>
  <c r="BU147" i="1" s="1"/>
  <c r="BS146" i="1"/>
  <c r="BT146" i="1" s="1"/>
  <c r="BU146" i="1" s="1"/>
  <c r="BS145" i="1"/>
  <c r="BT145" i="1" s="1"/>
  <c r="BU145" i="1" s="1"/>
  <c r="BS144" i="1"/>
  <c r="BT144" i="1" s="1"/>
  <c r="BU144" i="1" s="1"/>
  <c r="BN156" i="1"/>
  <c r="BO156" i="1" s="1"/>
  <c r="BP156" i="1" s="1"/>
  <c r="BN155" i="1"/>
  <c r="BN154" i="1"/>
  <c r="BO154" i="1" s="1"/>
  <c r="BP154" i="1" s="1"/>
  <c r="BN153" i="1"/>
  <c r="BO153" i="1" s="1"/>
  <c r="BP153" i="1" s="1"/>
  <c r="BN152" i="1"/>
  <c r="BO152" i="1" s="1"/>
  <c r="BP152" i="1" s="1"/>
  <c r="BN151" i="1"/>
  <c r="BN150" i="1"/>
  <c r="BO150" i="1" s="1"/>
  <c r="BP150" i="1" s="1"/>
  <c r="BN149" i="1"/>
  <c r="BO149" i="1" s="1"/>
  <c r="BP149" i="1" s="1"/>
  <c r="BN148" i="1"/>
  <c r="BO148" i="1" s="1"/>
  <c r="BP148" i="1" s="1"/>
  <c r="BN147" i="1"/>
  <c r="BN146" i="1"/>
  <c r="BO146" i="1" s="1"/>
  <c r="BP146" i="1" s="1"/>
  <c r="BN145" i="1"/>
  <c r="BO145" i="1" s="1"/>
  <c r="BP145" i="1" s="1"/>
  <c r="BN144" i="1"/>
  <c r="BO144" i="1" s="1"/>
  <c r="BI156" i="1"/>
  <c r="BI155" i="1"/>
  <c r="BJ155" i="1" s="1"/>
  <c r="BK155" i="1" s="1"/>
  <c r="BI154" i="1"/>
  <c r="BJ154" i="1" s="1"/>
  <c r="BK154" i="1" s="1"/>
  <c r="BI153" i="1"/>
  <c r="BJ153" i="1" s="1"/>
  <c r="BK153" i="1" s="1"/>
  <c r="BI152" i="1"/>
  <c r="BI151" i="1"/>
  <c r="BJ151" i="1" s="1"/>
  <c r="BK151" i="1" s="1"/>
  <c r="BI150" i="1"/>
  <c r="BJ150" i="1" s="1"/>
  <c r="BK150" i="1" s="1"/>
  <c r="BI149" i="1"/>
  <c r="BJ149" i="1" s="1"/>
  <c r="BK149" i="1" s="1"/>
  <c r="BI148" i="1"/>
  <c r="BI147" i="1"/>
  <c r="BJ147" i="1" s="1"/>
  <c r="BK147" i="1" s="1"/>
  <c r="BI146" i="1"/>
  <c r="BJ146" i="1" s="1"/>
  <c r="BK146" i="1" s="1"/>
  <c r="BI145" i="1"/>
  <c r="BJ145" i="1" s="1"/>
  <c r="BK145" i="1" s="1"/>
  <c r="BI144" i="1"/>
  <c r="BD156" i="1"/>
  <c r="BE156" i="1" s="1"/>
  <c r="BF156" i="1" s="1"/>
  <c r="BD155" i="1"/>
  <c r="BE155" i="1" s="1"/>
  <c r="BF155" i="1" s="1"/>
  <c r="BD154" i="1"/>
  <c r="BE154" i="1" s="1"/>
  <c r="BF154" i="1" s="1"/>
  <c r="BD153" i="1"/>
  <c r="BD152" i="1"/>
  <c r="BE152" i="1" s="1"/>
  <c r="BF152" i="1" s="1"/>
  <c r="BD151" i="1"/>
  <c r="BE151" i="1" s="1"/>
  <c r="BF151" i="1" s="1"/>
  <c r="BD150" i="1"/>
  <c r="BE150" i="1" s="1"/>
  <c r="BF150" i="1" s="1"/>
  <c r="BD149" i="1"/>
  <c r="BD148" i="1"/>
  <c r="BE148" i="1" s="1"/>
  <c r="BF148" i="1" s="1"/>
  <c r="BD147" i="1"/>
  <c r="BE147" i="1" s="1"/>
  <c r="BF147" i="1" s="1"/>
  <c r="BD146" i="1"/>
  <c r="BE146" i="1" s="1"/>
  <c r="BF146" i="1" s="1"/>
  <c r="BD145" i="1"/>
  <c r="BD144" i="1"/>
  <c r="BE144" i="1" s="1"/>
  <c r="AY156" i="1"/>
  <c r="AZ156" i="1" s="1"/>
  <c r="BA156" i="1" s="1"/>
  <c r="AY155" i="1"/>
  <c r="AZ155" i="1" s="1"/>
  <c r="BA155" i="1" s="1"/>
  <c r="AY154" i="1"/>
  <c r="AY153" i="1"/>
  <c r="AZ153" i="1" s="1"/>
  <c r="BA153" i="1" s="1"/>
  <c r="AY152" i="1"/>
  <c r="AZ152" i="1" s="1"/>
  <c r="BA152" i="1" s="1"/>
  <c r="AY151" i="1"/>
  <c r="AZ151" i="1" s="1"/>
  <c r="BA151" i="1" s="1"/>
  <c r="AY150" i="1"/>
  <c r="AY149" i="1"/>
  <c r="AZ149" i="1" s="1"/>
  <c r="BA149" i="1" s="1"/>
  <c r="AY148" i="1"/>
  <c r="AZ148" i="1" s="1"/>
  <c r="BA148" i="1" s="1"/>
  <c r="AY147" i="1"/>
  <c r="AZ147" i="1" s="1"/>
  <c r="BA147" i="1" s="1"/>
  <c r="AY146" i="1"/>
  <c r="AY145" i="1"/>
  <c r="AZ145" i="1" s="1"/>
  <c r="BA145" i="1" s="1"/>
  <c r="AY144" i="1"/>
  <c r="AZ144" i="1" s="1"/>
  <c r="BA144" i="1" s="1"/>
  <c r="AT156" i="1"/>
  <c r="AU156" i="1" s="1"/>
  <c r="AV156" i="1" s="1"/>
  <c r="AT155" i="1"/>
  <c r="AT154" i="1"/>
  <c r="AU154" i="1" s="1"/>
  <c r="AV154" i="1" s="1"/>
  <c r="AT153" i="1"/>
  <c r="AU153" i="1" s="1"/>
  <c r="AV153" i="1" s="1"/>
  <c r="AT152" i="1"/>
  <c r="AU152" i="1" s="1"/>
  <c r="AV152" i="1" s="1"/>
  <c r="AT151" i="1"/>
  <c r="AT150" i="1"/>
  <c r="AU150" i="1" s="1"/>
  <c r="AV150" i="1" s="1"/>
  <c r="AT149" i="1"/>
  <c r="AU149" i="1" s="1"/>
  <c r="AV149" i="1" s="1"/>
  <c r="AT148" i="1"/>
  <c r="AU148" i="1" s="1"/>
  <c r="AV148" i="1" s="1"/>
  <c r="AT147" i="1"/>
  <c r="AT146" i="1"/>
  <c r="AU146" i="1" s="1"/>
  <c r="AV146" i="1" s="1"/>
  <c r="AT145" i="1"/>
  <c r="AU145" i="1" s="1"/>
  <c r="AV145" i="1" s="1"/>
  <c r="AT144" i="1"/>
  <c r="AU144" i="1" s="1"/>
  <c r="AO156" i="1"/>
  <c r="AO155" i="1"/>
  <c r="AP155" i="1" s="1"/>
  <c r="AQ155" i="1" s="1"/>
  <c r="AO154" i="1"/>
  <c r="AP154" i="1" s="1"/>
  <c r="AQ154" i="1" s="1"/>
  <c r="AO153" i="1"/>
  <c r="AP153" i="1" s="1"/>
  <c r="AQ153" i="1" s="1"/>
  <c r="AO152" i="1"/>
  <c r="AO151" i="1"/>
  <c r="AP151" i="1" s="1"/>
  <c r="AQ151" i="1" s="1"/>
  <c r="AO150" i="1"/>
  <c r="AP150" i="1" s="1"/>
  <c r="AQ150" i="1" s="1"/>
  <c r="AO149" i="1"/>
  <c r="AP149" i="1" s="1"/>
  <c r="AQ149" i="1" s="1"/>
  <c r="AO148" i="1"/>
  <c r="AO147" i="1"/>
  <c r="AP147" i="1" s="1"/>
  <c r="AQ147" i="1" s="1"/>
  <c r="AO146" i="1"/>
  <c r="AP146" i="1" s="1"/>
  <c r="AQ146" i="1" s="1"/>
  <c r="AO145" i="1"/>
  <c r="AP145" i="1" s="1"/>
  <c r="AQ145" i="1" s="1"/>
  <c r="AO144" i="1"/>
  <c r="AJ156" i="1"/>
  <c r="AK156" i="1" s="1"/>
  <c r="AL156" i="1" s="1"/>
  <c r="AJ155" i="1"/>
  <c r="AK155" i="1" s="1"/>
  <c r="AL155" i="1" s="1"/>
  <c r="AJ154" i="1"/>
  <c r="AK154" i="1" s="1"/>
  <c r="AL154" i="1" s="1"/>
  <c r="AJ153" i="1"/>
  <c r="AJ152" i="1"/>
  <c r="AK152" i="1" s="1"/>
  <c r="AL152" i="1" s="1"/>
  <c r="AJ151" i="1"/>
  <c r="AK151" i="1" s="1"/>
  <c r="AL151" i="1" s="1"/>
  <c r="AJ150" i="1"/>
  <c r="AK150" i="1" s="1"/>
  <c r="AL150" i="1" s="1"/>
  <c r="AJ149" i="1"/>
  <c r="AK149" i="1" s="1"/>
  <c r="AL149" i="1" s="1"/>
  <c r="AJ148" i="1"/>
  <c r="AK148" i="1" s="1"/>
  <c r="AL148" i="1" s="1"/>
  <c r="AJ147" i="1"/>
  <c r="AK147" i="1" s="1"/>
  <c r="AL147" i="1" s="1"/>
  <c r="AJ146" i="1"/>
  <c r="AK146" i="1" s="1"/>
  <c r="AL146" i="1" s="1"/>
  <c r="AJ145" i="1"/>
  <c r="AK145" i="1" s="1"/>
  <c r="AL145" i="1" s="1"/>
  <c r="AJ144" i="1"/>
  <c r="AK144" i="1" s="1"/>
  <c r="AE156" i="1"/>
  <c r="AF156" i="1" s="1"/>
  <c r="AG156" i="1" s="1"/>
  <c r="AE155" i="1"/>
  <c r="AF155" i="1" s="1"/>
  <c r="AG155" i="1" s="1"/>
  <c r="AE154" i="1"/>
  <c r="AF154" i="1" s="1"/>
  <c r="AG154" i="1" s="1"/>
  <c r="AE153" i="1"/>
  <c r="AF153" i="1" s="1"/>
  <c r="AG153" i="1" s="1"/>
  <c r="AE152" i="1"/>
  <c r="AF152" i="1" s="1"/>
  <c r="AG152" i="1" s="1"/>
  <c r="AE151" i="1"/>
  <c r="AF151" i="1" s="1"/>
  <c r="AG151" i="1" s="1"/>
  <c r="AE150" i="1"/>
  <c r="AF150" i="1" s="1"/>
  <c r="AG150" i="1" s="1"/>
  <c r="AE149" i="1"/>
  <c r="AF149" i="1" s="1"/>
  <c r="AG149" i="1" s="1"/>
  <c r="AE148" i="1"/>
  <c r="AF148" i="1" s="1"/>
  <c r="AG148" i="1" s="1"/>
  <c r="AE147" i="1"/>
  <c r="AF147" i="1" s="1"/>
  <c r="AG147" i="1" s="1"/>
  <c r="AE146" i="1"/>
  <c r="AF146" i="1" s="1"/>
  <c r="AG146" i="1" s="1"/>
  <c r="AE145" i="1"/>
  <c r="AF145" i="1" s="1"/>
  <c r="AG145" i="1" s="1"/>
  <c r="AE144" i="1"/>
  <c r="AF144" i="1" s="1"/>
  <c r="O149" i="1"/>
  <c r="J149" i="1"/>
  <c r="I149" i="1"/>
  <c r="H149" i="1"/>
  <c r="G149" i="1"/>
  <c r="F149" i="1"/>
  <c r="E149" i="1"/>
  <c r="K148" i="1"/>
  <c r="L148" i="1" s="1"/>
  <c r="M148" i="1" s="1"/>
  <c r="CR147" i="1"/>
  <c r="O147" i="1"/>
  <c r="P147" i="1" s="1"/>
  <c r="Q147" i="1" s="1"/>
  <c r="J147" i="1"/>
  <c r="K147" i="1" s="1"/>
  <c r="L147" i="1" s="1"/>
  <c r="M147" i="1" s="1"/>
  <c r="I147" i="1"/>
  <c r="H147" i="1"/>
  <c r="G147" i="1"/>
  <c r="F147" i="1"/>
  <c r="E147" i="1"/>
  <c r="K146" i="1"/>
  <c r="K145" i="1"/>
  <c r="CR146" i="1"/>
  <c r="CR145" i="1"/>
  <c r="CR144" i="1"/>
  <c r="P148" i="1"/>
  <c r="Q148" i="1" s="1"/>
  <c r="P146" i="1"/>
  <c r="Q146" i="1" s="1"/>
  <c r="P145" i="1"/>
  <c r="Q145" i="1" s="1"/>
  <c r="O144" i="1"/>
  <c r="J144" i="1"/>
  <c r="K144" i="1" s="1"/>
  <c r="I144" i="1"/>
  <c r="H144" i="1"/>
  <c r="G144" i="1"/>
  <c r="F144" i="1"/>
  <c r="E144" i="1"/>
  <c r="CM141" i="1"/>
  <c r="CM186" i="1" s="1"/>
  <c r="CH141" i="1"/>
  <c r="CC141" i="1"/>
  <c r="CC186" i="1" s="1"/>
  <c r="BX141" i="1"/>
  <c r="BS141" i="1"/>
  <c r="BS186" i="1" s="1"/>
  <c r="BN141" i="1"/>
  <c r="BN186" i="1" s="1"/>
  <c r="BI141" i="1"/>
  <c r="BD141" i="1"/>
  <c r="BD186" i="1" s="1"/>
  <c r="AY141" i="1"/>
  <c r="AT141" i="1"/>
  <c r="AO141" i="1"/>
  <c r="AJ141" i="1"/>
  <c r="AJ186" i="1" s="1"/>
  <c r="AE141" i="1"/>
  <c r="Z141" i="1"/>
  <c r="Z186" i="1" s="1"/>
  <c r="U141" i="1"/>
  <c r="U186" i="1" s="1"/>
  <c r="O141" i="1"/>
  <c r="P141" i="1" s="1"/>
  <c r="J141" i="1"/>
  <c r="K141" i="1" s="1"/>
  <c r="L141" i="1" s="1"/>
  <c r="I141" i="1"/>
  <c r="H141" i="1"/>
  <c r="G141" i="1"/>
  <c r="F141" i="1"/>
  <c r="E141" i="1"/>
  <c r="CN139" i="1"/>
  <c r="CM139" i="1"/>
  <c r="CI139" i="1"/>
  <c r="CH139" i="1"/>
  <c r="CD139" i="1"/>
  <c r="CC139" i="1"/>
  <c r="BY139" i="1"/>
  <c r="BX139" i="1"/>
  <c r="BT139" i="1"/>
  <c r="BS139" i="1"/>
  <c r="BO139" i="1"/>
  <c r="BN139" i="1"/>
  <c r="BJ139" i="1"/>
  <c r="BI139" i="1"/>
  <c r="BE139" i="1"/>
  <c r="BD139" i="1"/>
  <c r="AZ139" i="1"/>
  <c r="AY139" i="1"/>
  <c r="AU139" i="1"/>
  <c r="AT139" i="1"/>
  <c r="AP139" i="1"/>
  <c r="AO139" i="1"/>
  <c r="AK139" i="1"/>
  <c r="AJ139" i="1"/>
  <c r="AF139" i="1"/>
  <c r="AE139" i="1"/>
  <c r="AA139" i="1"/>
  <c r="Z139" i="1"/>
  <c r="I139" i="1"/>
  <c r="H139" i="1"/>
  <c r="G139" i="1"/>
  <c r="F139" i="1"/>
  <c r="E139" i="1"/>
  <c r="E136" i="1"/>
  <c r="E133" i="1"/>
  <c r="E262" i="1" s="1"/>
  <c r="CR141" i="1"/>
  <c r="CS139" i="1"/>
  <c r="CR139" i="1"/>
  <c r="CS138" i="1"/>
  <c r="CR138" i="1"/>
  <c r="CS137" i="1"/>
  <c r="CR137" i="1"/>
  <c r="CS136" i="1"/>
  <c r="CR136" i="1"/>
  <c r="CS135" i="1"/>
  <c r="CR135" i="1"/>
  <c r="CN138" i="1"/>
  <c r="CM138" i="1"/>
  <c r="CI138" i="1"/>
  <c r="CH138" i="1"/>
  <c r="CD138" i="1"/>
  <c r="CC138" i="1"/>
  <c r="BY138" i="1"/>
  <c r="BX138" i="1"/>
  <c r="BT138" i="1"/>
  <c r="BS138" i="1"/>
  <c r="BO138" i="1"/>
  <c r="BN138" i="1"/>
  <c r="BJ138" i="1"/>
  <c r="BI138" i="1"/>
  <c r="BE138" i="1"/>
  <c r="BD138" i="1"/>
  <c r="AZ138" i="1"/>
  <c r="AY138" i="1"/>
  <c r="AU138" i="1"/>
  <c r="AT138" i="1"/>
  <c r="AP138" i="1"/>
  <c r="AO138" i="1"/>
  <c r="AK138" i="1"/>
  <c r="AJ138" i="1"/>
  <c r="AF138" i="1"/>
  <c r="AE138" i="1"/>
  <c r="AA138" i="1"/>
  <c r="Z138" i="1"/>
  <c r="V138" i="1"/>
  <c r="U138" i="1"/>
  <c r="Q138" i="1"/>
  <c r="P138" i="1"/>
  <c r="L138" i="1"/>
  <c r="K138" i="1"/>
  <c r="J138" i="1"/>
  <c r="CN137" i="1"/>
  <c r="CM137" i="1"/>
  <c r="CI137" i="1"/>
  <c r="CH137" i="1"/>
  <c r="CD137" i="1"/>
  <c r="CC137" i="1"/>
  <c r="BY137" i="1"/>
  <c r="BX137" i="1"/>
  <c r="BT137" i="1"/>
  <c r="BS137" i="1"/>
  <c r="BO137" i="1"/>
  <c r="BN137" i="1"/>
  <c r="BJ137" i="1"/>
  <c r="BI137" i="1"/>
  <c r="BE137" i="1"/>
  <c r="BD137" i="1"/>
  <c r="AZ137" i="1"/>
  <c r="AY137" i="1"/>
  <c r="AU137" i="1"/>
  <c r="AT137" i="1"/>
  <c r="AP137" i="1"/>
  <c r="AO137" i="1"/>
  <c r="AK137" i="1"/>
  <c r="AJ137" i="1"/>
  <c r="AF137" i="1"/>
  <c r="AE137" i="1"/>
  <c r="AA137" i="1"/>
  <c r="Z137" i="1"/>
  <c r="CN136" i="1"/>
  <c r="CM136" i="1"/>
  <c r="CI136" i="1"/>
  <c r="CH136" i="1"/>
  <c r="CD136" i="1"/>
  <c r="CC136" i="1"/>
  <c r="BY136" i="1"/>
  <c r="BX136" i="1"/>
  <c r="BT136" i="1"/>
  <c r="BS136" i="1"/>
  <c r="BO136" i="1"/>
  <c r="BN136" i="1"/>
  <c r="BJ136" i="1"/>
  <c r="BI136" i="1"/>
  <c r="BE136" i="1"/>
  <c r="BD136" i="1"/>
  <c r="AZ136" i="1"/>
  <c r="AY136" i="1"/>
  <c r="AU136" i="1"/>
  <c r="AT136" i="1"/>
  <c r="AP136" i="1"/>
  <c r="AO136" i="1"/>
  <c r="AK136" i="1"/>
  <c r="AJ136" i="1"/>
  <c r="AF136" i="1"/>
  <c r="AE136" i="1"/>
  <c r="AA136" i="1"/>
  <c r="Z136" i="1"/>
  <c r="CN135" i="1"/>
  <c r="CM135" i="1"/>
  <c r="CI135" i="1"/>
  <c r="CH135" i="1"/>
  <c r="CD135" i="1"/>
  <c r="CC135" i="1"/>
  <c r="BY135" i="1"/>
  <c r="BX135" i="1"/>
  <c r="BT135" i="1"/>
  <c r="BS135" i="1"/>
  <c r="BP135" i="1"/>
  <c r="BO135" i="1"/>
  <c r="BN135" i="1"/>
  <c r="BK135" i="1"/>
  <c r="BJ135" i="1"/>
  <c r="BI135" i="1"/>
  <c r="BF135" i="1"/>
  <c r="BE135" i="1"/>
  <c r="BD135" i="1"/>
  <c r="BA135" i="1"/>
  <c r="AZ135" i="1"/>
  <c r="AY135" i="1"/>
  <c r="AV135" i="1"/>
  <c r="AU135" i="1"/>
  <c r="AT135" i="1"/>
  <c r="AQ135" i="1"/>
  <c r="AP135" i="1"/>
  <c r="AO135" i="1"/>
  <c r="AL135" i="1"/>
  <c r="AK135" i="1"/>
  <c r="AJ135" i="1"/>
  <c r="AG135" i="1"/>
  <c r="AF135" i="1"/>
  <c r="AE135" i="1"/>
  <c r="AB135" i="1"/>
  <c r="AA135" i="1"/>
  <c r="Z135" i="1"/>
  <c r="CO133" i="1"/>
  <c r="DH133" i="1" s="1"/>
  <c r="CN133" i="1"/>
  <c r="CM133" i="1"/>
  <c r="CL133" i="1"/>
  <c r="CJ133" i="1"/>
  <c r="CI133" i="1"/>
  <c r="CH133" i="1"/>
  <c r="CG133" i="1"/>
  <c r="CE133" i="1"/>
  <c r="CD133" i="1"/>
  <c r="CC133" i="1"/>
  <c r="CB133" i="1"/>
  <c r="BZ133" i="1"/>
  <c r="BY133" i="1"/>
  <c r="BX133" i="1"/>
  <c r="BW133" i="1"/>
  <c r="BU133" i="1"/>
  <c r="BT133" i="1"/>
  <c r="BS133" i="1"/>
  <c r="BR133" i="1"/>
  <c r="BP133" i="1"/>
  <c r="BO133" i="1"/>
  <c r="BN133" i="1"/>
  <c r="BM133" i="1"/>
  <c r="BK133" i="1"/>
  <c r="BJ133" i="1"/>
  <c r="BI133" i="1"/>
  <c r="BH133" i="1"/>
  <c r="BF133" i="1"/>
  <c r="BE133" i="1"/>
  <c r="BD133" i="1"/>
  <c r="BC133" i="1"/>
  <c r="BA133" i="1"/>
  <c r="AZ133" i="1"/>
  <c r="AY133" i="1"/>
  <c r="AX133" i="1"/>
  <c r="AV133" i="1"/>
  <c r="AU133" i="1"/>
  <c r="AT133" i="1"/>
  <c r="AS133" i="1"/>
  <c r="AQ133" i="1"/>
  <c r="AP133" i="1"/>
  <c r="AO133" i="1"/>
  <c r="AN133" i="1"/>
  <c r="AL133" i="1"/>
  <c r="AK133" i="1"/>
  <c r="AJ133" i="1"/>
  <c r="AI133" i="1"/>
  <c r="AG133" i="1"/>
  <c r="AF133" i="1"/>
  <c r="AE133" i="1"/>
  <c r="AD133" i="1"/>
  <c r="AB133" i="1"/>
  <c r="AA133" i="1"/>
  <c r="Z133" i="1"/>
  <c r="Y133" i="1"/>
  <c r="W133" i="1"/>
  <c r="V133" i="1"/>
  <c r="U133" i="1"/>
  <c r="T133" i="1"/>
  <c r="R133" i="1"/>
  <c r="Q133" i="1"/>
  <c r="P133" i="1"/>
  <c r="O133" i="1"/>
  <c r="M133" i="1"/>
  <c r="L133" i="1"/>
  <c r="K133" i="1"/>
  <c r="J133" i="1"/>
  <c r="I137" i="1"/>
  <c r="H137" i="1"/>
  <c r="G137" i="1"/>
  <c r="F137" i="1"/>
  <c r="I136" i="1"/>
  <c r="H136" i="1"/>
  <c r="G136" i="1"/>
  <c r="F136" i="1"/>
  <c r="I133" i="1"/>
  <c r="H133" i="1"/>
  <c r="G133" i="1"/>
  <c r="F133" i="1"/>
  <c r="DC129" i="1"/>
  <c r="DB129" i="1"/>
  <c r="DA129" i="1"/>
  <c r="CZ129" i="1"/>
  <c r="CY129" i="1"/>
  <c r="CX129" i="1"/>
  <c r="CW129" i="1"/>
  <c r="CV129" i="1"/>
  <c r="CU129" i="1"/>
  <c r="CT129" i="1"/>
  <c r="CS129" i="1"/>
  <c r="CR129" i="1"/>
  <c r="CQ129" i="1"/>
  <c r="CP129" i="1"/>
  <c r="CO129" i="1"/>
  <c r="CN129" i="1"/>
  <c r="CM129" i="1"/>
  <c r="CL129" i="1"/>
  <c r="CK129" i="1"/>
  <c r="CJ129" i="1"/>
  <c r="CI129" i="1"/>
  <c r="CH129" i="1"/>
  <c r="CG129" i="1"/>
  <c r="CF129" i="1"/>
  <c r="CE129" i="1"/>
  <c r="CD129" i="1"/>
  <c r="CC129" i="1"/>
  <c r="CB129" i="1"/>
  <c r="CA129" i="1"/>
  <c r="BZ129" i="1"/>
  <c r="BY129" i="1"/>
  <c r="BX129" i="1"/>
  <c r="BW129" i="1"/>
  <c r="BV129" i="1"/>
  <c r="BU129" i="1"/>
  <c r="BT129" i="1"/>
  <c r="BS129" i="1"/>
  <c r="BR129" i="1"/>
  <c r="BQ129" i="1"/>
  <c r="BP129" i="1"/>
  <c r="BO129" i="1"/>
  <c r="BN129" i="1"/>
  <c r="BM129" i="1"/>
  <c r="BL129" i="1"/>
  <c r="BK129" i="1"/>
  <c r="BJ129" i="1"/>
  <c r="BI129" i="1"/>
  <c r="BH129" i="1"/>
  <c r="BG129" i="1"/>
  <c r="BF129" i="1"/>
  <c r="BE129" i="1"/>
  <c r="BD129" i="1"/>
  <c r="BC129" i="1"/>
  <c r="BB129" i="1"/>
  <c r="BA129" i="1"/>
  <c r="AZ129" i="1"/>
  <c r="AY129" i="1"/>
  <c r="AX129" i="1"/>
  <c r="AW129" i="1"/>
  <c r="AV129" i="1"/>
  <c r="AU129" i="1"/>
  <c r="AT129" i="1"/>
  <c r="AS129" i="1"/>
  <c r="AR129" i="1"/>
  <c r="AQ129" i="1"/>
  <c r="AP129" i="1"/>
  <c r="AO129" i="1"/>
  <c r="AN129" i="1"/>
  <c r="AM129" i="1"/>
  <c r="AL129" i="1"/>
  <c r="AK129" i="1"/>
  <c r="AJ129" i="1"/>
  <c r="AI129" i="1"/>
  <c r="AH129" i="1"/>
  <c r="AG129" i="1"/>
  <c r="AF129" i="1"/>
  <c r="AE129" i="1"/>
  <c r="AD129" i="1"/>
  <c r="AC129" i="1"/>
  <c r="AB129" i="1"/>
  <c r="AA129" i="1"/>
  <c r="Z129" i="1"/>
  <c r="Y129" i="1"/>
  <c r="X129" i="1"/>
  <c r="W129" i="1"/>
  <c r="V129" i="1"/>
  <c r="U129" i="1"/>
  <c r="T129" i="1"/>
  <c r="S129" i="1"/>
  <c r="R129" i="1"/>
  <c r="Q129" i="1"/>
  <c r="P129" i="1"/>
  <c r="O129" i="1"/>
  <c r="N129" i="1"/>
  <c r="M129" i="1"/>
  <c r="L129" i="1"/>
  <c r="K129" i="1"/>
  <c r="J129" i="1"/>
  <c r="I129" i="1"/>
  <c r="H129" i="1"/>
  <c r="G129" i="1"/>
  <c r="F129" i="1"/>
  <c r="E129" i="1"/>
  <c r="CN122" i="1"/>
  <c r="CM122" i="1"/>
  <c r="CL122" i="1"/>
  <c r="CK122" i="1"/>
  <c r="CJ122" i="1"/>
  <c r="CI122" i="1"/>
  <c r="CH122" i="1"/>
  <c r="CG122" i="1"/>
  <c r="CF122" i="1"/>
  <c r="CE122" i="1"/>
  <c r="CD122" i="1"/>
  <c r="CC122" i="1"/>
  <c r="CB122" i="1"/>
  <c r="CA122" i="1"/>
  <c r="BZ122" i="1"/>
  <c r="BY122" i="1"/>
  <c r="BX122" i="1"/>
  <c r="BW122" i="1"/>
  <c r="BV122" i="1"/>
  <c r="BU122" i="1"/>
  <c r="BT122" i="1"/>
  <c r="BS122" i="1"/>
  <c r="BR122" i="1"/>
  <c r="BQ122" i="1"/>
  <c r="BP122" i="1"/>
  <c r="BO122" i="1"/>
  <c r="BN122" i="1"/>
  <c r="BM122" i="1"/>
  <c r="BL122" i="1"/>
  <c r="BK122" i="1"/>
  <c r="BJ122" i="1"/>
  <c r="BI122" i="1"/>
  <c r="BH122" i="1"/>
  <c r="BG122" i="1"/>
  <c r="BF122" i="1"/>
  <c r="BE122" i="1"/>
  <c r="BD122" i="1"/>
  <c r="BC122" i="1"/>
  <c r="BB122" i="1"/>
  <c r="BA122" i="1"/>
  <c r="AZ122" i="1"/>
  <c r="AY122" i="1"/>
  <c r="AX122" i="1"/>
  <c r="AW122" i="1"/>
  <c r="AV122" i="1"/>
  <c r="AU122" i="1"/>
  <c r="AT122" i="1"/>
  <c r="AS122" i="1"/>
  <c r="AR122" i="1"/>
  <c r="AQ122" i="1"/>
  <c r="AP122" i="1"/>
  <c r="AO122" i="1"/>
  <c r="AN122" i="1"/>
  <c r="AM122" i="1"/>
  <c r="AL122" i="1"/>
  <c r="AK122" i="1"/>
  <c r="AJ122" i="1"/>
  <c r="AI122" i="1"/>
  <c r="AH122" i="1"/>
  <c r="AG122" i="1"/>
  <c r="AF122" i="1"/>
  <c r="AE122" i="1"/>
  <c r="AD122" i="1"/>
  <c r="AC122" i="1"/>
  <c r="AB122" i="1"/>
  <c r="AA122" i="1"/>
  <c r="Z122" i="1"/>
  <c r="Y122" i="1"/>
  <c r="X122" i="1"/>
  <c r="W122" i="1"/>
  <c r="V122" i="1"/>
  <c r="U122" i="1"/>
  <c r="T122" i="1"/>
  <c r="S122" i="1"/>
  <c r="R122" i="1"/>
  <c r="Q122" i="1"/>
  <c r="P122" i="1"/>
  <c r="O122" i="1"/>
  <c r="N122" i="1"/>
  <c r="M122" i="1"/>
  <c r="L122" i="1"/>
  <c r="K122" i="1"/>
  <c r="J122" i="1"/>
  <c r="I122" i="1"/>
  <c r="H122" i="1"/>
  <c r="G122" i="1"/>
  <c r="F122" i="1"/>
  <c r="CS121" i="1"/>
  <c r="CS120" i="1"/>
  <c r="CR120" i="1"/>
  <c r="CR122" i="1" s="1"/>
  <c r="CQ120" i="1"/>
  <c r="CQ122" i="1" s="1"/>
  <c r="CO120" i="1"/>
  <c r="CO122" i="1" s="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4" i="1" s="1"/>
  <c r="A36" i="1" s="1"/>
  <c r="A37" i="1" s="1"/>
  <c r="A38" i="1" s="1"/>
  <c r="A39" i="1" s="1"/>
  <c r="A40" i="1" s="1"/>
  <c r="A41" i="1" s="1"/>
  <c r="A42" i="1" s="1"/>
  <c r="A43" i="1" s="1"/>
  <c r="A44" i="1" s="1"/>
  <c r="A45" i="1" s="1"/>
  <c r="A46" i="1" s="1"/>
  <c r="A47" i="1" s="1"/>
  <c r="CR117" i="1"/>
  <c r="CQ117" i="1"/>
  <c r="CO117" i="1"/>
  <c r="DH117" i="1" s="1"/>
  <c r="CN117" i="1"/>
  <c r="CM117" i="1"/>
  <c r="CL117" i="1"/>
  <c r="CJ117" i="1"/>
  <c r="CI117" i="1"/>
  <c r="CH117" i="1"/>
  <c r="CG117" i="1"/>
  <c r="CE117" i="1"/>
  <c r="CD117" i="1"/>
  <c r="CC117" i="1"/>
  <c r="CB117" i="1"/>
  <c r="BZ117" i="1"/>
  <c r="BY117" i="1"/>
  <c r="BX117" i="1"/>
  <c r="BW117" i="1"/>
  <c r="BU117" i="1"/>
  <c r="BT117" i="1"/>
  <c r="BS117" i="1"/>
  <c r="BR117" i="1"/>
  <c r="BP117" i="1"/>
  <c r="BO117" i="1"/>
  <c r="BN117" i="1"/>
  <c r="BM117" i="1"/>
  <c r="BK117" i="1"/>
  <c r="BJ117" i="1"/>
  <c r="BI117" i="1"/>
  <c r="BH117" i="1"/>
  <c r="BF117" i="1"/>
  <c r="BE117" i="1"/>
  <c r="BD117" i="1"/>
  <c r="BC117" i="1"/>
  <c r="BA117" i="1"/>
  <c r="AZ117" i="1"/>
  <c r="Y117" i="1"/>
  <c r="W117" i="1"/>
  <c r="R117" i="1"/>
  <c r="CS116" i="1"/>
  <c r="CR116" i="1"/>
  <c r="CQ116" i="1"/>
  <c r="CO116" i="1"/>
  <c r="CN116" i="1"/>
  <c r="CM116" i="1"/>
  <c r="CJ116" i="1"/>
  <c r="V116" i="1"/>
  <c r="U116" i="1"/>
  <c r="T116" i="1"/>
  <c r="Q116" i="1"/>
  <c r="P116" i="1"/>
  <c r="O116" i="1"/>
  <c r="L116" i="1"/>
  <c r="K116" i="1"/>
  <c r="J116" i="1"/>
  <c r="DF109" i="1"/>
  <c r="DJ109" i="1" s="1"/>
  <c r="CP109" i="1"/>
  <c r="CK109" i="1"/>
  <c r="CF109" i="1"/>
  <c r="CA109" i="1"/>
  <c r="BV109" i="1"/>
  <c r="BQ109" i="1"/>
  <c r="BL109" i="1"/>
  <c r="BG109" i="1"/>
  <c r="BB109" i="1"/>
  <c r="AW109" i="1"/>
  <c r="AR109" i="1"/>
  <c r="AM109" i="1"/>
  <c r="AH109" i="1"/>
  <c r="AC109" i="1"/>
  <c r="X109" i="1"/>
  <c r="S109" i="1"/>
  <c r="N109" i="1"/>
  <c r="CS107" i="1"/>
  <c r="CR107" i="1"/>
  <c r="CQ107" i="1"/>
  <c r="CO107" i="1"/>
  <c r="CN107" i="1"/>
  <c r="CM107" i="1"/>
  <c r="CL107" i="1"/>
  <c r="CJ107" i="1"/>
  <c r="CI107" i="1"/>
  <c r="CH107" i="1"/>
  <c r="CG107" i="1"/>
  <c r="CE107" i="1"/>
  <c r="CD107" i="1"/>
  <c r="CC107" i="1"/>
  <c r="CB107" i="1"/>
  <c r="BZ107" i="1"/>
  <c r="BY107" i="1"/>
  <c r="BX107" i="1"/>
  <c r="BW107" i="1"/>
  <c r="BU107" i="1"/>
  <c r="BT107" i="1"/>
  <c r="BS107" i="1"/>
  <c r="BR107" i="1"/>
  <c r="BP107" i="1"/>
  <c r="BO107" i="1"/>
  <c r="BN107" i="1"/>
  <c r="BM107" i="1"/>
  <c r="BK107" i="1"/>
  <c r="BJ107" i="1"/>
  <c r="BI107" i="1"/>
  <c r="BH107" i="1"/>
  <c r="BF107" i="1"/>
  <c r="BE107" i="1"/>
  <c r="BD107" i="1"/>
  <c r="BC107" i="1"/>
  <c r="BA107" i="1"/>
  <c r="AZ107" i="1"/>
  <c r="AY107" i="1"/>
  <c r="AX107" i="1"/>
  <c r="AV107" i="1"/>
  <c r="AU107" i="1"/>
  <c r="AT107" i="1"/>
  <c r="AS107" i="1"/>
  <c r="AQ107" i="1"/>
  <c r="AP107" i="1"/>
  <c r="AO107" i="1"/>
  <c r="AN107" i="1"/>
  <c r="AL107" i="1"/>
  <c r="AK107" i="1"/>
  <c r="AJ107" i="1"/>
  <c r="AI107" i="1"/>
  <c r="AG107" i="1"/>
  <c r="AF107" i="1"/>
  <c r="AE107" i="1"/>
  <c r="AD107" i="1"/>
  <c r="AB107" i="1"/>
  <c r="AA107" i="1"/>
  <c r="Z107" i="1"/>
  <c r="Y107" i="1"/>
  <c r="W107" i="1"/>
  <c r="V107" i="1"/>
  <c r="U107" i="1"/>
  <c r="T107" i="1"/>
  <c r="R107" i="1"/>
  <c r="Q107" i="1"/>
  <c r="P107" i="1"/>
  <c r="P126" i="1" s="1"/>
  <c r="O107" i="1"/>
  <c r="M107" i="1"/>
  <c r="L107" i="1"/>
  <c r="K107" i="1"/>
  <c r="J107" i="1"/>
  <c r="I107" i="1"/>
  <c r="H107" i="1"/>
  <c r="G107" i="1"/>
  <c r="F107" i="1"/>
  <c r="E107" i="1"/>
  <c r="CP106" i="1"/>
  <c r="CP105" i="1"/>
  <c r="CP104" i="1"/>
  <c r="CP103" i="1"/>
  <c r="CP102" i="1"/>
  <c r="CP101" i="1"/>
  <c r="CK106" i="1"/>
  <c r="CK105" i="1"/>
  <c r="CK104" i="1"/>
  <c r="CK103" i="1"/>
  <c r="CK102" i="1"/>
  <c r="CK101" i="1"/>
  <c r="CF106" i="1"/>
  <c r="CF105" i="1"/>
  <c r="CF104" i="1"/>
  <c r="CF103" i="1"/>
  <c r="CF102" i="1"/>
  <c r="CF101" i="1"/>
  <c r="CA106" i="1"/>
  <c r="CA105" i="1"/>
  <c r="CA104" i="1"/>
  <c r="CA103" i="1"/>
  <c r="CA102" i="1"/>
  <c r="CA101" i="1"/>
  <c r="BV106" i="1"/>
  <c r="BV105" i="1"/>
  <c r="BV104" i="1"/>
  <c r="BV103" i="1"/>
  <c r="BV102" i="1"/>
  <c r="BV101" i="1"/>
  <c r="BQ106" i="1"/>
  <c r="BQ105" i="1"/>
  <c r="BQ104" i="1"/>
  <c r="BQ103" i="1"/>
  <c r="BQ102" i="1"/>
  <c r="BQ101" i="1"/>
  <c r="BL106" i="1"/>
  <c r="BL105" i="1"/>
  <c r="BL104" i="1"/>
  <c r="BL103" i="1"/>
  <c r="BL102" i="1"/>
  <c r="BL101" i="1"/>
  <c r="BG106" i="1"/>
  <c r="BG105" i="1"/>
  <c r="BG104" i="1"/>
  <c r="BG103" i="1"/>
  <c r="BG102" i="1"/>
  <c r="BG101" i="1"/>
  <c r="BB106" i="1"/>
  <c r="BB105" i="1"/>
  <c r="BB104" i="1"/>
  <c r="BB103" i="1"/>
  <c r="BB102" i="1"/>
  <c r="BB101" i="1"/>
  <c r="AW106" i="1"/>
  <c r="AW105" i="1"/>
  <c r="AW104" i="1"/>
  <c r="AW103" i="1"/>
  <c r="AW102" i="1"/>
  <c r="AW101" i="1"/>
  <c r="AR106" i="1"/>
  <c r="AR105" i="1"/>
  <c r="AR104" i="1"/>
  <c r="AR103" i="1"/>
  <c r="AR102" i="1"/>
  <c r="AR101" i="1"/>
  <c r="AM106" i="1"/>
  <c r="AM105" i="1"/>
  <c r="AM104" i="1"/>
  <c r="AM103" i="1"/>
  <c r="AM102" i="1"/>
  <c r="AM101" i="1"/>
  <c r="AH106" i="1"/>
  <c r="AH105" i="1"/>
  <c r="AH104" i="1"/>
  <c r="AH103" i="1"/>
  <c r="AH102" i="1"/>
  <c r="AH101" i="1"/>
  <c r="AC106" i="1"/>
  <c r="AC105" i="1"/>
  <c r="AC104" i="1"/>
  <c r="AC103" i="1"/>
  <c r="AC102" i="1"/>
  <c r="AC101" i="1"/>
  <c r="X106" i="1"/>
  <c r="X105" i="1"/>
  <c r="X104" i="1"/>
  <c r="X103" i="1"/>
  <c r="X102" i="1"/>
  <c r="X101" i="1"/>
  <c r="S106" i="1"/>
  <c r="S105" i="1"/>
  <c r="S104" i="1"/>
  <c r="S103" i="1"/>
  <c r="S102" i="1"/>
  <c r="S101" i="1"/>
  <c r="N106" i="1"/>
  <c r="N105" i="1"/>
  <c r="N104" i="1"/>
  <c r="N103" i="1"/>
  <c r="N102" i="1"/>
  <c r="N101" i="1"/>
  <c r="DF105" i="1"/>
  <c r="DJ105" i="1" s="1"/>
  <c r="DF103" i="1"/>
  <c r="DI103" i="1" s="1"/>
  <c r="CU101" i="1"/>
  <c r="CV101" i="1" s="1"/>
  <c r="CW101" i="1" s="1"/>
  <c r="CX101" i="1" s="1"/>
  <c r="CY101" i="1" s="1"/>
  <c r="DF101" i="1"/>
  <c r="DI101" i="1" s="1"/>
  <c r="CP98" i="1"/>
  <c r="CK98" i="1"/>
  <c r="CF98" i="1"/>
  <c r="CA98" i="1"/>
  <c r="BV98" i="1"/>
  <c r="BQ98" i="1"/>
  <c r="BL98" i="1"/>
  <c r="BG98" i="1"/>
  <c r="BB98" i="1"/>
  <c r="AW98" i="1"/>
  <c r="AR98" i="1"/>
  <c r="AM98" i="1"/>
  <c r="AH98" i="1"/>
  <c r="AC98" i="1"/>
  <c r="X98" i="1"/>
  <c r="S98" i="1"/>
  <c r="N98" i="1"/>
  <c r="CS96" i="1"/>
  <c r="CR96" i="1"/>
  <c r="CQ96" i="1"/>
  <c r="CO96" i="1"/>
  <c r="CN96" i="1"/>
  <c r="CM96" i="1"/>
  <c r="CJ96" i="1"/>
  <c r="CP95" i="1"/>
  <c r="CP94" i="1"/>
  <c r="CP93" i="1"/>
  <c r="CP92" i="1"/>
  <c r="CK95" i="1"/>
  <c r="CK94" i="1"/>
  <c r="CK93" i="1"/>
  <c r="CK92" i="1"/>
  <c r="CF95" i="1"/>
  <c r="CA95" i="1"/>
  <c r="BV95" i="1"/>
  <c r="BQ95" i="1"/>
  <c r="BL95" i="1"/>
  <c r="BG95" i="1"/>
  <c r="BB95" i="1"/>
  <c r="AW95" i="1"/>
  <c r="AR95" i="1"/>
  <c r="AM95" i="1"/>
  <c r="AH95" i="1"/>
  <c r="AC95" i="1"/>
  <c r="X95" i="1"/>
  <c r="V95" i="1"/>
  <c r="U95" i="1"/>
  <c r="T95" i="1"/>
  <c r="S95" i="1"/>
  <c r="Q95" i="1"/>
  <c r="P95" i="1"/>
  <c r="O95" i="1"/>
  <c r="M95" i="1"/>
  <c r="N95" i="1" s="1"/>
  <c r="L95" i="1"/>
  <c r="K95" i="1"/>
  <c r="J95" i="1"/>
  <c r="I95" i="1"/>
  <c r="H95" i="1"/>
  <c r="G95" i="1"/>
  <c r="F95" i="1"/>
  <c r="E95" i="1"/>
  <c r="AZ94" i="1"/>
  <c r="AZ226" i="1" s="1"/>
  <c r="AY94" i="1"/>
  <c r="AY226" i="1" s="1"/>
  <c r="AX94" i="1"/>
  <c r="AU94" i="1"/>
  <c r="AU226" i="1" s="1"/>
  <c r="AT94" i="1"/>
  <c r="AP94" i="1"/>
  <c r="AO94" i="1"/>
  <c r="AN94" i="1"/>
  <c r="AN226" i="1" s="1"/>
  <c r="AK94" i="1"/>
  <c r="AJ94" i="1"/>
  <c r="AJ226" i="1" s="1"/>
  <c r="AI94" i="1"/>
  <c r="AI226" i="1" s="1"/>
  <c r="AF94" i="1"/>
  <c r="AF226" i="1" s="1"/>
  <c r="AE94" i="1"/>
  <c r="AE226" i="1" s="1"/>
  <c r="AD94" i="1"/>
  <c r="AB94" i="1"/>
  <c r="AC94" i="1" s="1"/>
  <c r="AA94" i="1"/>
  <c r="AA226" i="1" s="1"/>
  <c r="Z94" i="1"/>
  <c r="Y94" i="1"/>
  <c r="W94" i="1"/>
  <c r="X94" i="1" s="1"/>
  <c r="W93" i="1"/>
  <c r="W92" i="1"/>
  <c r="I94" i="1"/>
  <c r="H94" i="1"/>
  <c r="H226" i="1" s="1"/>
  <c r="G94" i="1"/>
  <c r="G226" i="1" s="1"/>
  <c r="F94" i="1"/>
  <c r="E94" i="1"/>
  <c r="CG93" i="1"/>
  <c r="CG92" i="1"/>
  <c r="BA93" i="1"/>
  <c r="BA243" i="1" s="1"/>
  <c r="BA92" i="1"/>
  <c r="BB92" i="1" s="1"/>
  <c r="AV93" i="1"/>
  <c r="AW93" i="1" s="1"/>
  <c r="AV92" i="1"/>
  <c r="AW92" i="1" s="1"/>
  <c r="AS93" i="1"/>
  <c r="AS94" i="1" s="1"/>
  <c r="AS92" i="1"/>
  <c r="AQ93" i="1"/>
  <c r="AR93" i="1" s="1"/>
  <c r="AQ92" i="1"/>
  <c r="AL93" i="1"/>
  <c r="AL92" i="1"/>
  <c r="AM92" i="1" s="1"/>
  <c r="AG93" i="1"/>
  <c r="AH93" i="1" s="1"/>
  <c r="AG92" i="1"/>
  <c r="AB93" i="1"/>
  <c r="AB92" i="1"/>
  <c r="AC92" i="1" s="1"/>
  <c r="R94" i="1"/>
  <c r="S94" i="1" s="1"/>
  <c r="R93" i="1"/>
  <c r="S93" i="1" s="1"/>
  <c r="M94" i="1"/>
  <c r="N94" i="1" s="1"/>
  <c r="M93" i="1"/>
  <c r="N93" i="1" s="1"/>
  <c r="CL92" i="1"/>
  <c r="CI92" i="1"/>
  <c r="CH92" i="1"/>
  <c r="CE93" i="1"/>
  <c r="CD93" i="1"/>
  <c r="CC93" i="1"/>
  <c r="CB93" i="1"/>
  <c r="CE92" i="1"/>
  <c r="CD92" i="1"/>
  <c r="CC92" i="1"/>
  <c r="CB92" i="1"/>
  <c r="BZ93" i="1"/>
  <c r="BX93" i="1"/>
  <c r="BW93" i="1"/>
  <c r="BZ92" i="1"/>
  <c r="BX92" i="1"/>
  <c r="BW92" i="1"/>
  <c r="BU93" i="1"/>
  <c r="BU243" i="1" s="1"/>
  <c r="BT93" i="1"/>
  <c r="BT243" i="1" s="1"/>
  <c r="BS93" i="1"/>
  <c r="BS243" i="1" s="1"/>
  <c r="BR93" i="1"/>
  <c r="BR243" i="1" s="1"/>
  <c r="BU92" i="1"/>
  <c r="BT92" i="1"/>
  <c r="BS92" i="1"/>
  <c r="BR92" i="1"/>
  <c r="BP93" i="1"/>
  <c r="BP243" i="1" s="1"/>
  <c r="BO93" i="1"/>
  <c r="BO243" i="1" s="1"/>
  <c r="BN93" i="1"/>
  <c r="BN243" i="1" s="1"/>
  <c r="BM93" i="1"/>
  <c r="BM243" i="1" s="1"/>
  <c r="BP92" i="1"/>
  <c r="BQ92" i="1" s="1"/>
  <c r="BO92" i="1"/>
  <c r="BN92" i="1"/>
  <c r="BM92" i="1"/>
  <c r="BK93" i="1"/>
  <c r="BK243" i="1" s="1"/>
  <c r="BJ93" i="1"/>
  <c r="BJ243" i="1" s="1"/>
  <c r="BI93" i="1"/>
  <c r="BI243" i="1" s="1"/>
  <c r="BH93" i="1"/>
  <c r="BH243" i="1" s="1"/>
  <c r="BK92" i="1"/>
  <c r="BJ92" i="1"/>
  <c r="BI92" i="1"/>
  <c r="BH92" i="1"/>
  <c r="BF93" i="1"/>
  <c r="BF243" i="1" s="1"/>
  <c r="BE93" i="1"/>
  <c r="BE243" i="1" s="1"/>
  <c r="BD93" i="1"/>
  <c r="BD243" i="1" s="1"/>
  <c r="BC93" i="1"/>
  <c r="BC243" i="1" s="1"/>
  <c r="BF92" i="1"/>
  <c r="BE92" i="1"/>
  <c r="BD92" i="1"/>
  <c r="BC92" i="1"/>
  <c r="AZ92" i="1"/>
  <c r="AY92" i="1"/>
  <c r="AX92" i="1"/>
  <c r="AU92" i="1"/>
  <c r="AT92" i="1"/>
  <c r="AT96" i="1" s="1"/>
  <c r="AP92" i="1"/>
  <c r="AO92" i="1"/>
  <c r="AN92" i="1"/>
  <c r="AK92" i="1"/>
  <c r="AJ92" i="1"/>
  <c r="AJ96" i="1" s="1"/>
  <c r="AF92" i="1"/>
  <c r="AE92" i="1"/>
  <c r="AD92" i="1"/>
  <c r="AD96" i="1" s="1"/>
  <c r="AA92" i="1"/>
  <c r="Z92" i="1"/>
  <c r="Y92" i="1"/>
  <c r="V92" i="1"/>
  <c r="U92" i="1"/>
  <c r="U96" i="1" s="1"/>
  <c r="T92" i="1"/>
  <c r="R92" i="1"/>
  <c r="S92" i="1" s="1"/>
  <c r="Q92" i="1"/>
  <c r="Q96" i="1" s="1"/>
  <c r="P92" i="1"/>
  <c r="P96" i="1" s="1"/>
  <c r="O92" i="1"/>
  <c r="M92" i="1"/>
  <c r="L92" i="1"/>
  <c r="L96" i="1" s="1"/>
  <c r="K92" i="1"/>
  <c r="J92" i="1"/>
  <c r="I92" i="1"/>
  <c r="H92" i="1"/>
  <c r="G92" i="1"/>
  <c r="F92" i="1"/>
  <c r="E92" i="1"/>
  <c r="CS90" i="1"/>
  <c r="CR90" i="1"/>
  <c r="CQ90" i="1"/>
  <c r="CO90" i="1"/>
  <c r="DH90" i="1" s="1"/>
  <c r="CN90" i="1"/>
  <c r="CM90" i="1"/>
  <c r="CJ90" i="1"/>
  <c r="AZ90" i="1"/>
  <c r="AY90" i="1"/>
  <c r="AX90" i="1"/>
  <c r="AU90" i="1"/>
  <c r="AT90" i="1"/>
  <c r="AS90" i="1"/>
  <c r="AP90" i="1"/>
  <c r="AO90" i="1"/>
  <c r="AN90" i="1"/>
  <c r="AK90" i="1"/>
  <c r="AJ90" i="1"/>
  <c r="AF90" i="1"/>
  <c r="AE90" i="1"/>
  <c r="AD90" i="1"/>
  <c r="AA90" i="1"/>
  <c r="Z90" i="1"/>
  <c r="Y90" i="1"/>
  <c r="CP89" i="1"/>
  <c r="CP88" i="1"/>
  <c r="CP87" i="1"/>
  <c r="CP86" i="1"/>
  <c r="CL89" i="1"/>
  <c r="CL90" i="1" s="1"/>
  <c r="CK89" i="1"/>
  <c r="CI89" i="1"/>
  <c r="CI94" i="1" s="1"/>
  <c r="CH89" i="1"/>
  <c r="CH94" i="1" s="1"/>
  <c r="CG89" i="1"/>
  <c r="CG94" i="1" s="1"/>
  <c r="CE89" i="1"/>
  <c r="CE94" i="1" s="1"/>
  <c r="CF94" i="1" s="1"/>
  <c r="CD89" i="1"/>
  <c r="CD94" i="1" s="1"/>
  <c r="CC89" i="1"/>
  <c r="CB89" i="1"/>
  <c r="BZ89" i="1"/>
  <c r="BZ90" i="1" s="1"/>
  <c r="BY89" i="1"/>
  <c r="BY94" i="1" s="1"/>
  <c r="BX89" i="1"/>
  <c r="BW89" i="1"/>
  <c r="BW94" i="1" s="1"/>
  <c r="BU89" i="1"/>
  <c r="BU94" i="1" s="1"/>
  <c r="BV94" i="1" s="1"/>
  <c r="BT89" i="1"/>
  <c r="BT94" i="1" s="1"/>
  <c r="BS89" i="1"/>
  <c r="BS90" i="1" s="1"/>
  <c r="BR89" i="1"/>
  <c r="BR90" i="1" s="1"/>
  <c r="BP89" i="1"/>
  <c r="BO89" i="1"/>
  <c r="BO90" i="1" s="1"/>
  <c r="BN89" i="1"/>
  <c r="BN90" i="1" s="1"/>
  <c r="BM89" i="1"/>
  <c r="BK89" i="1"/>
  <c r="BK90" i="1" s="1"/>
  <c r="BJ89" i="1"/>
  <c r="BJ94" i="1" s="1"/>
  <c r="BI89" i="1"/>
  <c r="BH89" i="1"/>
  <c r="BF89" i="1"/>
  <c r="BF90" i="1" s="1"/>
  <c r="BE89" i="1"/>
  <c r="BE94" i="1" s="1"/>
  <c r="BD89" i="1"/>
  <c r="BC89" i="1"/>
  <c r="BC94" i="1" s="1"/>
  <c r="BA89" i="1"/>
  <c r="AV89" i="1"/>
  <c r="AV94" i="1" s="1"/>
  <c r="AW94" i="1" s="1"/>
  <c r="AQ89" i="1"/>
  <c r="AQ90" i="1" s="1"/>
  <c r="AL89" i="1"/>
  <c r="AL94" i="1" s="1"/>
  <c r="AM94" i="1" s="1"/>
  <c r="AG89" i="1"/>
  <c r="AC89" i="1"/>
  <c r="AC88" i="1"/>
  <c r="AC86" i="1"/>
  <c r="X89" i="1"/>
  <c r="X88" i="1"/>
  <c r="X86" i="1"/>
  <c r="S89" i="1"/>
  <c r="S88" i="1"/>
  <c r="S86" i="1"/>
  <c r="N89" i="1"/>
  <c r="N88" i="1"/>
  <c r="N87" i="1"/>
  <c r="CK88" i="1"/>
  <c r="CK87" i="1"/>
  <c r="CK86" i="1"/>
  <c r="CF88" i="1"/>
  <c r="CF87" i="1"/>
  <c r="CF86" i="1"/>
  <c r="CA88" i="1"/>
  <c r="CA87" i="1"/>
  <c r="CA86" i="1"/>
  <c r="BY88" i="1"/>
  <c r="BY87" i="1"/>
  <c r="BV88" i="1"/>
  <c r="BV87" i="1"/>
  <c r="BV86" i="1"/>
  <c r="BQ88" i="1"/>
  <c r="BQ87" i="1"/>
  <c r="BQ86" i="1"/>
  <c r="BL88" i="1"/>
  <c r="BL87" i="1"/>
  <c r="BL86" i="1"/>
  <c r="BG88" i="1"/>
  <c r="BG87" i="1"/>
  <c r="BG86" i="1"/>
  <c r="BB88" i="1"/>
  <c r="BB87" i="1"/>
  <c r="BB86" i="1"/>
  <c r="AW88" i="1"/>
  <c r="AW87" i="1"/>
  <c r="AW86" i="1"/>
  <c r="AR88" i="1"/>
  <c r="AR87" i="1"/>
  <c r="AR86" i="1"/>
  <c r="AM88" i="1"/>
  <c r="AM87" i="1"/>
  <c r="AM86" i="1"/>
  <c r="AH88" i="1"/>
  <c r="AH87" i="1"/>
  <c r="AH86" i="1"/>
  <c r="AI87" i="1"/>
  <c r="AI92" i="1" s="1"/>
  <c r="AB87" i="1"/>
  <c r="AC87" i="1" s="1"/>
  <c r="W87" i="1"/>
  <c r="X87" i="1" s="1"/>
  <c r="R87" i="1"/>
  <c r="R90" i="1" s="1"/>
  <c r="DF88" i="1"/>
  <c r="DI88" i="1" s="1"/>
  <c r="V86" i="1"/>
  <c r="U86" i="1"/>
  <c r="T86" i="1"/>
  <c r="Q86" i="1"/>
  <c r="P86" i="1"/>
  <c r="P90" i="1" s="1"/>
  <c r="O86" i="1"/>
  <c r="O90" i="1" s="1"/>
  <c r="M86" i="1"/>
  <c r="L86" i="1"/>
  <c r="L90" i="1" s="1"/>
  <c r="K86" i="1"/>
  <c r="K90" i="1" s="1"/>
  <c r="J86" i="1"/>
  <c r="I86" i="1"/>
  <c r="H86" i="1"/>
  <c r="H198" i="1" s="1"/>
  <c r="G86" i="1"/>
  <c r="G90" i="1" s="1"/>
  <c r="F86" i="1"/>
  <c r="F198" i="1" s="1"/>
  <c r="E86" i="1"/>
  <c r="CP82" i="1"/>
  <c r="CP81" i="1"/>
  <c r="CP80" i="1"/>
  <c r="CP79" i="1"/>
  <c r="CP78" i="1"/>
  <c r="CP77" i="1"/>
  <c r="CP76" i="1"/>
  <c r="CL82" i="1"/>
  <c r="CK82" i="1"/>
  <c r="CI82" i="1"/>
  <c r="CH82" i="1"/>
  <c r="CG82" i="1"/>
  <c r="CE82" i="1"/>
  <c r="CD82" i="1"/>
  <c r="CC82" i="1"/>
  <c r="CB82" i="1"/>
  <c r="BZ82" i="1"/>
  <c r="CA82" i="1" s="1"/>
  <c r="BY82" i="1"/>
  <c r="BX82" i="1"/>
  <c r="BW82" i="1"/>
  <c r="BU82" i="1"/>
  <c r="BV82" i="1" s="1"/>
  <c r="BT82" i="1"/>
  <c r="BS82" i="1"/>
  <c r="BR82" i="1"/>
  <c r="BP82" i="1"/>
  <c r="BO82" i="1"/>
  <c r="BN82" i="1"/>
  <c r="BM82" i="1"/>
  <c r="BK82" i="1"/>
  <c r="BJ82" i="1"/>
  <c r="BI82" i="1"/>
  <c r="BH82" i="1"/>
  <c r="BF82" i="1"/>
  <c r="BG82" i="1" s="1"/>
  <c r="BE82" i="1"/>
  <c r="BD82" i="1"/>
  <c r="BC82" i="1"/>
  <c r="BA82" i="1"/>
  <c r="BB82" i="1" s="1"/>
  <c r="AZ82" i="1"/>
  <c r="AY82" i="1"/>
  <c r="AX82" i="1"/>
  <c r="AV82" i="1"/>
  <c r="AU82" i="1"/>
  <c r="AT82" i="1"/>
  <c r="AS82" i="1"/>
  <c r="AQ82" i="1"/>
  <c r="AP82" i="1"/>
  <c r="AO82" i="1"/>
  <c r="AN82" i="1"/>
  <c r="AL82" i="1"/>
  <c r="AM82" i="1" s="1"/>
  <c r="AK82" i="1"/>
  <c r="AJ82" i="1"/>
  <c r="AI82" i="1"/>
  <c r="AG82" i="1"/>
  <c r="AH82" i="1" s="1"/>
  <c r="AF82" i="1"/>
  <c r="AE82" i="1"/>
  <c r="AD82" i="1"/>
  <c r="AB82" i="1"/>
  <c r="AA82" i="1"/>
  <c r="Z82" i="1"/>
  <c r="Y82" i="1"/>
  <c r="W82" i="1"/>
  <c r="V82" i="1"/>
  <c r="U82" i="1"/>
  <c r="T82" i="1"/>
  <c r="R82" i="1"/>
  <c r="S82" i="1" s="1"/>
  <c r="Q82" i="1"/>
  <c r="P82" i="1"/>
  <c r="O82" i="1"/>
  <c r="M82" i="1"/>
  <c r="N82" i="1" s="1"/>
  <c r="L82" i="1"/>
  <c r="K82" i="1"/>
  <c r="J82" i="1"/>
  <c r="I82" i="1"/>
  <c r="H82" i="1"/>
  <c r="G82" i="1"/>
  <c r="F82" i="1"/>
  <c r="E82" i="1"/>
  <c r="CK81" i="1"/>
  <c r="CK80" i="1"/>
  <c r="CK79" i="1"/>
  <c r="CK78" i="1"/>
  <c r="CK77" i="1"/>
  <c r="CK76" i="1"/>
  <c r="CF81" i="1"/>
  <c r="CF80" i="1"/>
  <c r="CF79" i="1"/>
  <c r="CF78" i="1"/>
  <c r="CF77" i="1"/>
  <c r="CF76" i="1"/>
  <c r="CA81" i="1"/>
  <c r="CA80" i="1"/>
  <c r="CA79" i="1"/>
  <c r="CA78" i="1"/>
  <c r="CA77" i="1"/>
  <c r="CA76" i="1"/>
  <c r="BV81" i="1"/>
  <c r="BV80" i="1"/>
  <c r="BV79" i="1"/>
  <c r="BV78" i="1"/>
  <c r="BV77" i="1"/>
  <c r="BV76" i="1"/>
  <c r="BQ81" i="1"/>
  <c r="BQ80" i="1"/>
  <c r="BQ79" i="1"/>
  <c r="BQ78" i="1"/>
  <c r="BQ77" i="1"/>
  <c r="BQ76" i="1"/>
  <c r="BL81" i="1"/>
  <c r="BL80" i="1"/>
  <c r="BL79" i="1"/>
  <c r="BL78" i="1"/>
  <c r="BL77" i="1"/>
  <c r="BL76" i="1"/>
  <c r="BG81" i="1"/>
  <c r="BG80" i="1"/>
  <c r="BG79" i="1"/>
  <c r="BG78" i="1"/>
  <c r="BG77" i="1"/>
  <c r="BG76" i="1"/>
  <c r="BB81" i="1"/>
  <c r="BB80" i="1"/>
  <c r="BB79" i="1"/>
  <c r="BB78" i="1"/>
  <c r="BB77" i="1"/>
  <c r="BB76" i="1"/>
  <c r="AW81" i="1"/>
  <c r="AW80" i="1"/>
  <c r="AW79" i="1"/>
  <c r="AW78" i="1"/>
  <c r="AW77" i="1"/>
  <c r="AW76" i="1"/>
  <c r="AR81" i="1"/>
  <c r="AR80" i="1"/>
  <c r="AR79" i="1"/>
  <c r="AR78" i="1"/>
  <c r="AR77" i="1"/>
  <c r="AR76" i="1"/>
  <c r="AM81" i="1"/>
  <c r="AM80" i="1"/>
  <c r="AM79" i="1"/>
  <c r="AM78" i="1"/>
  <c r="AM77" i="1"/>
  <c r="AM76" i="1"/>
  <c r="AH81" i="1"/>
  <c r="AH80" i="1"/>
  <c r="AH79" i="1"/>
  <c r="AH78" i="1"/>
  <c r="AH77" i="1"/>
  <c r="AH76" i="1"/>
  <c r="AC81" i="1"/>
  <c r="AD136" i="1" s="1"/>
  <c r="AC80" i="1"/>
  <c r="AC79" i="1"/>
  <c r="AC78" i="1"/>
  <c r="AC77" i="1"/>
  <c r="AC76" i="1"/>
  <c r="X81" i="1"/>
  <c r="X79" i="1"/>
  <c r="X78" i="1"/>
  <c r="X77" i="1"/>
  <c r="X76" i="1"/>
  <c r="S81" i="1"/>
  <c r="S79" i="1"/>
  <c r="S78" i="1"/>
  <c r="S77" i="1"/>
  <c r="S76" i="1"/>
  <c r="N81" i="1"/>
  <c r="N80" i="1"/>
  <c r="N79" i="1"/>
  <c r="N78" i="1"/>
  <c r="N77" i="1"/>
  <c r="N76" i="1"/>
  <c r="CS80" i="1"/>
  <c r="CT80" i="1" s="1"/>
  <c r="W80" i="1"/>
  <c r="X80" i="1" s="1"/>
  <c r="V80" i="1"/>
  <c r="U80" i="1"/>
  <c r="T80" i="1"/>
  <c r="R80" i="1"/>
  <c r="S80" i="1" s="1"/>
  <c r="CS74" i="1"/>
  <c r="CR74" i="1"/>
  <c r="CR83" i="1" s="1"/>
  <c r="CQ74" i="1"/>
  <c r="CQ83" i="1" s="1"/>
  <c r="CO74" i="1"/>
  <c r="CN74" i="1"/>
  <c r="CN83" i="1" s="1"/>
  <c r="CM74" i="1"/>
  <c r="CM83" i="1" s="1"/>
  <c r="CL74" i="1"/>
  <c r="CJ74" i="1"/>
  <c r="CJ83" i="1" s="1"/>
  <c r="CI74" i="1"/>
  <c r="CH74" i="1"/>
  <c r="CG74" i="1"/>
  <c r="CE74" i="1"/>
  <c r="CD74" i="1"/>
  <c r="CC74" i="1"/>
  <c r="CB74" i="1"/>
  <c r="BZ74" i="1"/>
  <c r="BY74" i="1"/>
  <c r="BX74" i="1"/>
  <c r="BW74" i="1"/>
  <c r="BU74" i="1"/>
  <c r="BT74" i="1"/>
  <c r="BS74" i="1"/>
  <c r="BR74" i="1"/>
  <c r="BP74" i="1"/>
  <c r="BO74" i="1"/>
  <c r="BN74" i="1"/>
  <c r="BM74" i="1"/>
  <c r="BK74" i="1"/>
  <c r="BJ74" i="1"/>
  <c r="BI74" i="1"/>
  <c r="BH74" i="1"/>
  <c r="BF74" i="1"/>
  <c r="BE74" i="1"/>
  <c r="BD74" i="1"/>
  <c r="BC74" i="1"/>
  <c r="BA74" i="1"/>
  <c r="AZ74" i="1"/>
  <c r="Y74" i="1"/>
  <c r="W74" i="1"/>
  <c r="R74" i="1"/>
  <c r="CP73" i="1"/>
  <c r="CP72" i="1"/>
  <c r="CP71" i="1"/>
  <c r="CP70" i="1"/>
  <c r="CP69" i="1"/>
  <c r="CP68" i="1"/>
  <c r="CK73" i="1"/>
  <c r="CK72" i="1"/>
  <c r="CK71" i="1"/>
  <c r="CK70" i="1"/>
  <c r="CK69" i="1"/>
  <c r="CK68" i="1"/>
  <c r="CF73" i="1"/>
  <c r="CF72" i="1"/>
  <c r="CF71" i="1"/>
  <c r="CF70" i="1"/>
  <c r="CF69" i="1"/>
  <c r="CF68" i="1"/>
  <c r="CF227" i="1" s="1"/>
  <c r="CA73" i="1"/>
  <c r="CA72" i="1"/>
  <c r="CA71" i="1"/>
  <c r="CA70" i="1"/>
  <c r="CA69" i="1"/>
  <c r="CA68" i="1"/>
  <c r="BV73" i="1"/>
  <c r="BV72" i="1"/>
  <c r="BV71" i="1"/>
  <c r="BV70" i="1"/>
  <c r="BV69" i="1"/>
  <c r="BV68" i="1"/>
  <c r="BQ73" i="1"/>
  <c r="BQ72" i="1"/>
  <c r="BQ71" i="1"/>
  <c r="BQ70" i="1"/>
  <c r="BQ69" i="1"/>
  <c r="BQ68" i="1"/>
  <c r="BL73" i="1"/>
  <c r="BL72" i="1"/>
  <c r="BL71" i="1"/>
  <c r="BL70" i="1"/>
  <c r="BL69" i="1"/>
  <c r="BL68" i="1"/>
  <c r="BL227" i="1" s="1"/>
  <c r="BG73" i="1"/>
  <c r="BG72" i="1"/>
  <c r="BG71" i="1"/>
  <c r="BG70" i="1"/>
  <c r="BG69" i="1"/>
  <c r="BG68" i="1"/>
  <c r="BB73" i="1"/>
  <c r="BB72" i="1"/>
  <c r="BB71" i="1"/>
  <c r="BB70" i="1"/>
  <c r="BB69" i="1"/>
  <c r="BB68" i="1"/>
  <c r="AW73" i="1"/>
  <c r="AW72" i="1"/>
  <c r="AW71" i="1"/>
  <c r="AW70" i="1"/>
  <c r="AW68" i="1"/>
  <c r="AR73" i="1"/>
  <c r="AR72" i="1"/>
  <c r="AR71" i="1"/>
  <c r="AR70" i="1"/>
  <c r="AR68" i="1"/>
  <c r="AM73" i="1"/>
  <c r="AM72" i="1"/>
  <c r="AM71" i="1"/>
  <c r="AM70" i="1"/>
  <c r="AM68" i="1"/>
  <c r="AH73" i="1"/>
  <c r="AH72" i="1"/>
  <c r="AH71" i="1"/>
  <c r="AH70" i="1"/>
  <c r="AH68" i="1"/>
  <c r="AC73" i="1"/>
  <c r="AC72" i="1"/>
  <c r="AC71" i="1"/>
  <c r="AC70" i="1"/>
  <c r="AC68" i="1"/>
  <c r="X73" i="1"/>
  <c r="X72" i="1"/>
  <c r="X71" i="1"/>
  <c r="X70" i="1"/>
  <c r="X69" i="1"/>
  <c r="X68" i="1"/>
  <c r="V73" i="1"/>
  <c r="U73" i="1"/>
  <c r="T73" i="1"/>
  <c r="S73" i="1"/>
  <c r="Q73" i="1"/>
  <c r="P73" i="1"/>
  <c r="O73" i="1"/>
  <c r="M73" i="1"/>
  <c r="N73" i="1" s="1"/>
  <c r="L73" i="1"/>
  <c r="K73" i="1"/>
  <c r="J73" i="1"/>
  <c r="I73" i="1"/>
  <c r="H73" i="1"/>
  <c r="G73" i="1"/>
  <c r="F73" i="1"/>
  <c r="E73" i="1"/>
  <c r="S72" i="1"/>
  <c r="S71" i="1"/>
  <c r="S70" i="1"/>
  <c r="S69" i="1"/>
  <c r="S68" i="1"/>
  <c r="N72" i="1"/>
  <c r="M71" i="1"/>
  <c r="L71" i="1"/>
  <c r="K71" i="1"/>
  <c r="J71" i="1"/>
  <c r="I71" i="1"/>
  <c r="H71" i="1"/>
  <c r="G71" i="1"/>
  <c r="F71" i="1"/>
  <c r="E70" i="1"/>
  <c r="E69" i="1"/>
  <c r="E68" i="1"/>
  <c r="AY69" i="1"/>
  <c r="AY74" i="1" s="1"/>
  <c r="AX69" i="1"/>
  <c r="AX74" i="1" s="1"/>
  <c r="AV69" i="1"/>
  <c r="AV227" i="1" s="1"/>
  <c r="AU69" i="1"/>
  <c r="AT69" i="1"/>
  <c r="AT74" i="1" s="1"/>
  <c r="AS69" i="1"/>
  <c r="AS74" i="1" s="1"/>
  <c r="AQ69" i="1"/>
  <c r="AR69" i="1" s="1"/>
  <c r="AP69" i="1"/>
  <c r="AO69" i="1"/>
  <c r="AO74" i="1" s="1"/>
  <c r="AN69" i="1"/>
  <c r="AN227" i="1" s="1"/>
  <c r="AL69" i="1"/>
  <c r="AK69" i="1"/>
  <c r="AJ69" i="1"/>
  <c r="AJ227" i="1" s="1"/>
  <c r="AI69" i="1"/>
  <c r="AG69" i="1"/>
  <c r="AH69" i="1" s="1"/>
  <c r="AF69" i="1"/>
  <c r="AF227" i="1" s="1"/>
  <c r="AE69" i="1"/>
  <c r="AE74" i="1" s="1"/>
  <c r="AD69" i="1"/>
  <c r="AD74" i="1" s="1"/>
  <c r="AB69" i="1"/>
  <c r="AB227" i="1" s="1"/>
  <c r="AA69" i="1"/>
  <c r="Z69" i="1"/>
  <c r="Z74" i="1" s="1"/>
  <c r="F69" i="1"/>
  <c r="F68" i="1"/>
  <c r="V71" i="1"/>
  <c r="U71" i="1"/>
  <c r="T71" i="1"/>
  <c r="V70" i="1"/>
  <c r="U70" i="1"/>
  <c r="T70" i="1"/>
  <c r="V69" i="1"/>
  <c r="U69" i="1"/>
  <c r="T69" i="1"/>
  <c r="V68" i="1"/>
  <c r="U68" i="1"/>
  <c r="T68" i="1"/>
  <c r="Q71" i="1"/>
  <c r="P71" i="1"/>
  <c r="O71" i="1"/>
  <c r="Q70" i="1"/>
  <c r="P70" i="1"/>
  <c r="O70" i="1"/>
  <c r="Q69" i="1"/>
  <c r="P69" i="1"/>
  <c r="O69" i="1"/>
  <c r="Q68" i="1"/>
  <c r="P68" i="1"/>
  <c r="O68" i="1"/>
  <c r="M70" i="1"/>
  <c r="N70" i="1" s="1"/>
  <c r="L70" i="1"/>
  <c r="K70" i="1"/>
  <c r="J70" i="1"/>
  <c r="I70" i="1"/>
  <c r="H70" i="1"/>
  <c r="G70" i="1"/>
  <c r="M69" i="1"/>
  <c r="N69" i="1" s="1"/>
  <c r="L69" i="1"/>
  <c r="K69" i="1"/>
  <c r="J69" i="1"/>
  <c r="I69" i="1"/>
  <c r="H69" i="1"/>
  <c r="G69" i="1"/>
  <c r="M68" i="1"/>
  <c r="L68" i="1"/>
  <c r="K68" i="1"/>
  <c r="J68" i="1"/>
  <c r="I68" i="1"/>
  <c r="H68" i="1"/>
  <c r="G68" i="1"/>
  <c r="DC65" i="1"/>
  <c r="DB65" i="1"/>
  <c r="DA65" i="1"/>
  <c r="CZ65" i="1"/>
  <c r="CY65" i="1"/>
  <c r="CX65" i="1"/>
  <c r="CW65" i="1"/>
  <c r="CV65" i="1"/>
  <c r="CU65" i="1"/>
  <c r="CT65" i="1"/>
  <c r="CS65" i="1"/>
  <c r="CR65" i="1"/>
  <c r="CQ65" i="1"/>
  <c r="CP65" i="1"/>
  <c r="CO65" i="1"/>
  <c r="CN65" i="1"/>
  <c r="CM65" i="1"/>
  <c r="CL65" i="1"/>
  <c r="CK65" i="1"/>
  <c r="CJ65" i="1"/>
  <c r="CI65" i="1"/>
  <c r="CH65" i="1"/>
  <c r="CG65" i="1"/>
  <c r="CF65" i="1"/>
  <c r="CE65" i="1"/>
  <c r="CD65" i="1"/>
  <c r="CC65" i="1"/>
  <c r="CB65" i="1"/>
  <c r="CA65" i="1"/>
  <c r="BZ65" i="1"/>
  <c r="BY65" i="1"/>
  <c r="BX65" i="1"/>
  <c r="BW65" i="1"/>
  <c r="BV65" i="1"/>
  <c r="BU65" i="1"/>
  <c r="BT65" i="1"/>
  <c r="BS65" i="1"/>
  <c r="BR65" i="1"/>
  <c r="BQ65" i="1"/>
  <c r="BP65" i="1"/>
  <c r="BO65" i="1"/>
  <c r="BN65" i="1"/>
  <c r="BM65" i="1"/>
  <c r="BL65" i="1"/>
  <c r="BK65" i="1"/>
  <c r="BJ65" i="1"/>
  <c r="BI65" i="1"/>
  <c r="BH65" i="1"/>
  <c r="BG65" i="1"/>
  <c r="BF65" i="1"/>
  <c r="BE65" i="1"/>
  <c r="BD65" i="1"/>
  <c r="BC65" i="1"/>
  <c r="BB65" i="1"/>
  <c r="BA65" i="1"/>
  <c r="AZ65" i="1"/>
  <c r="AY65" i="1"/>
  <c r="AX65" i="1"/>
  <c r="AW65" i="1"/>
  <c r="AV65" i="1"/>
  <c r="AU65" i="1"/>
  <c r="AT65" i="1"/>
  <c r="AS65" i="1"/>
  <c r="AR65" i="1"/>
  <c r="AQ65" i="1"/>
  <c r="AP65" i="1"/>
  <c r="AO65" i="1"/>
  <c r="AN65" i="1"/>
  <c r="AM65" i="1"/>
  <c r="AL65" i="1"/>
  <c r="AK65" i="1"/>
  <c r="AJ65" i="1"/>
  <c r="AI65" i="1"/>
  <c r="AH65" i="1"/>
  <c r="AG65" i="1"/>
  <c r="AF65" i="1"/>
  <c r="AE65" i="1"/>
  <c r="AD65" i="1"/>
  <c r="AC65" i="1"/>
  <c r="AB65" i="1"/>
  <c r="AA65" i="1"/>
  <c r="Z65" i="1"/>
  <c r="Y65" i="1"/>
  <c r="X65" i="1"/>
  <c r="W65" i="1"/>
  <c r="V65" i="1"/>
  <c r="U65" i="1"/>
  <c r="T65" i="1"/>
  <c r="S65" i="1"/>
  <c r="R65" i="1"/>
  <c r="Q65" i="1"/>
  <c r="P65" i="1"/>
  <c r="O65" i="1"/>
  <c r="N65" i="1"/>
  <c r="M65" i="1"/>
  <c r="L65" i="1"/>
  <c r="K65" i="1"/>
  <c r="J65" i="1"/>
  <c r="I65" i="1"/>
  <c r="H65" i="1"/>
  <c r="G65" i="1"/>
  <c r="F65" i="1"/>
  <c r="E65" i="1"/>
  <c r="CP54" i="1"/>
  <c r="CP53" i="1"/>
  <c r="CK54" i="1"/>
  <c r="CK53" i="1"/>
  <c r="CF54" i="1"/>
  <c r="CF53" i="1"/>
  <c r="DJ53" i="1"/>
  <c r="DI53" i="1"/>
  <c r="CO44" i="1"/>
  <c r="DH44" i="1" s="1"/>
  <c r="CJ44" i="1"/>
  <c r="CE44" i="1"/>
  <c r="CF44" i="1" s="1"/>
  <c r="BZ44" i="1"/>
  <c r="BU44" i="1"/>
  <c r="BV44" i="1" s="1"/>
  <c r="BP44" i="1"/>
  <c r="BK44" i="1"/>
  <c r="BL44" i="1" s="1"/>
  <c r="BF44" i="1"/>
  <c r="BG44" i="1" s="1"/>
  <c r="BA44" i="1"/>
  <c r="BB44" i="1" s="1"/>
  <c r="AV44" i="1"/>
  <c r="AQ44" i="1"/>
  <c r="AR44" i="1" s="1"/>
  <c r="AL44" i="1"/>
  <c r="AM44" i="1" s="1"/>
  <c r="AG44" i="1"/>
  <c r="AH44" i="1" s="1"/>
  <c r="AB44" i="1"/>
  <c r="W44" i="1"/>
  <c r="R44" i="1"/>
  <c r="M44" i="1"/>
  <c r="CI40" i="1"/>
  <c r="CD40" i="1"/>
  <c r="CC40" i="1"/>
  <c r="CB40" i="1"/>
  <c r="BY40" i="1"/>
  <c r="BX40" i="1"/>
  <c r="BW40" i="1"/>
  <c r="BT40" i="1"/>
  <c r="BS40" i="1"/>
  <c r="BR40" i="1"/>
  <c r="BO40" i="1"/>
  <c r="BN40" i="1"/>
  <c r="BM40" i="1"/>
  <c r="BJ40" i="1"/>
  <c r="BI40" i="1"/>
  <c r="BH40" i="1"/>
  <c r="BE40" i="1"/>
  <c r="BD40" i="1"/>
  <c r="BC40" i="1"/>
  <c r="AZ40" i="1"/>
  <c r="AY40" i="1"/>
  <c r="AX40" i="1"/>
  <c r="AU40" i="1"/>
  <c r="AT40" i="1"/>
  <c r="AQ40" i="1"/>
  <c r="AR40" i="1" s="1"/>
  <c r="AL40" i="1"/>
  <c r="AM40" i="1" s="1"/>
  <c r="AG40" i="1"/>
  <c r="AH40" i="1" s="1"/>
  <c r="AB40" i="1"/>
  <c r="AC40" i="1" s="1"/>
  <c r="W40" i="1"/>
  <c r="X40" i="1" s="1"/>
  <c r="R40" i="1"/>
  <c r="S40" i="1" s="1"/>
  <c r="M40" i="1"/>
  <c r="N40" i="1" s="1"/>
  <c r="CC34" i="1"/>
  <c r="CE34" i="1" s="1"/>
  <c r="BA34" i="1"/>
  <c r="BB34" i="1" s="1"/>
  <c r="AL34" i="1"/>
  <c r="AM34" i="1" s="1"/>
  <c r="CO34" i="1"/>
  <c r="CO32" i="1"/>
  <c r="CJ34" i="1"/>
  <c r="CK34" i="1" s="1"/>
  <c r="CJ32" i="1"/>
  <c r="CK32" i="1" s="1"/>
  <c r="BZ34" i="1"/>
  <c r="CA34" i="1" s="1"/>
  <c r="BZ32" i="1"/>
  <c r="CA32" i="1" s="1"/>
  <c r="BU34" i="1"/>
  <c r="BV34" i="1" s="1"/>
  <c r="BU32" i="1"/>
  <c r="BV32" i="1" s="1"/>
  <c r="BP34" i="1"/>
  <c r="BQ34" i="1" s="1"/>
  <c r="BP32" i="1"/>
  <c r="BQ32" i="1" s="1"/>
  <c r="BK34" i="1"/>
  <c r="BL34" i="1" s="1"/>
  <c r="BK32" i="1"/>
  <c r="BL32" i="1" s="1"/>
  <c r="BF34" i="1"/>
  <c r="BG34" i="1" s="1"/>
  <c r="BE32" i="1"/>
  <c r="BE31" i="1"/>
  <c r="BC32" i="1"/>
  <c r="AY32" i="1"/>
  <c r="BA32" i="1" s="1"/>
  <c r="BB32" i="1" s="1"/>
  <c r="AY31" i="1"/>
  <c r="AV34" i="1"/>
  <c r="AW34" i="1" s="1"/>
  <c r="AV32" i="1"/>
  <c r="AW32" i="1" s="1"/>
  <c r="AQ34" i="1"/>
  <c r="AR34" i="1" s="1"/>
  <c r="AQ32" i="1"/>
  <c r="AR32" i="1" s="1"/>
  <c r="AM32" i="1"/>
  <c r="AM30" i="1"/>
  <c r="CQ31" i="1"/>
  <c r="CN31" i="1"/>
  <c r="CM31" i="1"/>
  <c r="CL31" i="1"/>
  <c r="CI31" i="1"/>
  <c r="CD31" i="1"/>
  <c r="CC31" i="1"/>
  <c r="CB31" i="1"/>
  <c r="BY31" i="1"/>
  <c r="BX31" i="1"/>
  <c r="BW31" i="1"/>
  <c r="BT31" i="1"/>
  <c r="BS31" i="1"/>
  <c r="BR31" i="1"/>
  <c r="BO31" i="1"/>
  <c r="BN31" i="1"/>
  <c r="BM31" i="1"/>
  <c r="BJ31" i="1"/>
  <c r="BI31" i="1"/>
  <c r="BH31" i="1"/>
  <c r="BD31" i="1"/>
  <c r="BC31" i="1"/>
  <c r="AZ31" i="1"/>
  <c r="AX31" i="1"/>
  <c r="AU31" i="1"/>
  <c r="AT31" i="1"/>
  <c r="AS31" i="1"/>
  <c r="AQ31" i="1"/>
  <c r="AR31" i="1" s="1"/>
  <c r="AL31" i="1"/>
  <c r="AM31" i="1" s="1"/>
  <c r="AG34" i="1"/>
  <c r="AH34" i="1" s="1"/>
  <c r="AG32" i="1"/>
  <c r="AH32" i="1" s="1"/>
  <c r="AG31" i="1"/>
  <c r="AH31" i="1" s="1"/>
  <c r="AB34" i="1"/>
  <c r="AC34" i="1" s="1"/>
  <c r="AB32" i="1"/>
  <c r="AC32" i="1" s="1"/>
  <c r="AB31" i="1"/>
  <c r="AC31" i="1" s="1"/>
  <c r="W34" i="1"/>
  <c r="X34" i="1" s="1"/>
  <c r="W32" i="1"/>
  <c r="X32" i="1" s="1"/>
  <c r="W31" i="1"/>
  <c r="X31" i="1" s="1"/>
  <c r="DI30" i="1"/>
  <c r="CK30" i="1"/>
  <c r="CE32" i="1"/>
  <c r="CF32" i="1" s="1"/>
  <c r="CE30" i="1"/>
  <c r="CF30" i="1" s="1"/>
  <c r="BZ30" i="1"/>
  <c r="CA30" i="1" s="1"/>
  <c r="BU30" i="1"/>
  <c r="BV30" i="1" s="1"/>
  <c r="BP30" i="1"/>
  <c r="BQ30" i="1" s="1"/>
  <c r="BL30" i="1"/>
  <c r="BG30" i="1"/>
  <c r="BB30" i="1"/>
  <c r="AW30" i="1"/>
  <c r="AR30" i="1"/>
  <c r="AH30" i="1"/>
  <c r="AC30" i="1"/>
  <c r="X30" i="1"/>
  <c r="R34" i="1"/>
  <c r="S34" i="1" s="1"/>
  <c r="R32" i="1"/>
  <c r="S32" i="1" s="1"/>
  <c r="R31" i="1"/>
  <c r="S31" i="1" s="1"/>
  <c r="R30" i="1"/>
  <c r="S30" i="1" s="1"/>
  <c r="M34" i="1"/>
  <c r="N34" i="1" s="1"/>
  <c r="M32" i="1"/>
  <c r="N32" i="1" s="1"/>
  <c r="M31" i="1"/>
  <c r="N31" i="1" s="1"/>
  <c r="M30" i="1"/>
  <c r="N30" i="1" s="1"/>
  <c r="CO22" i="1"/>
  <c r="CG22" i="1"/>
  <c r="CD22" i="1"/>
  <c r="CC22" i="1"/>
  <c r="CB22" i="1"/>
  <c r="BY22" i="1"/>
  <c r="BX22" i="1"/>
  <c r="BW22" i="1"/>
  <c r="BT22" i="1"/>
  <c r="BS22" i="1"/>
  <c r="BR22" i="1"/>
  <c r="BO22" i="1"/>
  <c r="BN22" i="1"/>
  <c r="BM22" i="1"/>
  <c r="BJ22" i="1"/>
  <c r="BI22" i="1"/>
  <c r="BH22" i="1"/>
  <c r="BE22" i="1"/>
  <c r="BD22" i="1"/>
  <c r="BC22" i="1"/>
  <c r="AZ22" i="1"/>
  <c r="AY22" i="1"/>
  <c r="AX22" i="1"/>
  <c r="AU22" i="1"/>
  <c r="AT22" i="1"/>
  <c r="AS22" i="1"/>
  <c r="AP22" i="1"/>
  <c r="AO22" i="1"/>
  <c r="AN22" i="1"/>
  <c r="AK22" i="1"/>
  <c r="AJ22" i="1"/>
  <c r="AI22" i="1"/>
  <c r="AF22" i="1"/>
  <c r="AE22" i="1"/>
  <c r="AD22" i="1"/>
  <c r="AA22" i="1"/>
  <c r="Z22" i="1"/>
  <c r="Y22" i="1"/>
  <c r="V22" i="1"/>
  <c r="U22" i="1"/>
  <c r="T22" i="1"/>
  <c r="Q22" i="1"/>
  <c r="P22" i="1"/>
  <c r="O22" i="1"/>
  <c r="L22" i="1"/>
  <c r="K22" i="1"/>
  <c r="J22" i="1"/>
  <c r="I22" i="1"/>
  <c r="H22" i="1"/>
  <c r="G22" i="1"/>
  <c r="F22" i="1"/>
  <c r="E22" i="1"/>
  <c r="CO20" i="1"/>
  <c r="DH20" i="1" s="1"/>
  <c r="CI20" i="1"/>
  <c r="CG20" i="1"/>
  <c r="CD20" i="1"/>
  <c r="CC20" i="1"/>
  <c r="CB20" i="1"/>
  <c r="BY20" i="1"/>
  <c r="BX20" i="1"/>
  <c r="BW20" i="1"/>
  <c r="BT20" i="1"/>
  <c r="BS20" i="1"/>
  <c r="BR20" i="1"/>
  <c r="BO20" i="1"/>
  <c r="BN20" i="1"/>
  <c r="BJ20" i="1"/>
  <c r="BI20" i="1"/>
  <c r="BH20" i="1"/>
  <c r="BF20" i="1"/>
  <c r="AY20" i="1"/>
  <c r="BA20" i="1" s="1"/>
  <c r="AY18" i="1"/>
  <c r="AV20" i="1"/>
  <c r="AW20" i="1" s="1"/>
  <c r="AQ20" i="1"/>
  <c r="AR20" i="1" s="1"/>
  <c r="AL20" i="1"/>
  <c r="AM20" i="1" s="1"/>
  <c r="AG20" i="1"/>
  <c r="AH20" i="1" s="1"/>
  <c r="AB20" i="1"/>
  <c r="AC20" i="1" s="1"/>
  <c r="W20" i="1"/>
  <c r="X20" i="1" s="1"/>
  <c r="Q20" i="1"/>
  <c r="P20" i="1"/>
  <c r="O20" i="1"/>
  <c r="L20" i="1"/>
  <c r="K20" i="1"/>
  <c r="J20" i="1"/>
  <c r="I20" i="1"/>
  <c r="H20" i="1"/>
  <c r="G20" i="1"/>
  <c r="F20" i="1"/>
  <c r="E20" i="1"/>
  <c r="DI21" i="1"/>
  <c r="CS18" i="1"/>
  <c r="CR18" i="1"/>
  <c r="CQ18" i="1"/>
  <c r="CN18" i="1"/>
  <c r="CM18" i="1"/>
  <c r="CL18" i="1"/>
  <c r="CI18" i="1"/>
  <c r="CD18" i="1"/>
  <c r="CC18" i="1"/>
  <c r="CB18" i="1"/>
  <c r="BY18" i="1"/>
  <c r="BX18" i="1"/>
  <c r="BW18" i="1"/>
  <c r="BT18" i="1"/>
  <c r="BS18" i="1"/>
  <c r="BR18" i="1"/>
  <c r="BO18" i="1"/>
  <c r="BN18" i="1"/>
  <c r="BM18" i="1"/>
  <c r="BJ18" i="1"/>
  <c r="BI18" i="1"/>
  <c r="BH18" i="1"/>
  <c r="BE18" i="1"/>
  <c r="BD18" i="1"/>
  <c r="BC18" i="1"/>
  <c r="AZ18" i="1"/>
  <c r="AX18" i="1"/>
  <c r="AU18" i="1"/>
  <c r="AT18" i="1"/>
  <c r="AS18" i="1"/>
  <c r="AQ18" i="1"/>
  <c r="AQ193" i="1" s="1"/>
  <c r="AL18" i="1"/>
  <c r="AM18" i="1" s="1"/>
  <c r="AM193" i="1" s="1"/>
  <c r="AG18" i="1"/>
  <c r="AB18" i="1"/>
  <c r="AC18" i="1" s="1"/>
  <c r="W18" i="1"/>
  <c r="O18" i="1"/>
  <c r="R18" i="1" s="1"/>
  <c r="M18" i="1"/>
  <c r="CS15" i="1"/>
  <c r="CR15" i="1"/>
  <c r="CQ15" i="1"/>
  <c r="CN15" i="1"/>
  <c r="CM15" i="1"/>
  <c r="CL15" i="1"/>
  <c r="CI15" i="1"/>
  <c r="CH15" i="1"/>
  <c r="CG15" i="1"/>
  <c r="CG19" i="1" s="1"/>
  <c r="CD15" i="1"/>
  <c r="CC15" i="1"/>
  <c r="CB15" i="1"/>
  <c r="BY15" i="1"/>
  <c r="BX15" i="1"/>
  <c r="BW15" i="1"/>
  <c r="BT15" i="1"/>
  <c r="BS15" i="1"/>
  <c r="BR15" i="1"/>
  <c r="BO15" i="1"/>
  <c r="BN15" i="1"/>
  <c r="BM15" i="1"/>
  <c r="BM21" i="1" s="1"/>
  <c r="BJ15" i="1"/>
  <c r="BI15" i="1"/>
  <c r="BH15" i="1"/>
  <c r="BE15" i="1"/>
  <c r="BE21" i="1" s="1"/>
  <c r="BD15" i="1"/>
  <c r="BD21" i="1" s="1"/>
  <c r="AZ15" i="1"/>
  <c r="AZ21" i="1" s="1"/>
  <c r="AY15" i="1"/>
  <c r="AX15" i="1"/>
  <c r="AU15" i="1"/>
  <c r="AT15" i="1"/>
  <c r="AS15" i="1"/>
  <c r="AS21" i="1" s="1"/>
  <c r="AP15" i="1"/>
  <c r="AO15" i="1"/>
  <c r="AO21" i="1" s="1"/>
  <c r="AN15" i="1"/>
  <c r="AN21" i="1" s="1"/>
  <c r="AK15" i="1"/>
  <c r="AK21" i="1" s="1"/>
  <c r="AJ15" i="1"/>
  <c r="AJ21" i="1" s="1"/>
  <c r="AI15" i="1"/>
  <c r="AF15" i="1"/>
  <c r="AF21" i="1" s="1"/>
  <c r="AE15" i="1"/>
  <c r="AE19" i="1" s="1"/>
  <c r="AD15" i="1"/>
  <c r="AA15" i="1"/>
  <c r="AA19" i="1" s="1"/>
  <c r="Z15" i="1"/>
  <c r="Y15" i="1"/>
  <c r="Y21" i="1" s="1"/>
  <c r="V15" i="1"/>
  <c r="U15" i="1"/>
  <c r="U21" i="1" s="1"/>
  <c r="T15" i="1"/>
  <c r="T21" i="1" s="1"/>
  <c r="Q15" i="1"/>
  <c r="P15" i="1"/>
  <c r="O15" i="1"/>
  <c r="L15" i="1"/>
  <c r="L19" i="1" s="1"/>
  <c r="K15" i="1"/>
  <c r="K19" i="1" s="1"/>
  <c r="J15" i="1"/>
  <c r="J21" i="1" s="1"/>
  <c r="I15" i="1"/>
  <c r="I192" i="1" s="1"/>
  <c r="H15" i="1"/>
  <c r="H192" i="1" s="1"/>
  <c r="G15" i="1"/>
  <c r="G19" i="1" s="1"/>
  <c r="F15" i="1"/>
  <c r="F192" i="1" s="1"/>
  <c r="F201" i="1" s="1"/>
  <c r="E15" i="1"/>
  <c r="E192" i="1" s="1"/>
  <c r="E197" i="1" s="1"/>
  <c r="CZ14" i="1"/>
  <c r="S14" i="1"/>
  <c r="N14" i="1"/>
  <c r="BA14" i="1"/>
  <c r="BB14" i="1" s="1"/>
  <c r="BA13" i="1"/>
  <c r="BB13" i="1" s="1"/>
  <c r="R13" i="1"/>
  <c r="S13" i="1" s="1"/>
  <c r="R12" i="1"/>
  <c r="S12" i="1" s="1"/>
  <c r="M13" i="1"/>
  <c r="N13" i="1" s="1"/>
  <c r="M12" i="1"/>
  <c r="DI14" i="1"/>
  <c r="DI12" i="1"/>
  <c r="CO14" i="1"/>
  <c r="CO13" i="1"/>
  <c r="DH13" i="1" s="1"/>
  <c r="CO12" i="1"/>
  <c r="CJ14" i="1"/>
  <c r="CK14" i="1" s="1"/>
  <c r="CJ13" i="1"/>
  <c r="CK13" i="1" s="1"/>
  <c r="CJ12" i="1"/>
  <c r="CK12" i="1" s="1"/>
  <c r="CE14" i="1"/>
  <c r="CF14" i="1" s="1"/>
  <c r="CE13" i="1"/>
  <c r="CF13" i="1" s="1"/>
  <c r="CE12" i="1"/>
  <c r="CF12" i="1" s="1"/>
  <c r="BZ14" i="1"/>
  <c r="CA14" i="1" s="1"/>
  <c r="BZ13" i="1"/>
  <c r="CA13" i="1" s="1"/>
  <c r="BZ12" i="1"/>
  <c r="BU14" i="1"/>
  <c r="BV14" i="1" s="1"/>
  <c r="BU13" i="1"/>
  <c r="BV13" i="1" s="1"/>
  <c r="BU12" i="1"/>
  <c r="BP14" i="1"/>
  <c r="BQ14" i="1" s="1"/>
  <c r="BP13" i="1"/>
  <c r="BQ13" i="1" s="1"/>
  <c r="BP12" i="1"/>
  <c r="BQ12" i="1" s="1"/>
  <c r="BK14" i="1"/>
  <c r="BL14" i="1" s="1"/>
  <c r="BK13" i="1"/>
  <c r="BL13" i="1" s="1"/>
  <c r="BK12" i="1"/>
  <c r="BL12" i="1" s="1"/>
  <c r="BF14" i="1"/>
  <c r="BG14" i="1" s="1"/>
  <c r="BF13" i="1"/>
  <c r="BG13" i="1" s="1"/>
  <c r="BC12" i="1"/>
  <c r="BF12" i="1" s="1"/>
  <c r="BA12" i="1"/>
  <c r="AV14" i="1"/>
  <c r="AW14" i="1" s="1"/>
  <c r="AV13" i="1"/>
  <c r="AW13" i="1" s="1"/>
  <c r="AV12" i="1"/>
  <c r="AQ14" i="1"/>
  <c r="AR14" i="1" s="1"/>
  <c r="AQ13" i="1"/>
  <c r="AR13" i="1" s="1"/>
  <c r="AQ12" i="1"/>
  <c r="AR12" i="1" s="1"/>
  <c r="AL14" i="1"/>
  <c r="AM14" i="1" s="1"/>
  <c r="AL13" i="1"/>
  <c r="AM13" i="1" s="1"/>
  <c r="AL12" i="1"/>
  <c r="AG14" i="1"/>
  <c r="AH14" i="1" s="1"/>
  <c r="AG13" i="1"/>
  <c r="AH13" i="1" s="1"/>
  <c r="AG12" i="1"/>
  <c r="AB14" i="1"/>
  <c r="AC14" i="1" s="1"/>
  <c r="AB13" i="1"/>
  <c r="AC13" i="1" s="1"/>
  <c r="AB12" i="1"/>
  <c r="W14" i="1"/>
  <c r="X14" i="1" s="1"/>
  <c r="W13" i="1"/>
  <c r="X13" i="1" s="1"/>
  <c r="W12" i="1"/>
  <c r="X12" i="1" s="1"/>
  <c r="DC9" i="1"/>
  <c r="DB9" i="1"/>
  <c r="DA9" i="1"/>
  <c r="CZ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AE9" i="1"/>
  <c r="AD9" i="1"/>
  <c r="AC9" i="1"/>
  <c r="AB9" i="1"/>
  <c r="AA9" i="1"/>
  <c r="Z9" i="1"/>
  <c r="Y9" i="1"/>
  <c r="X9" i="1"/>
  <c r="W9" i="1"/>
  <c r="V9" i="1"/>
  <c r="U9" i="1"/>
  <c r="T9" i="1"/>
  <c r="S9" i="1"/>
  <c r="R9" i="1"/>
  <c r="Q9" i="1"/>
  <c r="P9" i="1"/>
  <c r="O9" i="1"/>
  <c r="N9" i="1"/>
  <c r="M9" i="1"/>
  <c r="L9" i="1"/>
  <c r="K9" i="1"/>
  <c r="J9" i="1"/>
  <c r="I9" i="1"/>
  <c r="H9" i="1"/>
  <c r="G9" i="1"/>
  <c r="F9" i="1"/>
  <c r="E9" i="1"/>
  <c r="J7" i="1"/>
  <c r="K6" i="1"/>
  <c r="L6" i="1" s="1"/>
  <c r="M6" i="1" s="1"/>
  <c r="Q23" i="234"/>
  <c r="Q22" i="234"/>
  <c r="Q21" i="234"/>
  <c r="G24" i="234"/>
  <c r="I24" i="234" s="1"/>
  <c r="O24" i="234" s="1"/>
  <c r="E25" i="234"/>
  <c r="Q17" i="234"/>
  <c r="Q16" i="234"/>
  <c r="Q13" i="234"/>
  <c r="Q9" i="234"/>
  <c r="G15" i="234"/>
  <c r="I15" i="234" s="1"/>
  <c r="O15" i="234" s="1"/>
  <c r="G14" i="234"/>
  <c r="I14" i="234" s="1"/>
  <c r="O14" i="234" s="1"/>
  <c r="G13" i="234"/>
  <c r="I13" i="234" s="1"/>
  <c r="G12" i="234"/>
  <c r="I12" i="234" s="1"/>
  <c r="O12" i="234" s="1"/>
  <c r="G11" i="234"/>
  <c r="I11" i="234" s="1"/>
  <c r="O11" i="234" s="1"/>
  <c r="G10" i="234"/>
  <c r="I10" i="234" s="1"/>
  <c r="O10" i="234" s="1"/>
  <c r="K10" i="234" s="1"/>
  <c r="G25" i="234" l="1"/>
  <c r="O10" i="229"/>
  <c r="P8" i="229"/>
  <c r="Q8" i="229" s="1"/>
  <c r="Q10" i="229" s="1"/>
  <c r="Q13" i="229" s="1"/>
  <c r="Q49" i="229" s="1"/>
  <c r="Q52" i="229" s="1"/>
  <c r="T15" i="227"/>
  <c r="O38" i="227"/>
  <c r="N58" i="227"/>
  <c r="Q38" i="228"/>
  <c r="R27" i="228" s="1"/>
  <c r="R63" i="228" s="1"/>
  <c r="L58" i="228"/>
  <c r="J65" i="228"/>
  <c r="N65" i="228"/>
  <c r="N115" i="228"/>
  <c r="N116" i="228" s="1"/>
  <c r="O114" i="228" s="1"/>
  <c r="Y4" i="229"/>
  <c r="Z4" i="229" s="1"/>
  <c r="G13" i="229"/>
  <c r="G49" i="229" s="1"/>
  <c r="R13" i="229"/>
  <c r="R49" i="229" s="1"/>
  <c r="R52" i="229" s="1"/>
  <c r="J13" i="229"/>
  <c r="J49" i="229" s="1"/>
  <c r="O43" i="229"/>
  <c r="P43" i="229" s="1"/>
  <c r="Q43" i="229" s="1"/>
  <c r="R43" i="229" s="1"/>
  <c r="S43" i="229" s="1"/>
  <c r="T43" i="229" s="1"/>
  <c r="U43" i="229" s="1"/>
  <c r="V43" i="229" s="1"/>
  <c r="W43" i="229" s="1"/>
  <c r="X43" i="229" s="1"/>
  <c r="Y43" i="229" s="1"/>
  <c r="Z43" i="229" s="1"/>
  <c r="AA43" i="229" s="1"/>
  <c r="AB43" i="229" s="1"/>
  <c r="H111" i="229"/>
  <c r="V14" i="227"/>
  <c r="T13" i="227"/>
  <c r="T157" i="227" s="1"/>
  <c r="T161" i="227" s="1"/>
  <c r="L38" i="227"/>
  <c r="D50" i="228"/>
  <c r="I107" i="229"/>
  <c r="M107" i="229"/>
  <c r="L111" i="229"/>
  <c r="BR16" i="1"/>
  <c r="G13" i="227"/>
  <c r="I38" i="227"/>
  <c r="I142" i="227" s="1"/>
  <c r="P59" i="227"/>
  <c r="B50" i="228"/>
  <c r="L65" i="228"/>
  <c r="I13" i="229"/>
  <c r="I49" i="229" s="1"/>
  <c r="P111" i="229"/>
  <c r="P133" i="227"/>
  <c r="Q131" i="227" s="1"/>
  <c r="Q132" i="227" s="1"/>
  <c r="Q133" i="227" s="1"/>
  <c r="R131" i="227" s="1"/>
  <c r="CR134" i="1"/>
  <c r="CQ243" i="1"/>
  <c r="AU134" i="1"/>
  <c r="BJ23" i="1"/>
  <c r="CD16" i="1"/>
  <c r="AZ228" i="1"/>
  <c r="L126" i="1"/>
  <c r="AF134" i="1"/>
  <c r="BT134" i="1"/>
  <c r="AE168" i="1"/>
  <c r="H168" i="1"/>
  <c r="CV230" i="1"/>
  <c r="E198" i="1"/>
  <c r="T126" i="1"/>
  <c r="A48" i="1"/>
  <c r="A49" i="1" s="1"/>
  <c r="A50" i="1" s="1"/>
  <c r="A51" i="1" s="1"/>
  <c r="A52" i="1" s="1"/>
  <c r="A53" i="1" s="1"/>
  <c r="A54" i="1" s="1"/>
  <c r="CI134" i="1"/>
  <c r="F168" i="1"/>
  <c r="AR246" i="1"/>
  <c r="BY16" i="1"/>
  <c r="BU22" i="1"/>
  <c r="CO214" i="1"/>
  <c r="CN214" i="1" s="1"/>
  <c r="CM214" i="1" s="1"/>
  <c r="CL214" i="1" s="1"/>
  <c r="CR217" i="1"/>
  <c r="AC246" i="1"/>
  <c r="AH246" i="1"/>
  <c r="AW246" i="1"/>
  <c r="BB246" i="1"/>
  <c r="CH16" i="1"/>
  <c r="CN24" i="1"/>
  <c r="AS136" i="1"/>
  <c r="AV136" i="1" s="1"/>
  <c r="AW136" i="1" s="1"/>
  <c r="AA134" i="1"/>
  <c r="BE134" i="1"/>
  <c r="BX19" i="1"/>
  <c r="BM19" i="1"/>
  <c r="BY19" i="1"/>
  <c r="CD96" i="1"/>
  <c r="O96" i="1"/>
  <c r="AD16" i="1"/>
  <c r="AX16" i="1"/>
  <c r="BO134" i="1"/>
  <c r="CT217" i="1"/>
  <c r="DF217" i="1" s="1"/>
  <c r="BG246" i="1"/>
  <c r="CS134" i="1"/>
  <c r="H186" i="1"/>
  <c r="AO186" i="1"/>
  <c r="BI186" i="1"/>
  <c r="E168" i="1"/>
  <c r="I168" i="1"/>
  <c r="CQ215" i="1"/>
  <c r="AI96" i="1"/>
  <c r="BC90" i="1"/>
  <c r="BZ15" i="1"/>
  <c r="CE16" i="1" s="1"/>
  <c r="BC15" i="1"/>
  <c r="BC19" i="1" s="1"/>
  <c r="BI16" i="1"/>
  <c r="CC16" i="1"/>
  <c r="CQ24" i="1"/>
  <c r="CQ25" i="1" s="1"/>
  <c r="L21" i="1"/>
  <c r="CS83" i="1"/>
  <c r="AN136" i="1"/>
  <c r="AX136" i="1"/>
  <c r="CL136" i="1"/>
  <c r="CO136" i="1" s="1"/>
  <c r="DH136" i="1" s="1"/>
  <c r="CP90" i="1"/>
  <c r="CI90" i="1"/>
  <c r="Y96" i="1"/>
  <c r="Y110" i="1" s="1"/>
  <c r="AE96" i="1"/>
  <c r="AE110" i="1" s="1"/>
  <c r="BC96" i="1"/>
  <c r="CK96" i="1"/>
  <c r="CP96" i="1"/>
  <c r="K126" i="1"/>
  <c r="K127" i="1" s="1"/>
  <c r="AK134" i="1"/>
  <c r="CH186" i="1"/>
  <c r="AY168" i="1"/>
  <c r="BS168" i="1"/>
  <c r="CC168" i="1"/>
  <c r="U167" i="1"/>
  <c r="V167" i="1" s="1"/>
  <c r="W167" i="1" s="1"/>
  <c r="CR215" i="1"/>
  <c r="AZ19" i="1"/>
  <c r="BK18" i="1"/>
  <c r="BO193" i="1" s="1"/>
  <c r="BT19" i="1"/>
  <c r="CB19" i="1"/>
  <c r="CR19" i="1"/>
  <c r="BK20" i="1"/>
  <c r="BL20" i="1" s="1"/>
  <c r="K135" i="1"/>
  <c r="AI136" i="1"/>
  <c r="AL136" i="1" s="1"/>
  <c r="AM136" i="1" s="1"/>
  <c r="BC136" i="1"/>
  <c r="BM136" i="1"/>
  <c r="BW136" i="1"/>
  <c r="CG136" i="1"/>
  <c r="CJ136" i="1" s="1"/>
  <c r="CK136" i="1" s="1"/>
  <c r="CQ136" i="1"/>
  <c r="CT136" i="1" s="1"/>
  <c r="G198" i="1"/>
  <c r="BY134" i="1"/>
  <c r="BX186" i="1"/>
  <c r="CZ215" i="1"/>
  <c r="CX215" i="1" s="1"/>
  <c r="CJ228" i="1"/>
  <c r="CD23" i="1"/>
  <c r="DJ101" i="1"/>
  <c r="BU15" i="1"/>
  <c r="S15" i="1"/>
  <c r="S192" i="1" s="1"/>
  <c r="CL23" i="1"/>
  <c r="CL24" i="1"/>
  <c r="CL25" i="1" s="1"/>
  <c r="CR24" i="1"/>
  <c r="CR25" i="1" s="1"/>
  <c r="CC19" i="1"/>
  <c r="CN21" i="1"/>
  <c r="AT23" i="1"/>
  <c r="BN23" i="1"/>
  <c r="CH23" i="1"/>
  <c r="BZ31" i="1"/>
  <c r="CA31" i="1" s="1"/>
  <c r="CE40" i="1"/>
  <c r="CF40" i="1" s="1"/>
  <c r="DH40" i="1"/>
  <c r="CP13" i="1"/>
  <c r="Q16" i="1"/>
  <c r="CM24" i="1"/>
  <c r="CM25" i="1" s="1"/>
  <c r="CS23" i="1"/>
  <c r="CS24" i="1"/>
  <c r="AU19" i="1"/>
  <c r="BD19" i="1"/>
  <c r="CN19" i="1"/>
  <c r="BN16" i="1"/>
  <c r="CT18" i="1"/>
  <c r="CT24" i="1" s="1"/>
  <c r="BJ21" i="1"/>
  <c r="V23" i="1"/>
  <c r="AD23" i="1"/>
  <c r="BP31" i="1"/>
  <c r="CS254" i="1"/>
  <c r="CT254" i="1" s="1"/>
  <c r="CU254" i="1" s="1"/>
  <c r="CV254" i="1" s="1"/>
  <c r="CW254" i="1" s="1"/>
  <c r="CX254" i="1" s="1"/>
  <c r="CY254" i="1" s="1"/>
  <c r="CZ254" i="1" s="1"/>
  <c r="DA254" i="1" s="1"/>
  <c r="DB254" i="1" s="1"/>
  <c r="DC254" i="1" s="1"/>
  <c r="CR243" i="1"/>
  <c r="BA40" i="1"/>
  <c r="BB40" i="1" s="1"/>
  <c r="CU40" i="1"/>
  <c r="G74" i="1"/>
  <c r="K74" i="1"/>
  <c r="M135" i="1"/>
  <c r="Y136" i="1"/>
  <c r="K139" i="1"/>
  <c r="H96" i="1"/>
  <c r="AA96" i="1"/>
  <c r="AA110" i="1" s="1"/>
  <c r="AB226" i="1"/>
  <c r="W96" i="1"/>
  <c r="V96" i="1"/>
  <c r="AM107" i="1"/>
  <c r="CS144" i="1"/>
  <c r="CT144" i="1" s="1"/>
  <c r="CS156" i="1"/>
  <c r="CT156" i="1" s="1"/>
  <c r="CS167" i="1"/>
  <c r="CT167" i="1" s="1"/>
  <c r="CH134" i="1"/>
  <c r="CR186" i="1"/>
  <c r="E186" i="1"/>
  <c r="I186" i="1"/>
  <c r="CS147" i="1"/>
  <c r="CT147" i="1" s="1"/>
  <c r="CS165" i="1"/>
  <c r="CT165" i="1" s="1"/>
  <c r="BL246" i="1"/>
  <c r="BQ246" i="1"/>
  <c r="H227" i="1"/>
  <c r="L227" i="1"/>
  <c r="T227" i="1"/>
  <c r="AH74" i="1"/>
  <c r="AH83" i="1" s="1"/>
  <c r="BY90" i="1"/>
  <c r="AN96" i="1"/>
  <c r="AU96" i="1"/>
  <c r="AU110" i="1" s="1"/>
  <c r="BU96" i="1"/>
  <c r="BZ94" i="1"/>
  <c r="CA94" i="1" s="1"/>
  <c r="N107" i="1"/>
  <c r="X107" i="1"/>
  <c r="AH107" i="1"/>
  <c r="AR107" i="1"/>
  <c r="BB107" i="1"/>
  <c r="BL107" i="1"/>
  <c r="BV107" i="1"/>
  <c r="CF107" i="1"/>
  <c r="CP107" i="1"/>
  <c r="N133" i="1"/>
  <c r="CS146" i="1"/>
  <c r="CT146" i="1" s="1"/>
  <c r="CS149" i="1"/>
  <c r="CT149" i="1" s="1"/>
  <c r="Z168" i="1"/>
  <c r="BJ168" i="1"/>
  <c r="CS215" i="1"/>
  <c r="BT21" i="1"/>
  <c r="CB21" i="1"/>
  <c r="F23" i="1"/>
  <c r="J23" i="1"/>
  <c r="AX23" i="1"/>
  <c r="CT31" i="1"/>
  <c r="CU31" i="1" s="1"/>
  <c r="T136" i="1"/>
  <c r="AM89" i="1"/>
  <c r="CF89" i="1"/>
  <c r="CF90" i="1" s="1"/>
  <c r="AF96" i="1"/>
  <c r="AO96" i="1"/>
  <c r="BS94" i="1"/>
  <c r="BS96" i="1" s="1"/>
  <c r="BS110" i="1" s="1"/>
  <c r="CS110" i="1"/>
  <c r="Q126" i="1"/>
  <c r="AJ134" i="1"/>
  <c r="BD134" i="1"/>
  <c r="AE134" i="1"/>
  <c r="AO134" i="1"/>
  <c r="AY134" i="1"/>
  <c r="BI134" i="1"/>
  <c r="BS134" i="1"/>
  <c r="CC134" i="1"/>
  <c r="CM134" i="1"/>
  <c r="AE186" i="1"/>
  <c r="AY186" i="1"/>
  <c r="Z156" i="1"/>
  <c r="AA156" i="1" s="1"/>
  <c r="AB156" i="1" s="1"/>
  <c r="BD168" i="1"/>
  <c r="CM168" i="1"/>
  <c r="CR221" i="1"/>
  <c r="CS163" i="1"/>
  <c r="CT163" i="1" s="1"/>
  <c r="CQ217" i="1"/>
  <c r="CZ217" i="1"/>
  <c r="CX217" i="1" s="1"/>
  <c r="CX35" i="226"/>
  <c r="CX183" i="226" s="1"/>
  <c r="AI57" i="226"/>
  <c r="AB11" i="226"/>
  <c r="P22" i="226"/>
  <c r="CF12" i="226"/>
  <c r="CD22" i="226"/>
  <c r="CD24" i="226" s="1"/>
  <c r="CL86" i="226"/>
  <c r="CS86" i="226"/>
  <c r="U22" i="226"/>
  <c r="U60" i="226" s="1"/>
  <c r="AC16" i="226"/>
  <c r="BG16" i="226"/>
  <c r="CA16" i="226"/>
  <c r="AH12" i="226"/>
  <c r="AR10" i="226"/>
  <c r="BB18" i="226"/>
  <c r="BQ29" i="226"/>
  <c r="BQ95" i="226" s="1"/>
  <c r="BP95" i="226"/>
  <c r="CK29" i="226"/>
  <c r="CJ95" i="226"/>
  <c r="BB31" i="226"/>
  <c r="BB97" i="226" s="1"/>
  <c r="BA97" i="226"/>
  <c r="CA31" i="226"/>
  <c r="CA97" i="226" s="1"/>
  <c r="BZ97" i="226"/>
  <c r="CN43" i="226"/>
  <c r="CN99" i="226"/>
  <c r="N33" i="226"/>
  <c r="N99" i="226" s="1"/>
  <c r="M99" i="226"/>
  <c r="X31" i="226"/>
  <c r="X97" i="226" s="1"/>
  <c r="W97" i="226"/>
  <c r="AH29" i="226"/>
  <c r="AH95" i="226" s="1"/>
  <c r="AG95" i="226"/>
  <c r="AS36" i="226"/>
  <c r="AN101" i="226"/>
  <c r="BB10" i="226"/>
  <c r="BV10" i="226"/>
  <c r="CO90" i="226"/>
  <c r="N14" i="226"/>
  <c r="BG14" i="226"/>
  <c r="CA14" i="226"/>
  <c r="AN17" i="226"/>
  <c r="J22" i="226"/>
  <c r="J24" i="226" s="1"/>
  <c r="BL16" i="226"/>
  <c r="CF16" i="226"/>
  <c r="AH14" i="226"/>
  <c r="BG18" i="226"/>
  <c r="BD30" i="226"/>
  <c r="BD95" i="226"/>
  <c r="BK32" i="226"/>
  <c r="BK97" i="226"/>
  <c r="CC34" i="226"/>
  <c r="CC99" i="226"/>
  <c r="CQ43" i="226"/>
  <c r="CQ99" i="226"/>
  <c r="CF35" i="226"/>
  <c r="CF101" i="226" s="1"/>
  <c r="CE101" i="226"/>
  <c r="AS30" i="226"/>
  <c r="AN95" i="226"/>
  <c r="BS51" i="226"/>
  <c r="CG55" i="226"/>
  <c r="BG10" i="226"/>
  <c r="CA10" i="226"/>
  <c r="X14" i="226"/>
  <c r="CH22" i="226"/>
  <c r="CH24" i="226" s="1"/>
  <c r="AC18" i="226"/>
  <c r="AH16" i="226"/>
  <c r="AW14" i="226"/>
  <c r="CA29" i="226"/>
  <c r="BZ95" i="226"/>
  <c r="BQ31" i="226"/>
  <c r="BQ97" i="226" s="1"/>
  <c r="BP97" i="226"/>
  <c r="CK31" i="226"/>
  <c r="CK97" i="226" s="1"/>
  <c r="CJ97" i="226"/>
  <c r="CL43" i="226"/>
  <c r="CL99" i="226"/>
  <c r="CR43" i="226"/>
  <c r="CR99" i="226"/>
  <c r="S35" i="226"/>
  <c r="S101" i="226" s="1"/>
  <c r="R101" i="226"/>
  <c r="X35" i="226"/>
  <c r="X101" i="226" s="1"/>
  <c r="W101" i="226"/>
  <c r="AH33" i="226"/>
  <c r="AH99" i="226" s="1"/>
  <c r="AG99" i="226"/>
  <c r="AI52" i="226"/>
  <c r="AI53" i="226" s="1"/>
  <c r="AI99" i="226"/>
  <c r="AN50" i="226"/>
  <c r="AN97" i="226"/>
  <c r="BE55" i="226"/>
  <c r="S14" i="226"/>
  <c r="BQ14" i="226"/>
  <c r="CI22" i="226"/>
  <c r="CI24" i="226" s="1"/>
  <c r="CQ86" i="226"/>
  <c r="T22" i="226"/>
  <c r="T60" i="226" s="1"/>
  <c r="BB16" i="226"/>
  <c r="AH10" i="226"/>
  <c r="AH18" i="226"/>
  <c r="AM19" i="226" s="1"/>
  <c r="AR18" i="226"/>
  <c r="AW18" i="226"/>
  <c r="AC29" i="226"/>
  <c r="AC95" i="226" s="1"/>
  <c r="AB95" i="226"/>
  <c r="CA33" i="226"/>
  <c r="CA99" i="226" s="1"/>
  <c r="BZ99" i="226"/>
  <c r="CM43" i="226"/>
  <c r="CM99" i="226"/>
  <c r="CS43" i="226"/>
  <c r="CS99" i="226"/>
  <c r="BL33" i="226"/>
  <c r="BL99" i="226" s="1"/>
  <c r="BK99" i="226"/>
  <c r="AC35" i="226"/>
  <c r="AC101" i="226" s="1"/>
  <c r="AB101" i="226"/>
  <c r="DH35" i="226"/>
  <c r="CO101" i="226"/>
  <c r="DH101" i="226" s="1"/>
  <c r="DJ101" i="226" s="1"/>
  <c r="AL35" i="226"/>
  <c r="AL101" i="226" s="1"/>
  <c r="AI101" i="226"/>
  <c r="AS34" i="226"/>
  <c r="AN99" i="226"/>
  <c r="Y53" i="226"/>
  <c r="AT53" i="226"/>
  <c r="AF49" i="226"/>
  <c r="AX49" i="226"/>
  <c r="AU51" i="226"/>
  <c r="AZ53" i="226"/>
  <c r="BX49" i="226"/>
  <c r="BX51" i="226"/>
  <c r="CW35" i="226"/>
  <c r="CR51" i="226"/>
  <c r="L22" i="226"/>
  <c r="L24" i="226" s="1"/>
  <c r="Q49" i="226"/>
  <c r="BH49" i="226"/>
  <c r="CM51" i="226"/>
  <c r="BX53" i="226"/>
  <c r="CS55" i="226"/>
  <c r="Y49" i="226"/>
  <c r="AD49" i="226"/>
  <c r="AT49" i="226"/>
  <c r="AZ49" i="226"/>
  <c r="AY51" i="226"/>
  <c r="AX53" i="226"/>
  <c r="BT49" i="226"/>
  <c r="CB49" i="226"/>
  <c r="CN49" i="226"/>
  <c r="BH51" i="226"/>
  <c r="BT51" i="226"/>
  <c r="CB51" i="226"/>
  <c r="BH53" i="226"/>
  <c r="BA13" i="226"/>
  <c r="AK55" i="226"/>
  <c r="U49" i="226"/>
  <c r="BO51" i="226"/>
  <c r="BW51" i="226"/>
  <c r="CI51" i="226"/>
  <c r="CQ51" i="226"/>
  <c r="CX145" i="226"/>
  <c r="O53" i="226"/>
  <c r="BC51" i="226"/>
  <c r="CO39" i="226"/>
  <c r="CP39" i="226" s="1"/>
  <c r="CV178" i="226"/>
  <c r="CV72" i="226" s="1"/>
  <c r="CV88" i="226" s="1"/>
  <c r="CV89" i="226" s="1"/>
  <c r="CP35" i="226"/>
  <c r="CP101" i="226" s="1"/>
  <c r="AE51" i="226"/>
  <c r="BT53" i="226"/>
  <c r="AF53" i="226"/>
  <c r="CN51" i="226"/>
  <c r="BM53" i="226"/>
  <c r="AT57" i="226"/>
  <c r="AZ57" i="226"/>
  <c r="AX57" i="226"/>
  <c r="BI55" i="226"/>
  <c r="CT11" i="226"/>
  <c r="DF11" i="226" s="1"/>
  <c r="DI11" i="226" s="1"/>
  <c r="CO82" i="226"/>
  <c r="CM22" i="226"/>
  <c r="CR23" i="226" s="1"/>
  <c r="CM86" i="226"/>
  <c r="CR87" i="226" s="1"/>
  <c r="DH29" i="226"/>
  <c r="CO67" i="226"/>
  <c r="DH67" i="226" s="1"/>
  <c r="DJ67" i="226" s="1"/>
  <c r="CO73" i="226"/>
  <c r="CO71" i="226"/>
  <c r="CO69" i="226"/>
  <c r="CO79" i="226"/>
  <c r="DH79" i="226" s="1"/>
  <c r="DJ79" i="226" s="1"/>
  <c r="CT13" i="226"/>
  <c r="DF13" i="226" s="1"/>
  <c r="DI13" i="226" s="1"/>
  <c r="CO84" i="226"/>
  <c r="CN22" i="226"/>
  <c r="CN24" i="226" s="1"/>
  <c r="CN86" i="226"/>
  <c r="BM55" i="226"/>
  <c r="BY55" i="226"/>
  <c r="CQ22" i="226"/>
  <c r="CQ24" i="226" s="1"/>
  <c r="CT17" i="226"/>
  <c r="DF17" i="226" s="1"/>
  <c r="DI17" i="226" s="1"/>
  <c r="CO88" i="226"/>
  <c r="CS22" i="226"/>
  <c r="BW53" i="226"/>
  <c r="BJ55" i="226"/>
  <c r="BR55" i="226"/>
  <c r="CC55" i="226"/>
  <c r="BZ22" i="226"/>
  <c r="BZ24" i="226" s="1"/>
  <c r="AD53" i="226"/>
  <c r="CD55" i="226"/>
  <c r="CL55" i="226"/>
  <c r="BP11" i="226"/>
  <c r="I22" i="226"/>
  <c r="I60" i="226" s="1"/>
  <c r="BK22" i="226"/>
  <c r="BK24" i="226" s="1"/>
  <c r="CH15" i="226"/>
  <c r="AP17" i="226"/>
  <c r="BU17" i="226"/>
  <c r="AL13" i="226"/>
  <c r="BW128" i="226"/>
  <c r="DF73" i="226"/>
  <c r="AE55" i="226"/>
  <c r="AF57" i="226"/>
  <c r="BU13" i="226"/>
  <c r="AT17" i="226"/>
  <c r="F17" i="226"/>
  <c r="BH23" i="226"/>
  <c r="BT23" i="226"/>
  <c r="CG34" i="226"/>
  <c r="BD34" i="226"/>
  <c r="AN36" i="226"/>
  <c r="CV145" i="226"/>
  <c r="AV11" i="226"/>
  <c r="BX128" i="226"/>
  <c r="M12" i="226"/>
  <c r="BF22" i="226"/>
  <c r="BF24" i="226" s="1"/>
  <c r="BZ15" i="226"/>
  <c r="BD23" i="226"/>
  <c r="BX23" i="226"/>
  <c r="BZ30" i="226"/>
  <c r="BI34" i="226"/>
  <c r="AD57" i="226"/>
  <c r="Z53" i="226"/>
  <c r="BY160" i="226"/>
  <c r="BY177" i="226"/>
  <c r="BL12" i="226"/>
  <c r="AB15" i="226"/>
  <c r="CL15" i="226"/>
  <c r="Z17" i="226"/>
  <c r="AL33" i="226"/>
  <c r="AL99" i="226" s="1"/>
  <c r="BY53" i="226"/>
  <c r="BN55" i="226"/>
  <c r="CH55" i="226"/>
  <c r="BF15" i="226"/>
  <c r="R16" i="226"/>
  <c r="S16" i="226" s="1"/>
  <c r="G17" i="226"/>
  <c r="AQ15" i="226"/>
  <c r="AI34" i="226"/>
  <c r="V53" i="226"/>
  <c r="BY128" i="226"/>
  <c r="DJ88" i="1"/>
  <c r="Q71" i="229"/>
  <c r="R23" i="227"/>
  <c r="Q59" i="227"/>
  <c r="O124" i="227"/>
  <c r="O125" i="227" s="1"/>
  <c r="P123" i="227" s="1"/>
  <c r="P125" i="227" s="1"/>
  <c r="Q123" i="227" s="1"/>
  <c r="Q125" i="227" s="1"/>
  <c r="R123" i="227" s="1"/>
  <c r="R125" i="227" s="1"/>
  <c r="S123" i="227" s="1"/>
  <c r="S125" i="227" s="1"/>
  <c r="T123" i="227" s="1"/>
  <c r="T125" i="227" s="1"/>
  <c r="U123" i="227" s="1"/>
  <c r="U125" i="227" s="1"/>
  <c r="V123" i="227" s="1"/>
  <c r="V125" i="227" s="1"/>
  <c r="W123" i="227" s="1"/>
  <c r="W125" i="227" s="1"/>
  <c r="X123" i="227" s="1"/>
  <c r="X125" i="227" s="1"/>
  <c r="Y123" i="227" s="1"/>
  <c r="Y125" i="227" s="1"/>
  <c r="Z123" i="227" s="1"/>
  <c r="Z125" i="227" s="1"/>
  <c r="AA123" i="227" s="1"/>
  <c r="AA125" i="227" s="1"/>
  <c r="AB123" i="227" s="1"/>
  <c r="AB125" i="227" s="1"/>
  <c r="E16" i="229"/>
  <c r="D3" i="229"/>
  <c r="C3" i="229" s="1"/>
  <c r="C121" i="229" s="1"/>
  <c r="BY168" i="1"/>
  <c r="CQ247" i="1"/>
  <c r="CQ248" i="1" s="1"/>
  <c r="CQ250" i="1"/>
  <c r="J50" i="227"/>
  <c r="J22" i="227"/>
  <c r="G66" i="229"/>
  <c r="G35" i="229"/>
  <c r="H28" i="229" s="1"/>
  <c r="H35" i="229" s="1"/>
  <c r="BQ15" i="1"/>
  <c r="CO15" i="1"/>
  <c r="CS192" i="1" s="1"/>
  <c r="DH12" i="1"/>
  <c r="DJ12" i="1" s="1"/>
  <c r="V16" i="1"/>
  <c r="AP16" i="1"/>
  <c r="BE16" i="1"/>
  <c r="BH19" i="1"/>
  <c r="BN21" i="1"/>
  <c r="BX21" i="1"/>
  <c r="CO230" i="1"/>
  <c r="DH22" i="1"/>
  <c r="BR23" i="1"/>
  <c r="BA31" i="1"/>
  <c r="BB31" i="1" s="1"/>
  <c r="CP34" i="1"/>
  <c r="DH34" i="1"/>
  <c r="CU69" i="1"/>
  <c r="DF69" i="1"/>
  <c r="AR117" i="1"/>
  <c r="AG74" i="1"/>
  <c r="DF79" i="1"/>
  <c r="DI79" i="1" s="1"/>
  <c r="CU87" i="1"/>
  <c r="DF87" i="1"/>
  <c r="CU89" i="1"/>
  <c r="DF89" i="1"/>
  <c r="DI89" i="1" s="1"/>
  <c r="AI90" i="1"/>
  <c r="AV90" i="1"/>
  <c r="BW90" i="1"/>
  <c r="S96" i="1"/>
  <c r="BK94" i="1"/>
  <c r="BL94" i="1" s="1"/>
  <c r="CE96" i="1"/>
  <c r="CH96" i="1"/>
  <c r="CU93" i="1"/>
  <c r="CV93" i="1" s="1"/>
  <c r="CW93" i="1" s="1"/>
  <c r="CX93" i="1" s="1"/>
  <c r="CY93" i="1" s="1"/>
  <c r="DF93" i="1"/>
  <c r="CU95" i="1"/>
  <c r="DF95" i="1"/>
  <c r="AL96" i="1"/>
  <c r="CU98" i="1"/>
  <c r="DF98" i="1"/>
  <c r="CU106" i="1"/>
  <c r="DF106" i="1"/>
  <c r="DI105" i="1"/>
  <c r="S107" i="1"/>
  <c r="BG107" i="1"/>
  <c r="CA107" i="1"/>
  <c r="CJ110" i="1"/>
  <c r="CJ112" i="1" s="1"/>
  <c r="CM110" i="1"/>
  <c r="CO251" i="1"/>
  <c r="DH107" i="1"/>
  <c r="CR110" i="1"/>
  <c r="DJ103" i="1"/>
  <c r="DI109" i="1"/>
  <c r="U126" i="1"/>
  <c r="AN116" i="1"/>
  <c r="AN126" i="1" s="1"/>
  <c r="AN127" i="1" s="1"/>
  <c r="CO126" i="1"/>
  <c r="DH126" i="1" s="1"/>
  <c r="DH116" i="1"/>
  <c r="AP134" i="1"/>
  <c r="CD134" i="1"/>
  <c r="AZ134" i="1"/>
  <c r="AT134" i="1"/>
  <c r="K168" i="1"/>
  <c r="BI168" i="1"/>
  <c r="BN168" i="1"/>
  <c r="S170" i="1"/>
  <c r="AC171" i="1"/>
  <c r="AM170" i="1"/>
  <c r="DH214" i="1"/>
  <c r="DH10" i="226"/>
  <c r="DH12" i="226"/>
  <c r="U13" i="226"/>
  <c r="CC15" i="226"/>
  <c r="DH16" i="226"/>
  <c r="AG17" i="226"/>
  <c r="AL11" i="226"/>
  <c r="AQ11" i="226"/>
  <c r="AR14" i="226"/>
  <c r="AI23" i="226"/>
  <c r="BO23" i="226"/>
  <c r="BW23" i="226"/>
  <c r="AB30" i="226"/>
  <c r="CE33" i="226"/>
  <c r="CE34" i="226" s="1"/>
  <c r="CH34" i="226"/>
  <c r="CJ36" i="226"/>
  <c r="R36" i="226"/>
  <c r="W36" i="226"/>
  <c r="AB36" i="226"/>
  <c r="AN32" i="226"/>
  <c r="AQ35" i="226"/>
  <c r="Q53" i="226"/>
  <c r="Y51" i="226"/>
  <c r="AK49" i="226"/>
  <c r="AP49" i="226"/>
  <c r="AJ51" i="226"/>
  <c r="AO51" i="226"/>
  <c r="AK53" i="226"/>
  <c r="AP53" i="226"/>
  <c r="AJ55" i="226"/>
  <c r="AK57" i="226"/>
  <c r="AP57" i="226"/>
  <c r="BD51" i="226"/>
  <c r="BE57" i="226"/>
  <c r="M65" i="227"/>
  <c r="K58" i="228"/>
  <c r="I58" i="228"/>
  <c r="M58" i="228"/>
  <c r="I93" i="228"/>
  <c r="F16" i="229"/>
  <c r="P71" i="229"/>
  <c r="D115" i="229"/>
  <c r="H115" i="229"/>
  <c r="L115" i="229"/>
  <c r="P115" i="229"/>
  <c r="BK15" i="1"/>
  <c r="BO192" i="1" s="1"/>
  <c r="I16" i="1"/>
  <c r="Z16" i="1"/>
  <c r="AK16" i="1"/>
  <c r="AT16" i="1"/>
  <c r="BJ16" i="1"/>
  <c r="CS16" i="1"/>
  <c r="CE18" i="1"/>
  <c r="CH193" i="1" s="1"/>
  <c r="BR21" i="1"/>
  <c r="BH21" i="1"/>
  <c r="AG22" i="1"/>
  <c r="DF31" i="1"/>
  <c r="DI31" i="1" s="1"/>
  <c r="AL15" i="1"/>
  <c r="AV15" i="1"/>
  <c r="AV192" i="1" s="1"/>
  <c r="BF15" i="1"/>
  <c r="BF21" i="1" s="1"/>
  <c r="BP15" i="1"/>
  <c r="BP192" i="1" s="1"/>
  <c r="BP207" i="1" s="1"/>
  <c r="CA12" i="1"/>
  <c r="CA15" i="1" s="1"/>
  <c r="CJ15" i="1"/>
  <c r="CP14" i="1"/>
  <c r="DH14" i="1"/>
  <c r="DJ14" i="1" s="1"/>
  <c r="R15" i="1"/>
  <c r="CE15" i="1"/>
  <c r="CE192" i="1" s="1"/>
  <c r="F16" i="1"/>
  <c r="J16" i="1"/>
  <c r="U16" i="1"/>
  <c r="Y16" i="1"/>
  <c r="AO16" i="1"/>
  <c r="AS16" i="1"/>
  <c r="BM16" i="1"/>
  <c r="CG16" i="1"/>
  <c r="CL16" i="1"/>
  <c r="BE19" i="1"/>
  <c r="BI19" i="1"/>
  <c r="CI19" i="1"/>
  <c r="CO18" i="1"/>
  <c r="DH18" i="1" s="1"/>
  <c r="O19" i="1"/>
  <c r="BI21" i="1"/>
  <c r="BU20" i="1"/>
  <c r="BU21" i="1" s="1"/>
  <c r="CD21" i="1"/>
  <c r="H21" i="1"/>
  <c r="P21" i="1"/>
  <c r="E23" i="1"/>
  <c r="M22" i="1"/>
  <c r="BA22" i="1"/>
  <c r="CP22" i="1"/>
  <c r="Z23" i="1"/>
  <c r="AP23" i="1"/>
  <c r="CP30" i="1"/>
  <c r="CP37" i="1" s="1"/>
  <c r="DH30" i="1"/>
  <c r="DJ30" i="1" s="1"/>
  <c r="DF32" i="1"/>
  <c r="DF34" i="1"/>
  <c r="DI34" i="1" s="1"/>
  <c r="AV31" i="1"/>
  <c r="AW31" i="1" s="1"/>
  <c r="BF31" i="1"/>
  <c r="BG31" i="1" s="1"/>
  <c r="BQ31" i="1"/>
  <c r="CE31" i="1"/>
  <c r="CJ31" i="1"/>
  <c r="CK31" i="1" s="1"/>
  <c r="BF32" i="1"/>
  <c r="BG32" i="1" s="1"/>
  <c r="CP32" i="1"/>
  <c r="DH32" i="1"/>
  <c r="AV40" i="1"/>
  <c r="AW40" i="1" s="1"/>
  <c r="BK40" i="1"/>
  <c r="BL40" i="1" s="1"/>
  <c r="BU40" i="1"/>
  <c r="BV40" i="1" s="1"/>
  <c r="CP44" i="1"/>
  <c r="I74" i="1"/>
  <c r="I83" i="1" s="1"/>
  <c r="M74" i="1"/>
  <c r="M83" i="1" s="1"/>
  <c r="J74" i="1"/>
  <c r="J83" i="1" s="1"/>
  <c r="L135" i="1"/>
  <c r="P74" i="1"/>
  <c r="P83" i="1" s="1"/>
  <c r="Q74" i="1"/>
  <c r="U74" i="1"/>
  <c r="U83" i="1" s="1"/>
  <c r="V74" i="1"/>
  <c r="V83" i="1" s="1"/>
  <c r="CU73" i="1"/>
  <c r="DF73" i="1"/>
  <c r="L137" i="1"/>
  <c r="X227" i="1"/>
  <c r="CO83" i="1"/>
  <c r="DH74" i="1"/>
  <c r="CU77" i="1"/>
  <c r="DF77" i="1"/>
  <c r="DF136" i="1"/>
  <c r="DI136" i="1" s="1"/>
  <c r="DF81" i="1"/>
  <c r="CU80" i="1"/>
  <c r="DF80" i="1"/>
  <c r="O136" i="1"/>
  <c r="BH136" i="1"/>
  <c r="BR136" i="1"/>
  <c r="CB136" i="1"/>
  <c r="CE136" i="1" s="1"/>
  <c r="CF136" i="1" s="1"/>
  <c r="CL83" i="1"/>
  <c r="S87" i="1"/>
  <c r="S90" i="1" s="1"/>
  <c r="AW89" i="1"/>
  <c r="BE96" i="1"/>
  <c r="BJ96" i="1"/>
  <c r="BL89" i="1"/>
  <c r="CE90" i="1"/>
  <c r="E96" i="1"/>
  <c r="G96" i="1"/>
  <c r="G110" i="1" s="1"/>
  <c r="I96" i="1"/>
  <c r="K96" i="1"/>
  <c r="M96" i="1"/>
  <c r="T96" i="1"/>
  <c r="Z96" i="1"/>
  <c r="Z110" i="1" s="1"/>
  <c r="AK96" i="1"/>
  <c r="AK110" i="1" s="1"/>
  <c r="AO110" i="1"/>
  <c r="AX96" i="1"/>
  <c r="AX110" i="1" s="1"/>
  <c r="AZ96" i="1"/>
  <c r="AZ110" i="1" s="1"/>
  <c r="BF94" i="1"/>
  <c r="BG94" i="1" s="1"/>
  <c r="BK96" i="1"/>
  <c r="BK110" i="1" s="1"/>
  <c r="BR94" i="1"/>
  <c r="BR96" i="1" s="1"/>
  <c r="BR110" i="1" s="1"/>
  <c r="BW96" i="1"/>
  <c r="BW110" i="1" s="1"/>
  <c r="CI96" i="1"/>
  <c r="CI110" i="1" s="1"/>
  <c r="CT96" i="1"/>
  <c r="DF96" i="1" s="1"/>
  <c r="DF92" i="1"/>
  <c r="CU94" i="1"/>
  <c r="DF94" i="1"/>
  <c r="AB96" i="1"/>
  <c r="AW96" i="1"/>
  <c r="W226" i="1"/>
  <c r="W228" i="1" s="1"/>
  <c r="J136" i="1"/>
  <c r="CO110" i="1"/>
  <c r="DH110" i="1" s="1"/>
  <c r="DH96" i="1"/>
  <c r="CU102" i="1"/>
  <c r="DF102" i="1"/>
  <c r="CU103" i="1"/>
  <c r="CV103" i="1" s="1"/>
  <c r="CW103" i="1" s="1"/>
  <c r="CX103" i="1" s="1"/>
  <c r="CY103" i="1" s="1"/>
  <c r="CU105" i="1"/>
  <c r="O126" i="1"/>
  <c r="O127" i="1" s="1"/>
  <c r="AF110" i="1"/>
  <c r="CN110" i="1"/>
  <c r="CN112" i="1" s="1"/>
  <c r="CS126" i="1"/>
  <c r="CO118" i="1"/>
  <c r="DH118" i="1" s="1"/>
  <c r="CS122" i="1"/>
  <c r="BX134" i="1"/>
  <c r="Z134" i="1"/>
  <c r="BN134" i="1"/>
  <c r="M138" i="1"/>
  <c r="N138" i="1" s="1"/>
  <c r="BJ134" i="1"/>
  <c r="E134" i="1"/>
  <c r="AT186" i="1"/>
  <c r="L145" i="1"/>
  <c r="M145" i="1" s="1"/>
  <c r="L146" i="1"/>
  <c r="M146" i="1" s="1"/>
  <c r="P149" i="1"/>
  <c r="Q149" i="1" s="1"/>
  <c r="R149" i="1" s="1"/>
  <c r="AH145" i="1"/>
  <c r="AH147" i="1"/>
  <c r="AH149" i="1"/>
  <c r="AH151" i="1"/>
  <c r="AH153" i="1"/>
  <c r="AH155" i="1"/>
  <c r="AM146" i="1"/>
  <c r="AM148" i="1"/>
  <c r="K156" i="1"/>
  <c r="L156" i="1" s="1"/>
  <c r="M156" i="1" s="1"/>
  <c r="L161" i="1"/>
  <c r="V161" i="1"/>
  <c r="AA161" i="1"/>
  <c r="AF161" i="1"/>
  <c r="AF168" i="1" s="1"/>
  <c r="AZ161" i="1"/>
  <c r="AZ168" i="1" s="1"/>
  <c r="BE161" i="1"/>
  <c r="BE168" i="1" s="1"/>
  <c r="BO162" i="1"/>
  <c r="BO221" i="1" s="1"/>
  <c r="BT161" i="1"/>
  <c r="BU161" i="1" s="1"/>
  <c r="BT162" i="1"/>
  <c r="BT221" i="1" s="1"/>
  <c r="CR168" i="1"/>
  <c r="G168" i="1"/>
  <c r="N163" i="1"/>
  <c r="O168" i="1"/>
  <c r="K170" i="1"/>
  <c r="L170" i="1" s="1"/>
  <c r="M170" i="1" s="1"/>
  <c r="S171" i="1"/>
  <c r="X171" i="1"/>
  <c r="AC170" i="1"/>
  <c r="AG171" i="1"/>
  <c r="AH171" i="1" s="1"/>
  <c r="AM171" i="1"/>
  <c r="AR171" i="1"/>
  <c r="DJ215" i="1"/>
  <c r="DJ217" i="1"/>
  <c r="AW259" i="1"/>
  <c r="CK259" i="1"/>
  <c r="N260" i="1"/>
  <c r="S260" i="1"/>
  <c r="AH260" i="1"/>
  <c r="AM260" i="1"/>
  <c r="AR260" i="1"/>
  <c r="BB260" i="1"/>
  <c r="BG260" i="1"/>
  <c r="BL260" i="1"/>
  <c r="BQ260" i="1"/>
  <c r="BV260" i="1"/>
  <c r="CF260" i="1"/>
  <c r="CK260" i="1"/>
  <c r="CP260" i="1"/>
  <c r="F5" i="236"/>
  <c r="AC10" i="226"/>
  <c r="BQ10" i="226"/>
  <c r="CK10" i="226"/>
  <c r="CW29" i="226"/>
  <c r="CW134" i="226" s="1"/>
  <c r="H13" i="226"/>
  <c r="BA11" i="226"/>
  <c r="E22" i="226"/>
  <c r="E24" i="226" s="1"/>
  <c r="AB13" i="226"/>
  <c r="BB12" i="226"/>
  <c r="BP13" i="226"/>
  <c r="BV12" i="226"/>
  <c r="CP12" i="226"/>
  <c r="AC14" i="226"/>
  <c r="BK15" i="226"/>
  <c r="CG15" i="226"/>
  <c r="CJ14" i="226"/>
  <c r="W16" i="226"/>
  <c r="X16" i="226" s="1"/>
  <c r="CD15" i="226"/>
  <c r="H17" i="226"/>
  <c r="BP17" i="226"/>
  <c r="BV16" i="226"/>
  <c r="CP16" i="226"/>
  <c r="Y17" i="226"/>
  <c r="AL15" i="226"/>
  <c r="AV13" i="226"/>
  <c r="AV15" i="226"/>
  <c r="AQ19" i="226"/>
  <c r="AF23" i="226"/>
  <c r="AJ23" i="226"/>
  <c r="BC25" i="226"/>
  <c r="BE23" i="226"/>
  <c r="BI23" i="226"/>
  <c r="BM23" i="226"/>
  <c r="BO25" i="226"/>
  <c r="BS25" i="226"/>
  <c r="BW25" i="226"/>
  <c r="BY23" i="226"/>
  <c r="AE23" i="226"/>
  <c r="BC23" i="226"/>
  <c r="BS23" i="226"/>
  <c r="AB32" i="226"/>
  <c r="CO32" i="226"/>
  <c r="DH32" i="226" s="1"/>
  <c r="DH31" i="226"/>
  <c r="CS34" i="226"/>
  <c r="CD34" i="226"/>
  <c r="CL34" i="226"/>
  <c r="AI30" i="226"/>
  <c r="AL29" i="226"/>
  <c r="AL30" i="226" s="1"/>
  <c r="AQ31" i="226"/>
  <c r="O49" i="226"/>
  <c r="V49" i="226"/>
  <c r="Z49" i="226"/>
  <c r="T51" i="226"/>
  <c r="O51" i="226"/>
  <c r="U53" i="226"/>
  <c r="AA49" i="226"/>
  <c r="Z51" i="226"/>
  <c r="AA53" i="226"/>
  <c r="AE49" i="226"/>
  <c r="AJ49" i="226"/>
  <c r="AO49" i="226"/>
  <c r="AU49" i="226"/>
  <c r="AY49" i="226"/>
  <c r="AD51" i="226"/>
  <c r="AF51" i="226"/>
  <c r="AK51" i="226"/>
  <c r="AP51" i="226"/>
  <c r="AT51" i="226"/>
  <c r="AZ51" i="226"/>
  <c r="AE53" i="226"/>
  <c r="AJ53" i="226"/>
  <c r="AO53" i="226"/>
  <c r="AU53" i="226"/>
  <c r="AY53" i="226"/>
  <c r="AD55" i="226"/>
  <c r="AF55" i="226"/>
  <c r="AE57" i="226"/>
  <c r="AJ57" i="226"/>
  <c r="AO57" i="226"/>
  <c r="AU57" i="226"/>
  <c r="BC49" i="226"/>
  <c r="BN49" i="226"/>
  <c r="BR49" i="226"/>
  <c r="BO49" i="226"/>
  <c r="BS49" i="226"/>
  <c r="BW49" i="226"/>
  <c r="CD49" i="226"/>
  <c r="CH49" i="226"/>
  <c r="CL49" i="226"/>
  <c r="CI49" i="226"/>
  <c r="CM49" i="226"/>
  <c r="CQ49" i="226"/>
  <c r="BE51" i="226"/>
  <c r="BI51" i="226"/>
  <c r="BM51" i="226"/>
  <c r="BY51" i="226"/>
  <c r="CC51" i="226"/>
  <c r="CG51" i="226"/>
  <c r="BN53" i="226"/>
  <c r="BR53" i="226"/>
  <c r="BC55" i="226"/>
  <c r="BO55" i="226"/>
  <c r="BS55" i="226"/>
  <c r="BW55" i="226"/>
  <c r="CI55" i="226"/>
  <c r="CM55" i="226"/>
  <c r="CW145" i="226"/>
  <c r="F10" i="227"/>
  <c r="F13" i="227" s="1"/>
  <c r="H13" i="227"/>
  <c r="N38" i="227"/>
  <c r="R28" i="227"/>
  <c r="Y34" i="227"/>
  <c r="N50" i="227"/>
  <c r="K58" i="227"/>
  <c r="O58" i="227"/>
  <c r="I65" i="227"/>
  <c r="K65" i="227"/>
  <c r="E79" i="227"/>
  <c r="K93" i="227"/>
  <c r="H3" i="228"/>
  <c r="H164" i="228" s="1"/>
  <c r="R10" i="228"/>
  <c r="R13" i="228" s="1"/>
  <c r="V14" i="228"/>
  <c r="V15" i="227" s="1"/>
  <c r="P13" i="228"/>
  <c r="Y21" i="228"/>
  <c r="Z21" i="228" s="1"/>
  <c r="AA21" i="228" s="1"/>
  <c r="N38" i="228"/>
  <c r="D38" i="228"/>
  <c r="D52" i="228" s="1"/>
  <c r="V172" i="228"/>
  <c r="P50" i="228"/>
  <c r="P53" i="228" s="1"/>
  <c r="J58" i="228"/>
  <c r="I65" i="228"/>
  <c r="K65" i="228"/>
  <c r="M65" i="228"/>
  <c r="O65" i="228"/>
  <c r="N82" i="228"/>
  <c r="O82" i="228" s="1"/>
  <c r="P82" i="228" s="1"/>
  <c r="P132" i="228"/>
  <c r="P133" i="228" s="1"/>
  <c r="Q131" i="228" s="1"/>
  <c r="O13" i="229"/>
  <c r="O49" i="229" s="1"/>
  <c r="O52" i="229" s="1"/>
  <c r="H13" i="229"/>
  <c r="H49" i="229" s="1"/>
  <c r="C26" i="229"/>
  <c r="C37" i="229" s="1"/>
  <c r="B102" i="229"/>
  <c r="F102" i="229"/>
  <c r="J102" i="229"/>
  <c r="C102" i="229"/>
  <c r="G102" i="229"/>
  <c r="K102" i="229"/>
  <c r="D107" i="229"/>
  <c r="H107" i="229"/>
  <c r="H112" i="229" s="1"/>
  <c r="H113" i="229" s="1"/>
  <c r="L107" i="229"/>
  <c r="E107" i="229"/>
  <c r="E112" i="229" s="1"/>
  <c r="C111" i="229"/>
  <c r="G111" i="229"/>
  <c r="G113" i="229" s="1"/>
  <c r="K111" i="229"/>
  <c r="O111" i="229"/>
  <c r="S111" i="229"/>
  <c r="S113" i="229" s="1"/>
  <c r="CX29" i="226"/>
  <c r="CW22" i="226"/>
  <c r="CW23" i="226" s="1"/>
  <c r="C105" i="229"/>
  <c r="C96" i="229"/>
  <c r="C54" i="229"/>
  <c r="C61" i="229"/>
  <c r="B3" i="229"/>
  <c r="D36" i="229"/>
  <c r="D45" i="229" s="1"/>
  <c r="D37" i="229"/>
  <c r="E17" i="229"/>
  <c r="AA4" i="229"/>
  <c r="Z18" i="229"/>
  <c r="H133" i="229"/>
  <c r="H121" i="229"/>
  <c r="H105" i="229"/>
  <c r="H88" i="229"/>
  <c r="H96" i="229"/>
  <c r="H74" i="229"/>
  <c r="H40" i="229"/>
  <c r="H54" i="229"/>
  <c r="H61" i="229"/>
  <c r="S8" i="229"/>
  <c r="T8" i="229" s="1"/>
  <c r="U8" i="229" s="1"/>
  <c r="H16" i="229"/>
  <c r="Y18" i="229"/>
  <c r="C58" i="229"/>
  <c r="C52" i="229"/>
  <c r="C51" i="229" s="1"/>
  <c r="B51" i="229"/>
  <c r="D121" i="229"/>
  <c r="D74" i="229"/>
  <c r="D54" i="229"/>
  <c r="D61" i="229"/>
  <c r="I121" i="229"/>
  <c r="I133" i="229"/>
  <c r="I105" i="229"/>
  <c r="I96" i="229"/>
  <c r="I61" i="229"/>
  <c r="I74" i="229"/>
  <c r="I54" i="229"/>
  <c r="I40" i="229"/>
  <c r="I88" i="229"/>
  <c r="X108" i="229"/>
  <c r="Y111" i="229" s="1"/>
  <c r="X51" i="229"/>
  <c r="D16" i="229"/>
  <c r="I16" i="229"/>
  <c r="V19" i="229"/>
  <c r="H66" i="229"/>
  <c r="N109" i="229"/>
  <c r="O42" i="229"/>
  <c r="E121" i="229"/>
  <c r="E133" i="229"/>
  <c r="E105" i="229"/>
  <c r="E96" i="229"/>
  <c r="E88" i="229"/>
  <c r="E61" i="229"/>
  <c r="E40" i="229"/>
  <c r="E74" i="229"/>
  <c r="E54" i="229"/>
  <c r="J3" i="229"/>
  <c r="Y5" i="229"/>
  <c r="F37" i="229"/>
  <c r="F36" i="229"/>
  <c r="F45" i="229" s="1"/>
  <c r="G17" i="229"/>
  <c r="G26" i="229" s="1"/>
  <c r="E19" i="229"/>
  <c r="V134" i="229"/>
  <c r="V127" i="229"/>
  <c r="V50" i="229"/>
  <c r="F133" i="229"/>
  <c r="F121" i="229"/>
  <c r="F88" i="229"/>
  <c r="F96" i="229"/>
  <c r="F74" i="229"/>
  <c r="F105" i="229"/>
  <c r="F54" i="229"/>
  <c r="F61" i="229"/>
  <c r="F40" i="229"/>
  <c r="J26" i="229"/>
  <c r="J97" i="229" s="1"/>
  <c r="J98" i="229" s="1"/>
  <c r="X127" i="229"/>
  <c r="X134" i="229"/>
  <c r="X50" i="229"/>
  <c r="Y20" i="229"/>
  <c r="I36" i="229"/>
  <c r="I45" i="229" s="1"/>
  <c r="I37" i="229"/>
  <c r="E66" i="229"/>
  <c r="E35" i="229"/>
  <c r="K35" i="229"/>
  <c r="N52" i="229"/>
  <c r="I97" i="229"/>
  <c r="I98" i="229" s="1"/>
  <c r="B58" i="229"/>
  <c r="V51" i="229"/>
  <c r="J66" i="229"/>
  <c r="J37" i="229"/>
  <c r="Z112" i="229"/>
  <c r="R112" i="229"/>
  <c r="Y112" i="229"/>
  <c r="I112" i="229"/>
  <c r="G98" i="229"/>
  <c r="H98" i="229"/>
  <c r="D98" i="229"/>
  <c r="C112" i="229"/>
  <c r="K116" i="229"/>
  <c r="K107" i="229"/>
  <c r="K112" i="229" s="1"/>
  <c r="K113" i="229" s="1"/>
  <c r="K114" i="229" s="1"/>
  <c r="O102" i="229"/>
  <c r="L112" i="229"/>
  <c r="Q112" i="229"/>
  <c r="U112" i="229"/>
  <c r="U115" i="229" s="1"/>
  <c r="C113" i="229"/>
  <c r="M112" i="229"/>
  <c r="W112" i="229"/>
  <c r="W115" i="229" s="1"/>
  <c r="AA112" i="229"/>
  <c r="U113" i="229"/>
  <c r="L113" i="229"/>
  <c r="L114" i="229" s="1"/>
  <c r="N102" i="229"/>
  <c r="P112" i="229"/>
  <c r="P113" i="229" s="1"/>
  <c r="P114" i="229" s="1"/>
  <c r="T112" i="229"/>
  <c r="T115" i="229" s="1"/>
  <c r="B116" i="229"/>
  <c r="B107" i="229"/>
  <c r="F116" i="229"/>
  <c r="F107" i="229"/>
  <c r="F112" i="229" s="1"/>
  <c r="J116" i="229"/>
  <c r="J107" i="229"/>
  <c r="J112" i="229" s="1"/>
  <c r="T113" i="229"/>
  <c r="D112" i="229"/>
  <c r="D113" i="229" s="1"/>
  <c r="O112" i="229"/>
  <c r="S112" i="229"/>
  <c r="S115" i="229" s="1"/>
  <c r="X112" i="229"/>
  <c r="X115" i="229" s="1"/>
  <c r="AB112" i="229"/>
  <c r="E115" i="229"/>
  <c r="F111" i="229"/>
  <c r="I115" i="229"/>
  <c r="J111" i="229"/>
  <c r="J113" i="229" s="1"/>
  <c r="J114" i="229" s="1"/>
  <c r="M115" i="229"/>
  <c r="N111" i="229"/>
  <c r="Q115" i="229"/>
  <c r="R111" i="229"/>
  <c r="R113" i="229" s="1"/>
  <c r="R114" i="229" s="1"/>
  <c r="V113" i="229"/>
  <c r="V115" i="229" s="1"/>
  <c r="O171" i="228"/>
  <c r="O164" i="228"/>
  <c r="O150" i="228"/>
  <c r="O86" i="228"/>
  <c r="P3" i="228"/>
  <c r="W13" i="228"/>
  <c r="G27" i="228"/>
  <c r="Y32" i="228"/>
  <c r="X44" i="228"/>
  <c r="X172" i="228" s="1"/>
  <c r="K27" i="228"/>
  <c r="K38" i="228" s="1"/>
  <c r="K102" i="228" s="1"/>
  <c r="J102" i="228"/>
  <c r="E27" i="228"/>
  <c r="E38" i="228" s="1"/>
  <c r="B142" i="228"/>
  <c r="C41" i="228"/>
  <c r="C50" i="228" s="1"/>
  <c r="B53" i="228"/>
  <c r="Z5" i="228"/>
  <c r="G28" i="228"/>
  <c r="G10" i="228"/>
  <c r="G13" i="228" s="1"/>
  <c r="V173" i="228"/>
  <c r="V157" i="228"/>
  <c r="V161" i="228" s="1"/>
  <c r="V152" i="228"/>
  <c r="V154" i="228" s="1"/>
  <c r="F141" i="228"/>
  <c r="F72" i="228"/>
  <c r="F80" i="228" s="1"/>
  <c r="F142" i="228"/>
  <c r="G41" i="228"/>
  <c r="F53" i="228"/>
  <c r="O142" i="228"/>
  <c r="P144" i="228" s="1"/>
  <c r="O53" i="228"/>
  <c r="P67" i="228"/>
  <c r="Z4" i="228"/>
  <c r="Y28" i="228"/>
  <c r="T152" i="228"/>
  <c r="T154" i="228" s="1"/>
  <c r="T173" i="228"/>
  <c r="T157" i="228"/>
  <c r="T161" i="228" s="1"/>
  <c r="B108" i="228"/>
  <c r="Q23" i="228"/>
  <c r="R23" i="228" s="1"/>
  <c r="S23" i="228" s="1"/>
  <c r="T23" i="228" s="1"/>
  <c r="U23" i="228" s="1"/>
  <c r="V23" i="228" s="1"/>
  <c r="W23" i="228" s="1"/>
  <c r="X23" i="228" s="1"/>
  <c r="Y23" i="228" s="1"/>
  <c r="Z23" i="228" s="1"/>
  <c r="AA23" i="228" s="1"/>
  <c r="AB23" i="228" s="1"/>
  <c r="P59" i="228"/>
  <c r="C27" i="228"/>
  <c r="C38" i="228" s="1"/>
  <c r="B52" i="228"/>
  <c r="X28" i="228"/>
  <c r="Y45" i="228"/>
  <c r="Y92" i="228" s="1"/>
  <c r="Z34" i="228"/>
  <c r="O52" i="228"/>
  <c r="D142" i="228"/>
  <c r="E41" i="228"/>
  <c r="N150" i="228"/>
  <c r="N171" i="228"/>
  <c r="N164" i="228"/>
  <c r="N86" i="228"/>
  <c r="N128" i="228"/>
  <c r="N129" i="228" s="1"/>
  <c r="O58" i="228"/>
  <c r="D79" i="228"/>
  <c r="H93" i="228"/>
  <c r="P142" i="228"/>
  <c r="Q144" i="228" s="1"/>
  <c r="O128" i="228"/>
  <c r="O129" i="228" s="1"/>
  <c r="P127" i="228" s="1"/>
  <c r="R78" i="228"/>
  <c r="Q79" i="228"/>
  <c r="G93" i="228"/>
  <c r="K93" i="228"/>
  <c r="O124" i="228"/>
  <c r="O125" i="228" s="1"/>
  <c r="P123" i="228" s="1"/>
  <c r="P125" i="228" s="1"/>
  <c r="Q123" i="228" s="1"/>
  <c r="Q125" i="228" s="1"/>
  <c r="R123" i="228" s="1"/>
  <c r="R125" i="228" s="1"/>
  <c r="S123" i="228" s="1"/>
  <c r="S125" i="228" s="1"/>
  <c r="T123" i="228" s="1"/>
  <c r="T125" i="228" s="1"/>
  <c r="U123" i="228" s="1"/>
  <c r="U125" i="228" s="1"/>
  <c r="V123" i="228" s="1"/>
  <c r="V125" i="228" s="1"/>
  <c r="W123" i="228" s="1"/>
  <c r="W125" i="228" s="1"/>
  <c r="X123" i="228" s="1"/>
  <c r="X125" i="228" s="1"/>
  <c r="Y123" i="228" s="1"/>
  <c r="Y125" i="228" s="1"/>
  <c r="Z123" i="228" s="1"/>
  <c r="Z125" i="228" s="1"/>
  <c r="AA123" i="228" s="1"/>
  <c r="AA125" i="228" s="1"/>
  <c r="AB123" i="228" s="1"/>
  <c r="AB125" i="228" s="1"/>
  <c r="I164" i="228"/>
  <c r="I150" i="228"/>
  <c r="I171" i="228"/>
  <c r="U10" i="228"/>
  <c r="V28" i="228"/>
  <c r="R28" i="228"/>
  <c r="X45" i="228"/>
  <c r="X92" i="228" s="1"/>
  <c r="I50" i="228"/>
  <c r="I52" i="228" s="1"/>
  <c r="J93" i="228"/>
  <c r="F108" i="228"/>
  <c r="J150" i="228"/>
  <c r="J171" i="228"/>
  <c r="J164" i="228"/>
  <c r="J86" i="228"/>
  <c r="J50" i="228"/>
  <c r="J52" i="228" s="1"/>
  <c r="N50" i="228"/>
  <c r="N58" i="228"/>
  <c r="C108" i="228"/>
  <c r="O120" i="228"/>
  <c r="O121" i="228" s="1"/>
  <c r="P119" i="228" s="1"/>
  <c r="D108" i="228"/>
  <c r="S136" i="228"/>
  <c r="S137" i="228" s="1"/>
  <c r="W136" i="228"/>
  <c r="I102" i="228"/>
  <c r="E108" i="228"/>
  <c r="AA136" i="228"/>
  <c r="AA137" i="228" s="1"/>
  <c r="W137" i="228"/>
  <c r="R136" i="228"/>
  <c r="R137" i="228" s="1"/>
  <c r="V136" i="228"/>
  <c r="V137" i="228" s="1"/>
  <c r="Z136" i="228"/>
  <c r="Z137" i="228" s="1"/>
  <c r="T136" i="228"/>
  <c r="T137" i="228" s="1"/>
  <c r="X136" i="228"/>
  <c r="X137" i="228" s="1"/>
  <c r="AB136" i="228"/>
  <c r="AB137" i="228" s="1"/>
  <c r="Q136" i="228"/>
  <c r="Q137" i="228" s="1"/>
  <c r="U136" i="228"/>
  <c r="U137" i="228" s="1"/>
  <c r="Y136" i="228"/>
  <c r="Y137" i="228" s="1"/>
  <c r="Z5" i="227"/>
  <c r="T173" i="227"/>
  <c r="T152" i="227"/>
  <c r="T154" i="227" s="1"/>
  <c r="D102" i="227"/>
  <c r="E27" i="227"/>
  <c r="E38" i="227" s="1"/>
  <c r="J52" i="227"/>
  <c r="K27" i="227"/>
  <c r="K38" i="227" s="1"/>
  <c r="W152" i="227"/>
  <c r="W154" i="227" s="1"/>
  <c r="W173" i="227"/>
  <c r="W157" i="227"/>
  <c r="W161" i="227" s="1"/>
  <c r="Z32" i="227"/>
  <c r="L102" i="227"/>
  <c r="M27" i="227"/>
  <c r="M38" i="227" s="1"/>
  <c r="B102" i="227"/>
  <c r="C27" i="227"/>
  <c r="C38" i="227" s="1"/>
  <c r="C102" i="227" s="1"/>
  <c r="F102" i="227"/>
  <c r="G27" i="227"/>
  <c r="G38" i="227" s="1"/>
  <c r="J142" i="227"/>
  <c r="J96" i="227"/>
  <c r="J104" i="227" s="1"/>
  <c r="J53" i="227"/>
  <c r="K41" i="227"/>
  <c r="S152" i="227"/>
  <c r="S154" i="227" s="1"/>
  <c r="S173" i="227"/>
  <c r="S157" i="227"/>
  <c r="S161" i="227" s="1"/>
  <c r="I102" i="227"/>
  <c r="I52" i="227"/>
  <c r="J171" i="227"/>
  <c r="J150" i="227"/>
  <c r="J164" i="227"/>
  <c r="J86" i="227"/>
  <c r="V64" i="227"/>
  <c r="V77" i="227" s="1"/>
  <c r="W77" i="227" s="1"/>
  <c r="V89" i="227"/>
  <c r="E10" i="227"/>
  <c r="E13" i="227" s="1"/>
  <c r="U10" i="227"/>
  <c r="U13" i="227" s="1"/>
  <c r="Y136" i="227"/>
  <c r="Y137" i="227" s="1"/>
  <c r="U136" i="227"/>
  <c r="U137" i="227" s="1"/>
  <c r="P27" i="227"/>
  <c r="P38" i="227" s="1"/>
  <c r="V98" i="227"/>
  <c r="O164" i="227"/>
  <c r="O171" i="227"/>
  <c r="O150" i="227"/>
  <c r="O86" i="227"/>
  <c r="D58" i="227"/>
  <c r="H58" i="227"/>
  <c r="L58" i="227"/>
  <c r="N171" i="227"/>
  <c r="N150" i="227"/>
  <c r="N164" i="227"/>
  <c r="N86" i="227"/>
  <c r="V10" i="227"/>
  <c r="V13" i="227" s="1"/>
  <c r="O91" i="227"/>
  <c r="O50" i="227"/>
  <c r="B50" i="227"/>
  <c r="B52" i="227" s="1"/>
  <c r="F50" i="227"/>
  <c r="F52" i="227" s="1"/>
  <c r="P60" i="227"/>
  <c r="Q56" i="227" s="1"/>
  <c r="E65" i="227"/>
  <c r="R132" i="227"/>
  <c r="R133" i="227" s="1"/>
  <c r="S131" i="227" s="1"/>
  <c r="H150" i="227"/>
  <c r="H171" i="227"/>
  <c r="H164" i="227"/>
  <c r="H86" i="227"/>
  <c r="V172" i="227"/>
  <c r="R98" i="227"/>
  <c r="R64" i="227"/>
  <c r="R59" i="227"/>
  <c r="T136" i="227"/>
  <c r="T137" i="227" s="1"/>
  <c r="X136" i="227"/>
  <c r="X137" i="227" s="1"/>
  <c r="AB136" i="227"/>
  <c r="AB137" i="227" s="1"/>
  <c r="I164" i="227"/>
  <c r="I171" i="227"/>
  <c r="I150" i="227"/>
  <c r="I86" i="227"/>
  <c r="P3" i="227"/>
  <c r="Y4" i="227"/>
  <c r="D10" i="227"/>
  <c r="D13" i="227" s="1"/>
  <c r="U14" i="227"/>
  <c r="U15" i="227" s="1"/>
  <c r="X44" i="227"/>
  <c r="X172" i="227" s="1"/>
  <c r="D50" i="227"/>
  <c r="D52" i="227" s="1"/>
  <c r="I96" i="227"/>
  <c r="I104" i="227" s="1"/>
  <c r="I106" i="227" s="1"/>
  <c r="I107" i="227" s="1"/>
  <c r="I108" i="227" s="1"/>
  <c r="N53" i="227"/>
  <c r="E58" i="227"/>
  <c r="I58" i="227"/>
  <c r="M58" i="227"/>
  <c r="K102" i="227"/>
  <c r="N115" i="227"/>
  <c r="N128" i="227"/>
  <c r="N129" i="227" s="1"/>
  <c r="C65" i="227"/>
  <c r="I93" i="227"/>
  <c r="M93" i="227"/>
  <c r="N120" i="227"/>
  <c r="N121" i="227" s="1"/>
  <c r="O119" i="227" s="1"/>
  <c r="O128" i="227"/>
  <c r="O129" i="227" s="1"/>
  <c r="P127" i="227" s="1"/>
  <c r="D65" i="227"/>
  <c r="O78" i="227"/>
  <c r="J93" i="227"/>
  <c r="J102" i="227"/>
  <c r="L93" i="227"/>
  <c r="H93" i="227"/>
  <c r="J106" i="227"/>
  <c r="Q136" i="227"/>
  <c r="Q137" i="227" s="1"/>
  <c r="N88" i="227"/>
  <c r="S136" i="227"/>
  <c r="S137" i="227" s="1"/>
  <c r="W137" i="227"/>
  <c r="W136" i="227"/>
  <c r="AA136" i="227"/>
  <c r="AA137" i="227" s="1"/>
  <c r="R136" i="227"/>
  <c r="R137" i="227" s="1"/>
  <c r="V136" i="227"/>
  <c r="V137" i="227" s="1"/>
  <c r="Z136" i="227"/>
  <c r="Z137" i="227" s="1"/>
  <c r="G23" i="226"/>
  <c r="G24" i="226"/>
  <c r="M6" i="226"/>
  <c r="L7" i="226"/>
  <c r="U24" i="226"/>
  <c r="AI25" i="226"/>
  <c r="CX30" i="226"/>
  <c r="F24" i="226"/>
  <c r="DB183" i="226"/>
  <c r="CX182" i="226"/>
  <c r="DC171" i="226"/>
  <c r="AE25" i="226"/>
  <c r="K7" i="226"/>
  <c r="CY10" i="226"/>
  <c r="CZ10" i="226" s="1"/>
  <c r="F13" i="226"/>
  <c r="Q50" i="226"/>
  <c r="BU11" i="226"/>
  <c r="CO11" i="226"/>
  <c r="BF13" i="226"/>
  <c r="BZ13" i="226"/>
  <c r="CE14" i="226"/>
  <c r="Q17" i="226"/>
  <c r="AA55" i="226"/>
  <c r="V55" i="226"/>
  <c r="V17" i="226"/>
  <c r="AO54" i="226"/>
  <c r="AO55" i="226" s="1"/>
  <c r="AS54" i="226"/>
  <c r="AX55" i="226" s="1"/>
  <c r="BP15" i="226"/>
  <c r="CB15" i="226"/>
  <c r="CN15" i="226"/>
  <c r="CR15" i="226"/>
  <c r="K54" i="226"/>
  <c r="I17" i="226"/>
  <c r="AX17" i="226"/>
  <c r="BF17" i="226"/>
  <c r="BZ17" i="226"/>
  <c r="N10" i="226"/>
  <c r="X12" i="226"/>
  <c r="AG13" i="226"/>
  <c r="AL16" i="226"/>
  <c r="AG19" i="226"/>
  <c r="AL19" i="226"/>
  <c r="AV19" i="226"/>
  <c r="BA19" i="226"/>
  <c r="AM12" i="226"/>
  <c r="AW10" i="226"/>
  <c r="H22" i="226"/>
  <c r="AB22" i="226"/>
  <c r="AN22" i="226"/>
  <c r="BP22" i="226"/>
  <c r="CB22" i="226"/>
  <c r="AD23" i="226"/>
  <c r="BJ23" i="226"/>
  <c r="BN23" i="226"/>
  <c r="BR23" i="226"/>
  <c r="AF24" i="226"/>
  <c r="AJ24" i="226"/>
  <c r="AZ24" i="226"/>
  <c r="BD24" i="226"/>
  <c r="BH24" i="226"/>
  <c r="BT24" i="226"/>
  <c r="BX24" i="226"/>
  <c r="CR24" i="226"/>
  <c r="BE48" i="226"/>
  <c r="BJ30" i="226"/>
  <c r="M43" i="226"/>
  <c r="N31" i="226"/>
  <c r="N97" i="226" s="1"/>
  <c r="BE52" i="226"/>
  <c r="BE53" i="226" s="1"/>
  <c r="BZ52" i="226"/>
  <c r="CV154" i="226"/>
  <c r="CQ52" i="226"/>
  <c r="AB34" i="226"/>
  <c r="AB52" i="226"/>
  <c r="AG34" i="226"/>
  <c r="CQ34" i="226"/>
  <c r="R43" i="226"/>
  <c r="W48" i="226"/>
  <c r="X29" i="226"/>
  <c r="W52" i="226"/>
  <c r="X33" i="226"/>
  <c r="X99" i="226" s="1"/>
  <c r="BQ35" i="226"/>
  <c r="BQ101" i="226" s="1"/>
  <c r="BP54" i="226"/>
  <c r="CE54" i="226"/>
  <c r="BP36" i="226"/>
  <c r="AG52" i="226"/>
  <c r="AL56" i="226"/>
  <c r="BI60" i="226"/>
  <c r="AS51" i="226"/>
  <c r="G13" i="226"/>
  <c r="BF11" i="226"/>
  <c r="BZ11" i="226"/>
  <c r="BK13" i="226"/>
  <c r="CE13" i="226"/>
  <c r="CX14" i="226"/>
  <c r="CX22" i="226" s="1"/>
  <c r="R15" i="226"/>
  <c r="W15" i="226"/>
  <c r="AP54" i="226"/>
  <c r="AP55" i="226" s="1"/>
  <c r="AT54" i="226"/>
  <c r="AU17" i="226"/>
  <c r="BA15" i="226"/>
  <c r="BU15" i="226"/>
  <c r="CS15" i="226"/>
  <c r="CY16" i="226"/>
  <c r="CZ16" i="226" s="1"/>
  <c r="AY17" i="226"/>
  <c r="BK17" i="226"/>
  <c r="CE17" i="226"/>
  <c r="S10" i="226"/>
  <c r="AQ16" i="226"/>
  <c r="BF19" i="226"/>
  <c r="Q22" i="226"/>
  <c r="Q60" i="226" s="1"/>
  <c r="AG22" i="226"/>
  <c r="AG24" i="226" s="1"/>
  <c r="AK22" i="226"/>
  <c r="AK60" i="226" s="1"/>
  <c r="AO22" i="226"/>
  <c r="AO60" i="226" s="1"/>
  <c r="AS22" i="226"/>
  <c r="BA22" i="226"/>
  <c r="BA24" i="226" s="1"/>
  <c r="BU22" i="226"/>
  <c r="CC22" i="226"/>
  <c r="CG22" i="226"/>
  <c r="Y24" i="226"/>
  <c r="BE24" i="226"/>
  <c r="BI24" i="226"/>
  <c r="BM24" i="226"/>
  <c r="BY24" i="226"/>
  <c r="BA48" i="226"/>
  <c r="BK48" i="226"/>
  <c r="BU48" i="226"/>
  <c r="CE48" i="226"/>
  <c r="CO48" i="226"/>
  <c r="CV31" i="226"/>
  <c r="CV35" i="226"/>
  <c r="BA30" i="226"/>
  <c r="BE30" i="226"/>
  <c r="CE30" i="226"/>
  <c r="AB50" i="226"/>
  <c r="AB43" i="226"/>
  <c r="BK50" i="226"/>
  <c r="BU50" i="226"/>
  <c r="CE50" i="226"/>
  <c r="CO50" i="226"/>
  <c r="BP32" i="226"/>
  <c r="CI52" i="226"/>
  <c r="CM52" i="226"/>
  <c r="CW154" i="226"/>
  <c r="CR52" i="226"/>
  <c r="CR34" i="226"/>
  <c r="AC33" i="226"/>
  <c r="AC99" i="226" s="1"/>
  <c r="BP52" i="226"/>
  <c r="BP34" i="226"/>
  <c r="BQ33" i="226"/>
  <c r="BQ99" i="226" s="1"/>
  <c r="BJ34" i="226"/>
  <c r="CM34" i="226"/>
  <c r="R32" i="226"/>
  <c r="W30" i="226"/>
  <c r="W34" i="226"/>
  <c r="BA54" i="226"/>
  <c r="BB35" i="226"/>
  <c r="BB101" i="226" s="1"/>
  <c r="BU54" i="226"/>
  <c r="BU36" i="226"/>
  <c r="S31" i="226"/>
  <c r="S97" i="226" s="1"/>
  <c r="AB56" i="226"/>
  <c r="AG54" i="226"/>
  <c r="AH35" i="226"/>
  <c r="AH101" i="226" s="1"/>
  <c r="AG36" i="226"/>
  <c r="AI60" i="226"/>
  <c r="AN54" i="226"/>
  <c r="AV52" i="226"/>
  <c r="BA56" i="226"/>
  <c r="J62" i="226"/>
  <c r="AD62" i="226"/>
  <c r="BJ62" i="226"/>
  <c r="BR60" i="226"/>
  <c r="BX60" i="226"/>
  <c r="BK11" i="226"/>
  <c r="CE11" i="226"/>
  <c r="K50" i="226"/>
  <c r="AC12" i="226"/>
  <c r="BG12" i="226"/>
  <c r="BQ12" i="226"/>
  <c r="CA12" i="226"/>
  <c r="CK12" i="226"/>
  <c r="P13" i="226"/>
  <c r="V13" i="226"/>
  <c r="CJ13" i="226"/>
  <c r="R11" i="226"/>
  <c r="BB14" i="226"/>
  <c r="BL14" i="226"/>
  <c r="BV14" i="226"/>
  <c r="CO14" i="226"/>
  <c r="O54" i="226"/>
  <c r="O17" i="226"/>
  <c r="T54" i="226"/>
  <c r="T17" i="226"/>
  <c r="AU54" i="226"/>
  <c r="I54" i="226"/>
  <c r="M16" i="226"/>
  <c r="BQ16" i="226"/>
  <c r="CK16" i="226"/>
  <c r="AZ17" i="226"/>
  <c r="CJ17" i="226"/>
  <c r="CU12" i="226"/>
  <c r="X10" i="226"/>
  <c r="AG11" i="226"/>
  <c r="AG15" i="226"/>
  <c r="AQ13" i="226"/>
  <c r="AV16" i="226"/>
  <c r="AM10" i="226"/>
  <c r="AM14" i="226"/>
  <c r="AW12" i="226"/>
  <c r="V22" i="226"/>
  <c r="AP22" i="226"/>
  <c r="AP60" i="226" s="1"/>
  <c r="AT22" i="226"/>
  <c r="AT60" i="226" s="1"/>
  <c r="CL22" i="226"/>
  <c r="M48" i="226"/>
  <c r="N29" i="226"/>
  <c r="N95" i="226" s="1"/>
  <c r="BB29" i="226"/>
  <c r="BB95" i="226" s="1"/>
  <c r="BL29" i="226"/>
  <c r="BV29" i="226"/>
  <c r="CF29" i="226"/>
  <c r="CP29" i="226"/>
  <c r="CP95" i="226" s="1"/>
  <c r="BP30" i="226"/>
  <c r="CJ30" i="226"/>
  <c r="AC31" i="226"/>
  <c r="AC97" i="226" s="1"/>
  <c r="BL31" i="226"/>
  <c r="BL97" i="226" s="1"/>
  <c r="BV31" i="226"/>
  <c r="CF31" i="226"/>
  <c r="CF97" i="226" s="1"/>
  <c r="CP31" i="226"/>
  <c r="BU32" i="226"/>
  <c r="CE32" i="226"/>
  <c r="CB52" i="226"/>
  <c r="CB53" i="226" s="1"/>
  <c r="CB34" i="226"/>
  <c r="CJ33" i="226"/>
  <c r="CN52" i="226"/>
  <c r="CN34" i="226"/>
  <c r="CX154" i="226"/>
  <c r="CS52" i="226"/>
  <c r="BA52" i="226"/>
  <c r="BB33" i="226"/>
  <c r="BB99" i="226" s="1"/>
  <c r="BU52" i="226"/>
  <c r="BE34" i="226"/>
  <c r="BU34" i="226"/>
  <c r="CI34" i="226"/>
  <c r="N35" i="226"/>
  <c r="R52" i="226"/>
  <c r="S33" i="226"/>
  <c r="S99" i="226" s="1"/>
  <c r="R34" i="226"/>
  <c r="W43" i="226"/>
  <c r="BK54" i="226"/>
  <c r="BV35" i="226"/>
  <c r="BV101" i="226" s="1"/>
  <c r="CK35" i="226"/>
  <c r="CJ54" i="226"/>
  <c r="AG48" i="226"/>
  <c r="AG56" i="226"/>
  <c r="AV48" i="226"/>
  <c r="BF50" i="226"/>
  <c r="BF32" i="226"/>
  <c r="BG31" i="226"/>
  <c r="BG97" i="226" s="1"/>
  <c r="BY60" i="226"/>
  <c r="BL10" i="226"/>
  <c r="CF10" i="226"/>
  <c r="CP10" i="226"/>
  <c r="I50" i="226"/>
  <c r="I13" i="226"/>
  <c r="P50" i="226"/>
  <c r="CJ11" i="226"/>
  <c r="L50" i="226"/>
  <c r="Q13" i="226"/>
  <c r="CO13" i="226"/>
  <c r="DH13" i="226" s="1"/>
  <c r="R12" i="226"/>
  <c r="W11" i="226"/>
  <c r="CV14" i="226"/>
  <c r="CV22" i="226" s="1"/>
  <c r="P54" i="226"/>
  <c r="P17" i="226"/>
  <c r="U54" i="226"/>
  <c r="Z55" i="226" s="1"/>
  <c r="U17" i="226"/>
  <c r="AO17" i="226"/>
  <c r="AS17" i="226"/>
  <c r="CI15" i="226"/>
  <c r="CM15" i="226"/>
  <c r="CQ15" i="226"/>
  <c r="J54" i="226"/>
  <c r="AA17" i="226"/>
  <c r="AK17" i="226"/>
  <c r="CO17" i="226"/>
  <c r="DH17" i="226" s="1"/>
  <c r="S12" i="226"/>
  <c r="AR12" i="226"/>
  <c r="K22" i="226"/>
  <c r="K24" i="226" s="1"/>
  <c r="O22" i="226"/>
  <c r="AU22" i="226"/>
  <c r="AU60" i="226" s="1"/>
  <c r="AB48" i="226"/>
  <c r="AG30" i="226"/>
  <c r="BF29" i="226"/>
  <c r="BD48" i="226"/>
  <c r="BD49" i="226" s="1"/>
  <c r="BP48" i="226"/>
  <c r="BZ134" i="226"/>
  <c r="BZ133" i="226"/>
  <c r="BZ48" i="226"/>
  <c r="CJ48" i="226"/>
  <c r="BI30" i="226"/>
  <c r="BU30" i="226"/>
  <c r="CO30" i="226"/>
  <c r="DH30" i="226" s="1"/>
  <c r="BA50" i="226"/>
  <c r="BP50" i="226"/>
  <c r="BZ150" i="226"/>
  <c r="BZ32" i="226"/>
  <c r="BZ50" i="226"/>
  <c r="CJ50" i="226"/>
  <c r="CJ51" i="226" s="1"/>
  <c r="BA32" i="226"/>
  <c r="CJ32" i="226"/>
  <c r="CC52" i="226"/>
  <c r="CC53" i="226" s="1"/>
  <c r="CG52" i="226"/>
  <c r="CO33" i="226"/>
  <c r="M52" i="226"/>
  <c r="BK52" i="226"/>
  <c r="BV33" i="226"/>
  <c r="BV99" i="226" s="1"/>
  <c r="BA34" i="226"/>
  <c r="BZ34" i="226"/>
  <c r="R48" i="226"/>
  <c r="S29" i="226"/>
  <c r="S95" i="226" s="1"/>
  <c r="R30" i="226"/>
  <c r="W32" i="226"/>
  <c r="AB54" i="226"/>
  <c r="BL35" i="226"/>
  <c r="BL101" i="226" s="1"/>
  <c r="BZ183" i="226"/>
  <c r="BZ182" i="226"/>
  <c r="BZ36" i="226"/>
  <c r="CA35" i="226"/>
  <c r="BZ54" i="226"/>
  <c r="CO54" i="226"/>
  <c r="CO36" i="226"/>
  <c r="DH36" i="226" s="1"/>
  <c r="BA36" i="226"/>
  <c r="BK36" i="226"/>
  <c r="CE36" i="226"/>
  <c r="AG50" i="226"/>
  <c r="AH31" i="226"/>
  <c r="AH97" i="226" s="1"/>
  <c r="AG32" i="226"/>
  <c r="AG43" i="226"/>
  <c r="BF36" i="226"/>
  <c r="BG35" i="226"/>
  <c r="BG101" i="226" s="1"/>
  <c r="BF54" i="226"/>
  <c r="BB58" i="226"/>
  <c r="Z62" i="226"/>
  <c r="AX60" i="226"/>
  <c r="BH60" i="226"/>
  <c r="BN60" i="226"/>
  <c r="BT60" i="226"/>
  <c r="AW31" i="226"/>
  <c r="AW35" i="226"/>
  <c r="AW101" i="226" s="1"/>
  <c r="AN43" i="226"/>
  <c r="AV43" i="226"/>
  <c r="P43" i="226"/>
  <c r="T43" i="226"/>
  <c r="AF43" i="226"/>
  <c r="AJ43" i="226"/>
  <c r="AZ43" i="226"/>
  <c r="P49" i="226"/>
  <c r="T49" i="226"/>
  <c r="P53" i="226"/>
  <c r="T53" i="226"/>
  <c r="AX51" i="226"/>
  <c r="CV29" i="226"/>
  <c r="CZ134" i="226" s="1"/>
  <c r="CR49" i="226"/>
  <c r="CW50" i="226"/>
  <c r="CW31" i="226" s="1"/>
  <c r="CS51" i="226"/>
  <c r="CQ55" i="226"/>
  <c r="Y60" i="226"/>
  <c r="AD60" i="226"/>
  <c r="AJ60" i="226"/>
  <c r="AZ60" i="226"/>
  <c r="BJ60" i="226"/>
  <c r="Q43" i="226"/>
  <c r="U43" i="226"/>
  <c r="Y43" i="226"/>
  <c r="AK43" i="226"/>
  <c r="AO43" i="226"/>
  <c r="AS43" i="226"/>
  <c r="L43" i="226"/>
  <c r="AI48" i="226"/>
  <c r="AI49" i="226" s="1"/>
  <c r="AI50" i="226"/>
  <c r="AI51" i="226" s="1"/>
  <c r="AI54" i="226"/>
  <c r="AI55" i="226" s="1"/>
  <c r="AY57" i="226"/>
  <c r="BM49" i="226"/>
  <c r="BY49" i="226"/>
  <c r="CC49" i="226"/>
  <c r="CG49" i="226"/>
  <c r="CS49" i="226"/>
  <c r="CX50" i="226"/>
  <c r="CX31" i="226" s="1"/>
  <c r="BJ51" i="226"/>
  <c r="BN51" i="226"/>
  <c r="BR51" i="226"/>
  <c r="CD51" i="226"/>
  <c r="CH51" i="226"/>
  <c r="CL51" i="226"/>
  <c r="CD52" i="226"/>
  <c r="CD53" i="226" s="1"/>
  <c r="CH52" i="226"/>
  <c r="CL52" i="226"/>
  <c r="BC53" i="226"/>
  <c r="BO53" i="226"/>
  <c r="BS53" i="226"/>
  <c r="BD55" i="226"/>
  <c r="BH55" i="226"/>
  <c r="BT55" i="226"/>
  <c r="BX55" i="226"/>
  <c r="CB55" i="226"/>
  <c r="CN55" i="226"/>
  <c r="CR55" i="226"/>
  <c r="BF56" i="226"/>
  <c r="J60" i="226"/>
  <c r="Z60" i="226"/>
  <c r="AF60" i="226"/>
  <c r="AW29" i="226"/>
  <c r="AW95" i="226" s="1"/>
  <c r="AW33" i="226"/>
  <c r="AW99" i="226" s="1"/>
  <c r="V43" i="226"/>
  <c r="AX43" i="226"/>
  <c r="W50" i="226"/>
  <c r="AN48" i="226"/>
  <c r="AV50" i="226"/>
  <c r="AN52" i="226"/>
  <c r="AN56" i="226"/>
  <c r="AN57" i="226" s="1"/>
  <c r="AV56" i="226"/>
  <c r="BC57" i="226"/>
  <c r="BM60" i="226"/>
  <c r="BZ166" i="226"/>
  <c r="BZ167" i="226"/>
  <c r="AI32" i="226"/>
  <c r="AI36" i="226"/>
  <c r="AL31" i="226"/>
  <c r="AN30" i="226"/>
  <c r="AN34" i="226"/>
  <c r="AQ29" i="226"/>
  <c r="AQ95" i="226" s="1"/>
  <c r="AQ33" i="226"/>
  <c r="BF33" i="226"/>
  <c r="BF99" i="226" s="1"/>
  <c r="AA60" i="226"/>
  <c r="AE60" i="226"/>
  <c r="AY60" i="226"/>
  <c r="BC60" i="226"/>
  <c r="BO60" i="226"/>
  <c r="BS60" i="226"/>
  <c r="BW60" i="226"/>
  <c r="O43" i="226"/>
  <c r="AA43" i="226"/>
  <c r="AE43" i="226"/>
  <c r="AI43" i="226"/>
  <c r="AU43" i="226"/>
  <c r="AY43" i="226"/>
  <c r="BC43" i="226"/>
  <c r="BD52" i="226"/>
  <c r="BD53" i="226" s="1"/>
  <c r="BU129" i="226"/>
  <c r="BZ121" i="226" s="1"/>
  <c r="BU162" i="226"/>
  <c r="BZ153" i="226" s="1"/>
  <c r="BZ178" i="226"/>
  <c r="BU178" i="226"/>
  <c r="BZ170" i="226" s="1"/>
  <c r="BZ129" i="226"/>
  <c r="BZ162" i="226"/>
  <c r="BY149" i="226"/>
  <c r="BW133" i="226"/>
  <c r="BZ149" i="226"/>
  <c r="CW178" i="226"/>
  <c r="CW72" i="226" s="1"/>
  <c r="CW88" i="226" s="1"/>
  <c r="CW89" i="226" s="1"/>
  <c r="BX149" i="226"/>
  <c r="CX178" i="226"/>
  <c r="CX72" i="226" s="1"/>
  <c r="CX88" i="226" s="1"/>
  <c r="CX89" i="226" s="1"/>
  <c r="H6" i="236"/>
  <c r="G5" i="236"/>
  <c r="D19" i="236"/>
  <c r="O31" i="236"/>
  <c r="CA192" i="1"/>
  <c r="CA202" i="1" s="1"/>
  <c r="L7" i="1"/>
  <c r="M7" i="1"/>
  <c r="X15" i="1"/>
  <c r="AR15" i="1"/>
  <c r="AR21" i="1" s="1"/>
  <c r="BG12" i="1"/>
  <c r="BG15" i="1" s="1"/>
  <c r="BL15" i="1"/>
  <c r="M15" i="1"/>
  <c r="Q192" i="1" s="1"/>
  <c r="N12" i="1"/>
  <c r="N15" i="1" s="1"/>
  <c r="O16" i="1"/>
  <c r="AE16" i="1"/>
  <c r="AE21" i="1"/>
  <c r="AU16" i="1"/>
  <c r="AU21" i="1"/>
  <c r="BC21" i="1"/>
  <c r="BS192" i="1"/>
  <c r="BS200" i="1" s="1"/>
  <c r="BS16" i="1"/>
  <c r="CI192" i="1"/>
  <c r="CI200" i="1" s="1"/>
  <c r="CI16" i="1"/>
  <c r="CI23" i="1"/>
  <c r="CQ192" i="1"/>
  <c r="CQ16" i="1"/>
  <c r="CQ23" i="1"/>
  <c r="CQ21" i="1"/>
  <c r="M193" i="1"/>
  <c r="M199" i="1" s="1"/>
  <c r="N18" i="1"/>
  <c r="CM19" i="1"/>
  <c r="BS21" i="1"/>
  <c r="R22" i="1"/>
  <c r="S22" i="1" s="1"/>
  <c r="Q23" i="1"/>
  <c r="Y23" i="1"/>
  <c r="AB22" i="1"/>
  <c r="AI23" i="1"/>
  <c r="AQ22" i="1"/>
  <c r="AO23" i="1"/>
  <c r="AU23" i="1"/>
  <c r="BF22" i="1"/>
  <c r="BG22" i="1" s="1"/>
  <c r="BE23" i="1"/>
  <c r="BM23" i="1"/>
  <c r="BP22" i="1"/>
  <c r="BW23" i="1"/>
  <c r="CE22" i="1"/>
  <c r="CC23" i="1"/>
  <c r="CF31" i="1"/>
  <c r="AL192" i="1"/>
  <c r="AL21" i="1"/>
  <c r="BU192" i="1"/>
  <c r="BZ192" i="1"/>
  <c r="BZ200" i="1" s="1"/>
  <c r="BZ16" i="1"/>
  <c r="P233" i="1"/>
  <c r="P28" i="1"/>
  <c r="P62" i="1"/>
  <c r="P63" i="1" s="1"/>
  <c r="P37" i="1"/>
  <c r="AQ15" i="1"/>
  <c r="AU192" i="1" s="1"/>
  <c r="BU16" i="1"/>
  <c r="U193" i="1"/>
  <c r="U199" i="1" s="1"/>
  <c r="V193" i="1"/>
  <c r="V199" i="1" s="1"/>
  <c r="T193" i="1"/>
  <c r="T199" i="1" s="1"/>
  <c r="R193" i="1"/>
  <c r="R19" i="1"/>
  <c r="AC193" i="1"/>
  <c r="AC199" i="1" s="1"/>
  <c r="BA18" i="1"/>
  <c r="BD193" i="1" s="1"/>
  <c r="AX19" i="1"/>
  <c r="BP18" i="1"/>
  <c r="BT193" i="1" s="1"/>
  <c r="BO19" i="1"/>
  <c r="BW19" i="1"/>
  <c r="BZ18" i="1"/>
  <c r="CB193" i="1" s="1"/>
  <c r="CS19" i="1"/>
  <c r="G21" i="1"/>
  <c r="M20" i="1"/>
  <c r="K21" i="1"/>
  <c r="AY21" i="1"/>
  <c r="BO21" i="1"/>
  <c r="BY21" i="1"/>
  <c r="BZ20" i="1"/>
  <c r="BZ21" i="1" s="1"/>
  <c r="CJ20" i="1"/>
  <c r="CG21" i="1"/>
  <c r="I23" i="1"/>
  <c r="AE23" i="1"/>
  <c r="BS23" i="1"/>
  <c r="O6" i="1"/>
  <c r="AG15" i="1"/>
  <c r="AJ192" i="1" s="1"/>
  <c r="AH12" i="1"/>
  <c r="AH15" i="1" s="1"/>
  <c r="AH21" i="1" s="1"/>
  <c r="BA15" i="1"/>
  <c r="BB12" i="1"/>
  <c r="BB15" i="1" s="1"/>
  <c r="CF15" i="1"/>
  <c r="CJ192" i="1"/>
  <c r="CJ207" i="1" s="1"/>
  <c r="R192" i="1"/>
  <c r="R200" i="1" s="1"/>
  <c r="G192" i="1"/>
  <c r="G206" i="1" s="1"/>
  <c r="G16" i="1"/>
  <c r="K16" i="1"/>
  <c r="AA16" i="1"/>
  <c r="AA21" i="1"/>
  <c r="AI16" i="1"/>
  <c r="AI21" i="1"/>
  <c r="AY192" i="1"/>
  <c r="AY206" i="1" s="1"/>
  <c r="AY16" i="1"/>
  <c r="BO16" i="1"/>
  <c r="BW192" i="1"/>
  <c r="BW200" i="1" s="1"/>
  <c r="BW16" i="1"/>
  <c r="CM192" i="1"/>
  <c r="CM207" i="1" s="1"/>
  <c r="CM16" i="1"/>
  <c r="CM23" i="1"/>
  <c r="CM21" i="1"/>
  <c r="DJ13" i="1"/>
  <c r="DI13" i="1"/>
  <c r="S18" i="1"/>
  <c r="BB20" i="1"/>
  <c r="CI21" i="1"/>
  <c r="O23" i="1"/>
  <c r="W22" i="1"/>
  <c r="X22" i="1" s="1"/>
  <c r="U23" i="1"/>
  <c r="AA23" i="1"/>
  <c r="AL22" i="1"/>
  <c r="AM22" i="1" s="1"/>
  <c r="AK23" i="1"/>
  <c r="AS23" i="1"/>
  <c r="AV22" i="1"/>
  <c r="BK22" i="1"/>
  <c r="BL22" i="1" s="1"/>
  <c r="BI23" i="1"/>
  <c r="BO23" i="1"/>
  <c r="BZ22" i="1"/>
  <c r="CA22" i="1" s="1"/>
  <c r="BY23" i="1"/>
  <c r="CJ22" i="1"/>
  <c r="CK22" i="1" s="1"/>
  <c r="CG23" i="1"/>
  <c r="K7" i="1"/>
  <c r="AB15" i="1"/>
  <c r="AD192" i="1" s="1"/>
  <c r="AV16" i="1"/>
  <c r="CK15" i="1"/>
  <c r="DH27" i="1"/>
  <c r="W15" i="1"/>
  <c r="AA192" i="1" s="1"/>
  <c r="AT193" i="1"/>
  <c r="AV18" i="1"/>
  <c r="AY193" i="1" s="1"/>
  <c r="AT19" i="1"/>
  <c r="BF18" i="1"/>
  <c r="BS193" i="1"/>
  <c r="BU18" i="1"/>
  <c r="BX193" i="1" s="1"/>
  <c r="BS19" i="1"/>
  <c r="CQ19" i="1"/>
  <c r="AI19" i="1"/>
  <c r="O21" i="1"/>
  <c r="R20" i="1"/>
  <c r="CE20" i="1"/>
  <c r="CE21" i="1" s="1"/>
  <c r="CC21" i="1"/>
  <c r="CP20" i="1"/>
  <c r="AV21" i="1"/>
  <c r="G23" i="1"/>
  <c r="K23" i="1"/>
  <c r="AY23" i="1"/>
  <c r="BU23" i="1"/>
  <c r="AC12" i="1"/>
  <c r="AC15" i="1" s="1"/>
  <c r="AC19" i="1" s="1"/>
  <c r="AM12" i="1"/>
  <c r="AM15" i="1" s="1"/>
  <c r="AW12" i="1"/>
  <c r="AW15" i="1" s="1"/>
  <c r="AW21" i="1" s="1"/>
  <c r="V192" i="1"/>
  <c r="V197" i="1" s="1"/>
  <c r="AP192" i="1"/>
  <c r="AP200" i="1" s="1"/>
  <c r="CH192" i="1"/>
  <c r="CH207" i="1" s="1"/>
  <c r="H16" i="1"/>
  <c r="L16" i="1"/>
  <c r="P16" i="1"/>
  <c r="T16" i="1"/>
  <c r="AF16" i="1"/>
  <c r="AJ16" i="1"/>
  <c r="AN16" i="1"/>
  <c r="AZ16" i="1"/>
  <c r="BD16" i="1"/>
  <c r="BT16" i="1"/>
  <c r="BX16" i="1"/>
  <c r="CB16" i="1"/>
  <c r="CN16" i="1"/>
  <c r="CR16" i="1"/>
  <c r="AF193" i="1"/>
  <c r="AE193" i="1"/>
  <c r="AD193" i="1"/>
  <c r="AB193" i="1"/>
  <c r="AO193" i="1"/>
  <c r="AL193" i="1"/>
  <c r="AP193" i="1"/>
  <c r="AN193" i="1"/>
  <c r="AS193" i="1"/>
  <c r="BJ193" i="1"/>
  <c r="BR193" i="1"/>
  <c r="CJ18" i="1"/>
  <c r="CN193" i="1" s="1"/>
  <c r="F19" i="1"/>
  <c r="J19" i="1"/>
  <c r="V19" i="1"/>
  <c r="Z19" i="1"/>
  <c r="AD19" i="1"/>
  <c r="AL19" i="1"/>
  <c r="AP19" i="1"/>
  <c r="N20" i="1"/>
  <c r="BG20" i="1"/>
  <c r="BG21" i="1" s="1"/>
  <c r="BP20" i="1"/>
  <c r="W21" i="1"/>
  <c r="BW21" i="1"/>
  <c r="AR22" i="1"/>
  <c r="CO23" i="1"/>
  <c r="DH23" i="1" s="1"/>
  <c r="CF34" i="1"/>
  <c r="DJ34" i="1"/>
  <c r="BU31" i="1"/>
  <c r="BV31" i="1" s="1"/>
  <c r="CO31" i="1"/>
  <c r="BP40" i="1"/>
  <c r="N44" i="1"/>
  <c r="X44" i="1"/>
  <c r="BT96" i="1"/>
  <c r="T192" i="1"/>
  <c r="T206" i="1" s="1"/>
  <c r="AF192" i="1"/>
  <c r="AF200" i="1" s="1"/>
  <c r="AN192" i="1"/>
  <c r="AN207" i="1" s="1"/>
  <c r="AZ192" i="1"/>
  <c r="AZ207" i="1" s="1"/>
  <c r="BX192" i="1"/>
  <c r="BX207" i="1" s="1"/>
  <c r="CB192" i="1"/>
  <c r="CB200" i="1" s="1"/>
  <c r="Y193" i="1"/>
  <c r="AA193" i="1"/>
  <c r="Z193" i="1"/>
  <c r="W193" i="1"/>
  <c r="AK193" i="1"/>
  <c r="AG193" i="1"/>
  <c r="AJ193" i="1"/>
  <c r="AI193" i="1"/>
  <c r="AQ199" i="1"/>
  <c r="AQ198" i="1"/>
  <c r="AU193" i="1"/>
  <c r="BH193" i="1"/>
  <c r="H19" i="1"/>
  <c r="P19" i="1"/>
  <c r="T19" i="1"/>
  <c r="AF19" i="1"/>
  <c r="AJ19" i="1"/>
  <c r="AN19" i="1"/>
  <c r="E21" i="1"/>
  <c r="I21" i="1"/>
  <c r="Q21" i="1"/>
  <c r="N22" i="1"/>
  <c r="AH22" i="1"/>
  <c r="BB22" i="1"/>
  <c r="BV22" i="1"/>
  <c r="BK31" i="1"/>
  <c r="BL31" i="1" s="1"/>
  <c r="BF40" i="1"/>
  <c r="BG40" i="1" s="1"/>
  <c r="BZ40" i="1"/>
  <c r="CA40" i="1" s="1"/>
  <c r="CJ40" i="1"/>
  <c r="S44" i="1"/>
  <c r="AC44" i="1"/>
  <c r="AW44" i="1"/>
  <c r="BQ44" i="1"/>
  <c r="CA44" i="1"/>
  <c r="CK44" i="1"/>
  <c r="CG96" i="1"/>
  <c r="BV12" i="1"/>
  <c r="BV15" i="1" s="1"/>
  <c r="CA16" i="1" s="1"/>
  <c r="CP12" i="1"/>
  <c r="U192" i="1"/>
  <c r="U201" i="1" s="1"/>
  <c r="Y192" i="1"/>
  <c r="Y207" i="1" s="1"/>
  <c r="AO192" i="1"/>
  <c r="AO207" i="1" s="1"/>
  <c r="AS192" i="1"/>
  <c r="AS207" i="1" s="1"/>
  <c r="BM192" i="1"/>
  <c r="BM200" i="1" s="1"/>
  <c r="BY192" i="1"/>
  <c r="BY200" i="1" s="1"/>
  <c r="CC192" i="1"/>
  <c r="CC207" i="1" s="1"/>
  <c r="Q193" i="1"/>
  <c r="Q199" i="1" s="1"/>
  <c r="P193" i="1"/>
  <c r="P199" i="1" s="1"/>
  <c r="O193" i="1"/>
  <c r="O199" i="1" s="1"/>
  <c r="X18" i="1"/>
  <c r="AH18" i="1"/>
  <c r="AR18" i="1"/>
  <c r="BI193" i="1"/>
  <c r="BY193" i="1"/>
  <c r="E19" i="1"/>
  <c r="I19" i="1"/>
  <c r="Q19" i="1"/>
  <c r="U19" i="1"/>
  <c r="Y19" i="1"/>
  <c r="AK19" i="1"/>
  <c r="AO19" i="1"/>
  <c r="AS19" i="1"/>
  <c r="BJ19" i="1"/>
  <c r="BN19" i="1"/>
  <c r="BR19" i="1"/>
  <c r="CD19" i="1"/>
  <c r="CH19" i="1"/>
  <c r="CL19" i="1"/>
  <c r="AY19" i="1"/>
  <c r="F21" i="1"/>
  <c r="V21" i="1"/>
  <c r="Z21" i="1"/>
  <c r="AD21" i="1"/>
  <c r="AP21" i="1"/>
  <c r="AT21" i="1"/>
  <c r="AX21" i="1"/>
  <c r="CH21" i="1"/>
  <c r="CL21" i="1"/>
  <c r="H23" i="1"/>
  <c r="L23" i="1"/>
  <c r="P23" i="1"/>
  <c r="T23" i="1"/>
  <c r="AF23" i="1"/>
  <c r="AJ23" i="1"/>
  <c r="AN23" i="1"/>
  <c r="AZ23" i="1"/>
  <c r="BD23" i="1"/>
  <c r="BH23" i="1"/>
  <c r="BT23" i="1"/>
  <c r="BX23" i="1"/>
  <c r="CB23" i="1"/>
  <c r="CN23" i="1"/>
  <c r="CR23" i="1"/>
  <c r="K83" i="1"/>
  <c r="CM112" i="1"/>
  <c r="G227" i="1"/>
  <c r="G228" i="1" s="1"/>
  <c r="H230" i="1" s="1"/>
  <c r="G117" i="1"/>
  <c r="K227" i="1"/>
  <c r="K228" i="1" s="1"/>
  <c r="L230" i="1" s="1"/>
  <c r="K117" i="1"/>
  <c r="K118" i="1" s="1"/>
  <c r="I201" i="1"/>
  <c r="J135" i="1"/>
  <c r="Q135" i="1"/>
  <c r="V135" i="1"/>
  <c r="Z227" i="1"/>
  <c r="Z117" i="1"/>
  <c r="AE227" i="1"/>
  <c r="AE228" i="1" s="1"/>
  <c r="AF230" i="1" s="1"/>
  <c r="AE117" i="1"/>
  <c r="AO227" i="1"/>
  <c r="AO117" i="1"/>
  <c r="AT227" i="1"/>
  <c r="AT117" i="1"/>
  <c r="AY227" i="1"/>
  <c r="AY228" i="1" s="1"/>
  <c r="AZ230" i="1" s="1"/>
  <c r="AY117" i="1"/>
  <c r="F197" i="1"/>
  <c r="K137" i="1"/>
  <c r="N68" i="1"/>
  <c r="O138" i="1"/>
  <c r="T137" i="1"/>
  <c r="AD137" i="1"/>
  <c r="AN137" i="1"/>
  <c r="AX137" i="1"/>
  <c r="BH137" i="1"/>
  <c r="BR137" i="1"/>
  <c r="CA197" i="1"/>
  <c r="CB137" i="1"/>
  <c r="CL137" i="1"/>
  <c r="H74" i="1"/>
  <c r="H83" i="1" s="1"/>
  <c r="L74" i="1"/>
  <c r="L83" i="1" s="1"/>
  <c r="T74" i="1"/>
  <c r="T83" i="1" s="1"/>
  <c r="X74" i="1"/>
  <c r="AB74" i="1"/>
  <c r="AF74" i="1"/>
  <c r="AF83" i="1" s="1"/>
  <c r="AJ74" i="1"/>
  <c r="AJ83" i="1" s="1"/>
  <c r="AN74" i="1"/>
  <c r="AN83" i="1" s="1"/>
  <c r="AR74" i="1"/>
  <c r="AV74" i="1"/>
  <c r="AV83" i="1" s="1"/>
  <c r="BL74" i="1"/>
  <c r="CF74" i="1"/>
  <c r="DJ79" i="1"/>
  <c r="AB136" i="1"/>
  <c r="AC136" i="1" s="1"/>
  <c r="BF136" i="1"/>
  <c r="BG136" i="1" s="1"/>
  <c r="BP136" i="1"/>
  <c r="BQ136" i="1" s="1"/>
  <c r="BZ136" i="1"/>
  <c r="CA136" i="1" s="1"/>
  <c r="F200" i="1"/>
  <c r="AL200" i="1"/>
  <c r="CH200" i="1"/>
  <c r="R83" i="1"/>
  <c r="Z83" i="1"/>
  <c r="AD83" i="1"/>
  <c r="AT83" i="1"/>
  <c r="AX83" i="1"/>
  <c r="BF83" i="1"/>
  <c r="BJ83" i="1"/>
  <c r="BN83" i="1"/>
  <c r="BR83" i="1"/>
  <c r="BZ83" i="1"/>
  <c r="CD83" i="1"/>
  <c r="CH83" i="1"/>
  <c r="L139" i="1"/>
  <c r="Q139" i="1"/>
  <c r="AI139" i="1"/>
  <c r="BC139" i="1"/>
  <c r="BW139" i="1"/>
  <c r="CG139" i="1"/>
  <c r="N226" i="1"/>
  <c r="N116" i="1"/>
  <c r="N126" i="1" s="1"/>
  <c r="S226" i="1"/>
  <c r="AL226" i="1"/>
  <c r="AL116" i="1"/>
  <c r="AV226" i="1"/>
  <c r="AV228" i="1" s="1"/>
  <c r="BC226" i="1"/>
  <c r="BC228" i="1" s="1"/>
  <c r="BD230" i="1" s="1"/>
  <c r="BG89" i="1"/>
  <c r="BS226" i="1"/>
  <c r="BS228" i="1" s="1"/>
  <c r="BT230" i="1" s="1"/>
  <c r="BW226" i="1"/>
  <c r="BW228" i="1" s="1"/>
  <c r="BX230" i="1" s="1"/>
  <c r="CA89" i="1"/>
  <c r="CE226" i="1"/>
  <c r="CE228" i="1" s="1"/>
  <c r="CI226" i="1"/>
  <c r="CI228" i="1" s="1"/>
  <c r="F90" i="1"/>
  <c r="J90" i="1"/>
  <c r="V90" i="1"/>
  <c r="V110" i="1" s="1"/>
  <c r="AL90" i="1"/>
  <c r="AL110" i="1" s="1"/>
  <c r="BJ90" i="1"/>
  <c r="CD90" i="1"/>
  <c r="CH90" i="1"/>
  <c r="N92" i="1"/>
  <c r="N96" i="1" s="1"/>
  <c r="BO94" i="1"/>
  <c r="BO96" i="1" s="1"/>
  <c r="BO110" i="1" s="1"/>
  <c r="BY92" i="1"/>
  <c r="BY93" i="1"/>
  <c r="BY116" i="1" s="1"/>
  <c r="CD252" i="1"/>
  <c r="CD251" i="1" s="1"/>
  <c r="CD243" i="1"/>
  <c r="M226" i="1"/>
  <c r="M116" i="1"/>
  <c r="R226" i="1"/>
  <c r="R228" i="1" s="1"/>
  <c r="R116" i="1"/>
  <c r="E226" i="1"/>
  <c r="E116" i="1"/>
  <c r="I226" i="1"/>
  <c r="I116" i="1"/>
  <c r="Y226" i="1"/>
  <c r="Y228" i="1" s="1"/>
  <c r="Z230" i="1" s="1"/>
  <c r="Y116" i="1"/>
  <c r="AD226" i="1"/>
  <c r="AD116" i="1"/>
  <c r="AD126" i="1" s="1"/>
  <c r="AN228" i="1"/>
  <c r="AO230" i="1" s="1"/>
  <c r="AX226" i="1"/>
  <c r="AX116" i="1"/>
  <c r="AX126" i="1" s="1"/>
  <c r="Q136" i="1"/>
  <c r="V136" i="1"/>
  <c r="AV96" i="1"/>
  <c r="J126" i="1"/>
  <c r="J127" i="1" s="1"/>
  <c r="R126" i="1"/>
  <c r="V126" i="1"/>
  <c r="V127" i="1" s="1"/>
  <c r="CL251" i="1"/>
  <c r="CU109" i="1"/>
  <c r="CV109" i="1" s="1"/>
  <c r="CW109" i="1" s="1"/>
  <c r="CX109" i="1" s="1"/>
  <c r="CY109" i="1" s="1"/>
  <c r="K110" i="1"/>
  <c r="P110" i="1"/>
  <c r="P127" i="1"/>
  <c r="AA116" i="1"/>
  <c r="AI116" i="1"/>
  <c r="AY116" i="1"/>
  <c r="CM118" i="1"/>
  <c r="AN117" i="1"/>
  <c r="AN118" i="1" s="1"/>
  <c r="O227" i="1"/>
  <c r="O228" i="1" s="1"/>
  <c r="P230" i="1" s="1"/>
  <c r="O117" i="1"/>
  <c r="R135" i="1"/>
  <c r="V201" i="1"/>
  <c r="W135" i="1"/>
  <c r="AA227" i="1"/>
  <c r="AA117" i="1"/>
  <c r="AK227" i="1"/>
  <c r="AK117" i="1"/>
  <c r="AP227" i="1"/>
  <c r="AP117" i="1"/>
  <c r="AU227" i="1"/>
  <c r="AU228" i="1" s="1"/>
  <c r="AU117" i="1"/>
  <c r="E227" i="1"/>
  <c r="E117" i="1"/>
  <c r="S227" i="1"/>
  <c r="S117" i="1"/>
  <c r="T138" i="1"/>
  <c r="Y135" i="1"/>
  <c r="AD138" i="1"/>
  <c r="AI135" i="1"/>
  <c r="AM199" i="1"/>
  <c r="AN138" i="1"/>
  <c r="AS135" i="1"/>
  <c r="AX138" i="1"/>
  <c r="BC135" i="1"/>
  <c r="BG227" i="1"/>
  <c r="BG117" i="1"/>
  <c r="BH138" i="1"/>
  <c r="BM135" i="1"/>
  <c r="BQ227" i="1"/>
  <c r="BQ117" i="1"/>
  <c r="BR138" i="1"/>
  <c r="BW135" i="1"/>
  <c r="CA227" i="1"/>
  <c r="CA117" i="1"/>
  <c r="CB138" i="1"/>
  <c r="CG135" i="1"/>
  <c r="CK227" i="1"/>
  <c r="CK117" i="1"/>
  <c r="CL138" i="1"/>
  <c r="CQ135" i="1"/>
  <c r="CT135" i="1" s="1"/>
  <c r="E74" i="1"/>
  <c r="AK74" i="1"/>
  <c r="AK83" i="1" s="1"/>
  <c r="AK112" i="1" s="1"/>
  <c r="BQ74" i="1"/>
  <c r="CK74" i="1"/>
  <c r="AY200" i="1"/>
  <c r="CU136" i="1"/>
  <c r="G83" i="1"/>
  <c r="W83" i="1"/>
  <c r="AE83" i="1"/>
  <c r="AY83" i="1"/>
  <c r="BC83" i="1"/>
  <c r="BK83" i="1"/>
  <c r="BO83" i="1"/>
  <c r="BS83" i="1"/>
  <c r="BW83" i="1"/>
  <c r="CE83" i="1"/>
  <c r="CI83" i="1"/>
  <c r="CT243" i="1"/>
  <c r="CT252" i="1"/>
  <c r="CT226" i="1"/>
  <c r="CT120" i="1"/>
  <c r="CT116" i="1"/>
  <c r="DF116" i="1" s="1"/>
  <c r="DI116" i="1" s="1"/>
  <c r="AX139" i="1"/>
  <c r="BR139" i="1"/>
  <c r="CB139" i="1"/>
  <c r="CK252" i="1"/>
  <c r="CK243" i="1"/>
  <c r="CK226" i="1"/>
  <c r="CK116" i="1"/>
  <c r="BT226" i="1"/>
  <c r="BT228" i="1" s="1"/>
  <c r="BU230" i="1" s="1"/>
  <c r="BT116" i="1"/>
  <c r="CP252" i="1"/>
  <c r="CP251" i="1" s="1"/>
  <c r="CP243" i="1"/>
  <c r="CP226" i="1"/>
  <c r="CP116" i="1"/>
  <c r="W90" i="1"/>
  <c r="W110" i="1" s="1"/>
  <c r="AM90" i="1"/>
  <c r="BG90" i="1"/>
  <c r="CA90" i="1"/>
  <c r="BP94" i="1"/>
  <c r="BQ94" i="1" s="1"/>
  <c r="BZ243" i="1"/>
  <c r="BZ252" i="1"/>
  <c r="BZ251" i="1" s="1"/>
  <c r="CE252" i="1"/>
  <c r="CE251" i="1" s="1"/>
  <c r="CE243" i="1"/>
  <c r="AB228" i="1"/>
  <c r="AS226" i="1"/>
  <c r="AS116" i="1"/>
  <c r="F226" i="1"/>
  <c r="F116" i="1"/>
  <c r="F126" i="1" s="1"/>
  <c r="Z226" i="1"/>
  <c r="Z116" i="1"/>
  <c r="AJ228" i="1"/>
  <c r="AK230" i="1" s="1"/>
  <c r="AO226" i="1"/>
  <c r="AO116" i="1"/>
  <c r="AT226" i="1"/>
  <c r="AT116" i="1"/>
  <c r="AT126" i="1" s="1"/>
  <c r="X92" i="1"/>
  <c r="AH92" i="1"/>
  <c r="AR92" i="1"/>
  <c r="BG92" i="1"/>
  <c r="BL92" i="1"/>
  <c r="BV92" i="1"/>
  <c r="CA92" i="1"/>
  <c r="CF92" i="1"/>
  <c r="AS96" i="1"/>
  <c r="AS110" i="1" s="1"/>
  <c r="CD110" i="1"/>
  <c r="CH251" i="1"/>
  <c r="CM251" i="1"/>
  <c r="CM126" i="1"/>
  <c r="CM127" i="1" s="1"/>
  <c r="CQ251" i="1"/>
  <c r="CQ126" i="1"/>
  <c r="L110" i="1"/>
  <c r="AB116" i="1"/>
  <c r="AJ116" i="1"/>
  <c r="AJ126" i="1" s="1"/>
  <c r="AZ116" i="1"/>
  <c r="CE116" i="1"/>
  <c r="H117" i="1"/>
  <c r="T117" i="1"/>
  <c r="T118" i="1" s="1"/>
  <c r="AB117" i="1"/>
  <c r="BL117" i="1"/>
  <c r="I227" i="1"/>
  <c r="I117" i="1"/>
  <c r="M227" i="1"/>
  <c r="M117" i="1"/>
  <c r="G135" i="1"/>
  <c r="G134" i="1" s="1"/>
  <c r="H135" i="1"/>
  <c r="H134" i="1" s="1"/>
  <c r="P227" i="1"/>
  <c r="P228" i="1" s="1"/>
  <c r="Q230" i="1" s="1"/>
  <c r="P137" i="1"/>
  <c r="U227" i="1"/>
  <c r="U228" i="1" s="1"/>
  <c r="V230" i="1" s="1"/>
  <c r="U117" i="1"/>
  <c r="U118" i="1" s="1"/>
  <c r="T197" i="1"/>
  <c r="U137" i="1"/>
  <c r="F227" i="1"/>
  <c r="F117" i="1"/>
  <c r="AG227" i="1"/>
  <c r="AG117" i="1"/>
  <c r="AL227" i="1"/>
  <c r="AL117" i="1"/>
  <c r="AQ227" i="1"/>
  <c r="AQ117" i="1"/>
  <c r="H197" i="1"/>
  <c r="O135" i="1"/>
  <c r="Y137" i="1"/>
  <c r="AC69" i="1"/>
  <c r="AC74" i="1" s="1"/>
  <c r="AI137" i="1"/>
  <c r="AM69" i="1"/>
  <c r="AM227" i="1" s="1"/>
  <c r="AS137" i="1"/>
  <c r="AW69" i="1"/>
  <c r="AW117" i="1" s="1"/>
  <c r="BC137" i="1"/>
  <c r="BM137" i="1"/>
  <c r="BW137" i="1"/>
  <c r="CG137" i="1"/>
  <c r="CQ137" i="1"/>
  <c r="CT137" i="1" s="1"/>
  <c r="F74" i="1"/>
  <c r="F83" i="1" s="1"/>
  <c r="AL74" i="1"/>
  <c r="AL83" i="1" s="1"/>
  <c r="AP74" i="1"/>
  <c r="AP83" i="1" s="1"/>
  <c r="BB74" i="1"/>
  <c r="BB83" i="1" s="1"/>
  <c r="BV74" i="1"/>
  <c r="BV83" i="1" s="1"/>
  <c r="CP74" i="1"/>
  <c r="CP83" i="1" s="1"/>
  <c r="CU79" i="1"/>
  <c r="CV79" i="1" s="1"/>
  <c r="CW79" i="1" s="1"/>
  <c r="CX79" i="1" s="1"/>
  <c r="CY79" i="1" s="1"/>
  <c r="CU81" i="1"/>
  <c r="CV81" i="1" s="1"/>
  <c r="CW81" i="1" s="1"/>
  <c r="CX81" i="1" s="1"/>
  <c r="CY81" i="1" s="1"/>
  <c r="AG136" i="1"/>
  <c r="AH136" i="1" s="1"/>
  <c r="AQ136" i="1"/>
  <c r="AR136" i="1" s="1"/>
  <c r="BA136" i="1"/>
  <c r="BB136" i="1" s="1"/>
  <c r="BK136" i="1"/>
  <c r="BL136" i="1" s="1"/>
  <c r="BU136" i="1"/>
  <c r="BV136" i="1" s="1"/>
  <c r="H200" i="1"/>
  <c r="T200" i="1"/>
  <c r="X82" i="1"/>
  <c r="X83" i="1" s="1"/>
  <c r="AN200" i="1"/>
  <c r="AR82" i="1"/>
  <c r="AZ200" i="1"/>
  <c r="BL82" i="1"/>
  <c r="BX200" i="1"/>
  <c r="CF82" i="1"/>
  <c r="CF83" i="1" s="1"/>
  <c r="AB83" i="1"/>
  <c r="AZ83" i="1"/>
  <c r="BD83" i="1"/>
  <c r="BH83" i="1"/>
  <c r="BP83" i="1"/>
  <c r="BT83" i="1"/>
  <c r="BX83" i="1"/>
  <c r="CB83" i="1"/>
  <c r="CR112" i="1"/>
  <c r="I198" i="1"/>
  <c r="J139" i="1"/>
  <c r="U139" i="1"/>
  <c r="CU88" i="1"/>
  <c r="AS139" i="1"/>
  <c r="BM139" i="1"/>
  <c r="N86" i="1"/>
  <c r="T139" i="1"/>
  <c r="Y139" i="1"/>
  <c r="AD139" i="1"/>
  <c r="BE226" i="1"/>
  <c r="BE228" i="1" s="1"/>
  <c r="BE116" i="1"/>
  <c r="BQ89" i="1"/>
  <c r="BU226" i="1"/>
  <c r="BU228" i="1" s="1"/>
  <c r="BU116" i="1"/>
  <c r="CG226" i="1"/>
  <c r="CG228" i="1" s="1"/>
  <c r="CH230" i="1" s="1"/>
  <c r="CG116" i="1"/>
  <c r="H90" i="1"/>
  <c r="H110" i="1" s="1"/>
  <c r="T90" i="1"/>
  <c r="X90" i="1"/>
  <c r="AB90" i="1"/>
  <c r="BD90" i="1"/>
  <c r="BH90" i="1"/>
  <c r="BL90" i="1"/>
  <c r="BP90" i="1"/>
  <c r="BT90" i="1"/>
  <c r="BX90" i="1"/>
  <c r="CB90" i="1"/>
  <c r="BH94" i="1"/>
  <c r="BH96" i="1" s="1"/>
  <c r="BM94" i="1"/>
  <c r="BM226" i="1" s="1"/>
  <c r="BM228" i="1" s="1"/>
  <c r="BN230" i="1" s="1"/>
  <c r="BW252" i="1"/>
  <c r="BW251" i="1" s="1"/>
  <c r="BW243" i="1"/>
  <c r="CB252" i="1"/>
  <c r="CB251" i="1" s="1"/>
  <c r="CB243" i="1"/>
  <c r="CB94" i="1"/>
  <c r="CB96" i="1" s="1"/>
  <c r="CU92" i="1"/>
  <c r="CV92" i="1" s="1"/>
  <c r="AA228" i="1"/>
  <c r="AF228" i="1"/>
  <c r="AK226" i="1"/>
  <c r="AK116" i="1"/>
  <c r="AP226" i="1"/>
  <c r="AP228" i="1" s="1"/>
  <c r="AP116" i="1"/>
  <c r="AP126" i="1" s="1"/>
  <c r="K136" i="1"/>
  <c r="K134" i="1" s="1"/>
  <c r="X93" i="1"/>
  <c r="X116" i="1" s="1"/>
  <c r="AC93" i="1"/>
  <c r="AC116" i="1" s="1"/>
  <c r="AM93" i="1"/>
  <c r="AM226" i="1" s="1"/>
  <c r="BB93" i="1"/>
  <c r="BG93" i="1"/>
  <c r="BG243" i="1" s="1"/>
  <c r="BL93" i="1"/>
  <c r="BL243" i="1" s="1"/>
  <c r="BQ93" i="1"/>
  <c r="BQ96" i="1" s="1"/>
  <c r="BV93" i="1"/>
  <c r="BV243" i="1" s="1"/>
  <c r="CA93" i="1"/>
  <c r="CA243" i="1" s="1"/>
  <c r="CF93" i="1"/>
  <c r="CF243" i="1" s="1"/>
  <c r="F96" i="1"/>
  <c r="J96" i="1"/>
  <c r="J110" i="1" s="1"/>
  <c r="R96" i="1"/>
  <c r="R110" i="1" s="1"/>
  <c r="AP96" i="1"/>
  <c r="AB126" i="1"/>
  <c r="CE126" i="1"/>
  <c r="CI251" i="1"/>
  <c r="CN251" i="1"/>
  <c r="CN126" i="1"/>
  <c r="CR251" i="1"/>
  <c r="CR126" i="1"/>
  <c r="CR127" i="1" s="1"/>
  <c r="AN110" i="1"/>
  <c r="CE110" i="1"/>
  <c r="G116" i="1"/>
  <c r="G126" i="1" s="1"/>
  <c r="L127" i="1"/>
  <c r="S116" i="1"/>
  <c r="W116" i="1"/>
  <c r="W126" i="1" s="1"/>
  <c r="AE116" i="1"/>
  <c r="AU116" i="1"/>
  <c r="BC116" i="1"/>
  <c r="BC126" i="1" s="1"/>
  <c r="BK116" i="1"/>
  <c r="BS116" i="1"/>
  <c r="CI116" i="1"/>
  <c r="CI126" i="1" s="1"/>
  <c r="L117" i="1"/>
  <c r="L118" i="1" s="1"/>
  <c r="AF117" i="1"/>
  <c r="AV117" i="1"/>
  <c r="CF117" i="1"/>
  <c r="J227" i="1"/>
  <c r="J228" i="1" s="1"/>
  <c r="K230" i="1" s="1"/>
  <c r="J117" i="1"/>
  <c r="J118" i="1" s="1"/>
  <c r="H201" i="1"/>
  <c r="I135" i="1"/>
  <c r="I134" i="1" s="1"/>
  <c r="Q227" i="1"/>
  <c r="Q228" i="1" s="1"/>
  <c r="Q117" i="1"/>
  <c r="Q118" i="1" s="1"/>
  <c r="P135" i="1"/>
  <c r="Q137" i="1"/>
  <c r="V227" i="1"/>
  <c r="V228" i="1" s="1"/>
  <c r="V117" i="1"/>
  <c r="V118" i="1" s="1"/>
  <c r="T201" i="1"/>
  <c r="U135" i="1"/>
  <c r="U197" i="1"/>
  <c r="V137" i="1"/>
  <c r="AD227" i="1"/>
  <c r="AD117" i="1"/>
  <c r="AI227" i="1"/>
  <c r="AI228" i="1" s="1"/>
  <c r="AJ230" i="1" s="1"/>
  <c r="AI117" i="1"/>
  <c r="AS227" i="1"/>
  <c r="AS117" i="1"/>
  <c r="AX227" i="1"/>
  <c r="AX117" i="1"/>
  <c r="E201" i="1"/>
  <c r="F135" i="1"/>
  <c r="F134" i="1" s="1"/>
  <c r="I197" i="1"/>
  <c r="J137" i="1"/>
  <c r="N71" i="1"/>
  <c r="T135" i="1"/>
  <c r="Y138" i="1"/>
  <c r="AD135" i="1"/>
  <c r="AH227" i="1"/>
  <c r="AH117" i="1"/>
  <c r="AI138" i="1"/>
  <c r="AN135" i="1"/>
  <c r="AR227" i="1"/>
  <c r="AS138" i="1"/>
  <c r="AX135" i="1"/>
  <c r="BB227" i="1"/>
  <c r="BB117" i="1"/>
  <c r="BC138" i="1"/>
  <c r="BH135" i="1"/>
  <c r="BM138" i="1"/>
  <c r="BR135" i="1"/>
  <c r="BV227" i="1"/>
  <c r="BV117" i="1"/>
  <c r="BW138" i="1"/>
  <c r="CB135" i="1"/>
  <c r="CG138" i="1"/>
  <c r="CL135" i="1"/>
  <c r="CP227" i="1"/>
  <c r="CP117" i="1"/>
  <c r="CQ138" i="1"/>
  <c r="CT138" i="1" s="1"/>
  <c r="O74" i="1"/>
  <c r="O83" i="1" s="1"/>
  <c r="S74" i="1"/>
  <c r="S83" i="1" s="1"/>
  <c r="AA74" i="1"/>
  <c r="AA83" i="1" s="1"/>
  <c r="AI74" i="1"/>
  <c r="AI83" i="1" s="1"/>
  <c r="AQ74" i="1"/>
  <c r="AQ83" i="1" s="1"/>
  <c r="AU74" i="1"/>
  <c r="AU83" i="1" s="1"/>
  <c r="AU112" i="1" s="1"/>
  <c r="BG74" i="1"/>
  <c r="BG83" i="1" s="1"/>
  <c r="CA74" i="1"/>
  <c r="CA83" i="1" s="1"/>
  <c r="E200" i="1"/>
  <c r="I200" i="1"/>
  <c r="U200" i="1"/>
  <c r="AC82" i="1"/>
  <c r="AC83" i="1" s="1"/>
  <c r="AS200" i="1"/>
  <c r="AW82" i="1"/>
  <c r="BQ82" i="1"/>
  <c r="CC200" i="1"/>
  <c r="E83" i="1"/>
  <c r="Q83" i="1"/>
  <c r="Y83" i="1"/>
  <c r="AG83" i="1"/>
  <c r="AO83" i="1"/>
  <c r="AS83" i="1"/>
  <c r="BA83" i="1"/>
  <c r="BE83" i="1"/>
  <c r="BI83" i="1"/>
  <c r="BM83" i="1"/>
  <c r="BU83" i="1"/>
  <c r="BY83" i="1"/>
  <c r="CC83" i="1"/>
  <c r="CG83" i="1"/>
  <c r="CK83" i="1"/>
  <c r="P139" i="1"/>
  <c r="U198" i="1"/>
  <c r="V139" i="1"/>
  <c r="AM198" i="1"/>
  <c r="AN139" i="1"/>
  <c r="AW226" i="1"/>
  <c r="AW116" i="1"/>
  <c r="BH139" i="1"/>
  <c r="CL139" i="1"/>
  <c r="AH89" i="1"/>
  <c r="AH90" i="1" s="1"/>
  <c r="AR89" i="1"/>
  <c r="BB89" i="1"/>
  <c r="BB90" i="1" s="1"/>
  <c r="BF226" i="1"/>
  <c r="BF228" i="1" s="1"/>
  <c r="BJ226" i="1"/>
  <c r="BJ228" i="1" s="1"/>
  <c r="BJ116" i="1"/>
  <c r="BJ126" i="1" s="1"/>
  <c r="BR226" i="1"/>
  <c r="BR228" i="1" s="1"/>
  <c r="BS230" i="1" s="1"/>
  <c r="BR116" i="1"/>
  <c r="BR126" i="1" s="1"/>
  <c r="BV89" i="1"/>
  <c r="BV90" i="1" s="1"/>
  <c r="BZ226" i="1"/>
  <c r="BZ228" i="1" s="1"/>
  <c r="BZ116" i="1"/>
  <c r="BZ126" i="1" s="1"/>
  <c r="CD226" i="1"/>
  <c r="CD228" i="1" s="1"/>
  <c r="CD116" i="1"/>
  <c r="CH226" i="1"/>
  <c r="CH228" i="1" s="1"/>
  <c r="CI230" i="1" s="1"/>
  <c r="CH116" i="1"/>
  <c r="CH126" i="1" s="1"/>
  <c r="CQ139" i="1"/>
  <c r="CT139" i="1" s="1"/>
  <c r="E90" i="1"/>
  <c r="I90" i="1"/>
  <c r="M90" i="1"/>
  <c r="Q90" i="1"/>
  <c r="Q110" i="1" s="1"/>
  <c r="U90" i="1"/>
  <c r="U110" i="1" s="1"/>
  <c r="AC90" i="1"/>
  <c r="AG90" i="1"/>
  <c r="AW90" i="1"/>
  <c r="BA90" i="1"/>
  <c r="BE90" i="1"/>
  <c r="BI90" i="1"/>
  <c r="BM90" i="1"/>
  <c r="BU90" i="1"/>
  <c r="CC90" i="1"/>
  <c r="CG90" i="1"/>
  <c r="CK90" i="1"/>
  <c r="BD94" i="1"/>
  <c r="BD96" i="1" s="1"/>
  <c r="BD110" i="1" s="1"/>
  <c r="BI94" i="1"/>
  <c r="BI116" i="1" s="1"/>
  <c r="BN94" i="1"/>
  <c r="BN96" i="1" s="1"/>
  <c r="BN110" i="1" s="1"/>
  <c r="BX252" i="1"/>
  <c r="BX251" i="1" s="1"/>
  <c r="BX243" i="1"/>
  <c r="BX94" i="1"/>
  <c r="BX116" i="1" s="1"/>
  <c r="CC252" i="1"/>
  <c r="CC251" i="1" s="1"/>
  <c r="CC243" i="1"/>
  <c r="CC94" i="1"/>
  <c r="CC226" i="1" s="1"/>
  <c r="CC228" i="1" s="1"/>
  <c r="CD230" i="1" s="1"/>
  <c r="CG252" i="1"/>
  <c r="CG251" i="1" s="1"/>
  <c r="CG243" i="1"/>
  <c r="H228" i="1"/>
  <c r="I230" i="1" s="1"/>
  <c r="AG94" i="1"/>
  <c r="AH94" i="1" s="1"/>
  <c r="AH226" i="1" s="1"/>
  <c r="AQ94" i="1"/>
  <c r="AR94" i="1" s="1"/>
  <c r="BA94" i="1"/>
  <c r="BB94" i="1" s="1"/>
  <c r="CL94" i="1"/>
  <c r="CL96" i="1" s="1"/>
  <c r="CL110" i="1" s="1"/>
  <c r="L136" i="1"/>
  <c r="P136" i="1"/>
  <c r="U136" i="1"/>
  <c r="W136" i="1" s="1"/>
  <c r="AY96" i="1"/>
  <c r="AY110" i="1" s="1"/>
  <c r="AC107" i="1"/>
  <c r="AW107" i="1"/>
  <c r="BQ107" i="1"/>
  <c r="CK107" i="1"/>
  <c r="AD110" i="1"/>
  <c r="AP110" i="1"/>
  <c r="AT110" i="1"/>
  <c r="AY126" i="1"/>
  <c r="BK126" i="1"/>
  <c r="BT126" i="1"/>
  <c r="CJ251" i="1"/>
  <c r="CJ126" i="1"/>
  <c r="CJ127" i="1" s="1"/>
  <c r="CP110" i="1"/>
  <c r="O110" i="1"/>
  <c r="AJ110" i="1"/>
  <c r="CQ110" i="1"/>
  <c r="CQ112" i="1" s="1"/>
  <c r="H116" i="1"/>
  <c r="H126" i="1" s="1"/>
  <c r="O118" i="1"/>
  <c r="T127" i="1"/>
  <c r="AF116" i="1"/>
  <c r="AV116" i="1"/>
  <c r="BL116" i="1"/>
  <c r="BW116" i="1"/>
  <c r="CQ118" i="1"/>
  <c r="CQ127" i="1"/>
  <c r="P117" i="1"/>
  <c r="P118" i="1" s="1"/>
  <c r="X117" i="1"/>
  <c r="AJ117" i="1"/>
  <c r="CP120" i="1"/>
  <c r="CP122" i="1" s="1"/>
  <c r="CJ118" i="1"/>
  <c r="CN118" i="1"/>
  <c r="CR118" i="1"/>
  <c r="Q127" i="1"/>
  <c r="U127" i="1"/>
  <c r="CO127" i="1"/>
  <c r="DH127" i="1" s="1"/>
  <c r="CS127" i="1"/>
  <c r="H262" i="1"/>
  <c r="H207" i="1"/>
  <c r="AD209" i="1"/>
  <c r="AH133" i="1"/>
  <c r="AL207" i="1"/>
  <c r="AX209" i="1"/>
  <c r="BB133" i="1"/>
  <c r="BR209" i="1"/>
  <c r="BV133" i="1"/>
  <c r="BZ207" i="1"/>
  <c r="CL209" i="1"/>
  <c r="CP133" i="1"/>
  <c r="F33" i="236" s="1"/>
  <c r="CN134" i="1"/>
  <c r="R148" i="1"/>
  <c r="S148" i="1" s="1"/>
  <c r="AH146" i="1"/>
  <c r="AH148" i="1"/>
  <c r="AH150" i="1"/>
  <c r="AH152" i="1"/>
  <c r="AH154" i="1"/>
  <c r="AH156" i="1"/>
  <c r="AM145" i="1"/>
  <c r="AM147" i="1"/>
  <c r="AM149" i="1"/>
  <c r="BE209" i="1"/>
  <c r="BF144" i="1"/>
  <c r="BG144" i="1" s="1"/>
  <c r="I262" i="1"/>
  <c r="I207" i="1"/>
  <c r="S133" i="1"/>
  <c r="AI209" i="1"/>
  <c r="AM133" i="1"/>
  <c r="BC209" i="1"/>
  <c r="BG133" i="1"/>
  <c r="BW209" i="1"/>
  <c r="CA133" i="1"/>
  <c r="CA207" i="1" s="1"/>
  <c r="R145" i="1"/>
  <c r="S145" i="1" s="1"/>
  <c r="F207" i="1"/>
  <c r="T209" i="1"/>
  <c r="T207" i="1"/>
  <c r="X133" i="1"/>
  <c r="AN209" i="1"/>
  <c r="AR133" i="1"/>
  <c r="BH209" i="1"/>
  <c r="BL133" i="1"/>
  <c r="CB209" i="1"/>
  <c r="CF133" i="1"/>
  <c r="R146" i="1"/>
  <c r="S146" i="1" s="1"/>
  <c r="Y209" i="1"/>
  <c r="AC133" i="1"/>
  <c r="AS209" i="1"/>
  <c r="AW133" i="1"/>
  <c r="BM209" i="1"/>
  <c r="BQ133" i="1"/>
  <c r="BY207" i="1"/>
  <c r="CG209" i="1"/>
  <c r="CK133" i="1"/>
  <c r="R147" i="1"/>
  <c r="S147" i="1" s="1"/>
  <c r="CS141" i="1"/>
  <c r="CT141" i="1" s="1"/>
  <c r="F186" i="1"/>
  <c r="J186" i="1"/>
  <c r="E209" i="1"/>
  <c r="E206" i="1"/>
  <c r="E157" i="1"/>
  <c r="E175" i="1" s="1"/>
  <c r="E178" i="1" s="1"/>
  <c r="I209" i="1"/>
  <c r="I206" i="1"/>
  <c r="I157" i="1"/>
  <c r="K149" i="1"/>
  <c r="L149" i="1" s="1"/>
  <c r="M149" i="1" s="1"/>
  <c r="AM151" i="1"/>
  <c r="AM155" i="1"/>
  <c r="AR146" i="1"/>
  <c r="AR150" i="1"/>
  <c r="AR154" i="1"/>
  <c r="AW145" i="1"/>
  <c r="AW149" i="1"/>
  <c r="AW153" i="1"/>
  <c r="AY209" i="1"/>
  <c r="AY157" i="1"/>
  <c r="BB144" i="1"/>
  <c r="BB148" i="1"/>
  <c r="BB152" i="1"/>
  <c r="BB156" i="1"/>
  <c r="BG147" i="1"/>
  <c r="BG151" i="1"/>
  <c r="BG155" i="1"/>
  <c r="BL146" i="1"/>
  <c r="BL150" i="1"/>
  <c r="BL154" i="1"/>
  <c r="BQ145" i="1"/>
  <c r="BQ149" i="1"/>
  <c r="BQ153" i="1"/>
  <c r="BS209" i="1"/>
  <c r="BS157" i="1"/>
  <c r="BS175" i="1" s="1"/>
  <c r="BV144" i="1"/>
  <c r="BT153" i="1"/>
  <c r="BU153" i="1" s="1"/>
  <c r="BX209" i="1"/>
  <c r="BX157" i="1"/>
  <c r="BY144" i="1"/>
  <c r="BY148" i="1"/>
  <c r="BZ148" i="1" s="1"/>
  <c r="BY152" i="1"/>
  <c r="BZ152" i="1" s="1"/>
  <c r="BY156" i="1"/>
  <c r="BZ156" i="1" s="1"/>
  <c r="CD147" i="1"/>
  <c r="CE147" i="1" s="1"/>
  <c r="CD151" i="1"/>
  <c r="CE151" i="1" s="1"/>
  <c r="CD155" i="1"/>
  <c r="CE155" i="1" s="1"/>
  <c r="CI146" i="1"/>
  <c r="CJ146" i="1" s="1"/>
  <c r="CI150" i="1"/>
  <c r="CJ150" i="1" s="1"/>
  <c r="CI154" i="1"/>
  <c r="CJ154" i="1" s="1"/>
  <c r="CN145" i="1"/>
  <c r="CN149" i="1"/>
  <c r="CN153" i="1"/>
  <c r="N150" i="1"/>
  <c r="N152" i="1"/>
  <c r="N155" i="1"/>
  <c r="CA163" i="1"/>
  <c r="G186" i="1"/>
  <c r="K186" i="1"/>
  <c r="O186" i="1"/>
  <c r="F206" i="1"/>
  <c r="F209" i="1"/>
  <c r="F157" i="1"/>
  <c r="F175" i="1" s="1"/>
  <c r="J209" i="1"/>
  <c r="J157" i="1"/>
  <c r="N148" i="1"/>
  <c r="AE209" i="1"/>
  <c r="AE157" i="1"/>
  <c r="AJ209" i="1"/>
  <c r="AJ157" i="1"/>
  <c r="AM150" i="1"/>
  <c r="AM154" i="1"/>
  <c r="AR145" i="1"/>
  <c r="AR149" i="1"/>
  <c r="AR153" i="1"/>
  <c r="AT209" i="1"/>
  <c r="AT157" i="1"/>
  <c r="AW148" i="1"/>
  <c r="AW152" i="1"/>
  <c r="AW156" i="1"/>
  <c r="AZ209" i="1"/>
  <c r="BB147" i="1"/>
  <c r="BB151" i="1"/>
  <c r="BB155" i="1"/>
  <c r="BG146" i="1"/>
  <c r="BG150" i="1"/>
  <c r="BG154" i="1"/>
  <c r="BL145" i="1"/>
  <c r="BL149" i="1"/>
  <c r="BL153" i="1"/>
  <c r="BN209" i="1"/>
  <c r="BN157" i="1"/>
  <c r="BQ148" i="1"/>
  <c r="BQ152" i="1"/>
  <c r="BQ156" i="1"/>
  <c r="BT209" i="1"/>
  <c r="BV146" i="1"/>
  <c r="BV148" i="1"/>
  <c r="BT150" i="1"/>
  <c r="BU150" i="1" s="1"/>
  <c r="BT154" i="1"/>
  <c r="BU154" i="1" s="1"/>
  <c r="BY145" i="1"/>
  <c r="BZ145" i="1" s="1"/>
  <c r="BY149" i="1"/>
  <c r="BZ149" i="1" s="1"/>
  <c r="BY153" i="1"/>
  <c r="BZ153" i="1" s="1"/>
  <c r="CC209" i="1"/>
  <c r="CC157" i="1"/>
  <c r="CC175" i="1" s="1"/>
  <c r="CD144" i="1"/>
  <c r="CD148" i="1"/>
  <c r="CE148" i="1" s="1"/>
  <c r="CD152" i="1"/>
  <c r="CE152" i="1" s="1"/>
  <c r="CD156" i="1"/>
  <c r="CE156" i="1" s="1"/>
  <c r="CI147" i="1"/>
  <c r="CJ147" i="1" s="1"/>
  <c r="CI151" i="1"/>
  <c r="CJ151" i="1" s="1"/>
  <c r="CI155" i="1"/>
  <c r="CJ155" i="1" s="1"/>
  <c r="CN146" i="1"/>
  <c r="CN150" i="1"/>
  <c r="CN154" i="1"/>
  <c r="N165" i="1"/>
  <c r="G209" i="1"/>
  <c r="G157" i="1"/>
  <c r="G175" i="1" s="1"/>
  <c r="K209" i="1"/>
  <c r="O209" i="1"/>
  <c r="O157" i="1"/>
  <c r="O175" i="1" s="1"/>
  <c r="N147" i="1"/>
  <c r="AF209" i="1"/>
  <c r="AF157" i="1"/>
  <c r="AK209" i="1"/>
  <c r="AO209" i="1"/>
  <c r="AO157" i="1"/>
  <c r="AU209" i="1"/>
  <c r="BA209" i="1"/>
  <c r="BI209" i="1"/>
  <c r="BI157" i="1"/>
  <c r="BI175" i="1" s="1"/>
  <c r="BO209" i="1"/>
  <c r="BU209" i="1"/>
  <c r="BT151" i="1"/>
  <c r="BU151" i="1" s="1"/>
  <c r="BT155" i="1"/>
  <c r="BU155" i="1" s="1"/>
  <c r="BY146" i="1"/>
  <c r="BZ146" i="1" s="1"/>
  <c r="BY150" i="1"/>
  <c r="BZ150" i="1" s="1"/>
  <c r="BY154" i="1"/>
  <c r="BZ154" i="1" s="1"/>
  <c r="CD145" i="1"/>
  <c r="CE145" i="1" s="1"/>
  <c r="CD149" i="1"/>
  <c r="CE149" i="1" s="1"/>
  <c r="CD153" i="1"/>
  <c r="CE153" i="1" s="1"/>
  <c r="CH209" i="1"/>
  <c r="CI144" i="1"/>
  <c r="CH157" i="1"/>
  <c r="CI148" i="1"/>
  <c r="CJ148" i="1" s="1"/>
  <c r="CI152" i="1"/>
  <c r="CJ152" i="1" s="1"/>
  <c r="CI156" i="1"/>
  <c r="CJ156" i="1" s="1"/>
  <c r="CN147" i="1"/>
  <c r="CN151" i="1"/>
  <c r="CN155" i="1"/>
  <c r="M141" i="1"/>
  <c r="Q141" i="1"/>
  <c r="V141" i="1"/>
  <c r="AA141" i="1"/>
  <c r="AF141" i="1"/>
  <c r="AK141" i="1"/>
  <c r="AP141" i="1"/>
  <c r="AU141" i="1"/>
  <c r="AZ141" i="1"/>
  <c r="BE141" i="1"/>
  <c r="BJ141" i="1"/>
  <c r="BO141" i="1"/>
  <c r="BT141" i="1"/>
  <c r="BY141" i="1"/>
  <c r="CD141" i="1"/>
  <c r="CI141" i="1"/>
  <c r="CN141" i="1"/>
  <c r="H206" i="1"/>
  <c r="H209" i="1"/>
  <c r="H157" i="1"/>
  <c r="H175" i="1" s="1"/>
  <c r="L144" i="1"/>
  <c r="L186" i="1" s="1"/>
  <c r="P144" i="1"/>
  <c r="P186" i="1" s="1"/>
  <c r="CR157" i="1"/>
  <c r="CR175" i="1" s="1"/>
  <c r="CS145" i="1"/>
  <c r="CT145" i="1" s="1"/>
  <c r="AG144" i="1"/>
  <c r="AL144" i="1"/>
  <c r="AM144" i="1" s="1"/>
  <c r="AM152" i="1"/>
  <c r="AK153" i="1"/>
  <c r="AL153" i="1" s="1"/>
  <c r="AM156" i="1"/>
  <c r="AP144" i="1"/>
  <c r="AR147" i="1"/>
  <c r="AP148" i="1"/>
  <c r="AQ148" i="1" s="1"/>
  <c r="AR151" i="1"/>
  <c r="AP152" i="1"/>
  <c r="AQ152" i="1" s="1"/>
  <c r="AR155" i="1"/>
  <c r="AP156" i="1"/>
  <c r="AQ156" i="1" s="1"/>
  <c r="AV144" i="1"/>
  <c r="AW144" i="1" s="1"/>
  <c r="AW146" i="1"/>
  <c r="AU147" i="1"/>
  <c r="AV147" i="1" s="1"/>
  <c r="AW150" i="1"/>
  <c r="AU151" i="1"/>
  <c r="AV151" i="1" s="1"/>
  <c r="AW154" i="1"/>
  <c r="AU155" i="1"/>
  <c r="AV155" i="1" s="1"/>
  <c r="BB145" i="1"/>
  <c r="AZ146" i="1"/>
  <c r="BA146" i="1" s="1"/>
  <c r="BB149" i="1"/>
  <c r="AZ150" i="1"/>
  <c r="BA150" i="1" s="1"/>
  <c r="BB153" i="1"/>
  <c r="AZ154" i="1"/>
  <c r="BA154" i="1" s="1"/>
  <c r="BD209" i="1"/>
  <c r="BD157" i="1"/>
  <c r="BE145" i="1"/>
  <c r="BF145" i="1" s="1"/>
  <c r="BG148" i="1"/>
  <c r="BE149" i="1"/>
  <c r="BF149" i="1" s="1"/>
  <c r="BG152" i="1"/>
  <c r="BE153" i="1"/>
  <c r="BF153" i="1" s="1"/>
  <c r="BG156" i="1"/>
  <c r="BJ144" i="1"/>
  <c r="BL147" i="1"/>
  <c r="BJ148" i="1"/>
  <c r="BK148" i="1" s="1"/>
  <c r="BL151" i="1"/>
  <c r="BJ152" i="1"/>
  <c r="BK152" i="1" s="1"/>
  <c r="BL155" i="1"/>
  <c r="BJ156" i="1"/>
  <c r="BK156" i="1" s="1"/>
  <c r="BP144" i="1"/>
  <c r="BQ146" i="1"/>
  <c r="BO147" i="1"/>
  <c r="BP147" i="1" s="1"/>
  <c r="BQ150" i="1"/>
  <c r="BO151" i="1"/>
  <c r="BP151" i="1" s="1"/>
  <c r="BQ154" i="1"/>
  <c r="BO155" i="1"/>
  <c r="BP155" i="1" s="1"/>
  <c r="BV145" i="1"/>
  <c r="BV147" i="1"/>
  <c r="BV149" i="1"/>
  <c r="BT152" i="1"/>
  <c r="BU152" i="1" s="1"/>
  <c r="BT156" i="1"/>
  <c r="BU156" i="1" s="1"/>
  <c r="BY147" i="1"/>
  <c r="BZ147" i="1" s="1"/>
  <c r="BY151" i="1"/>
  <c r="BZ151" i="1" s="1"/>
  <c r="BY155" i="1"/>
  <c r="BZ155" i="1" s="1"/>
  <c r="CD146" i="1"/>
  <c r="CE146" i="1" s="1"/>
  <c r="CD150" i="1"/>
  <c r="CE150" i="1" s="1"/>
  <c r="CD154" i="1"/>
  <c r="CE154" i="1" s="1"/>
  <c r="CI145" i="1"/>
  <c r="CJ145" i="1" s="1"/>
  <c r="CI149" i="1"/>
  <c r="CJ149" i="1" s="1"/>
  <c r="CI153" i="1"/>
  <c r="CJ153" i="1" s="1"/>
  <c r="CM209" i="1"/>
  <c r="CN144" i="1"/>
  <c r="CM157" i="1"/>
  <c r="CM175" i="1" s="1"/>
  <c r="CN148" i="1"/>
  <c r="CN152" i="1"/>
  <c r="CN156" i="1"/>
  <c r="M151" i="1"/>
  <c r="N151" i="1" s="1"/>
  <c r="M153" i="1"/>
  <c r="N153" i="1" s="1"/>
  <c r="BY221" i="1"/>
  <c r="BZ162" i="1"/>
  <c r="BZ221" i="1" s="1"/>
  <c r="Q164" i="1"/>
  <c r="R164" i="1" s="1"/>
  <c r="Q165" i="1"/>
  <c r="R165" i="1" s="1"/>
  <c r="L154" i="1"/>
  <c r="M154" i="1" s="1"/>
  <c r="Q150" i="1"/>
  <c r="R150" i="1" s="1"/>
  <c r="Q151" i="1"/>
  <c r="R151" i="1" s="1"/>
  <c r="Q152" i="1"/>
  <c r="R152" i="1" s="1"/>
  <c r="Q153" i="1"/>
  <c r="R153" i="1" s="1"/>
  <c r="Q154" i="1"/>
  <c r="R154" i="1" s="1"/>
  <c r="V144" i="1"/>
  <c r="V145" i="1"/>
  <c r="W145" i="1" s="1"/>
  <c r="V146" i="1"/>
  <c r="W146" i="1" s="1"/>
  <c r="V147" i="1"/>
  <c r="W147" i="1" s="1"/>
  <c r="V148" i="1"/>
  <c r="W148" i="1" s="1"/>
  <c r="V149" i="1"/>
  <c r="W149" i="1" s="1"/>
  <c r="V150" i="1"/>
  <c r="W150" i="1" s="1"/>
  <c r="V151" i="1"/>
  <c r="W151" i="1" s="1"/>
  <c r="V152" i="1"/>
  <c r="W152" i="1" s="1"/>
  <c r="V153" i="1"/>
  <c r="W153" i="1" s="1"/>
  <c r="V154" i="1"/>
  <c r="W154" i="1" s="1"/>
  <c r="V155" i="1"/>
  <c r="W155" i="1" s="1"/>
  <c r="AA144" i="1"/>
  <c r="AA145" i="1"/>
  <c r="AB145" i="1" s="1"/>
  <c r="AA146" i="1"/>
  <c r="AB146" i="1" s="1"/>
  <c r="AA147" i="1"/>
  <c r="AB147" i="1" s="1"/>
  <c r="AA148" i="1"/>
  <c r="AB148" i="1" s="1"/>
  <c r="AA149" i="1"/>
  <c r="AB149" i="1" s="1"/>
  <c r="AA150" i="1"/>
  <c r="AB150" i="1" s="1"/>
  <c r="AA151" i="1"/>
  <c r="AB151" i="1" s="1"/>
  <c r="AA152" i="1"/>
  <c r="AB152" i="1" s="1"/>
  <c r="AA153" i="1"/>
  <c r="AB153" i="1" s="1"/>
  <c r="AA154" i="1"/>
  <c r="AB154" i="1" s="1"/>
  <c r="AA155" i="1"/>
  <c r="AB155" i="1" s="1"/>
  <c r="CS150" i="1"/>
  <c r="CT150" i="1" s="1"/>
  <c r="DF150" i="1" s="1"/>
  <c r="P155" i="1"/>
  <c r="Q155" i="1" s="1"/>
  <c r="R155" i="1" s="1"/>
  <c r="Z157" i="1"/>
  <c r="P163" i="1"/>
  <c r="P168" i="1" s="1"/>
  <c r="AJ168" i="1"/>
  <c r="AT162" i="1"/>
  <c r="AT168" i="1" s="1"/>
  <c r="BX168" i="1"/>
  <c r="CD161" i="1"/>
  <c r="CD162" i="1"/>
  <c r="CD163" i="1"/>
  <c r="CE163" i="1" s="1"/>
  <c r="CD164" i="1"/>
  <c r="CE164" i="1" s="1"/>
  <c r="CD165" i="1"/>
  <c r="CE165" i="1" s="1"/>
  <c r="CD166" i="1"/>
  <c r="CE166" i="1" s="1"/>
  <c r="CD167" i="1"/>
  <c r="CE167" i="1" s="1"/>
  <c r="CI161" i="1"/>
  <c r="CI162" i="1"/>
  <c r="CI163" i="1"/>
  <c r="CJ163" i="1" s="1"/>
  <c r="CI164" i="1"/>
  <c r="CJ164" i="1" s="1"/>
  <c r="CI165" i="1"/>
  <c r="CJ165" i="1" s="1"/>
  <c r="CI166" i="1"/>
  <c r="CJ166" i="1" s="1"/>
  <c r="CI167" i="1"/>
  <c r="CJ167" i="1" s="1"/>
  <c r="CN161" i="1"/>
  <c r="CN162" i="1"/>
  <c r="CN163" i="1"/>
  <c r="CN164" i="1"/>
  <c r="CN165" i="1"/>
  <c r="CN166" i="1"/>
  <c r="CN167" i="1"/>
  <c r="CS161" i="1"/>
  <c r="CT161" i="1" s="1"/>
  <c r="AM162" i="1"/>
  <c r="CS162" i="1"/>
  <c r="CT162" i="1" s="1"/>
  <c r="AL163" i="1"/>
  <c r="AM163" i="1" s="1"/>
  <c r="AL164" i="1"/>
  <c r="AM164" i="1" s="1"/>
  <c r="AL165" i="1"/>
  <c r="AM165" i="1" s="1"/>
  <c r="AL166" i="1"/>
  <c r="AM166" i="1" s="1"/>
  <c r="AL167" i="1"/>
  <c r="AM167" i="1" s="1"/>
  <c r="AQ163" i="1"/>
  <c r="AR163" i="1" s="1"/>
  <c r="AQ164" i="1"/>
  <c r="AR164" i="1" s="1"/>
  <c r="AQ165" i="1"/>
  <c r="AR165" i="1" s="1"/>
  <c r="AQ166" i="1"/>
  <c r="AR166" i="1" s="1"/>
  <c r="AQ167" i="1"/>
  <c r="AR167" i="1" s="1"/>
  <c r="CA167" i="1"/>
  <c r="J168" i="1"/>
  <c r="AK168" i="1"/>
  <c r="CG175" i="1"/>
  <c r="W170" i="1"/>
  <c r="X170" i="1" s="1"/>
  <c r="AG170" i="1"/>
  <c r="AH170" i="1" s="1"/>
  <c r="AQ170" i="1"/>
  <c r="AR170" i="1" s="1"/>
  <c r="N171" i="1"/>
  <c r="N173" i="1"/>
  <c r="BK173" i="1"/>
  <c r="BL173" i="1" s="1"/>
  <c r="CO173" i="1"/>
  <c r="S156" i="1"/>
  <c r="L168" i="1"/>
  <c r="N164" i="1"/>
  <c r="CA164" i="1"/>
  <c r="V168" i="1"/>
  <c r="AA168" i="1"/>
  <c r="BH175" i="1"/>
  <c r="CB175" i="1"/>
  <c r="CH168" i="1"/>
  <c r="CH175" i="1" s="1"/>
  <c r="AW170" i="1"/>
  <c r="BB170" i="1"/>
  <c r="BG170" i="1"/>
  <c r="BL170" i="1"/>
  <c r="BQ170" i="1"/>
  <c r="BV170" i="1"/>
  <c r="CA170" i="1"/>
  <c r="CF170" i="1"/>
  <c r="CK170" i="1"/>
  <c r="CP170" i="1"/>
  <c r="AC156" i="1"/>
  <c r="M161" i="1"/>
  <c r="M162" i="1"/>
  <c r="N162" i="1" s="1"/>
  <c r="R161" i="1"/>
  <c r="S161" i="1" s="1"/>
  <c r="R162" i="1"/>
  <c r="S162" i="1" s="1"/>
  <c r="R166" i="1"/>
  <c r="S166" i="1" s="1"/>
  <c r="W161" i="1"/>
  <c r="W162" i="1"/>
  <c r="X162" i="1" s="1"/>
  <c r="W163" i="1"/>
  <c r="X163" i="1" s="1"/>
  <c r="W164" i="1"/>
  <c r="X164" i="1" s="1"/>
  <c r="W165" i="1"/>
  <c r="X165" i="1" s="1"/>
  <c r="W166" i="1"/>
  <c r="X166" i="1" s="1"/>
  <c r="AB161" i="1"/>
  <c r="AC161" i="1" s="1"/>
  <c r="AB162" i="1"/>
  <c r="AC162" i="1" s="1"/>
  <c r="AB163" i="1"/>
  <c r="AC163" i="1" s="1"/>
  <c r="AB164" i="1"/>
  <c r="AC164" i="1" s="1"/>
  <c r="AB165" i="1"/>
  <c r="AC165" i="1" s="1"/>
  <c r="AB166" i="1"/>
  <c r="AC166" i="1" s="1"/>
  <c r="AB167" i="1"/>
  <c r="AC167" i="1" s="1"/>
  <c r="AG161" i="1"/>
  <c r="AH161" i="1" s="1"/>
  <c r="AG162" i="1"/>
  <c r="AH162" i="1" s="1"/>
  <c r="AG163" i="1"/>
  <c r="AH163" i="1" s="1"/>
  <c r="AG164" i="1"/>
  <c r="AH164" i="1" s="1"/>
  <c r="AG165" i="1"/>
  <c r="AH165" i="1" s="1"/>
  <c r="AG166" i="1"/>
  <c r="AH166" i="1" s="1"/>
  <c r="AG167" i="1"/>
  <c r="AH167" i="1" s="1"/>
  <c r="AL161" i="1"/>
  <c r="AM161" i="1" s="1"/>
  <c r="AQ161" i="1"/>
  <c r="AR161" i="1" s="1"/>
  <c r="AV161" i="1"/>
  <c r="AW161" i="1" s="1"/>
  <c r="AV163" i="1"/>
  <c r="AW163" i="1" s="1"/>
  <c r="AV164" i="1"/>
  <c r="AW164" i="1" s="1"/>
  <c r="AV165" i="1"/>
  <c r="AW165" i="1" s="1"/>
  <c r="AV166" i="1"/>
  <c r="AW166" i="1" s="1"/>
  <c r="AV167" i="1"/>
  <c r="AW167" i="1" s="1"/>
  <c r="BA161" i="1"/>
  <c r="BB161" i="1" s="1"/>
  <c r="BA162" i="1"/>
  <c r="BB162" i="1" s="1"/>
  <c r="BA163" i="1"/>
  <c r="BB163" i="1" s="1"/>
  <c r="BA164" i="1"/>
  <c r="BB164" i="1" s="1"/>
  <c r="BA165" i="1"/>
  <c r="BB165" i="1" s="1"/>
  <c r="BA166" i="1"/>
  <c r="BB166" i="1" s="1"/>
  <c r="BA167" i="1"/>
  <c r="BB167" i="1" s="1"/>
  <c r="BF161" i="1"/>
  <c r="BG161" i="1" s="1"/>
  <c r="BF162" i="1"/>
  <c r="BG162" i="1" s="1"/>
  <c r="BF163" i="1"/>
  <c r="BG163" i="1" s="1"/>
  <c r="BF164" i="1"/>
  <c r="BG164" i="1" s="1"/>
  <c r="BF165" i="1"/>
  <c r="BG165" i="1" s="1"/>
  <c r="BF166" i="1"/>
  <c r="BG166" i="1" s="1"/>
  <c r="BF167" i="1"/>
  <c r="BG167" i="1" s="1"/>
  <c r="BK161" i="1"/>
  <c r="BL161" i="1" s="1"/>
  <c r="BK162" i="1"/>
  <c r="BL162" i="1" s="1"/>
  <c r="BK163" i="1"/>
  <c r="BL163" i="1" s="1"/>
  <c r="BK164" i="1"/>
  <c r="BL164" i="1" s="1"/>
  <c r="BK165" i="1"/>
  <c r="BL165" i="1" s="1"/>
  <c r="BK166" i="1"/>
  <c r="BL166" i="1" s="1"/>
  <c r="BK167" i="1"/>
  <c r="BL167" i="1" s="1"/>
  <c r="BP161" i="1"/>
  <c r="BQ161" i="1" s="1"/>
  <c r="BP162" i="1"/>
  <c r="BP221" i="1" s="1"/>
  <c r="BP163" i="1"/>
  <c r="BQ163" i="1" s="1"/>
  <c r="BP164" i="1"/>
  <c r="BQ164" i="1" s="1"/>
  <c r="BP165" i="1"/>
  <c r="BQ165" i="1" s="1"/>
  <c r="BP166" i="1"/>
  <c r="BQ166" i="1" s="1"/>
  <c r="BP167" i="1"/>
  <c r="BQ167" i="1" s="1"/>
  <c r="BU162" i="1"/>
  <c r="BU221" i="1" s="1"/>
  <c r="BU163" i="1"/>
  <c r="BV163" i="1" s="1"/>
  <c r="BU164" i="1"/>
  <c r="BV164" i="1" s="1"/>
  <c r="BU165" i="1"/>
  <c r="BV165" i="1" s="1"/>
  <c r="BU166" i="1"/>
  <c r="BV166" i="1" s="1"/>
  <c r="BU167" i="1"/>
  <c r="BV167" i="1" s="1"/>
  <c r="BZ161" i="1"/>
  <c r="BZ165" i="1"/>
  <c r="CA165" i="1" s="1"/>
  <c r="AO162" i="1"/>
  <c r="AP162" i="1" s="1"/>
  <c r="AQ162" i="1" s="1"/>
  <c r="CS164" i="1"/>
  <c r="CT164" i="1" s="1"/>
  <c r="DF164" i="1" s="1"/>
  <c r="CQ175" i="1"/>
  <c r="CN183" i="1"/>
  <c r="CO183" i="1" s="1"/>
  <c r="U209" i="1"/>
  <c r="Z209" i="1"/>
  <c r="U157" i="1"/>
  <c r="BX221" i="1"/>
  <c r="BR175" i="1"/>
  <c r="CL175" i="1"/>
  <c r="AW171" i="1"/>
  <c r="BB171" i="1"/>
  <c r="BG171" i="1"/>
  <c r="BL171" i="1"/>
  <c r="BQ171" i="1"/>
  <c r="BV171" i="1"/>
  <c r="CA171" i="1"/>
  <c r="CF171" i="1"/>
  <c r="CK171" i="1"/>
  <c r="CP171" i="1"/>
  <c r="DJ171" i="1"/>
  <c r="X167" i="1"/>
  <c r="CS170" i="1"/>
  <c r="CT170" i="1" s="1"/>
  <c r="DF170" i="1" s="1"/>
  <c r="CF173" i="1"/>
  <c r="CK173" i="1"/>
  <c r="CO184" i="1"/>
  <c r="DH184" i="1" s="1"/>
  <c r="DI183" i="1"/>
  <c r="CR184" i="1"/>
  <c r="CV217" i="1"/>
  <c r="CZ210" i="1"/>
  <c r="CU210" i="1"/>
  <c r="CQ214" i="1"/>
  <c r="CV215" i="1"/>
  <c r="CQ216" i="1"/>
  <c r="CY217" i="1"/>
  <c r="DA217" i="1"/>
  <c r="DB217" i="1" s="1"/>
  <c r="DC217" i="1" s="1"/>
  <c r="CW217" i="1"/>
  <c r="CT214" i="1"/>
  <c r="DF214" i="1" s="1"/>
  <c r="DI214" i="1" s="1"/>
  <c r="CZ214" i="1"/>
  <c r="CR214" i="1"/>
  <c r="DA215" i="1"/>
  <c r="DB215" i="1" s="1"/>
  <c r="DC215" i="1" s="1"/>
  <c r="CW215" i="1"/>
  <c r="CY215" i="1"/>
  <c r="CZ216" i="1"/>
  <c r="CR216" i="1"/>
  <c r="CT216" i="1"/>
  <c r="DF216" i="1" s="1"/>
  <c r="DI216" i="1" s="1"/>
  <c r="DI217" i="1"/>
  <c r="CT218" i="1"/>
  <c r="DF218" i="1" s="1"/>
  <c r="L228" i="1"/>
  <c r="M230" i="1" s="1"/>
  <c r="T228" i="1"/>
  <c r="U230" i="1" s="1"/>
  <c r="AM246" i="1"/>
  <c r="M262" i="1"/>
  <c r="R261" i="1"/>
  <c r="R262" i="1" s="1"/>
  <c r="V261" i="1"/>
  <c r="V262" i="1" s="1"/>
  <c r="Z262" i="1"/>
  <c r="AE262" i="1"/>
  <c r="AJ262" i="1"/>
  <c r="AN262" i="1"/>
  <c r="AR259" i="1"/>
  <c r="AR261" i="1" s="1"/>
  <c r="AV262" i="1"/>
  <c r="BA262" i="1"/>
  <c r="BF261" i="1"/>
  <c r="BF262" i="1" s="1"/>
  <c r="BJ262" i="1"/>
  <c r="BN261" i="1"/>
  <c r="BN262" i="1" s="1"/>
  <c r="BS262" i="1"/>
  <c r="BX262" i="1"/>
  <c r="CB262" i="1"/>
  <c r="CF259" i="1"/>
  <c r="CF261" i="1" s="1"/>
  <c r="CJ262" i="1"/>
  <c r="CO262" i="1"/>
  <c r="F262" i="1"/>
  <c r="J262" i="1"/>
  <c r="O262" i="1"/>
  <c r="S259" i="1"/>
  <c r="S261" i="1" s="1"/>
  <c r="W262" i="1"/>
  <c r="AA262" i="1"/>
  <c r="AF262" i="1"/>
  <c r="AK262" i="1"/>
  <c r="AO262" i="1"/>
  <c r="AX262" i="1"/>
  <c r="BC262" i="1"/>
  <c r="BG259" i="1"/>
  <c r="BK262" i="1"/>
  <c r="BO262" i="1"/>
  <c r="BT262" i="1"/>
  <c r="BY262" i="1"/>
  <c r="CC262" i="1"/>
  <c r="CL262" i="1"/>
  <c r="AW260" i="1"/>
  <c r="AW261" i="1" s="1"/>
  <c r="G262" i="1"/>
  <c r="K262" i="1"/>
  <c r="P262" i="1"/>
  <c r="T262" i="1"/>
  <c r="X259" i="1"/>
  <c r="AB262" i="1"/>
  <c r="AG262" i="1"/>
  <c r="AL262" i="1"/>
  <c r="AP262" i="1"/>
  <c r="AT262" i="1"/>
  <c r="AY262" i="1"/>
  <c r="BD262" i="1"/>
  <c r="BH262" i="1"/>
  <c r="BL259" i="1"/>
  <c r="BL261" i="1" s="1"/>
  <c r="BP262" i="1"/>
  <c r="BU262" i="1"/>
  <c r="BZ262" i="1"/>
  <c r="CD262" i="1"/>
  <c r="CH262" i="1"/>
  <c r="CM262" i="1"/>
  <c r="CS251" i="1"/>
  <c r="L262" i="1"/>
  <c r="Q262" i="1"/>
  <c r="U262" i="1"/>
  <c r="AC259" i="1"/>
  <c r="AD262" i="1"/>
  <c r="AI262" i="1"/>
  <c r="AM259" i="1"/>
  <c r="AM261" i="1" s="1"/>
  <c r="AQ262" i="1"/>
  <c r="AU262" i="1"/>
  <c r="AZ262" i="1"/>
  <c r="BE262" i="1"/>
  <c r="BI262" i="1"/>
  <c r="BQ259" i="1"/>
  <c r="BQ261" i="1" s="1"/>
  <c r="BQ262" i="1" s="1"/>
  <c r="BR261" i="1"/>
  <c r="BR262" i="1" s="1"/>
  <c r="BW262" i="1"/>
  <c r="CA259" i="1"/>
  <c r="CE262" i="1"/>
  <c r="CI262" i="1"/>
  <c r="CN262" i="1"/>
  <c r="X260" i="1"/>
  <c r="AC260" i="1"/>
  <c r="CA260" i="1"/>
  <c r="N259" i="1"/>
  <c r="N261" i="1" s="1"/>
  <c r="N262" i="1" s="1"/>
  <c r="AH259" i="1"/>
  <c r="BB259" i="1"/>
  <c r="BB261" i="1" s="1"/>
  <c r="BB262" i="1" s="1"/>
  <c r="BV259" i="1"/>
  <c r="BV261" i="1" s="1"/>
  <c r="CP259" i="1"/>
  <c r="Y261" i="1"/>
  <c r="Y262" i="1" s="1"/>
  <c r="AS261" i="1"/>
  <c r="AS262" i="1" s="1"/>
  <c r="BM261" i="1"/>
  <c r="BM262" i="1" s="1"/>
  <c r="CG261" i="1"/>
  <c r="CG262" i="1" s="1"/>
  <c r="Q14" i="234"/>
  <c r="K14" i="234"/>
  <c r="K11" i="234"/>
  <c r="Q11" i="234"/>
  <c r="Q15" i="234"/>
  <c r="K15" i="234"/>
  <c r="Q24" i="234"/>
  <c r="Q25" i="234" s="1"/>
  <c r="O25" i="234"/>
  <c r="K24" i="234"/>
  <c r="Q12" i="234"/>
  <c r="K12" i="234"/>
  <c r="O18" i="234"/>
  <c r="O27" i="234" s="1"/>
  <c r="I25" i="234"/>
  <c r="Q10" i="234"/>
  <c r="DB210" i="1" l="1"/>
  <c r="DC210" i="1" s="1"/>
  <c r="DA210" i="1"/>
  <c r="DA161" i="1" s="1"/>
  <c r="AM262" i="1"/>
  <c r="CM206" i="1"/>
  <c r="CH206" i="1"/>
  <c r="BX206" i="1"/>
  <c r="G207" i="1"/>
  <c r="AB110" i="1"/>
  <c r="CR192" i="1"/>
  <c r="CR206" i="1" s="1"/>
  <c r="P192" i="1"/>
  <c r="CD193" i="1"/>
  <c r="BR192" i="1"/>
  <c r="CO21" i="1"/>
  <c r="DH21" i="1" s="1"/>
  <c r="DJ21" i="1" s="1"/>
  <c r="I53" i="227"/>
  <c r="Z22" i="228"/>
  <c r="H171" i="228"/>
  <c r="F113" i="229"/>
  <c r="N52" i="227"/>
  <c r="CO16" i="1"/>
  <c r="DH16" i="1" s="1"/>
  <c r="Y200" i="1"/>
  <c r="BP116" i="1"/>
  <c r="BP126" i="1" s="1"/>
  <c r="CA200" i="1"/>
  <c r="CC193" i="1"/>
  <c r="AK192" i="1"/>
  <c r="AK200" i="1" s="1"/>
  <c r="AG21" i="1"/>
  <c r="CS243" i="1"/>
  <c r="AG53" i="226"/>
  <c r="CK126" i="1"/>
  <c r="CA201" i="1"/>
  <c r="M198" i="1"/>
  <c r="BL83" i="1"/>
  <c r="BK226" i="1"/>
  <c r="BK228" i="1" s="1"/>
  <c r="AG19" i="1"/>
  <c r="BQ18" i="1"/>
  <c r="BT192" i="1"/>
  <c r="BT207" i="1" s="1"/>
  <c r="CD192" i="1"/>
  <c r="CA20" i="1"/>
  <c r="CA21" i="1" s="1"/>
  <c r="BK192" i="1"/>
  <c r="BK200" i="1" s="1"/>
  <c r="R16" i="1"/>
  <c r="BP16" i="1"/>
  <c r="Q41" i="228"/>
  <c r="O113" i="228"/>
  <c r="H150" i="228"/>
  <c r="Q113" i="229"/>
  <c r="Q114" i="229" s="1"/>
  <c r="I113" i="229"/>
  <c r="P10" i="229"/>
  <c r="P13" i="229" s="1"/>
  <c r="P49" i="229" s="1"/>
  <c r="P52" i="229" s="1"/>
  <c r="DB134" i="226"/>
  <c r="DA182" i="226"/>
  <c r="A55" i="1"/>
  <c r="A56" i="1" s="1"/>
  <c r="A57" i="1" s="1"/>
  <c r="A58" i="1" s="1"/>
  <c r="BH110" i="1"/>
  <c r="BC110" i="1"/>
  <c r="BC112" i="1" s="1"/>
  <c r="CS112" i="1"/>
  <c r="BA230" i="1"/>
  <c r="S200" i="1"/>
  <c r="S197" i="1"/>
  <c r="V207" i="1"/>
  <c r="CL112" i="1"/>
  <c r="BJ110" i="1"/>
  <c r="AF112" i="1"/>
  <c r="CE19" i="1"/>
  <c r="AI110" i="1"/>
  <c r="AI112" i="1" s="1"/>
  <c r="BL21" i="1"/>
  <c r="CF262" i="1"/>
  <c r="CI207" i="1"/>
  <c r="AM228" i="1"/>
  <c r="AN230" i="1" s="1"/>
  <c r="AK228" i="1"/>
  <c r="Q198" i="1"/>
  <c r="V200" i="1"/>
  <c r="CI193" i="1"/>
  <c r="BM193" i="1"/>
  <c r="BI192" i="1"/>
  <c r="BI197" i="1" s="1"/>
  <c r="BL18" i="1"/>
  <c r="BK21" i="1"/>
  <c r="S16" i="1"/>
  <c r="BZ96" i="1"/>
  <c r="BZ110" i="1" s="1"/>
  <c r="AK206" i="1"/>
  <c r="AF206" i="1"/>
  <c r="K157" i="1"/>
  <c r="K175" i="1" s="1"/>
  <c r="DJ116" i="1"/>
  <c r="T110" i="1"/>
  <c r="DJ89" i="1"/>
  <c r="BN193" i="1"/>
  <c r="BJ192" i="1"/>
  <c r="BJ207" i="1" s="1"/>
  <c r="BK193" i="1"/>
  <c r="BV152" i="1"/>
  <c r="DF167" i="1"/>
  <c r="DI167" i="1" s="1"/>
  <c r="CU167" i="1"/>
  <c r="CP184" i="1"/>
  <c r="CK153" i="1"/>
  <c r="CA155" i="1"/>
  <c r="BQ16" i="1"/>
  <c r="CK145" i="1"/>
  <c r="CA147" i="1"/>
  <c r="CP40" i="1"/>
  <c r="F30" i="236" s="1"/>
  <c r="Q207" i="1"/>
  <c r="Q200" i="1"/>
  <c r="Q197" i="1"/>
  <c r="L134" i="1"/>
  <c r="AH228" i="1"/>
  <c r="AI230" i="1" s="1"/>
  <c r="BU110" i="1"/>
  <c r="E110" i="1"/>
  <c r="CM193" i="1"/>
  <c r="CP15" i="1"/>
  <c r="F24" i="236" s="1"/>
  <c r="CF18" i="1"/>
  <c r="CF19" i="1" s="1"/>
  <c r="AZ193" i="1"/>
  <c r="BH192" i="1"/>
  <c r="CR193" i="1"/>
  <c r="CR199" i="1" s="1"/>
  <c r="BH16" i="1"/>
  <c r="BF192" i="1"/>
  <c r="BC23" i="1"/>
  <c r="CO193" i="1"/>
  <c r="DH193" i="1" s="1"/>
  <c r="CG193" i="1"/>
  <c r="CG198" i="1" s="1"/>
  <c r="AH261" i="1"/>
  <c r="BG261" i="1"/>
  <c r="BV161" i="1"/>
  <c r="AY207" i="1"/>
  <c r="BB116" i="1"/>
  <c r="BB126" i="1" s="1"/>
  <c r="M110" i="1"/>
  <c r="Y112" i="1"/>
  <c r="F110" i="1"/>
  <c r="CP18" i="1"/>
  <c r="CP193" i="1" s="1"/>
  <c r="BB21" i="1"/>
  <c r="BF16" i="1"/>
  <c r="M23" i="1"/>
  <c r="CS193" i="1"/>
  <c r="BQ192" i="1"/>
  <c r="BQ200" i="1" s="1"/>
  <c r="CE193" i="1"/>
  <c r="M19" i="1"/>
  <c r="BC16" i="1"/>
  <c r="U168" i="1"/>
  <c r="CF150" i="1"/>
  <c r="BB150" i="1"/>
  <c r="CB207" i="1"/>
  <c r="R136" i="1"/>
  <c r="S136" i="1" s="1"/>
  <c r="BE110" i="1"/>
  <c r="AA112" i="1"/>
  <c r="AE112" i="1"/>
  <c r="CH110" i="1"/>
  <c r="CH112" i="1" s="1"/>
  <c r="CQ193" i="1"/>
  <c r="CQ199" i="1" s="1"/>
  <c r="CL193" i="1"/>
  <c r="CL199" i="1" s="1"/>
  <c r="Z192" i="1"/>
  <c r="Z207" i="1" s="1"/>
  <c r="CO19" i="1"/>
  <c r="DH19" i="1" s="1"/>
  <c r="M21" i="1"/>
  <c r="CU24" i="1"/>
  <c r="DF162" i="1"/>
  <c r="CT221" i="1"/>
  <c r="CU162" i="1"/>
  <c r="CU221" i="1" s="1"/>
  <c r="DF149" i="1"/>
  <c r="DI149" i="1" s="1"/>
  <c r="CU149" i="1"/>
  <c r="DF156" i="1"/>
  <c r="CU156" i="1"/>
  <c r="DF147" i="1"/>
  <c r="DI147" i="1" s="1"/>
  <c r="CU147" i="1"/>
  <c r="BZ168" i="1"/>
  <c r="M168" i="1"/>
  <c r="CK149" i="1"/>
  <c r="CF154" i="1"/>
  <c r="CF146" i="1"/>
  <c r="CA151" i="1"/>
  <c r="BV156" i="1"/>
  <c r="X148" i="1"/>
  <c r="BQ151" i="1"/>
  <c r="AZ157" i="1"/>
  <c r="BV153" i="1"/>
  <c r="CB116" i="1"/>
  <c r="S149" i="1"/>
  <c r="S110" i="1"/>
  <c r="BA157" i="1"/>
  <c r="X154" i="1"/>
  <c r="CP112" i="1"/>
  <c r="AC227" i="1"/>
  <c r="BP96" i="1"/>
  <c r="AG23" i="1"/>
  <c r="N145" i="1"/>
  <c r="DH15" i="1"/>
  <c r="CO24" i="1"/>
  <c r="CP24" i="1" s="1"/>
  <c r="CK167" i="1"/>
  <c r="AR116" i="1"/>
  <c r="AR126" i="1" s="1"/>
  <c r="AR127" i="1" s="1"/>
  <c r="J112" i="1"/>
  <c r="CF116" i="1"/>
  <c r="CK251" i="1"/>
  <c r="BL226" i="1"/>
  <c r="BL228" i="1" s="1"/>
  <c r="BM230" i="1" s="1"/>
  <c r="AQ116" i="1"/>
  <c r="AQ126" i="1" s="1"/>
  <c r="BT168" i="1"/>
  <c r="BO168" i="1"/>
  <c r="AW147" i="1"/>
  <c r="U112" i="1"/>
  <c r="BI226" i="1"/>
  <c r="BI228" i="1" s="1"/>
  <c r="BJ230" i="1" s="1"/>
  <c r="CF252" i="1"/>
  <c r="CF251" i="1" s="1"/>
  <c r="CT134" i="1"/>
  <c r="BS112" i="1"/>
  <c r="AW227" i="1"/>
  <c r="L112" i="1"/>
  <c r="BG19" i="226"/>
  <c r="BG56" i="226"/>
  <c r="Z23" i="226"/>
  <c r="DB182" i="226"/>
  <c r="I24" i="226"/>
  <c r="I62" i="226" s="1"/>
  <c r="CX36" i="226"/>
  <c r="S15" i="226"/>
  <c r="DA183" i="226"/>
  <c r="DJ17" i="226"/>
  <c r="F25" i="226"/>
  <c r="BC61" i="226"/>
  <c r="AG51" i="226"/>
  <c r="CA95" i="226"/>
  <c r="CA11" i="226"/>
  <c r="CK95" i="226"/>
  <c r="BG17" i="226"/>
  <c r="CH60" i="226"/>
  <c r="AH56" i="226"/>
  <c r="R54" i="226"/>
  <c r="BQ32" i="226"/>
  <c r="CA48" i="226"/>
  <c r="L60" i="226"/>
  <c r="Q61" i="226" s="1"/>
  <c r="P55" i="226"/>
  <c r="CJ49" i="226"/>
  <c r="U23" i="226"/>
  <c r="AH19" i="226"/>
  <c r="CF17" i="226"/>
  <c r="DB171" i="226"/>
  <c r="Y23" i="226"/>
  <c r="CM24" i="226"/>
  <c r="CM25" i="226" s="1"/>
  <c r="T24" i="226"/>
  <c r="Y25" i="226" s="1"/>
  <c r="P60" i="226"/>
  <c r="U61" i="226" s="1"/>
  <c r="AM29" i="226"/>
  <c r="AM95" i="226" s="1"/>
  <c r="AB49" i="226"/>
  <c r="AC56" i="226"/>
  <c r="BB50" i="226"/>
  <c r="CW36" i="226"/>
  <c r="CW183" i="226"/>
  <c r="CM23" i="226"/>
  <c r="X32" i="226"/>
  <c r="T23" i="226"/>
  <c r="AB17" i="226"/>
  <c r="CW182" i="226"/>
  <c r="AM35" i="226"/>
  <c r="AM101" i="226" s="1"/>
  <c r="BP51" i="226"/>
  <c r="DJ13" i="226"/>
  <c r="P24" i="226"/>
  <c r="U25" i="226" s="1"/>
  <c r="CX68" i="226"/>
  <c r="CV23" i="226"/>
  <c r="BW61" i="226"/>
  <c r="CD23" i="226"/>
  <c r="CI23" i="226"/>
  <c r="CF54" i="226"/>
  <c r="CD60" i="226"/>
  <c r="CD61" i="226" s="1"/>
  <c r="CW68" i="226"/>
  <c r="AC15" i="226"/>
  <c r="BP49" i="226"/>
  <c r="BJ53" i="226"/>
  <c r="AU55" i="226"/>
  <c r="W54" i="226"/>
  <c r="AB55" i="226" s="1"/>
  <c r="AL36" i="226"/>
  <c r="AC54" i="226"/>
  <c r="CN23" i="226"/>
  <c r="BK23" i="226"/>
  <c r="CK67" i="226"/>
  <c r="AL52" i="226"/>
  <c r="AL53" i="226" s="1"/>
  <c r="BQ48" i="226"/>
  <c r="BB19" i="226"/>
  <c r="BL17" i="226"/>
  <c r="X15" i="226"/>
  <c r="CS23" i="226"/>
  <c r="AH52" i="226"/>
  <c r="CA52" i="226"/>
  <c r="AH22" i="226"/>
  <c r="AH24" i="226" s="1"/>
  <c r="BV11" i="226"/>
  <c r="CX129" i="226"/>
  <c r="CW129" i="226"/>
  <c r="CV129" i="226"/>
  <c r="CV66" i="226" s="1"/>
  <c r="CV82" i="226" s="1"/>
  <c r="CV83" i="226" s="1"/>
  <c r="DH33" i="226"/>
  <c r="CO99" i="226"/>
  <c r="DH99" i="226" s="1"/>
  <c r="DJ99" i="226" s="1"/>
  <c r="CP84" i="226"/>
  <c r="AQ36" i="226"/>
  <c r="AQ101" i="226"/>
  <c r="AW15" i="226"/>
  <c r="CP36" i="226"/>
  <c r="CK101" i="226"/>
  <c r="BB15" i="226"/>
  <c r="BY25" i="226"/>
  <c r="BX25" i="226"/>
  <c r="AR31" i="226"/>
  <c r="AR97" i="226" s="1"/>
  <c r="AQ97" i="226"/>
  <c r="N12" i="226"/>
  <c r="N13" i="226" s="1"/>
  <c r="AV32" i="226"/>
  <c r="X36" i="226"/>
  <c r="AZ55" i="226"/>
  <c r="AH30" i="226"/>
  <c r="AH48" i="226"/>
  <c r="BB32" i="226"/>
  <c r="AW97" i="226"/>
  <c r="AL34" i="226"/>
  <c r="CA32" i="226"/>
  <c r="BV97" i="226"/>
  <c r="BQ30" i="226"/>
  <c r="BL95" i="226"/>
  <c r="CU84" i="226"/>
  <c r="BQ17" i="226"/>
  <c r="AH13" i="226"/>
  <c r="AT55" i="226"/>
  <c r="BT25" i="226"/>
  <c r="AJ25" i="226"/>
  <c r="BB11" i="226"/>
  <c r="CE15" i="226"/>
  <c r="AR19" i="226"/>
  <c r="AL48" i="226"/>
  <c r="AL49" i="226" s="1"/>
  <c r="AL95" i="226"/>
  <c r="CP88" i="226"/>
  <c r="CK82" i="226"/>
  <c r="AH17" i="226"/>
  <c r="CK73" i="226"/>
  <c r="AR33" i="226"/>
  <c r="AR99" i="226" s="1"/>
  <c r="AQ99" i="226"/>
  <c r="AM31" i="226"/>
  <c r="AM97" i="226" s="1"/>
  <c r="AL97" i="226"/>
  <c r="AN53" i="226"/>
  <c r="L62" i="226"/>
  <c r="Z44" i="226"/>
  <c r="AM33" i="226"/>
  <c r="AM99" i="226" s="1"/>
  <c r="X54" i="226"/>
  <c r="N52" i="226"/>
  <c r="N53" i="226" s="1"/>
  <c r="S36" i="226"/>
  <c r="N101" i="226"/>
  <c r="AM15" i="226"/>
  <c r="M22" i="226"/>
  <c r="M24" i="226" s="1"/>
  <c r="M62" i="226" s="1"/>
  <c r="BV15" i="226"/>
  <c r="CF13" i="226"/>
  <c r="BG11" i="226"/>
  <c r="AC36" i="226"/>
  <c r="AQ50" i="226"/>
  <c r="AV51" i="226" s="1"/>
  <c r="BH25" i="226"/>
  <c r="AF25" i="226"/>
  <c r="X50" i="226"/>
  <c r="CS24" i="226"/>
  <c r="CS25" i="226" s="1"/>
  <c r="CA17" i="226"/>
  <c r="W17" i="226"/>
  <c r="AH15" i="226"/>
  <c r="AW19" i="226"/>
  <c r="CK69" i="226"/>
  <c r="N15" i="226"/>
  <c r="K62" i="226"/>
  <c r="CK11" i="226"/>
  <c r="CA30" i="226"/>
  <c r="BV95" i="226"/>
  <c r="AV17" i="226"/>
  <c r="AC30" i="226"/>
  <c r="X95" i="226"/>
  <c r="K60" i="226"/>
  <c r="N34" i="226"/>
  <c r="CF36" i="226"/>
  <c r="CA101" i="226"/>
  <c r="BK30" i="226"/>
  <c r="BF95" i="226"/>
  <c r="R50" i="226"/>
  <c r="W51" i="226" s="1"/>
  <c r="CP82" i="226"/>
  <c r="CK33" i="226"/>
  <c r="CK99" i="226" s="1"/>
  <c r="CJ99" i="226"/>
  <c r="CP97" i="226"/>
  <c r="CK30" i="226"/>
  <c r="CF95" i="226"/>
  <c r="BL15" i="226"/>
  <c r="CP54" i="226"/>
  <c r="CK48" i="226"/>
  <c r="BD25" i="226"/>
  <c r="AL17" i="226"/>
  <c r="Z25" i="226"/>
  <c r="AH11" i="226"/>
  <c r="CE99" i="226"/>
  <c r="CK71" i="226"/>
  <c r="CO43" i="226"/>
  <c r="CV73" i="226"/>
  <c r="CW73" i="226"/>
  <c r="CT39" i="226"/>
  <c r="M50" i="226"/>
  <c r="DA133" i="226"/>
  <c r="BS61" i="226"/>
  <c r="CH53" i="226"/>
  <c r="AV36" i="226"/>
  <c r="M54" i="226"/>
  <c r="AC11" i="226"/>
  <c r="AR35" i="226"/>
  <c r="AR101" i="226" s="1"/>
  <c r="BP23" i="226"/>
  <c r="CW30" i="226"/>
  <c r="DA134" i="226"/>
  <c r="BZ23" i="226"/>
  <c r="AC48" i="226"/>
  <c r="CW133" i="226"/>
  <c r="BO61" i="226"/>
  <c r="BF57" i="226"/>
  <c r="CV68" i="226"/>
  <c r="CP67" i="226"/>
  <c r="CP69" i="226"/>
  <c r="CP73" i="226"/>
  <c r="CP71" i="226"/>
  <c r="CT15" i="226"/>
  <c r="DF15" i="226" s="1"/>
  <c r="DI15" i="226" s="1"/>
  <c r="CO86" i="226"/>
  <c r="CK50" i="226"/>
  <c r="CK84" i="226"/>
  <c r="DH71" i="226"/>
  <c r="DJ71" i="226" s="1"/>
  <c r="CX134" i="226"/>
  <c r="CX73" i="226"/>
  <c r="DH88" i="226"/>
  <c r="DJ88" i="226" s="1"/>
  <c r="CT89" i="226"/>
  <c r="DF89" i="226" s="1"/>
  <c r="DH84" i="226"/>
  <c r="DJ84" i="226" s="1"/>
  <c r="CT85" i="226"/>
  <c r="DF85" i="226" s="1"/>
  <c r="DH82" i="226"/>
  <c r="DJ82" i="226" s="1"/>
  <c r="CT83" i="226"/>
  <c r="DF83" i="226" s="1"/>
  <c r="CK17" i="226"/>
  <c r="CK88" i="226"/>
  <c r="CS87" i="226"/>
  <c r="CQ87" i="226"/>
  <c r="BI49" i="226"/>
  <c r="CX133" i="226"/>
  <c r="AY61" i="226"/>
  <c r="BZ55" i="226"/>
  <c r="DB133" i="226"/>
  <c r="Z61" i="226"/>
  <c r="AL54" i="226"/>
  <c r="AL55" i="226" s="1"/>
  <c r="AK61" i="226"/>
  <c r="AQ17" i="226"/>
  <c r="DH11" i="226"/>
  <c r="DJ11" i="226" s="1"/>
  <c r="DH73" i="226"/>
  <c r="DJ73" i="226" s="1"/>
  <c r="DI73" i="226"/>
  <c r="AE61" i="226"/>
  <c r="AG49" i="226"/>
  <c r="AN49" i="226"/>
  <c r="R49" i="226"/>
  <c r="BZ51" i="226"/>
  <c r="AU61" i="226"/>
  <c r="P51" i="226"/>
  <c r="CE52" i="226"/>
  <c r="CE53" i="226" s="1"/>
  <c r="DH50" i="226"/>
  <c r="CT51" i="226"/>
  <c r="DF51" i="226" s="1"/>
  <c r="DI51" i="226" s="1"/>
  <c r="BE25" i="226"/>
  <c r="CF14" i="226"/>
  <c r="W22" i="226"/>
  <c r="W24" i="226" s="1"/>
  <c r="W62" i="226" s="1"/>
  <c r="DH54" i="226"/>
  <c r="CT55" i="226"/>
  <c r="DF55" i="226" s="1"/>
  <c r="DI55" i="226" s="1"/>
  <c r="R17" i="226"/>
  <c r="CJ15" i="226"/>
  <c r="CL53" i="226"/>
  <c r="BA53" i="226"/>
  <c r="DH48" i="226"/>
  <c r="CT49" i="226"/>
  <c r="DF49" i="226" s="1"/>
  <c r="DI49" i="226" s="1"/>
  <c r="AD200" i="1"/>
  <c r="AD207" i="1"/>
  <c r="BO207" i="1"/>
  <c r="BO206" i="1"/>
  <c r="BO200" i="1"/>
  <c r="Q132" i="228"/>
  <c r="Q133" i="228" s="1"/>
  <c r="R131" i="228" s="1"/>
  <c r="R132" i="228" s="1"/>
  <c r="R133" i="228" s="1"/>
  <c r="S131" i="228" s="1"/>
  <c r="CE200" i="1"/>
  <c r="CE207" i="1"/>
  <c r="CA261" i="1"/>
  <c r="CA262" i="1" s="1"/>
  <c r="DJ216" i="1"/>
  <c r="CP173" i="1"/>
  <c r="DH173" i="1"/>
  <c r="DJ173" i="1" s="1"/>
  <c r="S152" i="1"/>
  <c r="S112" i="1"/>
  <c r="CW92" i="1"/>
  <c r="CC116" i="1"/>
  <c r="CC118" i="1" s="1"/>
  <c r="BD226" i="1"/>
  <c r="BD228" i="1" s="1"/>
  <c r="BE230" i="1" s="1"/>
  <c r="CU163" i="1"/>
  <c r="DF163" i="1"/>
  <c r="DI163" i="1" s="1"/>
  <c r="AR226" i="1"/>
  <c r="AR228" i="1" s="1"/>
  <c r="AS230" i="1" s="1"/>
  <c r="CO22" i="226"/>
  <c r="DH22" i="226" s="1"/>
  <c r="DH14" i="226"/>
  <c r="BA49" i="226"/>
  <c r="Q66" i="228"/>
  <c r="R66" i="228" s="1"/>
  <c r="Y45" i="227"/>
  <c r="Y92" i="227" s="1"/>
  <c r="Z34" i="227"/>
  <c r="DF10" i="226"/>
  <c r="CV105" i="1"/>
  <c r="CW105" i="1" s="1"/>
  <c r="CX105" i="1" s="1"/>
  <c r="CY105" i="1" s="1"/>
  <c r="CZ105" i="1" s="1"/>
  <c r="DA105" i="1" s="1"/>
  <c r="DB105" i="1" s="1"/>
  <c r="DC105" i="1" s="1"/>
  <c r="DI102" i="1"/>
  <c r="DJ102" i="1"/>
  <c r="DI94" i="1"/>
  <c r="DJ94" i="1"/>
  <c r="DJ92" i="1"/>
  <c r="DI92" i="1"/>
  <c r="DJ81" i="1"/>
  <c r="DI81" i="1"/>
  <c r="DJ77" i="1"/>
  <c r="DI77" i="1"/>
  <c r="DJ73" i="1"/>
  <c r="DI73" i="1"/>
  <c r="P52" i="228"/>
  <c r="P141" i="228" s="1"/>
  <c r="Q145" i="228" s="1"/>
  <c r="DF12" i="226"/>
  <c r="DJ106" i="1"/>
  <c r="DI106" i="1"/>
  <c r="DJ98" i="1"/>
  <c r="DI98" i="1"/>
  <c r="CV95" i="1"/>
  <c r="CW95" i="1" s="1"/>
  <c r="CX95" i="1" s="1"/>
  <c r="CY95" i="1" s="1"/>
  <c r="CZ95" i="1" s="1"/>
  <c r="DA95" i="1" s="1"/>
  <c r="DB95" i="1" s="1"/>
  <c r="DC95" i="1" s="1"/>
  <c r="CV89" i="1"/>
  <c r="CW89" i="1" s="1"/>
  <c r="CX89" i="1" s="1"/>
  <c r="CY89" i="1" s="1"/>
  <c r="CZ89" i="1" s="1"/>
  <c r="DA89" i="1" s="1"/>
  <c r="DB89" i="1" s="1"/>
  <c r="DC89" i="1" s="1"/>
  <c r="CV87" i="1"/>
  <c r="CW87" i="1" s="1"/>
  <c r="CX87" i="1" s="1"/>
  <c r="CY87" i="1" s="1"/>
  <c r="CZ87" i="1" s="1"/>
  <c r="DA87" i="1" s="1"/>
  <c r="DB87" i="1" s="1"/>
  <c r="DC87" i="1" s="1"/>
  <c r="CV69" i="1"/>
  <c r="CW69" i="1" s="1"/>
  <c r="CX69" i="1" s="1"/>
  <c r="CY69" i="1" s="1"/>
  <c r="CZ69" i="1" s="1"/>
  <c r="DA69" i="1" s="1"/>
  <c r="DB69" i="1" s="1"/>
  <c r="DC69" i="1" s="1"/>
  <c r="S155" i="1"/>
  <c r="CU165" i="1"/>
  <c r="DF165" i="1"/>
  <c r="DI165" i="1" s="1"/>
  <c r="AL112" i="1"/>
  <c r="X226" i="1"/>
  <c r="X228" i="1" s="1"/>
  <c r="Y230" i="1" s="1"/>
  <c r="CP31" i="1"/>
  <c r="DH31" i="1"/>
  <c r="DJ31" i="1" s="1"/>
  <c r="CF20" i="1"/>
  <c r="CF21" i="1" s="1"/>
  <c r="BF51" i="226"/>
  <c r="AT44" i="226"/>
  <c r="BU49" i="226"/>
  <c r="AQ22" i="226"/>
  <c r="Q18" i="234"/>
  <c r="Q27" i="234" s="1"/>
  <c r="BL262" i="1"/>
  <c r="AR262" i="1"/>
  <c r="DJ214" i="1"/>
  <c r="CA162" i="1"/>
  <c r="CA221" i="1" s="1"/>
  <c r="BV162" i="1"/>
  <c r="BV221" i="1" s="1"/>
  <c r="U206" i="1"/>
  <c r="DH183" i="1"/>
  <c r="DJ183" i="1" s="1"/>
  <c r="CF163" i="1"/>
  <c r="AC145" i="1"/>
  <c r="CF166" i="1"/>
  <c r="AC152" i="1"/>
  <c r="S151" i="1"/>
  <c r="CK156" i="1"/>
  <c r="CK152" i="1"/>
  <c r="CK148" i="1"/>
  <c r="BO157" i="1"/>
  <c r="BG153" i="1"/>
  <c r="AW155" i="1"/>
  <c r="CK155" i="1"/>
  <c r="CK151" i="1"/>
  <c r="CK147" i="1"/>
  <c r="CF156" i="1"/>
  <c r="CF152" i="1"/>
  <c r="CF148" i="1"/>
  <c r="CC206" i="1"/>
  <c r="BU157" i="1"/>
  <c r="AZ206" i="1"/>
  <c r="CF164" i="1"/>
  <c r="N154" i="1"/>
  <c r="AK207" i="1"/>
  <c r="U207" i="1"/>
  <c r="AF207" i="1"/>
  <c r="P207" i="1"/>
  <c r="BK207" i="1"/>
  <c r="S207" i="1"/>
  <c r="AP207" i="1"/>
  <c r="R207" i="1"/>
  <c r="I110" i="1"/>
  <c r="BF116" i="1"/>
  <c r="BF126" i="1" s="1"/>
  <c r="BB226" i="1"/>
  <c r="BB228" i="1" s="1"/>
  <c r="BC230" i="1" s="1"/>
  <c r="CA252" i="1"/>
  <c r="CA251" i="1" s="1"/>
  <c r="BQ83" i="1"/>
  <c r="AO112" i="1"/>
  <c r="O112" i="1"/>
  <c r="S201" i="1"/>
  <c r="AM116" i="1"/>
  <c r="BB96" i="1"/>
  <c r="BB110" i="1" s="1"/>
  <c r="AG230" i="1"/>
  <c r="CB110" i="1"/>
  <c r="CB112" i="1" s="1"/>
  <c r="CL116" i="1"/>
  <c r="BQ226" i="1"/>
  <c r="BQ228" i="1" s="1"/>
  <c r="BR230" i="1" s="1"/>
  <c r="BA226" i="1"/>
  <c r="BA228" i="1" s="1"/>
  <c r="CF226" i="1"/>
  <c r="CF228" i="1" s="1"/>
  <c r="CG230" i="1" s="1"/>
  <c r="BB243" i="1"/>
  <c r="CV88" i="1"/>
  <c r="AZ112" i="1"/>
  <c r="BT200" i="1"/>
  <c r="CP136" i="1"/>
  <c r="AP112" i="1"/>
  <c r="CA96" i="1"/>
  <c r="CA110" i="1" s="1"/>
  <c r="BL96" i="1"/>
  <c r="BL110" i="1" s="1"/>
  <c r="BL112" i="1" s="1"/>
  <c r="AR96" i="1"/>
  <c r="AT228" i="1"/>
  <c r="AU230" i="1" s="1"/>
  <c r="BP226" i="1"/>
  <c r="BP228" i="1" s="1"/>
  <c r="BW112" i="1"/>
  <c r="W112" i="1"/>
  <c r="AV110" i="1"/>
  <c r="AV112" i="1" s="1"/>
  <c r="CA116" i="1"/>
  <c r="BG116" i="1"/>
  <c r="BG118" i="1" s="1"/>
  <c r="V198" i="1"/>
  <c r="P198" i="1"/>
  <c r="CD112" i="1"/>
  <c r="BR112" i="1"/>
  <c r="AX112" i="1"/>
  <c r="AD112" i="1"/>
  <c r="K112" i="1"/>
  <c r="BE193" i="1"/>
  <c r="BE199" i="1" s="1"/>
  <c r="CG192" i="1"/>
  <c r="BI96" i="1"/>
  <c r="BI110" i="1" s="1"/>
  <c r="BI112" i="1" s="1"/>
  <c r="BV20" i="1"/>
  <c r="CN192" i="1"/>
  <c r="CN207" i="1" s="1"/>
  <c r="BX96" i="1"/>
  <c r="BX110" i="1" s="1"/>
  <c r="BT110" i="1"/>
  <c r="BT112" i="1" s="1"/>
  <c r="CL192" i="1"/>
  <c r="BN192" i="1"/>
  <c r="BN201" i="1" s="1"/>
  <c r="AX192" i="1"/>
  <c r="BC193" i="1"/>
  <c r="BC198" i="1" s="1"/>
  <c r="BK16" i="1"/>
  <c r="CO192" i="1"/>
  <c r="CO201" i="1" s="1"/>
  <c r="DH201" i="1" s="1"/>
  <c r="CO25" i="1"/>
  <c r="DH25" i="1" s="1"/>
  <c r="DH24" i="1"/>
  <c r="BK19" i="1"/>
  <c r="CJ16" i="1"/>
  <c r="CJ21" i="1"/>
  <c r="CF247" i="1"/>
  <c r="CF248" i="1" s="1"/>
  <c r="CF249" i="1" s="1"/>
  <c r="BM61" i="226"/>
  <c r="AV54" i="226"/>
  <c r="BA55" i="226" s="1"/>
  <c r="AO61" i="226"/>
  <c r="AD61" i="226"/>
  <c r="U51" i="226"/>
  <c r="BN61" i="226"/>
  <c r="BF55" i="226"/>
  <c r="BI53" i="226"/>
  <c r="AG57" i="226"/>
  <c r="CJ55" i="226"/>
  <c r="BU53" i="226"/>
  <c r="CF33" i="226"/>
  <c r="AW16" i="226"/>
  <c r="AW54" i="226" s="1"/>
  <c r="T55" i="226"/>
  <c r="CK14" i="226"/>
  <c r="CK22" i="226" s="1"/>
  <c r="AQ54" i="226"/>
  <c r="CW24" i="226"/>
  <c r="CW25" i="226" s="1"/>
  <c r="BU24" i="226"/>
  <c r="BZ25" i="226" s="1"/>
  <c r="BI25" i="226"/>
  <c r="CY12" i="226"/>
  <c r="CZ12" i="226" s="1"/>
  <c r="BP55" i="226"/>
  <c r="W53" i="226"/>
  <c r="CJ22" i="226"/>
  <c r="CJ24" i="226" s="1"/>
  <c r="CU10" i="226"/>
  <c r="CU11" i="226" s="1"/>
  <c r="F23" i="226"/>
  <c r="P23" i="226"/>
  <c r="CP14" i="226"/>
  <c r="N142" i="227"/>
  <c r="O144" i="227" s="1"/>
  <c r="V76" i="227"/>
  <c r="Q60" i="227"/>
  <c r="R56" i="227" s="1"/>
  <c r="R60" i="227" s="1"/>
  <c r="S56" i="227" s="1"/>
  <c r="Q82" i="228"/>
  <c r="D53" i="228"/>
  <c r="Y22" i="228"/>
  <c r="G38" i="228"/>
  <c r="G102" i="228" s="1"/>
  <c r="H86" i="228"/>
  <c r="E113" i="229"/>
  <c r="O113" i="229"/>
  <c r="O114" i="229" s="1"/>
  <c r="G37" i="229"/>
  <c r="D96" i="229"/>
  <c r="D88" i="229"/>
  <c r="D40" i="229"/>
  <c r="D105" i="229"/>
  <c r="D133" i="229"/>
  <c r="C16" i="229"/>
  <c r="C74" i="229"/>
  <c r="C40" i="229"/>
  <c r="C88" i="229"/>
  <c r="C133" i="229"/>
  <c r="F22" i="236"/>
  <c r="F4" i="236"/>
  <c r="CK261" i="1"/>
  <c r="CK262" i="1" s="1"/>
  <c r="CZ103" i="1"/>
  <c r="DA103" i="1" s="1"/>
  <c r="DB103" i="1" s="1"/>
  <c r="DC103" i="1" s="1"/>
  <c r="CV102" i="1"/>
  <c r="CW102" i="1" s="1"/>
  <c r="CX102" i="1" s="1"/>
  <c r="CY102" i="1" s="1"/>
  <c r="CZ102" i="1" s="1"/>
  <c r="DA102" i="1" s="1"/>
  <c r="DB102" i="1" s="1"/>
  <c r="DC102" i="1" s="1"/>
  <c r="CV94" i="1"/>
  <c r="BF96" i="1"/>
  <c r="BF110" i="1" s="1"/>
  <c r="CV80" i="1"/>
  <c r="CW80" i="1" s="1"/>
  <c r="CX80" i="1" s="1"/>
  <c r="CY80" i="1" s="1"/>
  <c r="CZ80" i="1" s="1"/>
  <c r="DA80" i="1" s="1"/>
  <c r="DB80" i="1" s="1"/>
  <c r="DC80" i="1" s="1"/>
  <c r="CV77" i="1"/>
  <c r="CW77" i="1" s="1"/>
  <c r="CX77" i="1" s="1"/>
  <c r="CY77" i="1" s="1"/>
  <c r="CZ77" i="1" s="1"/>
  <c r="DA77" i="1" s="1"/>
  <c r="DB77" i="1" s="1"/>
  <c r="DC77" i="1" s="1"/>
  <c r="CO112" i="1"/>
  <c r="DH83" i="1"/>
  <c r="CV73" i="1"/>
  <c r="CW73" i="1" s="1"/>
  <c r="CX73" i="1" s="1"/>
  <c r="CY73" i="1" s="1"/>
  <c r="CZ73" i="1" s="1"/>
  <c r="DA73" i="1" s="1"/>
  <c r="DB73" i="1" s="1"/>
  <c r="DC73" i="1" s="1"/>
  <c r="DJ32" i="1"/>
  <c r="DI32" i="1"/>
  <c r="CU16" i="226"/>
  <c r="CZ17" i="226" s="1"/>
  <c r="DF16" i="226"/>
  <c r="N170" i="1"/>
  <c r="N156" i="1"/>
  <c r="N146" i="1"/>
  <c r="DJ136" i="1"/>
  <c r="CV106" i="1"/>
  <c r="CW106" i="1" s="1"/>
  <c r="CX106" i="1" s="1"/>
  <c r="CY106" i="1" s="1"/>
  <c r="CZ106" i="1" s="1"/>
  <c r="DA106" i="1" s="1"/>
  <c r="DB106" i="1" s="1"/>
  <c r="DC106" i="1" s="1"/>
  <c r="CV98" i="1"/>
  <c r="CW98" i="1" s="1"/>
  <c r="CX98" i="1" s="1"/>
  <c r="CY98" i="1" s="1"/>
  <c r="CZ98" i="1" s="1"/>
  <c r="DA98" i="1" s="1"/>
  <c r="DB98" i="1" s="1"/>
  <c r="DC98" i="1" s="1"/>
  <c r="DJ95" i="1"/>
  <c r="DI95" i="1"/>
  <c r="DI93" i="1"/>
  <c r="DJ93" i="1"/>
  <c r="DI87" i="1"/>
  <c r="DJ87" i="1"/>
  <c r="DJ69" i="1"/>
  <c r="DI69" i="1"/>
  <c r="S23" i="227"/>
  <c r="S59" i="227" s="1"/>
  <c r="R71" i="229"/>
  <c r="M113" i="229"/>
  <c r="M114" i="229" s="1"/>
  <c r="G36" i="229"/>
  <c r="G45" i="229" s="1"/>
  <c r="H17" i="229"/>
  <c r="H26" i="229" s="1"/>
  <c r="H36" i="229" s="1"/>
  <c r="H45" i="229" s="1"/>
  <c r="Y108" i="229"/>
  <c r="Z111" i="229" s="1"/>
  <c r="Y51" i="229"/>
  <c r="Z5" i="229"/>
  <c r="N116" i="229"/>
  <c r="N107" i="229"/>
  <c r="N112" i="229" s="1"/>
  <c r="N113" i="229" s="1"/>
  <c r="N114" i="229" s="1"/>
  <c r="O106" i="229"/>
  <c r="D52" i="229"/>
  <c r="D51" i="229" s="1"/>
  <c r="D58" i="229"/>
  <c r="F58" i="229"/>
  <c r="F52" i="229"/>
  <c r="F51" i="229" s="1"/>
  <c r="J133" i="229"/>
  <c r="J121" i="229"/>
  <c r="J88" i="229"/>
  <c r="J105" i="229"/>
  <c r="J96" i="229"/>
  <c r="J74" i="229"/>
  <c r="J54" i="229"/>
  <c r="J40" i="229"/>
  <c r="J61" i="229"/>
  <c r="K3" i="229"/>
  <c r="J16" i="229"/>
  <c r="Y113" i="229"/>
  <c r="Y115" i="229" s="1"/>
  <c r="AA18" i="229"/>
  <c r="AB4" i="229"/>
  <c r="L28" i="229"/>
  <c r="I52" i="229"/>
  <c r="I51" i="229" s="1"/>
  <c r="I58" i="229"/>
  <c r="E26" i="229"/>
  <c r="E36" i="229" s="1"/>
  <c r="E45" i="229" s="1"/>
  <c r="B133" i="229"/>
  <c r="B121" i="229"/>
  <c r="B88" i="229"/>
  <c r="B74" i="229"/>
  <c r="B105" i="229"/>
  <c r="B96" i="229"/>
  <c r="B54" i="229"/>
  <c r="B61" i="229"/>
  <c r="B16" i="229"/>
  <c r="B40" i="229"/>
  <c r="Y134" i="229"/>
  <c r="Y127" i="229"/>
  <c r="Y50" i="229"/>
  <c r="Z20" i="229"/>
  <c r="J36" i="229"/>
  <c r="J45" i="229" s="1"/>
  <c r="K17" i="229"/>
  <c r="O109" i="229"/>
  <c r="P42" i="229"/>
  <c r="H37" i="229"/>
  <c r="U14" i="229"/>
  <c r="V8" i="229"/>
  <c r="U10" i="229"/>
  <c r="U13" i="229" s="1"/>
  <c r="J141" i="228"/>
  <c r="J72" i="228"/>
  <c r="J80" i="228" s="1"/>
  <c r="P128" i="228"/>
  <c r="P129" i="228" s="1"/>
  <c r="Q127" i="228" s="1"/>
  <c r="I142" i="228"/>
  <c r="I96" i="228"/>
  <c r="I104" i="228" s="1"/>
  <c r="I106" i="228" s="1"/>
  <c r="I107" i="228" s="1"/>
  <c r="I108" i="228" s="1"/>
  <c r="I53" i="228"/>
  <c r="N112" i="228"/>
  <c r="O115" i="228"/>
  <c r="O116" i="228" s="1"/>
  <c r="P114" i="228" s="1"/>
  <c r="R38" i="228"/>
  <c r="AA5" i="228"/>
  <c r="Z32" i="228"/>
  <c r="P120" i="228"/>
  <c r="P121" i="228" s="1"/>
  <c r="Q119" i="228" s="1"/>
  <c r="N142" i="228"/>
  <c r="N53" i="228"/>
  <c r="O141" i="228"/>
  <c r="O72" i="228"/>
  <c r="O80" i="228" s="1"/>
  <c r="I141" i="228"/>
  <c r="I72" i="228"/>
  <c r="I80" i="228" s="1"/>
  <c r="P60" i="228"/>
  <c r="Q59" i="228"/>
  <c r="R59" i="228" s="1"/>
  <c r="S59" i="228" s="1"/>
  <c r="T59" i="228" s="1"/>
  <c r="U59" i="228" s="1"/>
  <c r="V59" i="228" s="1"/>
  <c r="W59" i="228" s="1"/>
  <c r="X59" i="228" s="1"/>
  <c r="Y59" i="228" s="1"/>
  <c r="Z59" i="228" s="1"/>
  <c r="AA59" i="228" s="1"/>
  <c r="AB59" i="228" s="1"/>
  <c r="AA22" i="228"/>
  <c r="AB21" i="228"/>
  <c r="AB22" i="228" s="1"/>
  <c r="Z28" i="228"/>
  <c r="AA4" i="228"/>
  <c r="J142" i="228"/>
  <c r="J96" i="228"/>
  <c r="J104" i="228" s="1"/>
  <c r="J106" i="228" s="1"/>
  <c r="J107" i="228" s="1"/>
  <c r="J108" i="228" s="1"/>
  <c r="K41" i="228"/>
  <c r="J53" i="228"/>
  <c r="Q50" i="228"/>
  <c r="Q22" i="228"/>
  <c r="U76" i="228"/>
  <c r="U13" i="228"/>
  <c r="E50" i="228"/>
  <c r="E52" i="228" s="1"/>
  <c r="E22" i="228"/>
  <c r="AA34" i="228"/>
  <c r="Z45" i="228"/>
  <c r="Z92" i="228" s="1"/>
  <c r="P145" i="228"/>
  <c r="D141" i="228"/>
  <c r="D72" i="228"/>
  <c r="D80" i="228" s="1"/>
  <c r="L27" i="228"/>
  <c r="L38" i="228" s="1"/>
  <c r="H27" i="228"/>
  <c r="H38" i="228" s="1"/>
  <c r="W152" i="228"/>
  <c r="W154" i="228" s="1"/>
  <c r="W173" i="228"/>
  <c r="W157" i="228"/>
  <c r="W161" i="228" s="1"/>
  <c r="S78" i="228"/>
  <c r="R79" i="228"/>
  <c r="R82" i="228" s="1"/>
  <c r="B141" i="228"/>
  <c r="B72" i="228"/>
  <c r="B80" i="228" s="1"/>
  <c r="P105" i="228"/>
  <c r="Q62" i="228"/>
  <c r="G22" i="228"/>
  <c r="G50" i="228"/>
  <c r="C142" i="228"/>
  <c r="C53" i="228"/>
  <c r="N52" i="228"/>
  <c r="X91" i="228"/>
  <c r="Y44" i="228"/>
  <c r="P171" i="228"/>
  <c r="P164" i="228"/>
  <c r="P150" i="228"/>
  <c r="P86" i="228"/>
  <c r="Q3" i="228"/>
  <c r="F141" i="227"/>
  <c r="F72" i="227"/>
  <c r="F80" i="227" s="1"/>
  <c r="S132" i="227"/>
  <c r="S133" i="227" s="1"/>
  <c r="T131" i="227" s="1"/>
  <c r="B141" i="227"/>
  <c r="B72" i="227"/>
  <c r="B80" i="227" s="1"/>
  <c r="D141" i="227"/>
  <c r="D72" i="227"/>
  <c r="D80" i="227" s="1"/>
  <c r="J107" i="227"/>
  <c r="J108" i="227" s="1"/>
  <c r="O120" i="227"/>
  <c r="O121" i="227" s="1"/>
  <c r="P119" i="227" s="1"/>
  <c r="O113" i="227"/>
  <c r="N112" i="227"/>
  <c r="P150" i="227"/>
  <c r="P171" i="227"/>
  <c r="P164" i="227"/>
  <c r="P86" i="227"/>
  <c r="Q3" i="227"/>
  <c r="O142" i="227"/>
  <c r="P144" i="227" s="1"/>
  <c r="O53" i="227"/>
  <c r="P41" i="227"/>
  <c r="Q27" i="227"/>
  <c r="P63" i="227"/>
  <c r="M102" i="227"/>
  <c r="E102" i="227"/>
  <c r="P128" i="227"/>
  <c r="P129" i="227" s="1"/>
  <c r="Q127" i="227" s="1"/>
  <c r="V173" i="227"/>
  <c r="V152" i="227"/>
  <c r="V154" i="227" s="1"/>
  <c r="V157" i="227"/>
  <c r="V161" i="227" s="1"/>
  <c r="U173" i="227"/>
  <c r="U157" i="227"/>
  <c r="U161" i="227" s="1"/>
  <c r="U152" i="227"/>
  <c r="U154" i="227" s="1"/>
  <c r="D96" i="227"/>
  <c r="D104" i="227" s="1"/>
  <c r="D106" i="227" s="1"/>
  <c r="D107" i="227" s="1"/>
  <c r="D108" i="227" s="1"/>
  <c r="E41" i="227"/>
  <c r="E50" i="227" s="1"/>
  <c r="E96" i="227" s="1"/>
  <c r="E104" i="227" s="1"/>
  <c r="E106" i="227" s="1"/>
  <c r="E107" i="227" s="1"/>
  <c r="E108" i="227" s="1"/>
  <c r="V166" i="227"/>
  <c r="W76" i="227"/>
  <c r="F96" i="227"/>
  <c r="F104" i="227" s="1"/>
  <c r="F106" i="227" s="1"/>
  <c r="F107" i="227" s="1"/>
  <c r="F108" i="227" s="1"/>
  <c r="G41" i="227"/>
  <c r="G50" i="227" s="1"/>
  <c r="G52" i="227" s="1"/>
  <c r="I141" i="227"/>
  <c r="I72" i="227"/>
  <c r="I80" i="227" s="1"/>
  <c r="AA32" i="227"/>
  <c r="AA5" i="227"/>
  <c r="P78" i="227"/>
  <c r="O79" i="227"/>
  <c r="N116" i="227"/>
  <c r="O114" i="227" s="1"/>
  <c r="X91" i="227"/>
  <c r="Y44" i="227"/>
  <c r="Y28" i="227"/>
  <c r="Z4" i="227"/>
  <c r="B96" i="227"/>
  <c r="B104" i="227" s="1"/>
  <c r="B106" i="227" s="1"/>
  <c r="B107" i="227" s="1"/>
  <c r="B108" i="227" s="1"/>
  <c r="C41" i="227"/>
  <c r="C50" i="227" s="1"/>
  <c r="C96" i="227" s="1"/>
  <c r="C104" i="227" s="1"/>
  <c r="C106" i="227" s="1"/>
  <c r="C107" i="227" s="1"/>
  <c r="C108" i="227" s="1"/>
  <c r="K50" i="227"/>
  <c r="K52" i="227" s="1"/>
  <c r="K22" i="227"/>
  <c r="G102" i="227"/>
  <c r="H27" i="227"/>
  <c r="H38" i="227" s="1"/>
  <c r="O52" i="227"/>
  <c r="J141" i="227"/>
  <c r="J72" i="227"/>
  <c r="J80" i="227" s="1"/>
  <c r="CX23" i="226"/>
  <c r="CX24" i="226"/>
  <c r="W44" i="226"/>
  <c r="AB44" i="226"/>
  <c r="BZ128" i="226"/>
  <c r="CV162" i="226"/>
  <c r="CX162" i="226"/>
  <c r="BF52" i="226"/>
  <c r="BF53" i="226" s="1"/>
  <c r="BF34" i="226"/>
  <c r="BK34" i="226"/>
  <c r="AG44" i="226"/>
  <c r="AG62" i="226"/>
  <c r="AF44" i="226"/>
  <c r="AF62" i="226"/>
  <c r="AS49" i="226"/>
  <c r="BA60" i="226"/>
  <c r="V24" i="226"/>
  <c r="V62" i="226" s="1"/>
  <c r="AA23" i="226"/>
  <c r="V23" i="226"/>
  <c r="BQ13" i="226"/>
  <c r="BQ22" i="226"/>
  <c r="BQ60" i="226" s="1"/>
  <c r="BB56" i="226"/>
  <c r="AC52" i="226"/>
  <c r="AC34" i="226"/>
  <c r="BU60" i="226"/>
  <c r="CV150" i="226"/>
  <c r="CV149" i="226"/>
  <c r="CV32" i="226"/>
  <c r="CG23" i="226"/>
  <c r="CG24" i="226"/>
  <c r="BE60" i="226"/>
  <c r="BE61" i="226" s="1"/>
  <c r="BQ50" i="226"/>
  <c r="Q51" i="226"/>
  <c r="CG250" i="1"/>
  <c r="CG247" i="1"/>
  <c r="CG248" i="1" s="1"/>
  <c r="CG249" i="1" s="1"/>
  <c r="BW192" i="226"/>
  <c r="BV178" i="226"/>
  <c r="CW162" i="226"/>
  <c r="BS62" i="226"/>
  <c r="AU44" i="226"/>
  <c r="O44" i="226"/>
  <c r="O60" i="226"/>
  <c r="O61" i="226" s="1"/>
  <c r="AQ52" i="226"/>
  <c r="AQ34" i="226"/>
  <c r="AV34" i="226"/>
  <c r="AL50" i="226"/>
  <c r="AL51" i="226" s="1"/>
  <c r="AL32" i="226"/>
  <c r="BN62" i="226"/>
  <c r="AW48" i="226"/>
  <c r="AP61" i="226"/>
  <c r="BM62" i="226"/>
  <c r="AK44" i="226"/>
  <c r="Q44" i="226"/>
  <c r="AT61" i="226"/>
  <c r="Y61" i="226"/>
  <c r="CV134" i="226"/>
  <c r="CZ133" i="226"/>
  <c r="CV133" i="226"/>
  <c r="CV30" i="226"/>
  <c r="BH62" i="226"/>
  <c r="AJ62" i="226"/>
  <c r="AJ44" i="226"/>
  <c r="BT61" i="226"/>
  <c r="AP44" i="226"/>
  <c r="AG60" i="226"/>
  <c r="S48" i="226"/>
  <c r="S30" i="226"/>
  <c r="CG60" i="226"/>
  <c r="BD43" i="226"/>
  <c r="AU24" i="226"/>
  <c r="AZ25" i="226" s="1"/>
  <c r="AU23" i="226"/>
  <c r="BF43" i="226"/>
  <c r="AN51" i="226"/>
  <c r="R53" i="226"/>
  <c r="BB52" i="226"/>
  <c r="BB34" i="226"/>
  <c r="CS60" i="226"/>
  <c r="CN60" i="226"/>
  <c r="BL50" i="226"/>
  <c r="BL32" i="226"/>
  <c r="CP48" i="226"/>
  <c r="CP30" i="226"/>
  <c r="BB48" i="226"/>
  <c r="BB30" i="226"/>
  <c r="AP24" i="226"/>
  <c r="AP23" i="226"/>
  <c r="N16" i="226"/>
  <c r="N54" i="226" s="1"/>
  <c r="N55" i="226" s="1"/>
  <c r="O55" i="226"/>
  <c r="CA22" i="226"/>
  <c r="CA13" i="226"/>
  <c r="AS53" i="226"/>
  <c r="AN55" i="226"/>
  <c r="BP53" i="226"/>
  <c r="CW52" i="226"/>
  <c r="CW33" i="226" s="1"/>
  <c r="CW43" i="226" s="1"/>
  <c r="CR53" i="226"/>
  <c r="CM60" i="226"/>
  <c r="DF50" i="226"/>
  <c r="CO51" i="226"/>
  <c r="DH51" i="226" s="1"/>
  <c r="BK51" i="226"/>
  <c r="DA171" i="226"/>
  <c r="CV183" i="226"/>
  <c r="CV182" i="226"/>
  <c r="CV36" i="226"/>
  <c r="CE49" i="226"/>
  <c r="BA43" i="226"/>
  <c r="AG23" i="226"/>
  <c r="S11" i="226"/>
  <c r="AY55" i="226"/>
  <c r="X52" i="226"/>
  <c r="X34" i="226"/>
  <c r="BJ49" i="226"/>
  <c r="BE49" i="226"/>
  <c r="BP24" i="226"/>
  <c r="CB23" i="226"/>
  <c r="CB24" i="226"/>
  <c r="AN23" i="226"/>
  <c r="AN24" i="226"/>
  <c r="AN62" i="226" s="1"/>
  <c r="AM16" i="226"/>
  <c r="AM22" i="226" s="1"/>
  <c r="X17" i="226"/>
  <c r="DA10" i="226"/>
  <c r="BJ25" i="226"/>
  <c r="CP17" i="226"/>
  <c r="AD25" i="226"/>
  <c r="AL22" i="226"/>
  <c r="BG15" i="226"/>
  <c r="AZ23" i="226"/>
  <c r="BV22" i="226"/>
  <c r="CV24" i="226"/>
  <c r="CV25" i="226" s="1"/>
  <c r="CF250" i="1"/>
  <c r="BV162" i="226"/>
  <c r="BO62" i="226"/>
  <c r="BO63" i="226" s="1"/>
  <c r="AQ43" i="226"/>
  <c r="AQ48" i="226"/>
  <c r="AQ30" i="226"/>
  <c r="AV30" i="226"/>
  <c r="AX62" i="226"/>
  <c r="AX44" i="226"/>
  <c r="AZ62" i="226"/>
  <c r="AZ44" i="226"/>
  <c r="CO55" i="226"/>
  <c r="DH55" i="226" s="1"/>
  <c r="DF54" i="226"/>
  <c r="CO52" i="226"/>
  <c r="CO34" i="226"/>
  <c r="DH34" i="226" s="1"/>
  <c r="BZ62" i="226"/>
  <c r="O24" i="226"/>
  <c r="O23" i="226"/>
  <c r="R22" i="226"/>
  <c r="R60" i="226" s="1"/>
  <c r="W13" i="226"/>
  <c r="R13" i="226"/>
  <c r="AC50" i="226"/>
  <c r="AC32" i="226"/>
  <c r="N48" i="226"/>
  <c r="N49" i="226" s="1"/>
  <c r="N30" i="226"/>
  <c r="AM11" i="226"/>
  <c r="AR29" i="226"/>
  <c r="AR95" i="226" s="1"/>
  <c r="Q23" i="226"/>
  <c r="Q24" i="226"/>
  <c r="CV52" i="226"/>
  <c r="CV33" i="226" s="1"/>
  <c r="CV43" i="226" s="1"/>
  <c r="CQ53" i="226"/>
  <c r="N43" i="226"/>
  <c r="N32" i="226"/>
  <c r="BV13" i="226"/>
  <c r="BF25" i="226"/>
  <c r="DA16" i="226"/>
  <c r="DB16" i="226" s="1"/>
  <c r="DC16" i="226" s="1"/>
  <c r="BQ15" i="226"/>
  <c r="M7" i="226"/>
  <c r="O6" i="226"/>
  <c r="BY192" i="226"/>
  <c r="CB250" i="1"/>
  <c r="CB247" i="1"/>
  <c r="CB248" i="1" s="1"/>
  <c r="CB249" i="1" s="1"/>
  <c r="BV129" i="226"/>
  <c r="BC62" i="226"/>
  <c r="BC44" i="226"/>
  <c r="AE62" i="226"/>
  <c r="AE63" i="226" s="1"/>
  <c r="AE44" i="226"/>
  <c r="BG33" i="226"/>
  <c r="BG99" i="226" s="1"/>
  <c r="CP33" i="226"/>
  <c r="V44" i="226"/>
  <c r="AW56" i="226"/>
  <c r="AF61" i="226"/>
  <c r="AS44" i="226"/>
  <c r="Y44" i="226"/>
  <c r="Y62" i="226"/>
  <c r="AJ61" i="226"/>
  <c r="DA150" i="226"/>
  <c r="CW150" i="226"/>
  <c r="CW149" i="226"/>
  <c r="DA149" i="226"/>
  <c r="CW32" i="226"/>
  <c r="BX62" i="226"/>
  <c r="T44" i="226"/>
  <c r="AW50" i="226"/>
  <c r="BH61" i="226"/>
  <c r="AH50" i="226"/>
  <c r="AH32" i="226"/>
  <c r="CA54" i="226"/>
  <c r="CA36" i="226"/>
  <c r="BL54" i="226"/>
  <c r="BL36" i="226"/>
  <c r="R44" i="226"/>
  <c r="BV52" i="226"/>
  <c r="BV34" i="226"/>
  <c r="BZ60" i="226"/>
  <c r="BP60" i="226"/>
  <c r="BA51" i="226"/>
  <c r="BZ49" i="226"/>
  <c r="BF48" i="226"/>
  <c r="BF49" i="226" s="1"/>
  <c r="BF30" i="226"/>
  <c r="U55" i="226"/>
  <c r="CF11" i="226"/>
  <c r="Y55" i="226"/>
  <c r="BG50" i="226"/>
  <c r="BG32" i="226"/>
  <c r="CK54" i="226"/>
  <c r="CK36" i="226"/>
  <c r="BV36" i="226"/>
  <c r="BV54" i="226"/>
  <c r="N36" i="226"/>
  <c r="CN53" i="226"/>
  <c r="CF50" i="226"/>
  <c r="CF32" i="226"/>
  <c r="BV48" i="226"/>
  <c r="BV30" i="226"/>
  <c r="CL24" i="226"/>
  <c r="CL23" i="226"/>
  <c r="CU13" i="226"/>
  <c r="CO15" i="226"/>
  <c r="DH15" i="226" s="1"/>
  <c r="BG22" i="226"/>
  <c r="BG13" i="226"/>
  <c r="BR61" i="226"/>
  <c r="AG55" i="226"/>
  <c r="S50" i="226"/>
  <c r="S32" i="226"/>
  <c r="BU55" i="226"/>
  <c r="BQ52" i="226"/>
  <c r="BQ34" i="226"/>
  <c r="CR60" i="226"/>
  <c r="CI53" i="226"/>
  <c r="CE51" i="226"/>
  <c r="BU51" i="226"/>
  <c r="AB51" i="226"/>
  <c r="BM25" i="226"/>
  <c r="CC23" i="226"/>
  <c r="CC24" i="226"/>
  <c r="AO23" i="226"/>
  <c r="AO24" i="226"/>
  <c r="AO62" i="226" s="1"/>
  <c r="AL57" i="226"/>
  <c r="CE55" i="226"/>
  <c r="BQ54" i="226"/>
  <c r="BQ36" i="226"/>
  <c r="X48" i="226"/>
  <c r="X43" i="226"/>
  <c r="X30" i="226"/>
  <c r="CQ60" i="226"/>
  <c r="BZ53" i="226"/>
  <c r="CA50" i="226"/>
  <c r="BL22" i="226"/>
  <c r="BL24" i="226" s="1"/>
  <c r="H24" i="226"/>
  <c r="H25" i="226" s="1"/>
  <c r="H23" i="226"/>
  <c r="N11" i="226"/>
  <c r="AS55" i="226"/>
  <c r="AC17" i="226"/>
  <c r="CE22" i="226"/>
  <c r="BA17" i="226"/>
  <c r="I23" i="226"/>
  <c r="BV17" i="226"/>
  <c r="BK25" i="226"/>
  <c r="AR11" i="226"/>
  <c r="AR16" i="226"/>
  <c r="AR22" i="226" s="1"/>
  <c r="CA15" i="226"/>
  <c r="BF23" i="226"/>
  <c r="G25" i="226"/>
  <c r="AI62" i="226"/>
  <c r="AI63" i="226" s="1"/>
  <c r="AI44" i="226"/>
  <c r="BI62" i="226"/>
  <c r="BD60" i="226"/>
  <c r="BD61" i="226" s="1"/>
  <c r="S22" i="226"/>
  <c r="CP11" i="226"/>
  <c r="CJ52" i="226"/>
  <c r="CJ34" i="226"/>
  <c r="CP32" i="226"/>
  <c r="CP50" i="226"/>
  <c r="CF48" i="226"/>
  <c r="CF30" i="226"/>
  <c r="BX61" i="226"/>
  <c r="V60" i="226"/>
  <c r="V61" i="226" s="1"/>
  <c r="AH54" i="226"/>
  <c r="AH36" i="226"/>
  <c r="AB60" i="226"/>
  <c r="AS23" i="226"/>
  <c r="AS24" i="226"/>
  <c r="AX23" i="226"/>
  <c r="BL52" i="226"/>
  <c r="AM13" i="226"/>
  <c r="X13" i="226"/>
  <c r="X22" i="226"/>
  <c r="X24" i="226" s="1"/>
  <c r="CC250" i="1"/>
  <c r="CC247" i="1"/>
  <c r="CC248" i="1" s="1"/>
  <c r="CC249" i="1" s="1"/>
  <c r="BX192" i="226"/>
  <c r="CD250" i="1"/>
  <c r="CD247" i="1"/>
  <c r="CD248" i="1" s="1"/>
  <c r="CD249" i="1" s="1"/>
  <c r="BW250" i="1"/>
  <c r="BW247" i="1"/>
  <c r="BW248" i="1" s="1"/>
  <c r="BZ160" i="226"/>
  <c r="BZ177" i="226"/>
  <c r="BW62" i="226"/>
  <c r="AY62" i="226"/>
  <c r="AY44" i="226"/>
  <c r="AA62" i="226"/>
  <c r="AA44" i="226"/>
  <c r="AR56" i="226"/>
  <c r="AQ56" i="226"/>
  <c r="AQ57" i="226" s="1"/>
  <c r="BR62" i="226"/>
  <c r="AW52" i="226"/>
  <c r="DB150" i="226"/>
  <c r="CX150" i="226"/>
  <c r="DB149" i="226"/>
  <c r="CX149" i="226"/>
  <c r="CX32" i="226"/>
  <c r="BY62" i="226"/>
  <c r="AO44" i="226"/>
  <c r="U44" i="226"/>
  <c r="U62" i="226"/>
  <c r="Z63" i="226" s="1"/>
  <c r="AZ61" i="226"/>
  <c r="V51" i="226"/>
  <c r="BT62" i="226"/>
  <c r="AN44" i="226"/>
  <c r="P44" i="226"/>
  <c r="AN60" i="226"/>
  <c r="AN61" i="226" s="1"/>
  <c r="AM56" i="226"/>
  <c r="BG36" i="226"/>
  <c r="BG54" i="226"/>
  <c r="CG53" i="226"/>
  <c r="CC60" i="226"/>
  <c r="CC61" i="226" s="1"/>
  <c r="BG29" i="226"/>
  <c r="AR13" i="226"/>
  <c r="BL11" i="226"/>
  <c r="BY61" i="226"/>
  <c r="S54" i="226"/>
  <c r="BK55" i="226"/>
  <c r="S52" i="226"/>
  <c r="S34" i="226"/>
  <c r="CS53" i="226"/>
  <c r="CX52" i="226"/>
  <c r="CX33" i="226" s="1"/>
  <c r="CX43" i="226" s="1"/>
  <c r="CB60" i="226"/>
  <c r="CB61" i="226" s="1"/>
  <c r="BV32" i="226"/>
  <c r="BV50" i="226"/>
  <c r="BL48" i="226"/>
  <c r="AT24" i="226"/>
  <c r="AY23" i="226"/>
  <c r="AT23" i="226"/>
  <c r="AW13" i="226"/>
  <c r="X11" i="226"/>
  <c r="CK13" i="226"/>
  <c r="AC13" i="226"/>
  <c r="AC22" i="226"/>
  <c r="AS57" i="226"/>
  <c r="AD44" i="226"/>
  <c r="AH34" i="226"/>
  <c r="BA57" i="226"/>
  <c r="AI61" i="226"/>
  <c r="BB54" i="226"/>
  <c r="BB36" i="226"/>
  <c r="CM53" i="226"/>
  <c r="CI60" i="226"/>
  <c r="BK60" i="226"/>
  <c r="DF48" i="226"/>
  <c r="DI48" i="226" s="1"/>
  <c r="CO49" i="226"/>
  <c r="DH49" i="226" s="1"/>
  <c r="BU23" i="226"/>
  <c r="AK23" i="226"/>
  <c r="AK24" i="226"/>
  <c r="AS60" i="226"/>
  <c r="AQ32" i="226"/>
  <c r="W49" i="226"/>
  <c r="AB53" i="226"/>
  <c r="CL60" i="226"/>
  <c r="CK32" i="226"/>
  <c r="BE43" i="226"/>
  <c r="AB24" i="226"/>
  <c r="AV22" i="226"/>
  <c r="AW11" i="226"/>
  <c r="CP13" i="226"/>
  <c r="BB13" i="226"/>
  <c r="BQ11" i="226"/>
  <c r="BR25" i="226"/>
  <c r="CQ23" i="226"/>
  <c r="CD25" i="226"/>
  <c r="BB22" i="226"/>
  <c r="CA34" i="226"/>
  <c r="CN25" i="226"/>
  <c r="CI25" i="226"/>
  <c r="BL13" i="226"/>
  <c r="BN25" i="226"/>
  <c r="AR15" i="226"/>
  <c r="CH23" i="226"/>
  <c r="I6" i="236"/>
  <c r="H5" i="236"/>
  <c r="P31" i="236"/>
  <c r="G22" i="236"/>
  <c r="G4" i="236"/>
  <c r="AC168" i="1"/>
  <c r="CA112" i="1"/>
  <c r="BB112" i="1"/>
  <c r="AA197" i="1"/>
  <c r="AA201" i="1"/>
  <c r="AA207" i="1"/>
  <c r="AA200" i="1"/>
  <c r="BD199" i="1"/>
  <c r="BD198" i="1"/>
  <c r="AU202" i="1"/>
  <c r="AU197" i="1"/>
  <c r="AU201" i="1"/>
  <c r="AU200" i="1"/>
  <c r="AU206" i="1"/>
  <c r="AU207" i="1"/>
  <c r="BX118" i="1"/>
  <c r="BX126" i="1"/>
  <c r="BX127" i="1" s="1"/>
  <c r="BI126" i="1"/>
  <c r="BI127" i="1" s="1"/>
  <c r="BI118" i="1"/>
  <c r="BY126" i="1"/>
  <c r="BY127" i="1" s="1"/>
  <c r="BY118" i="1"/>
  <c r="CN233" i="1"/>
  <c r="CN62" i="1"/>
  <c r="CN28" i="1"/>
  <c r="AM23" i="1"/>
  <c r="BG168" i="1"/>
  <c r="AM209" i="1"/>
  <c r="BG209" i="1"/>
  <c r="AJ201" i="1"/>
  <c r="AJ197" i="1"/>
  <c r="AJ207" i="1"/>
  <c r="AJ200" i="1"/>
  <c r="AJ206" i="1"/>
  <c r="F112" i="1"/>
  <c r="CA118" i="1"/>
  <c r="CA126" i="1"/>
  <c r="CA127" i="1" s="1"/>
  <c r="BG126" i="1"/>
  <c r="BG127" i="1" s="1"/>
  <c r="BX199" i="1"/>
  <c r="BX198" i="1"/>
  <c r="S23" i="1"/>
  <c r="CO163" i="1"/>
  <c r="DH163" i="1" s="1"/>
  <c r="DJ163" i="1" s="1"/>
  <c r="CD168" i="1"/>
  <c r="CE161" i="1"/>
  <c r="BJ186" i="1"/>
  <c r="BK141" i="1"/>
  <c r="AC155" i="1"/>
  <c r="BY209" i="1"/>
  <c r="BY206" i="1"/>
  <c r="BY157" i="1"/>
  <c r="BZ144" i="1"/>
  <c r="CA144" i="1" s="1"/>
  <c r="AV118" i="1"/>
  <c r="CD118" i="1"/>
  <c r="AQ139" i="1"/>
  <c r="AR139" i="1" s="1"/>
  <c r="CJ138" i="1"/>
  <c r="CK138" i="1" s="1"/>
  <c r="AV138" i="1"/>
  <c r="AW138" i="1" s="1"/>
  <c r="BS118" i="1"/>
  <c r="CL118" i="1"/>
  <c r="S135" i="1"/>
  <c r="CN127" i="1"/>
  <c r="Z118" i="1"/>
  <c r="CP118" i="1"/>
  <c r="CB118" i="1"/>
  <c r="Z126" i="1"/>
  <c r="Z127" i="1" s="1"/>
  <c r="M126" i="1"/>
  <c r="M127" i="1" s="1"/>
  <c r="M118" i="1"/>
  <c r="AQ137" i="1"/>
  <c r="AR137" i="1" s="1"/>
  <c r="N135" i="1"/>
  <c r="J134" i="1"/>
  <c r="CS202" i="1"/>
  <c r="CS201" i="1"/>
  <c r="CS198" i="1"/>
  <c r="CS197" i="1"/>
  <c r="CS200" i="1"/>
  <c r="BM202" i="1"/>
  <c r="BM206" i="1"/>
  <c r="BM197" i="1"/>
  <c r="BM201" i="1"/>
  <c r="CG110" i="1"/>
  <c r="CH233" i="1"/>
  <c r="CH62" i="1"/>
  <c r="CH63" i="1" s="1"/>
  <c r="CH28" i="1"/>
  <c r="F233" i="1"/>
  <c r="F62" i="1"/>
  <c r="F37" i="1"/>
  <c r="F28" i="1"/>
  <c r="AH23" i="1"/>
  <c r="AC261" i="1"/>
  <c r="AC262" i="1" s="1"/>
  <c r="X261" i="1"/>
  <c r="X262" i="1" s="1"/>
  <c r="AW262" i="1"/>
  <c r="CP261" i="1"/>
  <c r="CP262" i="1" s="1"/>
  <c r="BG262" i="1"/>
  <c r="CX214" i="1"/>
  <c r="CV214" i="1"/>
  <c r="DA214" i="1"/>
  <c r="DB214" i="1" s="1"/>
  <c r="DC214" i="1" s="1"/>
  <c r="CY214" i="1"/>
  <c r="CW214" i="1"/>
  <c r="DJ170" i="1"/>
  <c r="DI170" i="1"/>
  <c r="CA161" i="1"/>
  <c r="BQ162" i="1"/>
  <c r="BQ221" i="1" s="1"/>
  <c r="BV262" i="1"/>
  <c r="S262" i="1"/>
  <c r="BU168" i="1"/>
  <c r="BA168" i="1"/>
  <c r="AL168" i="1"/>
  <c r="W168" i="1"/>
  <c r="CU170" i="1"/>
  <c r="CU164" i="1"/>
  <c r="J175" i="1"/>
  <c r="CS168" i="1"/>
  <c r="CS117" i="1"/>
  <c r="CO164" i="1"/>
  <c r="DH164" i="1" s="1"/>
  <c r="CD221" i="1"/>
  <c r="CE162" i="1"/>
  <c r="Q163" i="1"/>
  <c r="DI150" i="1"/>
  <c r="AA209" i="1"/>
  <c r="AA206" i="1"/>
  <c r="AA157" i="1"/>
  <c r="AB144" i="1"/>
  <c r="V206" i="1"/>
  <c r="V209" i="1"/>
  <c r="W144" i="1"/>
  <c r="X144" i="1" s="1"/>
  <c r="V157" i="1"/>
  <c r="S164" i="1"/>
  <c r="CF167" i="1"/>
  <c r="AC149" i="1"/>
  <c r="X145" i="1"/>
  <c r="CN209" i="1"/>
  <c r="CO144" i="1"/>
  <c r="DH144" i="1" s="1"/>
  <c r="CN157" i="1"/>
  <c r="AV209" i="1"/>
  <c r="AV157" i="1"/>
  <c r="AG209" i="1"/>
  <c r="AG157" i="1"/>
  <c r="CI186" i="1"/>
  <c r="CJ141" i="1"/>
  <c r="BO186" i="1"/>
  <c r="BP141" i="1"/>
  <c r="AU186" i="1"/>
  <c r="AV141" i="1"/>
  <c r="AA186" i="1"/>
  <c r="AB141" i="1"/>
  <c r="DI156" i="1"/>
  <c r="AC148" i="1"/>
  <c r="CO151" i="1"/>
  <c r="CF149" i="1"/>
  <c r="CA154" i="1"/>
  <c r="CA146" i="1"/>
  <c r="BV151" i="1"/>
  <c r="BQ155" i="1"/>
  <c r="BL148" i="1"/>
  <c r="BB154" i="1"/>
  <c r="AU157" i="1"/>
  <c r="AR152" i="1"/>
  <c r="AO206" i="1"/>
  <c r="CF165" i="1"/>
  <c r="X155" i="1"/>
  <c r="S150" i="1"/>
  <c r="CO150" i="1"/>
  <c r="CD209" i="1"/>
  <c r="CD206" i="1"/>
  <c r="CE144" i="1"/>
  <c r="CD157" i="1"/>
  <c r="CA153" i="1"/>
  <c r="CA145" i="1"/>
  <c r="BV150" i="1"/>
  <c r="BT157" i="1"/>
  <c r="BL141" i="1"/>
  <c r="CU150" i="1"/>
  <c r="AC146" i="1"/>
  <c r="S153" i="1"/>
  <c r="CK150" i="1"/>
  <c r="CF155" i="1"/>
  <c r="CF147" i="1"/>
  <c r="CA152" i="1"/>
  <c r="CS186" i="1"/>
  <c r="BM207" i="1"/>
  <c r="CS157" i="1"/>
  <c r="BW207" i="1"/>
  <c r="BD116" i="1"/>
  <c r="AF118" i="1"/>
  <c r="AW126" i="1"/>
  <c r="BQ90" i="1"/>
  <c r="BQ110" i="1" s="1"/>
  <c r="BQ112" i="1" s="1"/>
  <c r="BN116" i="1"/>
  <c r="BF127" i="1"/>
  <c r="BQ243" i="1"/>
  <c r="AW228" i="1"/>
  <c r="AX230" i="1" s="1"/>
  <c r="CG112" i="1"/>
  <c r="M112" i="1"/>
  <c r="AR135" i="1"/>
  <c r="AN134" i="1"/>
  <c r="AB138" i="1"/>
  <c r="AC138" i="1" s="1"/>
  <c r="O137" i="1"/>
  <c r="U134" i="1"/>
  <c r="CI118" i="1"/>
  <c r="CI127" i="1"/>
  <c r="AU118" i="1"/>
  <c r="S118" i="1"/>
  <c r="AK126" i="1"/>
  <c r="AK127" i="1" s="1"/>
  <c r="AK118" i="1"/>
  <c r="AR90" i="1"/>
  <c r="AR110" i="1" s="1"/>
  <c r="BA116" i="1"/>
  <c r="AG226" i="1"/>
  <c r="AG228" i="1" s="1"/>
  <c r="CF118" i="1"/>
  <c r="BV116" i="1"/>
  <c r="AV139" i="1"/>
  <c r="AW139" i="1" s="1"/>
  <c r="CU252" i="1"/>
  <c r="CU243" i="1"/>
  <c r="CU226" i="1"/>
  <c r="CU116" i="1"/>
  <c r="M139" i="1"/>
  <c r="N139" i="1" s="1"/>
  <c r="X136" i="1"/>
  <c r="CJ137" i="1"/>
  <c r="CK137" i="1" s="1"/>
  <c r="BP137" i="1"/>
  <c r="BQ137" i="1" s="1"/>
  <c r="AL137" i="1"/>
  <c r="AM137" i="1" s="1"/>
  <c r="BH116" i="1"/>
  <c r="AB127" i="1"/>
  <c r="AB118" i="1"/>
  <c r="AV126" i="1"/>
  <c r="AV127" i="1" s="1"/>
  <c r="CF96" i="1"/>
  <c r="CF110" i="1" s="1"/>
  <c r="CF112" i="1" s="1"/>
  <c r="BG96" i="1"/>
  <c r="BG110" i="1" s="1"/>
  <c r="BG112" i="1" s="1"/>
  <c r="F228" i="1"/>
  <c r="G230" i="1" s="1"/>
  <c r="BX226" i="1"/>
  <c r="BX228" i="1" s="1"/>
  <c r="BY230" i="1" s="1"/>
  <c r="BH226" i="1"/>
  <c r="BH228" i="1" s="1"/>
  <c r="BI230" i="1" s="1"/>
  <c r="BU139" i="1"/>
  <c r="BV139" i="1" s="1"/>
  <c r="BA139" i="1"/>
  <c r="BB139" i="1" s="1"/>
  <c r="CU120" i="1"/>
  <c r="BK112" i="1"/>
  <c r="G200" i="1"/>
  <c r="AW74" i="1"/>
  <c r="AW83" i="1" s="1"/>
  <c r="CQ134" i="1"/>
  <c r="CE138" i="1"/>
  <c r="CF138" i="1" s="1"/>
  <c r="BZ135" i="1"/>
  <c r="CA135" i="1" s="1"/>
  <c r="BW134" i="1"/>
  <c r="BK138" i="1"/>
  <c r="BL138" i="1" s="1"/>
  <c r="BG135" i="1"/>
  <c r="BC134" i="1"/>
  <c r="AQ138" i="1"/>
  <c r="AR138" i="1" s="1"/>
  <c r="AM135" i="1"/>
  <c r="AI134" i="1"/>
  <c r="AC117" i="1"/>
  <c r="AC118" i="1" s="1"/>
  <c r="W138" i="1"/>
  <c r="X138" i="1" s="1"/>
  <c r="G197" i="1"/>
  <c r="AI118" i="1"/>
  <c r="AU126" i="1"/>
  <c r="AU127" i="1" s="1"/>
  <c r="AX228" i="1"/>
  <c r="AY230" i="1" s="1"/>
  <c r="AD228" i="1"/>
  <c r="AE230" i="1" s="1"/>
  <c r="I228" i="1"/>
  <c r="J230" i="1" s="1"/>
  <c r="BO226" i="1"/>
  <c r="BO228" i="1" s="1"/>
  <c r="BP230" i="1" s="1"/>
  <c r="AC226" i="1"/>
  <c r="BY226" i="1"/>
  <c r="BY228" i="1" s="1"/>
  <c r="BZ112" i="1"/>
  <c r="BF112" i="1"/>
  <c r="CA23" i="1"/>
  <c r="BG230" i="1"/>
  <c r="BG23" i="1"/>
  <c r="CC199" i="1"/>
  <c r="CC198" i="1"/>
  <c r="BI199" i="1"/>
  <c r="BI198" i="1"/>
  <c r="X193" i="1"/>
  <c r="X19" i="1"/>
  <c r="BY202" i="1"/>
  <c r="BY201" i="1"/>
  <c r="BY197" i="1"/>
  <c r="AS202" i="1"/>
  <c r="AS206" i="1"/>
  <c r="AS197" i="1"/>
  <c r="AS201" i="1"/>
  <c r="BV192" i="1"/>
  <c r="BV16" i="1"/>
  <c r="BM96" i="1"/>
  <c r="BM110" i="1" s="1"/>
  <c r="BM112" i="1" s="1"/>
  <c r="CL233" i="1"/>
  <c r="CL62" i="1"/>
  <c r="CL63" i="1" s="1"/>
  <c r="CL28" i="1"/>
  <c r="BN233" i="1"/>
  <c r="BN62" i="1"/>
  <c r="BN63" i="1" s="1"/>
  <c r="BN28" i="1"/>
  <c r="AP233" i="1"/>
  <c r="AP62" i="1"/>
  <c r="AP63" i="1" s="1"/>
  <c r="AP37" i="1"/>
  <c r="AP28" i="1"/>
  <c r="J233" i="1"/>
  <c r="J62" i="1"/>
  <c r="J37" i="1"/>
  <c r="J28" i="1"/>
  <c r="BV21" i="1"/>
  <c r="AK199" i="1"/>
  <c r="AK198" i="1"/>
  <c r="Y199" i="1"/>
  <c r="Y198" i="1"/>
  <c r="BX201" i="1"/>
  <c r="BX202" i="1"/>
  <c r="BX197" i="1"/>
  <c r="AZ201" i="1"/>
  <c r="AZ202" i="1"/>
  <c r="AZ197" i="1"/>
  <c r="AW110" i="1"/>
  <c r="CP126" i="1"/>
  <c r="CP127" i="1" s="1"/>
  <c r="S126" i="1"/>
  <c r="S127" i="1" s="1"/>
  <c r="CC96" i="1"/>
  <c r="CC110" i="1" s="1"/>
  <c r="CC112" i="1" s="1"/>
  <c r="L233" i="1"/>
  <c r="L28" i="1"/>
  <c r="L37" i="1"/>
  <c r="L62" i="1"/>
  <c r="CF22" i="1"/>
  <c r="BL23" i="1"/>
  <c r="AR230" i="1"/>
  <c r="AR23" i="1"/>
  <c r="X23" i="1"/>
  <c r="BQ20" i="1"/>
  <c r="BQ21" i="1" s="1"/>
  <c r="BP21" i="1"/>
  <c r="CJ193" i="1"/>
  <c r="CK18" i="1"/>
  <c r="CJ19" i="1"/>
  <c r="BN199" i="1"/>
  <c r="BN198" i="1"/>
  <c r="AN199" i="1"/>
  <c r="AN198" i="1"/>
  <c r="AB199" i="1"/>
  <c r="AB198" i="1"/>
  <c r="CH202" i="1"/>
  <c r="CH201" i="1"/>
  <c r="CH197" i="1"/>
  <c r="BJ197" i="1"/>
  <c r="AD206" i="1"/>
  <c r="AD201" i="1"/>
  <c r="AD197" i="1"/>
  <c r="AW192" i="1"/>
  <c r="AW207" i="1" s="1"/>
  <c r="AW16" i="1"/>
  <c r="AV193" i="1"/>
  <c r="AV19" i="1"/>
  <c r="BK202" i="1"/>
  <c r="BK197" i="1"/>
  <c r="BK201" i="1"/>
  <c r="CM233" i="1"/>
  <c r="CM62" i="1"/>
  <c r="CM63" i="1" s="1"/>
  <c r="CM28" i="1"/>
  <c r="BW233" i="1"/>
  <c r="BW62" i="1"/>
  <c r="BW63" i="1" s="1"/>
  <c r="BW28" i="1"/>
  <c r="BO201" i="1"/>
  <c r="BO202" i="1"/>
  <c r="BO197" i="1"/>
  <c r="AI192" i="1"/>
  <c r="BB192" i="1"/>
  <c r="BB16" i="1"/>
  <c r="P6" i="1"/>
  <c r="O7" i="1"/>
  <c r="BZ193" i="1"/>
  <c r="BZ19" i="1"/>
  <c r="BP193" i="1"/>
  <c r="BP19" i="1"/>
  <c r="R199" i="1"/>
  <c r="R198" i="1"/>
  <c r="CE202" i="1"/>
  <c r="CE201" i="1"/>
  <c r="CE197" i="1"/>
  <c r="AL16" i="1"/>
  <c r="BP23" i="1"/>
  <c r="BQ22" i="1"/>
  <c r="BF230" i="1"/>
  <c r="BF23" i="1"/>
  <c r="AQ230" i="1"/>
  <c r="AQ23" i="1"/>
  <c r="AB230" i="1"/>
  <c r="AB23" i="1"/>
  <c r="AC22" i="1"/>
  <c r="CH199" i="1"/>
  <c r="CH198" i="1"/>
  <c r="M192" i="1"/>
  <c r="M16" i="1"/>
  <c r="AR192" i="1"/>
  <c r="AR207" i="1" s="1"/>
  <c r="AR16" i="1"/>
  <c r="DI164" i="1"/>
  <c r="DJ164" i="1"/>
  <c r="BJ209" i="1"/>
  <c r="BJ157" i="1"/>
  <c r="BJ175" i="1" s="1"/>
  <c r="BK144" i="1"/>
  <c r="BL144" i="1" s="1"/>
  <c r="AR148" i="1"/>
  <c r="AW209" i="1"/>
  <c r="X118" i="1"/>
  <c r="BN226" i="1"/>
  <c r="BN228" i="1" s="1"/>
  <c r="BO230" i="1" s="1"/>
  <c r="I112" i="1"/>
  <c r="BZ138" i="1"/>
  <c r="CA138" i="1" s="1"/>
  <c r="BV226" i="1"/>
  <c r="BV228" i="1" s="1"/>
  <c r="BW230" i="1" s="1"/>
  <c r="AB112" i="1"/>
  <c r="AS126" i="1"/>
  <c r="AS127" i="1" s="1"/>
  <c r="AS118" i="1"/>
  <c r="CJ139" i="1"/>
  <c r="CK139" i="1" s="1"/>
  <c r="W137" i="1"/>
  <c r="X137" i="1" s="1"/>
  <c r="AO202" i="1"/>
  <c r="AO197" i="1"/>
  <c r="AO201" i="1"/>
  <c r="T112" i="1"/>
  <c r="BJ233" i="1"/>
  <c r="BJ62" i="1"/>
  <c r="BJ63" i="1" s="1"/>
  <c r="BJ37" i="1"/>
  <c r="BJ28" i="1"/>
  <c r="AD233" i="1"/>
  <c r="AD62" i="1"/>
  <c r="AD63" i="1" s="1"/>
  <c r="AD37" i="1"/>
  <c r="AD28" i="1"/>
  <c r="BV23" i="1"/>
  <c r="BB23" i="1"/>
  <c r="N23" i="1"/>
  <c r="AY199" i="1"/>
  <c r="AY198" i="1"/>
  <c r="CL198" i="1"/>
  <c r="BT199" i="1"/>
  <c r="BT198" i="1"/>
  <c r="AZ198" i="1"/>
  <c r="AZ199" i="1"/>
  <c r="AI199" i="1"/>
  <c r="AI198" i="1"/>
  <c r="W199" i="1"/>
  <c r="W198" i="1"/>
  <c r="CR202" i="1"/>
  <c r="CR197" i="1"/>
  <c r="CR201" i="1"/>
  <c r="CR200" i="1"/>
  <c r="CR198" i="1"/>
  <c r="CR209" i="1"/>
  <c r="BT201" i="1"/>
  <c r="BT202" i="1"/>
  <c r="BT197" i="1"/>
  <c r="AN206" i="1"/>
  <c r="AN201" i="1"/>
  <c r="AN202" i="1"/>
  <c r="AN197" i="1"/>
  <c r="AQ118" i="1"/>
  <c r="V112" i="1"/>
  <c r="H233" i="1"/>
  <c r="H28" i="1"/>
  <c r="H62" i="1"/>
  <c r="H37" i="1"/>
  <c r="CD199" i="1"/>
  <c r="CD198" i="1"/>
  <c r="BJ199" i="1"/>
  <c r="BJ198" i="1"/>
  <c r="AP198" i="1"/>
  <c r="AP199" i="1"/>
  <c r="AD199" i="1"/>
  <c r="AD198" i="1"/>
  <c r="CD201" i="1"/>
  <c r="CD202" i="1"/>
  <c r="CD197" i="1"/>
  <c r="AX206" i="1"/>
  <c r="AX201" i="1"/>
  <c r="AX202" i="1"/>
  <c r="AX197" i="1"/>
  <c r="Z197" i="1"/>
  <c r="Z201" i="1"/>
  <c r="AM192" i="1"/>
  <c r="AM16" i="1"/>
  <c r="BU193" i="1"/>
  <c r="BU19" i="1"/>
  <c r="BC199" i="1"/>
  <c r="AT199" i="1"/>
  <c r="AT198" i="1"/>
  <c r="CO233" i="1"/>
  <c r="CO62" i="1"/>
  <c r="DH37" i="1"/>
  <c r="CO28" i="1"/>
  <c r="DH28" i="1" s="1"/>
  <c r="AV202" i="1"/>
  <c r="AV201" i="1"/>
  <c r="AV197" i="1"/>
  <c r="AV230" i="1"/>
  <c r="AV23" i="1"/>
  <c r="AW22" i="1"/>
  <c r="AL230" i="1"/>
  <c r="AL23" i="1"/>
  <c r="BK198" i="1"/>
  <c r="BK199" i="1"/>
  <c r="CM202" i="1"/>
  <c r="CM197" i="1"/>
  <c r="CM201" i="1"/>
  <c r="CM200" i="1"/>
  <c r="BW206" i="1"/>
  <c r="BW202" i="1"/>
  <c r="BW197" i="1"/>
  <c r="BW201" i="1"/>
  <c r="BA192" i="1"/>
  <c r="BA16" i="1"/>
  <c r="BO199" i="1"/>
  <c r="BO198" i="1"/>
  <c r="BA193" i="1"/>
  <c r="BA19" i="1"/>
  <c r="CR62" i="1"/>
  <c r="CR63" i="1" s="1"/>
  <c r="CR28" i="1"/>
  <c r="BT233" i="1"/>
  <c r="BT28" i="1"/>
  <c r="BT62" i="1"/>
  <c r="BT63" i="1" s="1"/>
  <c r="P41" i="1"/>
  <c r="P42" i="1"/>
  <c r="P38" i="1"/>
  <c r="BU202" i="1"/>
  <c r="BU197" i="1"/>
  <c r="BU201" i="1"/>
  <c r="CE230" i="1"/>
  <c r="CE23" i="1"/>
  <c r="R230" i="1"/>
  <c r="R23" i="1"/>
  <c r="CG199" i="1"/>
  <c r="CQ28" i="1"/>
  <c r="CI233" i="1"/>
  <c r="CI62" i="1"/>
  <c r="CI63" i="1" s="1"/>
  <c r="CI28" i="1"/>
  <c r="BS202" i="1"/>
  <c r="BS201" i="1"/>
  <c r="BS197" i="1"/>
  <c r="BC233" i="1"/>
  <c r="BC28" i="1"/>
  <c r="BC62" i="1"/>
  <c r="BC63" i="1" s="1"/>
  <c r="BC37" i="1"/>
  <c r="AU233" i="1"/>
  <c r="AU28" i="1"/>
  <c r="AU62" i="1"/>
  <c r="AU63" i="1" s="1"/>
  <c r="AU37" i="1"/>
  <c r="AE233" i="1"/>
  <c r="AE28" i="1"/>
  <c r="AE62" i="1"/>
  <c r="AE63" i="1" s="1"/>
  <c r="AE37" i="1"/>
  <c r="O233" i="1"/>
  <c r="O28" i="1"/>
  <c r="O62" i="1"/>
  <c r="O63" i="1" s="1"/>
  <c r="O37" i="1"/>
  <c r="BP202" i="1"/>
  <c r="BP201" i="1"/>
  <c r="BP197" i="1"/>
  <c r="X192" i="1"/>
  <c r="X200" i="1" s="1"/>
  <c r="X16" i="1"/>
  <c r="X21" i="1"/>
  <c r="BL168" i="1"/>
  <c r="CO167" i="1"/>
  <c r="DH167" i="1" s="1"/>
  <c r="DJ167" i="1" s="1"/>
  <c r="CI221" i="1"/>
  <c r="CJ162" i="1"/>
  <c r="CO156" i="1"/>
  <c r="CD186" i="1"/>
  <c r="CE141" i="1"/>
  <c r="X151" i="1"/>
  <c r="CO145" i="1"/>
  <c r="AC126" i="1"/>
  <c r="AC127" i="1" s="1"/>
  <c r="BK139" i="1"/>
  <c r="BL139" i="1" s="1"/>
  <c r="BL135" i="1"/>
  <c r="BH134" i="1"/>
  <c r="W139" i="1"/>
  <c r="X139" i="1" s="1"/>
  <c r="AV137" i="1"/>
  <c r="AW137" i="1" s="1"/>
  <c r="AO126" i="1"/>
  <c r="AO127" i="1" s="1"/>
  <c r="AO118" i="1"/>
  <c r="BT127" i="1"/>
  <c r="BT118" i="1"/>
  <c r="AA118" i="1"/>
  <c r="E126" i="1"/>
  <c r="E127" i="1" s="1"/>
  <c r="E118" i="1"/>
  <c r="AL118" i="1"/>
  <c r="BY243" i="1"/>
  <c r="CE137" i="1"/>
  <c r="CF137" i="1" s="1"/>
  <c r="N227" i="1"/>
  <c r="N228" i="1" s="1"/>
  <c r="N117" i="1"/>
  <c r="N74" i="1"/>
  <c r="N83" i="1" s="1"/>
  <c r="AM96" i="1"/>
  <c r="AM110" i="1" s="1"/>
  <c r="BY199" i="1"/>
  <c r="BY198" i="1"/>
  <c r="AH262" i="1"/>
  <c r="BV168" i="1"/>
  <c r="AH168" i="1"/>
  <c r="Z206" i="1"/>
  <c r="CP183" i="1"/>
  <c r="BK168" i="1"/>
  <c r="AB168" i="1"/>
  <c r="AR162" i="1"/>
  <c r="AR168" i="1" s="1"/>
  <c r="CS221" i="1"/>
  <c r="CO166" i="1"/>
  <c r="DH166" i="1" s="1"/>
  <c r="DJ166" i="1" s="1"/>
  <c r="CN221" i="1"/>
  <c r="CO162" i="1"/>
  <c r="DH162" i="1" s="1"/>
  <c r="CI168" i="1"/>
  <c r="CJ161" i="1"/>
  <c r="AU162" i="1"/>
  <c r="S165" i="1"/>
  <c r="X153" i="1"/>
  <c r="CP144" i="1"/>
  <c r="F36" i="236" s="1"/>
  <c r="BP209" i="1"/>
  <c r="BP157" i="1"/>
  <c r="P206" i="1"/>
  <c r="P209" i="1"/>
  <c r="P157" i="1"/>
  <c r="P175" i="1" s="1"/>
  <c r="Q144" i="1"/>
  <c r="BY186" i="1"/>
  <c r="BZ141" i="1"/>
  <c r="BE186" i="1"/>
  <c r="BF141" i="1"/>
  <c r="AK186" i="1"/>
  <c r="AL141" i="1"/>
  <c r="R141" i="1"/>
  <c r="CK163" i="1"/>
  <c r="X152" i="1"/>
  <c r="CO155" i="1"/>
  <c r="CO147" i="1"/>
  <c r="CF153" i="1"/>
  <c r="CF145" i="1"/>
  <c r="CA150" i="1"/>
  <c r="BV155" i="1"/>
  <c r="BQ147" i="1"/>
  <c r="BL156" i="1"/>
  <c r="BG149" i="1"/>
  <c r="BB146" i="1"/>
  <c r="AW151" i="1"/>
  <c r="AW157" i="1" s="1"/>
  <c r="AM153" i="1"/>
  <c r="AM157" i="1" s="1"/>
  <c r="CP163" i="1"/>
  <c r="AO168" i="1"/>
  <c r="AC151" i="1"/>
  <c r="X147" i="1"/>
  <c r="CO154" i="1"/>
  <c r="CO146" i="1"/>
  <c r="CA149" i="1"/>
  <c r="BV154" i="1"/>
  <c r="BT206" i="1"/>
  <c r="BQ144" i="1"/>
  <c r="AC154" i="1"/>
  <c r="X150" i="1"/>
  <c r="CK154" i="1"/>
  <c r="CK146" i="1"/>
  <c r="CF151" i="1"/>
  <c r="CA156" i="1"/>
  <c r="CA148" i="1"/>
  <c r="BS206" i="1"/>
  <c r="BU207" i="1"/>
  <c r="CS206" i="1"/>
  <c r="BS207" i="1"/>
  <c r="BE157" i="1"/>
  <c r="AH144" i="1"/>
  <c r="BW118" i="1"/>
  <c r="H127" i="1"/>
  <c r="H118" i="1"/>
  <c r="BR118" i="1"/>
  <c r="BR127" i="1"/>
  <c r="BJ118" i="1"/>
  <c r="BJ127" i="1"/>
  <c r="BQ116" i="1"/>
  <c r="BQ126" i="1" s="1"/>
  <c r="O198" i="1"/>
  <c r="AS112" i="1"/>
  <c r="E112" i="1"/>
  <c r="AM74" i="1"/>
  <c r="AM83" i="1" s="1"/>
  <c r="AL138" i="1"/>
  <c r="AM138" i="1" s="1"/>
  <c r="AD134" i="1"/>
  <c r="AH135" i="1"/>
  <c r="X135" i="1"/>
  <c r="T134" i="1"/>
  <c r="M137" i="1"/>
  <c r="N137" i="1" s="1"/>
  <c r="P134" i="1"/>
  <c r="BK118" i="1"/>
  <c r="BK127" i="1"/>
  <c r="AE118" i="1"/>
  <c r="BW126" i="1"/>
  <c r="BW127" i="1" s="1"/>
  <c r="AP118" i="1"/>
  <c r="AP127" i="1"/>
  <c r="CL226" i="1"/>
  <c r="CL228" i="1" s="1"/>
  <c r="CM230" i="1" s="1"/>
  <c r="BM116" i="1"/>
  <c r="BE126" i="1"/>
  <c r="BE127" i="1" s="1"/>
  <c r="BE118" i="1"/>
  <c r="AQ226" i="1"/>
  <c r="AQ228" i="1" s="1"/>
  <c r="AC198" i="1"/>
  <c r="AH116" i="1"/>
  <c r="T198" i="1"/>
  <c r="DJ80" i="1"/>
  <c r="DI80" i="1"/>
  <c r="BH112" i="1"/>
  <c r="AN112" i="1"/>
  <c r="P112" i="1"/>
  <c r="BP200" i="1"/>
  <c r="CV167" i="1"/>
  <c r="BZ137" i="1"/>
  <c r="CA137" i="1" s="1"/>
  <c r="BF137" i="1"/>
  <c r="BG137" i="1" s="1"/>
  <c r="G201" i="1"/>
  <c r="CE118" i="1"/>
  <c r="CE127" i="1"/>
  <c r="AF126" i="1"/>
  <c r="AF127" i="1" s="1"/>
  <c r="BA96" i="1"/>
  <c r="BA110" i="1" s="1"/>
  <c r="BA112" i="1" s="1"/>
  <c r="BV96" i="1"/>
  <c r="BV110" i="1" s="1"/>
  <c r="BV112" i="1" s="1"/>
  <c r="AH96" i="1"/>
  <c r="AH110" i="1" s="1"/>
  <c r="AH112" i="1" s="1"/>
  <c r="AO228" i="1"/>
  <c r="AP230" i="1" s="1"/>
  <c r="Z228" i="1"/>
  <c r="AA230" i="1" s="1"/>
  <c r="AS228" i="1"/>
  <c r="AT230" i="1" s="1"/>
  <c r="CP228" i="1"/>
  <c r="CQ230" i="1" s="1"/>
  <c r="CB226" i="1"/>
  <c r="CB228" i="1" s="1"/>
  <c r="CC230" i="1" s="1"/>
  <c r="CK127" i="1"/>
  <c r="CK118" i="1"/>
  <c r="CE139" i="1"/>
  <c r="CF139" i="1" s="1"/>
  <c r="BG226" i="1"/>
  <c r="BG228" i="1" s="1"/>
  <c r="BH230" i="1" s="1"/>
  <c r="CI112" i="1"/>
  <c r="CO138" i="1"/>
  <c r="CG134" i="1"/>
  <c r="CJ135" i="1"/>
  <c r="BU138" i="1"/>
  <c r="BV138" i="1" s="1"/>
  <c r="BQ135" i="1"/>
  <c r="BM134" i="1"/>
  <c r="BA138" i="1"/>
  <c r="BB138" i="1" s="1"/>
  <c r="AW135" i="1"/>
  <c r="AS134" i="1"/>
  <c r="AM117" i="1"/>
  <c r="AG138" i="1"/>
  <c r="AH138" i="1" s="1"/>
  <c r="AC135" i="1"/>
  <c r="Y134" i="1"/>
  <c r="Q201" i="1"/>
  <c r="BO116" i="1"/>
  <c r="CL126" i="1"/>
  <c r="CL127" i="1" s="1"/>
  <c r="AI126" i="1"/>
  <c r="AI127" i="1" s="1"/>
  <c r="DJ96" i="1"/>
  <c r="DI96" i="1"/>
  <c r="E228" i="1"/>
  <c r="F230" i="1" s="1"/>
  <c r="M228" i="1"/>
  <c r="BY96" i="1"/>
  <c r="BY110" i="1" s="1"/>
  <c r="BY112" i="1" s="1"/>
  <c r="AL228" i="1"/>
  <c r="S228" i="1"/>
  <c r="T230" i="1" s="1"/>
  <c r="BY252" i="1"/>
  <c r="BY251" i="1" s="1"/>
  <c r="AL139" i="1"/>
  <c r="AM139" i="1" s="1"/>
  <c r="BN112" i="1"/>
  <c r="AT112" i="1"/>
  <c r="Z112" i="1"/>
  <c r="Z200" i="1"/>
  <c r="Q134" i="1"/>
  <c r="AC96" i="1"/>
  <c r="AC110" i="1" s="1"/>
  <c r="AC112" i="1" s="1"/>
  <c r="AR83" i="1"/>
  <c r="CM199" i="1"/>
  <c r="CM198" i="1"/>
  <c r="BQ193" i="1"/>
  <c r="BQ19" i="1"/>
  <c r="AR193" i="1"/>
  <c r="AR19" i="1"/>
  <c r="CG202" i="1"/>
  <c r="CG201" i="1"/>
  <c r="CG206" i="1"/>
  <c r="CG197" i="1"/>
  <c r="BI202" i="1"/>
  <c r="AK197" i="1"/>
  <c r="AK201" i="1"/>
  <c r="AQ96" i="1"/>
  <c r="AQ110" i="1" s="1"/>
  <c r="AQ112" i="1" s="1"/>
  <c r="CD233" i="1"/>
  <c r="CD62" i="1"/>
  <c r="CD63" i="1" s="1"/>
  <c r="CD28" i="1"/>
  <c r="AX233" i="1"/>
  <c r="AX62" i="1"/>
  <c r="AX63" i="1" s="1"/>
  <c r="AX37" i="1"/>
  <c r="AX28" i="1"/>
  <c r="Z233" i="1"/>
  <c r="Z62" i="1"/>
  <c r="Z63" i="1" s="1"/>
  <c r="Z37" i="1"/>
  <c r="Z28" i="1"/>
  <c r="BL193" i="1"/>
  <c r="BL19" i="1"/>
  <c r="AU198" i="1"/>
  <c r="AU199" i="1"/>
  <c r="AJ198" i="1"/>
  <c r="AJ199" i="1"/>
  <c r="Z198" i="1"/>
  <c r="Z199" i="1"/>
  <c r="CN201" i="1"/>
  <c r="BH206" i="1"/>
  <c r="BH201" i="1"/>
  <c r="BH202" i="1"/>
  <c r="BH197" i="1"/>
  <c r="CK110" i="1"/>
  <c r="CK112" i="1" s="1"/>
  <c r="CF126" i="1"/>
  <c r="CF127" i="1" s="1"/>
  <c r="X126" i="1"/>
  <c r="X127" i="1" s="1"/>
  <c r="AQ21" i="1"/>
  <c r="N21" i="1"/>
  <c r="BV18" i="1"/>
  <c r="AW18" i="1"/>
  <c r="AL199" i="1"/>
  <c r="AL198" i="1"/>
  <c r="AE198" i="1"/>
  <c r="AE199" i="1"/>
  <c r="BR206" i="1"/>
  <c r="BR202" i="1"/>
  <c r="BR197" i="1"/>
  <c r="BR201" i="1"/>
  <c r="AT192" i="1"/>
  <c r="AC192" i="1"/>
  <c r="AC207" i="1" s="1"/>
  <c r="AC16" i="1"/>
  <c r="R21" i="1"/>
  <c r="S20" i="1"/>
  <c r="S21" i="1" s="1"/>
  <c r="BS199" i="1"/>
  <c r="BS198" i="1"/>
  <c r="CO200" i="1"/>
  <c r="DH200" i="1" s="1"/>
  <c r="BF197" i="1"/>
  <c r="BF202" i="1"/>
  <c r="BF201" i="1"/>
  <c r="AB192" i="1"/>
  <c r="AB19" i="1"/>
  <c r="AB16" i="1"/>
  <c r="AB21" i="1"/>
  <c r="CJ230" i="1"/>
  <c r="CJ23" i="1"/>
  <c r="BZ230" i="1"/>
  <c r="BZ23" i="1"/>
  <c r="BK230" i="1"/>
  <c r="BK23" i="1"/>
  <c r="W230" i="1"/>
  <c r="W23" i="1"/>
  <c r="BA21" i="1"/>
  <c r="S193" i="1"/>
  <c r="S19" i="1"/>
  <c r="AY233" i="1"/>
  <c r="AY62" i="1"/>
  <c r="AY63" i="1" s="1"/>
  <c r="AY28" i="1"/>
  <c r="AY37" i="1"/>
  <c r="K233" i="1"/>
  <c r="K62" i="1"/>
  <c r="K28" i="1"/>
  <c r="K37" i="1"/>
  <c r="CJ202" i="1"/>
  <c r="CJ200" i="1"/>
  <c r="CJ197" i="1"/>
  <c r="CJ201" i="1"/>
  <c r="AH192" i="1"/>
  <c r="AH16" i="1"/>
  <c r="CK20" i="1"/>
  <c r="CK21" i="1" s="1"/>
  <c r="AC21" i="1"/>
  <c r="CS25" i="1"/>
  <c r="BW193" i="1"/>
  <c r="BB18" i="1"/>
  <c r="AX193" i="1"/>
  <c r="AM21" i="1"/>
  <c r="CA18" i="1"/>
  <c r="CQ202" i="1"/>
  <c r="CQ206" i="1"/>
  <c r="CQ200" i="1"/>
  <c r="CQ198" i="1"/>
  <c r="CQ197" i="1"/>
  <c r="CQ201" i="1"/>
  <c r="CI202" i="1"/>
  <c r="CI201" i="1"/>
  <c r="CI197" i="1"/>
  <c r="BC192" i="1"/>
  <c r="AE192" i="1"/>
  <c r="O192" i="1"/>
  <c r="BL192" i="1"/>
  <c r="BL207" i="1" s="1"/>
  <c r="BL16" i="1"/>
  <c r="CU218" i="1"/>
  <c r="CV218" i="1" s="1"/>
  <c r="BF168" i="1"/>
  <c r="CO148" i="1"/>
  <c r="AP186" i="1"/>
  <c r="AQ141" i="1"/>
  <c r="AR141" i="1" s="1"/>
  <c r="V186" i="1"/>
  <c r="W141" i="1"/>
  <c r="AM168" i="1"/>
  <c r="CO153" i="1"/>
  <c r="BF209" i="1"/>
  <c r="BF157" i="1"/>
  <c r="BV207" i="1"/>
  <c r="CO139" i="1"/>
  <c r="DH139" i="1" s="1"/>
  <c r="BU135" i="1"/>
  <c r="BV135" i="1" s="1"/>
  <c r="BR134" i="1"/>
  <c r="AM118" i="1"/>
  <c r="CU96" i="1"/>
  <c r="AG139" i="1"/>
  <c r="AH139" i="1" s="1"/>
  <c r="BB118" i="1"/>
  <c r="BB127" i="1"/>
  <c r="AZ118" i="1"/>
  <c r="M136" i="1"/>
  <c r="M134" i="1" s="1"/>
  <c r="Y126" i="1"/>
  <c r="Y127" i="1" s="1"/>
  <c r="Y118" i="1"/>
  <c r="BK137" i="1"/>
  <c r="BL137" i="1" s="1"/>
  <c r="DI218" i="1"/>
  <c r="DJ218" i="1"/>
  <c r="CV216" i="1"/>
  <c r="CX216" i="1"/>
  <c r="DA216" i="1"/>
  <c r="DB216" i="1" s="1"/>
  <c r="DC216" i="1" s="1"/>
  <c r="CY216" i="1"/>
  <c r="CW216" i="1"/>
  <c r="CS184" i="1"/>
  <c r="BB168" i="1"/>
  <c r="N161" i="1"/>
  <c r="N168" i="1" s="1"/>
  <c r="CF161" i="1"/>
  <c r="BP168" i="1"/>
  <c r="AQ168" i="1"/>
  <c r="AG168" i="1"/>
  <c r="CO165" i="1"/>
  <c r="CN168" i="1"/>
  <c r="CO161" i="1"/>
  <c r="CK164" i="1"/>
  <c r="AC153" i="1"/>
  <c r="X149" i="1"/>
  <c r="CO152" i="1"/>
  <c r="AP209" i="1"/>
  <c r="AP206" i="1"/>
  <c r="AP157" i="1"/>
  <c r="AQ144" i="1"/>
  <c r="AR144" i="1" s="1"/>
  <c r="AL209" i="1"/>
  <c r="AL157" i="1"/>
  <c r="L209" i="1"/>
  <c r="L157" i="1"/>
  <c r="L175" i="1" s="1"/>
  <c r="M144" i="1"/>
  <c r="N144" i="1" s="1"/>
  <c r="CN186" i="1"/>
  <c r="CO141" i="1"/>
  <c r="DH141" i="1" s="1"/>
  <c r="BT186" i="1"/>
  <c r="BU141" i="1"/>
  <c r="BV141" i="1" s="1"/>
  <c r="AZ186" i="1"/>
  <c r="BA141" i="1"/>
  <c r="AF186" i="1"/>
  <c r="AG141" i="1"/>
  <c r="AH141" i="1" s="1"/>
  <c r="AP168" i="1"/>
  <c r="CI209" i="1"/>
  <c r="CI206" i="1"/>
  <c r="CJ144" i="1"/>
  <c r="CI157" i="1"/>
  <c r="BL152" i="1"/>
  <c r="BG145" i="1"/>
  <c r="AR156" i="1"/>
  <c r="AK157" i="1"/>
  <c r="F177" i="1"/>
  <c r="F178" i="1" s="1"/>
  <c r="E180" i="1"/>
  <c r="CK166" i="1"/>
  <c r="AC147" i="1"/>
  <c r="S154" i="1"/>
  <c r="CK165" i="1"/>
  <c r="X161" i="1"/>
  <c r="X168" i="1" s="1"/>
  <c r="AC150" i="1"/>
  <c r="X146" i="1"/>
  <c r="CO149" i="1"/>
  <c r="BV209" i="1"/>
  <c r="BV206" i="1"/>
  <c r="BB209" i="1"/>
  <c r="BB206" i="1"/>
  <c r="BB157" i="1"/>
  <c r="N141" i="1"/>
  <c r="AV207" i="1"/>
  <c r="AM207" i="1"/>
  <c r="N149" i="1"/>
  <c r="CD207" i="1"/>
  <c r="BB207" i="1"/>
  <c r="BL118" i="1"/>
  <c r="CB126" i="1"/>
  <c r="CB127" i="1" s="1"/>
  <c r="AL126" i="1"/>
  <c r="AL127" i="1" s="1"/>
  <c r="CH118" i="1"/>
  <c r="CH127" i="1"/>
  <c r="BZ118" i="1"/>
  <c r="BZ127" i="1"/>
  <c r="CA226" i="1"/>
  <c r="CA228" i="1" s="1"/>
  <c r="CB230" i="1" s="1"/>
  <c r="AW127" i="1"/>
  <c r="AW118" i="1"/>
  <c r="BU112" i="1"/>
  <c r="BE112" i="1"/>
  <c r="Q112" i="1"/>
  <c r="BU200" i="1"/>
  <c r="AO200" i="1"/>
  <c r="CL134" i="1"/>
  <c r="CO135" i="1"/>
  <c r="CE135" i="1"/>
  <c r="CB134" i="1"/>
  <c r="BP138" i="1"/>
  <c r="BQ138" i="1" s="1"/>
  <c r="BF138" i="1"/>
  <c r="BG138" i="1" s="1"/>
  <c r="BB135" i="1"/>
  <c r="AX134" i="1"/>
  <c r="BC118" i="1"/>
  <c r="BC127" i="1"/>
  <c r="W118" i="1"/>
  <c r="W127" i="1"/>
  <c r="G118" i="1"/>
  <c r="G127" i="1"/>
  <c r="BS126" i="1"/>
  <c r="BS127" i="1" s="1"/>
  <c r="CG126" i="1"/>
  <c r="CG127" i="1" s="1"/>
  <c r="CG118" i="1"/>
  <c r="BU126" i="1"/>
  <c r="BU127" i="1" s="1"/>
  <c r="BU118" i="1"/>
  <c r="AG116" i="1"/>
  <c r="AB139" i="1"/>
  <c r="AC139" i="1" s="1"/>
  <c r="O139" i="1"/>
  <c r="N90" i="1"/>
  <c r="N110" i="1" s="1"/>
  <c r="BP139" i="1"/>
  <c r="BQ139" i="1" s="1"/>
  <c r="BX112" i="1"/>
  <c r="BD112" i="1"/>
  <c r="AJ112" i="1"/>
  <c r="H112" i="1"/>
  <c r="BL200" i="1"/>
  <c r="AV200" i="1"/>
  <c r="P200" i="1"/>
  <c r="AB137" i="1"/>
  <c r="AC137" i="1" s="1"/>
  <c r="BP127" i="1"/>
  <c r="BP118" i="1"/>
  <c r="AJ127" i="1"/>
  <c r="AJ118" i="1"/>
  <c r="CD126" i="1"/>
  <c r="CD127" i="1" s="1"/>
  <c r="AA126" i="1"/>
  <c r="AA127" i="1" s="1"/>
  <c r="X96" i="1"/>
  <c r="X110" i="1" s="1"/>
  <c r="X112" i="1" s="1"/>
  <c r="AT118" i="1"/>
  <c r="AT127" i="1"/>
  <c r="F118" i="1"/>
  <c r="F127" i="1"/>
  <c r="CK228" i="1"/>
  <c r="CE112" i="1"/>
  <c r="BO112" i="1"/>
  <c r="AY112" i="1"/>
  <c r="G112" i="1"/>
  <c r="W134" i="1"/>
  <c r="AY118" i="1"/>
  <c r="AY127" i="1"/>
  <c r="AZ126" i="1"/>
  <c r="AZ127" i="1" s="1"/>
  <c r="AE126" i="1"/>
  <c r="AE127" i="1" s="1"/>
  <c r="BP110" i="1"/>
  <c r="BP112" i="1" s="1"/>
  <c r="AX118" i="1"/>
  <c r="AX127" i="1"/>
  <c r="AD118" i="1"/>
  <c r="AD127" i="1"/>
  <c r="I126" i="1"/>
  <c r="I127" i="1" s="1"/>
  <c r="I118" i="1"/>
  <c r="R118" i="1"/>
  <c r="R127" i="1"/>
  <c r="N118" i="1"/>
  <c r="N127" i="1"/>
  <c r="BZ139" i="1"/>
  <c r="CA139" i="1" s="1"/>
  <c r="BF139" i="1"/>
  <c r="BG139" i="1" s="1"/>
  <c r="BJ112" i="1"/>
  <c r="R112" i="1"/>
  <c r="CD200" i="1"/>
  <c r="AV134" i="1"/>
  <c r="CO137" i="1"/>
  <c r="DH137" i="1" s="1"/>
  <c r="BU137" i="1"/>
  <c r="BV137" i="1" s="1"/>
  <c r="BA137" i="1"/>
  <c r="BA134" i="1" s="1"/>
  <c r="AG137" i="1"/>
  <c r="R138" i="1"/>
  <c r="S138" i="1" s="1"/>
  <c r="V134" i="1"/>
  <c r="AM126" i="1"/>
  <c r="AM127" i="1" s="1"/>
  <c r="CI199" i="1"/>
  <c r="CI198" i="1"/>
  <c r="BM199" i="1"/>
  <c r="BM198" i="1"/>
  <c r="AH193" i="1"/>
  <c r="AH19" i="1"/>
  <c r="CC202" i="1"/>
  <c r="CC201" i="1"/>
  <c r="CC197" i="1"/>
  <c r="BE192" i="1"/>
  <c r="Y206" i="1"/>
  <c r="Y197" i="1"/>
  <c r="Y201" i="1"/>
  <c r="CP16" i="1"/>
  <c r="AG96" i="1"/>
  <c r="AG110" i="1" s="1"/>
  <c r="AG112" i="1" s="1"/>
  <c r="BR233" i="1"/>
  <c r="BR62" i="1"/>
  <c r="BR63" i="1" s="1"/>
  <c r="BR28" i="1"/>
  <c r="AT233" i="1"/>
  <c r="AT62" i="1"/>
  <c r="AT63" i="1" s="1"/>
  <c r="AT37" i="1"/>
  <c r="AT28" i="1"/>
  <c r="V233" i="1"/>
  <c r="V62" i="1"/>
  <c r="V63" i="1" s="1"/>
  <c r="V37" i="1"/>
  <c r="V28" i="1"/>
  <c r="CN25" i="1"/>
  <c r="CB199" i="1"/>
  <c r="CB198" i="1"/>
  <c r="BH199" i="1"/>
  <c r="BH198" i="1"/>
  <c r="AG199" i="1"/>
  <c r="AG198" i="1"/>
  <c r="AA199" i="1"/>
  <c r="AA198" i="1"/>
  <c r="CB206" i="1"/>
  <c r="CB202" i="1"/>
  <c r="CB197" i="1"/>
  <c r="CB201" i="1"/>
  <c r="BD192" i="1"/>
  <c r="AF201" i="1"/>
  <c r="AF197" i="1"/>
  <c r="BL126" i="1"/>
  <c r="BL127" i="1" s="1"/>
  <c r="CN199" i="1"/>
  <c r="CN198" i="1"/>
  <c r="BR199" i="1"/>
  <c r="BR198" i="1"/>
  <c r="AS199" i="1"/>
  <c r="AS198" i="1"/>
  <c r="AO199" i="1"/>
  <c r="AO198" i="1"/>
  <c r="AF199" i="1"/>
  <c r="AF198" i="1"/>
  <c r="CL202" i="1"/>
  <c r="CL206" i="1"/>
  <c r="CL197" i="1"/>
  <c r="CL201" i="1"/>
  <c r="BN202" i="1"/>
  <c r="AP197" i="1"/>
  <c r="AP202" i="1"/>
  <c r="AP201" i="1"/>
  <c r="BQ40" i="1"/>
  <c r="BF193" i="1"/>
  <c r="BF19" i="1"/>
  <c r="BG18" i="1"/>
  <c r="W192" i="1"/>
  <c r="W16" i="1"/>
  <c r="W19" i="1"/>
  <c r="CK192" i="1"/>
  <c r="CK16" i="1"/>
  <c r="CK23" i="1"/>
  <c r="AY201" i="1"/>
  <c r="AY202" i="1"/>
  <c r="AY197" i="1"/>
  <c r="AI233" i="1"/>
  <c r="AI62" i="1"/>
  <c r="AI63" i="1" s="1"/>
  <c r="AI28" i="1"/>
  <c r="AI37" i="1"/>
  <c r="AA233" i="1"/>
  <c r="AA62" i="1"/>
  <c r="AA63" i="1" s="1"/>
  <c r="AA28" i="1"/>
  <c r="AA37" i="1"/>
  <c r="R201" i="1"/>
  <c r="R197" i="1"/>
  <c r="CF192" i="1"/>
  <c r="CF200" i="1" s="1"/>
  <c r="CF16" i="1"/>
  <c r="AG192" i="1"/>
  <c r="AG16" i="1"/>
  <c r="BA23" i="1"/>
  <c r="Q233" i="1"/>
  <c r="Q62" i="1"/>
  <c r="Q63" i="1" s="1"/>
  <c r="Q37" i="1"/>
  <c r="Q28" i="1"/>
  <c r="CS199" i="1"/>
  <c r="AQ192" i="1"/>
  <c r="AQ16" i="1"/>
  <c r="AQ19" i="1"/>
  <c r="BZ201" i="1"/>
  <c r="BZ202" i="1"/>
  <c r="BZ197" i="1"/>
  <c r="AL197" i="1"/>
  <c r="AL201" i="1"/>
  <c r="CK40" i="1"/>
  <c r="AM19" i="1"/>
  <c r="CE199" i="1"/>
  <c r="CE198" i="1"/>
  <c r="N193" i="1"/>
  <c r="N199" i="1" s="1"/>
  <c r="N19" i="1"/>
  <c r="N192" i="1"/>
  <c r="N16" i="1"/>
  <c r="BG192" i="1"/>
  <c r="BG16" i="1"/>
  <c r="S25" i="234"/>
  <c r="BR200" i="1" l="1"/>
  <c r="BR207" i="1"/>
  <c r="N141" i="227"/>
  <c r="O145" i="227" s="1"/>
  <c r="N72" i="227"/>
  <c r="N80" i="227" s="1"/>
  <c r="P201" i="1"/>
  <c r="P197" i="1"/>
  <c r="CJ168" i="1"/>
  <c r="CX12" i="1"/>
  <c r="CX133" i="1" s="1"/>
  <c r="CW12" i="1"/>
  <c r="CV12" i="1"/>
  <c r="A59" i="1"/>
  <c r="A60" i="1" s="1"/>
  <c r="A61" i="1" s="1"/>
  <c r="A62" i="1" s="1"/>
  <c r="CO199" i="1"/>
  <c r="DH199" i="1" s="1"/>
  <c r="CP23" i="1"/>
  <c r="AW200" i="1"/>
  <c r="AQ127" i="1"/>
  <c r="CP21" i="1"/>
  <c r="X207" i="1"/>
  <c r="BV230" i="1"/>
  <c r="AW206" i="1"/>
  <c r="BJ201" i="1"/>
  <c r="BF118" i="1"/>
  <c r="CA168" i="1"/>
  <c r="CU16" i="1"/>
  <c r="CP25" i="1"/>
  <c r="BI207" i="1"/>
  <c r="BI206" i="1"/>
  <c r="BI200" i="1"/>
  <c r="CO198" i="1"/>
  <c r="DH198" i="1" s="1"/>
  <c r="CP192" i="1"/>
  <c r="CP197" i="1" s="1"/>
  <c r="BK134" i="1"/>
  <c r="BI201" i="1"/>
  <c r="CJ134" i="1"/>
  <c r="N230" i="1"/>
  <c r="BJ206" i="1"/>
  <c r="BJ202" i="1"/>
  <c r="AM230" i="1"/>
  <c r="BJ200" i="1"/>
  <c r="BQ207" i="1"/>
  <c r="BV157" i="1"/>
  <c r="CX69" i="226"/>
  <c r="CX84" i="226"/>
  <c r="CX85" i="226" s="1"/>
  <c r="CW69" i="226"/>
  <c r="CW84" i="226"/>
  <c r="CW85" i="226" s="1"/>
  <c r="CV69" i="226"/>
  <c r="CV84" i="226"/>
  <c r="CV85" i="226" s="1"/>
  <c r="BN197" i="1"/>
  <c r="AG134" i="1"/>
  <c r="AQ134" i="1"/>
  <c r="CO202" i="1"/>
  <c r="DH202" i="1" s="1"/>
  <c r="CN200" i="1"/>
  <c r="CF193" i="1"/>
  <c r="CF199" i="1" s="1"/>
  <c r="AM112" i="1"/>
  <c r="AR118" i="1"/>
  <c r="BF200" i="1"/>
  <c r="BF207" i="1"/>
  <c r="BB137" i="1"/>
  <c r="BB134" i="1" s="1"/>
  <c r="CC126" i="1"/>
  <c r="CC127" i="1" s="1"/>
  <c r="CO197" i="1"/>
  <c r="DH197" i="1" s="1"/>
  <c r="CN202" i="1"/>
  <c r="CP19" i="1"/>
  <c r="BT175" i="1"/>
  <c r="BE198" i="1"/>
  <c r="CK230" i="1"/>
  <c r="CE134" i="1"/>
  <c r="BG157" i="1"/>
  <c r="CP139" i="1"/>
  <c r="CN197" i="1"/>
  <c r="CP166" i="1"/>
  <c r="BB230" i="1"/>
  <c r="AC228" i="1"/>
  <c r="AD230" i="1" s="1"/>
  <c r="CN206" i="1"/>
  <c r="BQ197" i="1"/>
  <c r="BQ202" i="1"/>
  <c r="BQ201" i="1"/>
  <c r="BH207" i="1"/>
  <c r="BH200" i="1"/>
  <c r="AW22" i="226"/>
  <c r="AW24" i="226" s="1"/>
  <c r="CK55" i="226"/>
  <c r="BG57" i="226"/>
  <c r="CR25" i="226"/>
  <c r="N50" i="226"/>
  <c r="N51" i="226" s="1"/>
  <c r="CF34" i="226"/>
  <c r="CK15" i="226"/>
  <c r="CM61" i="226"/>
  <c r="AW34" i="226"/>
  <c r="CF49" i="226"/>
  <c r="AQ55" i="226"/>
  <c r="AR50" i="226"/>
  <c r="AW51" i="226" s="1"/>
  <c r="P25" i="226"/>
  <c r="CP51" i="226"/>
  <c r="AM48" i="226"/>
  <c r="AM49" i="226" s="1"/>
  <c r="AM57" i="226"/>
  <c r="AR36" i="226"/>
  <c r="CK51" i="226"/>
  <c r="CP83" i="226"/>
  <c r="W55" i="226"/>
  <c r="AH57" i="226"/>
  <c r="R55" i="226"/>
  <c r="AV44" i="226"/>
  <c r="BG51" i="226"/>
  <c r="AC49" i="226"/>
  <c r="BB51" i="226"/>
  <c r="AR34" i="226"/>
  <c r="CZ11" i="226"/>
  <c r="CP49" i="226"/>
  <c r="AM34" i="226"/>
  <c r="AR32" i="226"/>
  <c r="W60" i="226"/>
  <c r="AB61" i="226" s="1"/>
  <c r="AM52" i="226"/>
  <c r="AM53" i="226" s="1"/>
  <c r="AQ53" i="226"/>
  <c r="P61" i="226"/>
  <c r="AH23" i="226"/>
  <c r="BK53" i="226"/>
  <c r="AW32" i="226"/>
  <c r="AM36" i="226"/>
  <c r="AH53" i="226"/>
  <c r="BB55" i="226"/>
  <c r="AR52" i="226"/>
  <c r="AW53" i="226" s="1"/>
  <c r="AW36" i="226"/>
  <c r="CO24" i="226"/>
  <c r="DH24" i="226" s="1"/>
  <c r="CX25" i="226"/>
  <c r="BT63" i="226"/>
  <c r="BJ61" i="226"/>
  <c r="AQ49" i="226"/>
  <c r="P62" i="226"/>
  <c r="P63" i="226" s="1"/>
  <c r="CR61" i="226"/>
  <c r="T62" i="226"/>
  <c r="Y63" i="226" s="1"/>
  <c r="AM32" i="226"/>
  <c r="DJ51" i="226"/>
  <c r="R51" i="226"/>
  <c r="T25" i="226"/>
  <c r="CP85" i="226"/>
  <c r="CF52" i="226"/>
  <c r="CF53" i="226" s="1"/>
  <c r="AO63" i="226"/>
  <c r="AA63" i="226"/>
  <c r="S13" i="226"/>
  <c r="AM50" i="226"/>
  <c r="AM30" i="226"/>
  <c r="CK34" i="226"/>
  <c r="CK52" i="226"/>
  <c r="CK78" i="226"/>
  <c r="CU85" i="226"/>
  <c r="AH49" i="226"/>
  <c r="AC55" i="226"/>
  <c r="CF22" i="226"/>
  <c r="CK23" i="226" s="1"/>
  <c r="BQ49" i="226"/>
  <c r="CJ53" i="226"/>
  <c r="BZ61" i="226"/>
  <c r="AM23" i="226"/>
  <c r="T61" i="226"/>
  <c r="BV49" i="226"/>
  <c r="BX63" i="226"/>
  <c r="AQ23" i="226"/>
  <c r="AQ24" i="226"/>
  <c r="AQ62" i="226" s="1"/>
  <c r="S53" i="226"/>
  <c r="AH55" i="226"/>
  <c r="DJ15" i="226"/>
  <c r="AC51" i="226"/>
  <c r="CJ60" i="226"/>
  <c r="DJ55" i="226"/>
  <c r="CO23" i="226"/>
  <c r="DH23" i="226" s="1"/>
  <c r="CX66" i="226"/>
  <c r="CX82" i="226" s="1"/>
  <c r="CX83" i="226" s="1"/>
  <c r="CW70" i="226"/>
  <c r="BV51" i="226"/>
  <c r="S55" i="226"/>
  <c r="X49" i="226"/>
  <c r="DJ49" i="226"/>
  <c r="M60" i="226"/>
  <c r="R61" i="226" s="1"/>
  <c r="CX70" i="226"/>
  <c r="CP89" i="226"/>
  <c r="CW66" i="226"/>
  <c r="CW82" i="226" s="1"/>
  <c r="CW83" i="226" s="1"/>
  <c r="AA61" i="226"/>
  <c r="BB49" i="226"/>
  <c r="BL30" i="226"/>
  <c r="BG95" i="226"/>
  <c r="CB25" i="226"/>
  <c r="CP86" i="226"/>
  <c r="CC25" i="226"/>
  <c r="O62" i="226"/>
  <c r="O63" i="226" s="1"/>
  <c r="AM17" i="226"/>
  <c r="N17" i="226"/>
  <c r="BB17" i="226"/>
  <c r="CF15" i="226"/>
  <c r="CQ25" i="226"/>
  <c r="BP25" i="226"/>
  <c r="CF99" i="226"/>
  <c r="AK62" i="226"/>
  <c r="AK63" i="226" s="1"/>
  <c r="AS62" i="226"/>
  <c r="AS63" i="226" s="1"/>
  <c r="AR17" i="226"/>
  <c r="CP43" i="226"/>
  <c r="CP99" i="226"/>
  <c r="Q62" i="226"/>
  <c r="Q63" i="226" s="1"/>
  <c r="AU62" i="226"/>
  <c r="AZ63" i="226" s="1"/>
  <c r="CU82" i="226"/>
  <c r="CU83" i="226" s="1"/>
  <c r="CK86" i="226"/>
  <c r="CT40" i="226"/>
  <c r="CY39" i="226"/>
  <c r="CU39" i="226"/>
  <c r="CU40" i="226" s="1"/>
  <c r="CT43" i="226"/>
  <c r="BC63" i="226"/>
  <c r="AN63" i="226"/>
  <c r="AS61" i="226"/>
  <c r="CV70" i="226"/>
  <c r="DH89" i="226"/>
  <c r="DJ89" i="226" s="1"/>
  <c r="CU17" i="226"/>
  <c r="CU88" i="226"/>
  <c r="CU89" i="226" s="1"/>
  <c r="DI85" i="226"/>
  <c r="DJ85" i="226"/>
  <c r="DH90" i="226"/>
  <c r="DJ90" i="226" s="1"/>
  <c r="CT91" i="226"/>
  <c r="DF91" i="226" s="1"/>
  <c r="DH91" i="226"/>
  <c r="DI89" i="226"/>
  <c r="DI83" i="226"/>
  <c r="DJ83" i="226"/>
  <c r="DH86" i="226"/>
  <c r="DJ86" i="226" s="1"/>
  <c r="CT87" i="226"/>
  <c r="DF87" i="226" s="1"/>
  <c r="CI61" i="226"/>
  <c r="BR63" i="226"/>
  <c r="AV53" i="226"/>
  <c r="I25" i="226"/>
  <c r="CF23" i="226"/>
  <c r="CL61" i="226"/>
  <c r="AV49" i="226"/>
  <c r="CL62" i="226"/>
  <c r="AB25" i="226"/>
  <c r="CA49" i="226"/>
  <c r="CA60" i="226"/>
  <c r="AQ51" i="226"/>
  <c r="BK49" i="226"/>
  <c r="X23" i="226"/>
  <c r="BL23" i="226"/>
  <c r="BQ55" i="226"/>
  <c r="AH51" i="226"/>
  <c r="N22" i="226"/>
  <c r="S23" i="226" s="1"/>
  <c r="AB23" i="226"/>
  <c r="AR54" i="226"/>
  <c r="AW55" i="226" s="1"/>
  <c r="DH52" i="226"/>
  <c r="CT53" i="226"/>
  <c r="DF53" i="226" s="1"/>
  <c r="DI53" i="226" s="1"/>
  <c r="BS63" i="226"/>
  <c r="CK60" i="226"/>
  <c r="CP137" i="1"/>
  <c r="CF135" i="1"/>
  <c r="CF134" i="1" s="1"/>
  <c r="CO134" i="1"/>
  <c r="DH134" i="1" s="1"/>
  <c r="DH135" i="1"/>
  <c r="CP135" i="1"/>
  <c r="CP152" i="1"/>
  <c r="DH152" i="1"/>
  <c r="DJ152" i="1" s="1"/>
  <c r="CP161" i="1"/>
  <c r="DH161" i="1"/>
  <c r="CP165" i="1"/>
  <c r="DH165" i="1"/>
  <c r="DJ165" i="1" s="1"/>
  <c r="CP148" i="1"/>
  <c r="DH148" i="1"/>
  <c r="DJ148" i="1" s="1"/>
  <c r="CP138" i="1"/>
  <c r="DH138" i="1"/>
  <c r="CP146" i="1"/>
  <c r="DH146" i="1"/>
  <c r="CP147" i="1"/>
  <c r="DH147" i="1"/>
  <c r="DJ147" i="1" s="1"/>
  <c r="CP155" i="1"/>
  <c r="DH155" i="1"/>
  <c r="DJ155" i="1" s="1"/>
  <c r="CO63" i="1"/>
  <c r="DH63" i="1" s="1"/>
  <c r="DH62" i="1"/>
  <c r="CP150" i="1"/>
  <c r="DH150" i="1"/>
  <c r="DJ150" i="1" s="1"/>
  <c r="CP151" i="1"/>
  <c r="DH151" i="1"/>
  <c r="DJ151" i="1" s="1"/>
  <c r="CP164" i="1"/>
  <c r="DJ48" i="226"/>
  <c r="AV57" i="226"/>
  <c r="AR57" i="226"/>
  <c r="CA55" i="226"/>
  <c r="DI16" i="226"/>
  <c r="DJ16" i="226"/>
  <c r="CW94" i="1"/>
  <c r="CW96" i="1" s="1"/>
  <c r="CV165" i="1"/>
  <c r="CP15" i="226"/>
  <c r="CP22" i="226"/>
  <c r="CP24" i="226" s="1"/>
  <c r="AX207" i="1"/>
  <c r="AX200" i="1"/>
  <c r="CL207" i="1"/>
  <c r="CL200" i="1"/>
  <c r="CV164" i="1"/>
  <c r="CG200" i="1"/>
  <c r="CG207" i="1"/>
  <c r="CW88" i="1"/>
  <c r="CV120" i="1"/>
  <c r="CV30" i="1" s="1"/>
  <c r="CV116" i="1"/>
  <c r="AA34" i="227"/>
  <c r="Z45" i="227"/>
  <c r="Z92" i="227" s="1"/>
  <c r="CX92" i="1"/>
  <c r="N198" i="1"/>
  <c r="CP149" i="1"/>
  <c r="DH149" i="1"/>
  <c r="DJ149" i="1" s="1"/>
  <c r="CP153" i="1"/>
  <c r="DH153" i="1"/>
  <c r="DJ153" i="1" s="1"/>
  <c r="CP154" i="1"/>
  <c r="DH154" i="1"/>
  <c r="DJ154" i="1" s="1"/>
  <c r="CP145" i="1"/>
  <c r="DH145" i="1"/>
  <c r="CP167" i="1"/>
  <c r="CP156" i="1"/>
  <c r="DH156" i="1"/>
  <c r="DJ156" i="1" s="1"/>
  <c r="CA230" i="1"/>
  <c r="AL134" i="1"/>
  <c r="CD175" i="1"/>
  <c r="DF14" i="226"/>
  <c r="BV55" i="226"/>
  <c r="DJ54" i="226"/>
  <c r="DI54" i="226"/>
  <c r="DI50" i="226"/>
  <c r="DJ50" i="226"/>
  <c r="E52" i="227"/>
  <c r="T23" i="227"/>
  <c r="S71" i="229"/>
  <c r="S60" i="227"/>
  <c r="T56" i="227" s="1"/>
  <c r="AV55" i="226"/>
  <c r="DH192" i="1"/>
  <c r="CO207" i="1"/>
  <c r="BN200" i="1"/>
  <c r="BN207" i="1"/>
  <c r="BN206" i="1"/>
  <c r="DI12" i="226"/>
  <c r="DJ12" i="226"/>
  <c r="DJ10" i="226"/>
  <c r="DI10" i="226"/>
  <c r="CV96" i="1"/>
  <c r="K82" i="229"/>
  <c r="L82" i="229" s="1"/>
  <c r="K81" i="229"/>
  <c r="L81" i="229" s="1"/>
  <c r="M81" i="229" s="1"/>
  <c r="N81" i="229" s="1"/>
  <c r="O81" i="229" s="1"/>
  <c r="P81" i="229" s="1"/>
  <c r="Q81" i="229" s="1"/>
  <c r="R81" i="229" s="1"/>
  <c r="S81" i="229" s="1"/>
  <c r="T81" i="229" s="1"/>
  <c r="U81" i="229" s="1"/>
  <c r="V81" i="229" s="1"/>
  <c r="W81" i="229" s="1"/>
  <c r="X81" i="229" s="1"/>
  <c r="Y81" i="229" s="1"/>
  <c r="Z81" i="229" s="1"/>
  <c r="AA81" i="229" s="1"/>
  <c r="AB81" i="229" s="1"/>
  <c r="K80" i="229"/>
  <c r="K79" i="229"/>
  <c r="L79" i="229" s="1"/>
  <c r="K26" i="229"/>
  <c r="AB18" i="229"/>
  <c r="Z108" i="229"/>
  <c r="AA111" i="229" s="1"/>
  <c r="Z51" i="229"/>
  <c r="AA5" i="229"/>
  <c r="H58" i="229"/>
  <c r="H52" i="229"/>
  <c r="H51" i="229" s="1"/>
  <c r="J58" i="229"/>
  <c r="J52" i="229"/>
  <c r="J51" i="229" s="1"/>
  <c r="E52" i="229"/>
  <c r="E51" i="229" s="1"/>
  <c r="E58" i="229"/>
  <c r="L66" i="229"/>
  <c r="L35" i="229"/>
  <c r="G58" i="229"/>
  <c r="G52" i="229"/>
  <c r="G51" i="229" s="1"/>
  <c r="U126" i="229"/>
  <c r="U125" i="229" s="1"/>
  <c r="U135" i="229"/>
  <c r="U49" i="229"/>
  <c r="P109" i="229"/>
  <c r="Q42" i="229"/>
  <c r="Z134" i="229"/>
  <c r="Z127" i="229"/>
  <c r="Z50" i="229"/>
  <c r="AA20" i="229"/>
  <c r="E37" i="229"/>
  <c r="K121" i="229"/>
  <c r="K105" i="229"/>
  <c r="K133" i="229"/>
  <c r="K96" i="229"/>
  <c r="K88" i="229"/>
  <c r="K61" i="229"/>
  <c r="K74" i="229"/>
  <c r="K54" i="229"/>
  <c r="K40" i="229"/>
  <c r="K16" i="229"/>
  <c r="L3" i="229"/>
  <c r="W8" i="229"/>
  <c r="V10" i="229"/>
  <c r="V13" i="229" s="1"/>
  <c r="V14" i="229"/>
  <c r="O116" i="229"/>
  <c r="P106" i="229"/>
  <c r="Z115" i="229"/>
  <c r="Z113" i="229"/>
  <c r="E141" i="228"/>
  <c r="E72" i="228"/>
  <c r="E80" i="228" s="1"/>
  <c r="Q129" i="228"/>
  <c r="R127" i="228" s="1"/>
  <c r="Q128" i="228"/>
  <c r="S132" i="228"/>
  <c r="S133" i="228" s="1"/>
  <c r="T131" i="228" s="1"/>
  <c r="Q164" i="228"/>
  <c r="Q150" i="228"/>
  <c r="Q171" i="228"/>
  <c r="R3" i="228"/>
  <c r="Q86" i="228"/>
  <c r="U152" i="228"/>
  <c r="U154" i="228" s="1"/>
  <c r="U173" i="228"/>
  <c r="U157" i="228"/>
  <c r="U161" i="228" s="1"/>
  <c r="Q56" i="228"/>
  <c r="Q60" i="228" s="1"/>
  <c r="R56" i="228" s="1"/>
  <c r="R60" i="228" s="1"/>
  <c r="S56" i="228" s="1"/>
  <c r="S60" i="228" s="1"/>
  <c r="T56" i="228" s="1"/>
  <c r="T60" i="228" s="1"/>
  <c r="U56" i="228" s="1"/>
  <c r="U60" i="228" s="1"/>
  <c r="V56" i="228" s="1"/>
  <c r="V60" i="228" s="1"/>
  <c r="W56" i="228" s="1"/>
  <c r="W60" i="228" s="1"/>
  <c r="X56" i="228" s="1"/>
  <c r="X60" i="228" s="1"/>
  <c r="Y56" i="228" s="1"/>
  <c r="Y60" i="228" s="1"/>
  <c r="Z56" i="228" s="1"/>
  <c r="Z60" i="228" s="1"/>
  <c r="AA56" i="228" s="1"/>
  <c r="AA60" i="228" s="1"/>
  <c r="AB56" i="228" s="1"/>
  <c r="AB60" i="228" s="1"/>
  <c r="P72" i="228"/>
  <c r="P80" i="228" s="1"/>
  <c r="AA32" i="228"/>
  <c r="S27" i="228"/>
  <c r="Z44" i="228"/>
  <c r="Y91" i="228"/>
  <c r="S79" i="228"/>
  <c r="S82" i="228" s="1"/>
  <c r="T78" i="228"/>
  <c r="H102" i="228"/>
  <c r="AB34" i="228"/>
  <c r="AB45" i="228" s="1"/>
  <c r="AB92" i="228" s="1"/>
  <c r="AA45" i="228"/>
  <c r="AA92" i="228" s="1"/>
  <c r="U166" i="228"/>
  <c r="V76" i="228"/>
  <c r="K22" i="228"/>
  <c r="K50" i="228"/>
  <c r="Q120" i="228"/>
  <c r="Q121" i="228" s="1"/>
  <c r="R119" i="228" s="1"/>
  <c r="Y172" i="228"/>
  <c r="G142" i="228"/>
  <c r="G96" i="228"/>
  <c r="G104" i="228" s="1"/>
  <c r="G106" i="228" s="1"/>
  <c r="G107" i="228" s="1"/>
  <c r="G108" i="228" s="1"/>
  <c r="H41" i="228"/>
  <c r="G53" i="228"/>
  <c r="G52" i="228"/>
  <c r="AA28" i="228"/>
  <c r="AB4" i="228"/>
  <c r="AB5" i="228"/>
  <c r="O112" i="228"/>
  <c r="P113" i="228"/>
  <c r="P115" i="228" s="1"/>
  <c r="P116" i="228" s="1"/>
  <c r="Q114" i="228" s="1"/>
  <c r="N141" i="228"/>
  <c r="N72" i="228"/>
  <c r="N80" i="228" s="1"/>
  <c r="M27" i="228"/>
  <c r="M38" i="228" s="1"/>
  <c r="L102" i="228"/>
  <c r="E142" i="228"/>
  <c r="E53" i="228"/>
  <c r="Q142" i="228"/>
  <c r="R144" i="228" s="1"/>
  <c r="Q53" i="228"/>
  <c r="R41" i="228"/>
  <c r="Q52" i="228"/>
  <c r="K141" i="227"/>
  <c r="K72" i="227"/>
  <c r="K80" i="227" s="1"/>
  <c r="T132" i="227"/>
  <c r="T133" i="227" s="1"/>
  <c r="U131" i="227" s="1"/>
  <c r="Q128" i="227"/>
  <c r="Q129" i="227" s="1"/>
  <c r="R127" i="227" s="1"/>
  <c r="P120" i="227"/>
  <c r="P121" i="227" s="1"/>
  <c r="Q119" i="227" s="1"/>
  <c r="G141" i="227"/>
  <c r="G72" i="227"/>
  <c r="G80" i="227" s="1"/>
  <c r="AB5" i="227"/>
  <c r="W166" i="227"/>
  <c r="E141" i="227"/>
  <c r="E72" i="227"/>
  <c r="E80" i="227" s="1"/>
  <c r="Y91" i="227"/>
  <c r="Z44" i="227"/>
  <c r="Y172" i="227"/>
  <c r="Q78" i="227"/>
  <c r="P79" i="227"/>
  <c r="P82" i="227" s="1"/>
  <c r="Q38" i="227"/>
  <c r="Q63" i="227"/>
  <c r="O141" i="227"/>
  <c r="P145" i="227" s="1"/>
  <c r="O72" i="227"/>
  <c r="O80" i="227" s="1"/>
  <c r="Z28" i="227"/>
  <c r="AA4" i="227"/>
  <c r="AB32" i="227"/>
  <c r="G96" i="227"/>
  <c r="G104" i="227" s="1"/>
  <c r="G106" i="227" s="1"/>
  <c r="G107" i="227" s="1"/>
  <c r="G108" i="227" s="1"/>
  <c r="H41" i="227"/>
  <c r="H50" i="227" s="1"/>
  <c r="H96" i="227" s="1"/>
  <c r="H104" i="227" s="1"/>
  <c r="H106" i="227" s="1"/>
  <c r="H102" i="227"/>
  <c r="K142" i="227"/>
  <c r="K96" i="227"/>
  <c r="K104" i="227" s="1"/>
  <c r="K106" i="227" s="1"/>
  <c r="K107" i="227" s="1"/>
  <c r="K108" i="227" s="1"/>
  <c r="K53" i="227"/>
  <c r="L41" i="227"/>
  <c r="O115" i="227"/>
  <c r="P50" i="227"/>
  <c r="P22" i="227"/>
  <c r="Q164" i="227"/>
  <c r="Q171" i="227"/>
  <c r="Q150" i="227"/>
  <c r="Q86" i="227"/>
  <c r="R3" i="227"/>
  <c r="N44" i="226"/>
  <c r="BB60" i="226"/>
  <c r="CY48" i="226"/>
  <c r="CY29" i="226" s="1"/>
  <c r="BG43" i="226"/>
  <c r="BG48" i="226"/>
  <c r="BG49" i="226" s="1"/>
  <c r="BG30" i="226"/>
  <c r="BY63" i="226"/>
  <c r="CV192" i="226"/>
  <c r="CV76" i="226" s="1"/>
  <c r="CE23" i="226"/>
  <c r="CE24" i="226"/>
  <c r="CJ23" i="226"/>
  <c r="CQ61" i="226"/>
  <c r="X62" i="226"/>
  <c r="BI61" i="226"/>
  <c r="BP62" i="226"/>
  <c r="BV53" i="226"/>
  <c r="BL55" i="226"/>
  <c r="AM60" i="226"/>
  <c r="CP52" i="226"/>
  <c r="CP34" i="226"/>
  <c r="CM250" i="1"/>
  <c r="CM247" i="1"/>
  <c r="CM248" i="1" s="1"/>
  <c r="CM249" i="1" s="1"/>
  <c r="BZ192" i="226"/>
  <c r="CV167" i="226"/>
  <c r="CV166" i="226"/>
  <c r="CV34" i="226"/>
  <c r="CZ166" i="226"/>
  <c r="CZ167" i="226"/>
  <c r="AR48" i="226"/>
  <c r="AR43" i="226"/>
  <c r="AR30" i="226"/>
  <c r="AM24" i="226"/>
  <c r="BY250" i="1"/>
  <c r="BY247" i="1"/>
  <c r="BY248" i="1" s="1"/>
  <c r="CH25" i="226"/>
  <c r="AL23" i="226"/>
  <c r="AL24" i="226"/>
  <c r="CY50" i="226"/>
  <c r="CY31" i="226" s="1"/>
  <c r="CF55" i="226"/>
  <c r="BL51" i="226"/>
  <c r="CG61" i="226"/>
  <c r="S43" i="226"/>
  <c r="BM63" i="226"/>
  <c r="AW30" i="226"/>
  <c r="AL60" i="226"/>
  <c r="AL61" i="226" s="1"/>
  <c r="AL43" i="226"/>
  <c r="BX250" i="1"/>
  <c r="BX247" i="1"/>
  <c r="BX248" i="1" s="1"/>
  <c r="BB57" i="226"/>
  <c r="AF63" i="226"/>
  <c r="AB62" i="226"/>
  <c r="AB63" i="226" s="1"/>
  <c r="CZ13" i="226"/>
  <c r="DA12" i="226"/>
  <c r="BB24" i="226"/>
  <c r="AV23" i="226"/>
  <c r="AV24" i="226"/>
  <c r="CK24" i="226"/>
  <c r="BL62" i="226"/>
  <c r="DB166" i="226"/>
  <c r="CX166" i="226"/>
  <c r="DB167" i="226"/>
  <c r="CX167" i="226"/>
  <c r="CX34" i="226"/>
  <c r="AX61" i="226"/>
  <c r="BW63" i="226"/>
  <c r="BX191" i="226"/>
  <c r="CP250" i="1"/>
  <c r="CP247" i="1"/>
  <c r="CP248" i="1" s="1"/>
  <c r="CP249" i="1" s="1"/>
  <c r="CA51" i="226"/>
  <c r="CY14" i="226"/>
  <c r="CT22" i="226"/>
  <c r="DF22" i="226" s="1"/>
  <c r="CU14" i="226"/>
  <c r="AW17" i="226"/>
  <c r="AW60" i="226"/>
  <c r="BG52" i="226"/>
  <c r="BG53" i="226" s="1"/>
  <c r="BG34" i="226"/>
  <c r="BL34" i="226"/>
  <c r="AC60" i="226"/>
  <c r="AC43" i="226"/>
  <c r="R23" i="226"/>
  <c r="W23" i="226"/>
  <c r="R24" i="226"/>
  <c r="CO53" i="226"/>
  <c r="DH53" i="226" s="1"/>
  <c r="DF52" i="226"/>
  <c r="DI52" i="226" s="1"/>
  <c r="CY54" i="226"/>
  <c r="CY35" i="226" s="1"/>
  <c r="X53" i="226"/>
  <c r="BA23" i="226"/>
  <c r="DA167" i="226"/>
  <c r="CW167" i="226"/>
  <c r="DA166" i="226"/>
  <c r="CW166" i="226"/>
  <c r="CW34" i="226"/>
  <c r="CN62" i="226"/>
  <c r="CS61" i="226"/>
  <c r="AU25" i="226"/>
  <c r="X55" i="226"/>
  <c r="X60" i="226"/>
  <c r="BH63" i="226"/>
  <c r="BQ51" i="226"/>
  <c r="CG25" i="226"/>
  <c r="BU61" i="226"/>
  <c r="AC53" i="226"/>
  <c r="BQ23" i="226"/>
  <c r="BQ24" i="226"/>
  <c r="V25" i="226"/>
  <c r="AA25" i="226"/>
  <c r="AM54" i="226"/>
  <c r="AM55" i="226" s="1"/>
  <c r="BE44" i="226"/>
  <c r="BE62" i="226"/>
  <c r="BK62" i="226"/>
  <c r="BG55" i="226"/>
  <c r="CA250" i="1"/>
  <c r="CA247" i="1"/>
  <c r="CA248" i="1" s="1"/>
  <c r="CK49" i="226"/>
  <c r="CR44" i="226"/>
  <c r="CR62" i="226"/>
  <c r="CR208" i="1"/>
  <c r="BQ53" i="226"/>
  <c r="S60" i="226"/>
  <c r="CF51" i="226"/>
  <c r="BG60" i="226"/>
  <c r="BF62" i="226"/>
  <c r="BF44" i="226"/>
  <c r="AH60" i="226"/>
  <c r="AH43" i="226"/>
  <c r="CW60" i="226"/>
  <c r="CW61" i="226" s="1"/>
  <c r="AW57" i="226"/>
  <c r="BY191" i="226"/>
  <c r="CI250" i="1"/>
  <c r="CI247" i="1"/>
  <c r="CI248" i="1" s="1"/>
  <c r="CI249" i="1" s="1"/>
  <c r="CP55" i="226"/>
  <c r="BA44" i="226"/>
  <c r="BA62" i="226"/>
  <c r="CM62" i="226"/>
  <c r="BB43" i="226"/>
  <c r="CN61" i="226"/>
  <c r="CS62" i="226"/>
  <c r="CS44" i="226"/>
  <c r="CS208" i="1"/>
  <c r="BB53" i="226"/>
  <c r="BF60" i="226"/>
  <c r="BF61" i="226" s="1"/>
  <c r="BD44" i="226"/>
  <c r="BD62" i="226"/>
  <c r="BD63" i="226" s="1"/>
  <c r="AG61" i="226"/>
  <c r="CL250" i="1"/>
  <c r="CL247" i="1"/>
  <c r="CL248" i="1" s="1"/>
  <c r="CL249" i="1" s="1"/>
  <c r="X51" i="226"/>
  <c r="AK25" i="226"/>
  <c r="CO60" i="226"/>
  <c r="DH43" i="226"/>
  <c r="AC23" i="226"/>
  <c r="AC24" i="226"/>
  <c r="AT25" i="226"/>
  <c r="AT62" i="226"/>
  <c r="AT63" i="226" s="1"/>
  <c r="AY25" i="226"/>
  <c r="BV60" i="226"/>
  <c r="BV61" i="226" s="1"/>
  <c r="AR23" i="226"/>
  <c r="AR24" i="226"/>
  <c r="AR60" i="226"/>
  <c r="AS25" i="226"/>
  <c r="AX25" i="226"/>
  <c r="CH61" i="226"/>
  <c r="CQ62" i="226"/>
  <c r="CQ44" i="226"/>
  <c r="CQ208" i="1"/>
  <c r="AO25" i="226"/>
  <c r="AG25" i="226"/>
  <c r="BG23" i="226"/>
  <c r="BG24" i="226"/>
  <c r="CL25" i="226"/>
  <c r="BP61" i="226"/>
  <c r="AV60" i="226"/>
  <c r="BA61" i="226" s="1"/>
  <c r="P6" i="226"/>
  <c r="O7" i="226"/>
  <c r="Q25" i="226"/>
  <c r="CE60" i="226"/>
  <c r="CE61" i="226" s="1"/>
  <c r="O25" i="226"/>
  <c r="BV23" i="226"/>
  <c r="BV24" i="226"/>
  <c r="DB10" i="226"/>
  <c r="AN25" i="226"/>
  <c r="AQ60" i="226"/>
  <c r="S24" i="226"/>
  <c r="BU62" i="226"/>
  <c r="AD63" i="226"/>
  <c r="CA23" i="226"/>
  <c r="CA24" i="226"/>
  <c r="AP25" i="226"/>
  <c r="AP62" i="226"/>
  <c r="BL60" i="226"/>
  <c r="S17" i="226"/>
  <c r="S49" i="226"/>
  <c r="AJ63" i="226"/>
  <c r="AW43" i="226"/>
  <c r="BN63" i="226"/>
  <c r="BW191" i="226"/>
  <c r="BU25" i="226"/>
  <c r="CA53" i="226"/>
  <c r="AM43" i="226"/>
  <c r="J6" i="236"/>
  <c r="I5" i="236"/>
  <c r="Q31" i="236"/>
  <c r="H22" i="236"/>
  <c r="H4" i="236"/>
  <c r="N209" i="1"/>
  <c r="N206" i="1"/>
  <c r="N157" i="1"/>
  <c r="F180" i="1"/>
  <c r="G177" i="1"/>
  <c r="G178" i="1" s="1"/>
  <c r="AR206" i="1"/>
  <c r="AR209" i="1"/>
  <c r="AR157" i="1"/>
  <c r="BL206" i="1"/>
  <c r="BL209" i="1"/>
  <c r="BL157" i="1"/>
  <c r="BL175" i="1" s="1"/>
  <c r="AH186" i="1"/>
  <c r="BV186" i="1"/>
  <c r="AR186" i="1"/>
  <c r="O230" i="1"/>
  <c r="S230" i="1"/>
  <c r="CF233" i="1"/>
  <c r="CF62" i="1"/>
  <c r="CF28" i="1"/>
  <c r="AI42" i="1"/>
  <c r="AI38" i="1"/>
  <c r="AI41" i="1"/>
  <c r="CP200" i="1"/>
  <c r="BF198" i="1"/>
  <c r="BF199" i="1"/>
  <c r="N201" i="1"/>
  <c r="N200" i="1"/>
  <c r="N207" i="1"/>
  <c r="U233" i="1"/>
  <c r="U62" i="1"/>
  <c r="U63" i="1" s="1"/>
  <c r="U37" i="1"/>
  <c r="U28" i="1"/>
  <c r="BG193" i="1"/>
  <c r="BG19" i="1"/>
  <c r="AH137" i="1"/>
  <c r="AH134" i="1" s="1"/>
  <c r="BG197" i="1"/>
  <c r="BG201" i="1"/>
  <c r="BG202" i="1"/>
  <c r="BG200" i="1"/>
  <c r="T233" i="1"/>
  <c r="T28" i="1"/>
  <c r="T37" i="1"/>
  <c r="T62" i="1"/>
  <c r="T63" i="1" s="1"/>
  <c r="AQ202" i="1"/>
  <c r="AQ197" i="1"/>
  <c r="AQ201" i="1"/>
  <c r="AQ207" i="1"/>
  <c r="AQ200" i="1"/>
  <c r="BO233" i="1"/>
  <c r="BO62" i="1"/>
  <c r="BO63" i="1" s="1"/>
  <c r="BO28" i="1"/>
  <c r="BD201" i="1"/>
  <c r="BD197" i="1"/>
  <c r="BD202" i="1"/>
  <c r="BD206" i="1"/>
  <c r="BD207" i="1"/>
  <c r="BD200" i="1"/>
  <c r="V42" i="1"/>
  <c r="V38" i="1"/>
  <c r="V41" i="1"/>
  <c r="AT42" i="1"/>
  <c r="AT38" i="1"/>
  <c r="AT41" i="1"/>
  <c r="BR42" i="1"/>
  <c r="BR38" i="1"/>
  <c r="BR41" i="1"/>
  <c r="CP233" i="1"/>
  <c r="CP62" i="1"/>
  <c r="F27" i="236"/>
  <c r="F28" i="236" s="1"/>
  <c r="CP28" i="1"/>
  <c r="BM233" i="1"/>
  <c r="BM62" i="1"/>
  <c r="BM63" i="1" s="1"/>
  <c r="BM28" i="1"/>
  <c r="CL230" i="1"/>
  <c r="CP230" i="1"/>
  <c r="AB134" i="1"/>
  <c r="R139" i="1"/>
  <c r="S139" i="1" s="1"/>
  <c r="AG126" i="1"/>
  <c r="AG127" i="1" s="1"/>
  <c r="AG118" i="1"/>
  <c r="N186" i="1"/>
  <c r="M186" i="1"/>
  <c r="BA186" i="1"/>
  <c r="CN175" i="1"/>
  <c r="BU134" i="1"/>
  <c r="W186" i="1"/>
  <c r="CW218" i="1"/>
  <c r="CV53" i="1"/>
  <c r="CV161" i="1" s="1"/>
  <c r="BH233" i="1"/>
  <c r="BH28" i="1"/>
  <c r="BH37" i="1"/>
  <c r="BH62" i="1"/>
  <c r="BH63" i="1" s="1"/>
  <c r="CQ209" i="1"/>
  <c r="AX199" i="1"/>
  <c r="AX198" i="1"/>
  <c r="AJ233" i="1"/>
  <c r="AJ28" i="1"/>
  <c r="AJ37" i="1"/>
  <c r="AJ62" i="1"/>
  <c r="AJ63" i="1" s="1"/>
  <c r="AT201" i="1"/>
  <c r="AT202" i="1"/>
  <c r="AT197" i="1"/>
  <c r="AT200" i="1"/>
  <c r="AT207" i="1"/>
  <c r="AT206" i="1"/>
  <c r="BL198" i="1"/>
  <c r="BL199" i="1"/>
  <c r="BQ199" i="1"/>
  <c r="BQ198" i="1"/>
  <c r="CK135" i="1"/>
  <c r="CK134" i="1" s="1"/>
  <c r="BF134" i="1"/>
  <c r="CW167" i="1"/>
  <c r="AH209" i="1"/>
  <c r="AH206" i="1"/>
  <c r="AH157" i="1"/>
  <c r="BQ209" i="1"/>
  <c r="BQ206" i="1"/>
  <c r="BQ157" i="1"/>
  <c r="BF186" i="1"/>
  <c r="BG141" i="1"/>
  <c r="CO221" i="1"/>
  <c r="CP162" i="1"/>
  <c r="CP221" i="1" s="1"/>
  <c r="DJ162" i="1"/>
  <c r="DI162" i="1"/>
  <c r="X201" i="1"/>
  <c r="X197" i="1"/>
  <c r="O42" i="1"/>
  <c r="O38" i="1"/>
  <c r="O41" i="1"/>
  <c r="AE42" i="1"/>
  <c r="AE38" i="1"/>
  <c r="AE41" i="1"/>
  <c r="AU42" i="1"/>
  <c r="AU38" i="1"/>
  <c r="AU41" i="1"/>
  <c r="BC42" i="1"/>
  <c r="BC38" i="1"/>
  <c r="BC41" i="1"/>
  <c r="CQ62" i="1"/>
  <c r="CQ63" i="1" s="1"/>
  <c r="AO233" i="1"/>
  <c r="AO62" i="1"/>
  <c r="AO63" i="1" s="1"/>
  <c r="AO37" i="1"/>
  <c r="AO28" i="1"/>
  <c r="CR42" i="1"/>
  <c r="CR38" i="1"/>
  <c r="CR41" i="1"/>
  <c r="AW230" i="1"/>
  <c r="AW23" i="1"/>
  <c r="AM197" i="1"/>
  <c r="AM200" i="1"/>
  <c r="AM201" i="1"/>
  <c r="G233" i="1"/>
  <c r="G28" i="1"/>
  <c r="G62" i="1"/>
  <c r="G37" i="1"/>
  <c r="I233" i="1"/>
  <c r="I62" i="1"/>
  <c r="I37" i="1"/>
  <c r="I28" i="1"/>
  <c r="AW202" i="1"/>
  <c r="AW197" i="1"/>
  <c r="AW201" i="1"/>
  <c r="CF230" i="1"/>
  <c r="CF23" i="1"/>
  <c r="AW112" i="1"/>
  <c r="BP134" i="1"/>
  <c r="BV118" i="1"/>
  <c r="BV126" i="1"/>
  <c r="BV127" i="1" s="1"/>
  <c r="BA126" i="1"/>
  <c r="BA127" i="1" s="1"/>
  <c r="BA118" i="1"/>
  <c r="BD118" i="1"/>
  <c r="BD126" i="1"/>
  <c r="BD127" i="1" s="1"/>
  <c r="CJ186" i="1"/>
  <c r="CK141" i="1"/>
  <c r="CO209" i="1"/>
  <c r="CO157" i="1"/>
  <c r="DH157" i="1" s="1"/>
  <c r="AB209" i="1"/>
  <c r="AB157" i="1"/>
  <c r="AC144" i="1"/>
  <c r="CE221" i="1"/>
  <c r="CF162" i="1"/>
  <c r="CF221" i="1" s="1"/>
  <c r="CS118" i="1"/>
  <c r="BU175" i="1"/>
  <c r="BZ209" i="1"/>
  <c r="BZ157" i="1"/>
  <c r="CE168" i="1"/>
  <c r="BG206" i="1"/>
  <c r="AM206" i="1"/>
  <c r="X141" i="1"/>
  <c r="CE233" i="1"/>
  <c r="CE28" i="1"/>
  <c r="CE62" i="1"/>
  <c r="CE63" i="1" s="1"/>
  <c r="BQ168" i="1"/>
  <c r="BV134" i="1"/>
  <c r="O200" i="1"/>
  <c r="O201" i="1"/>
  <c r="O207" i="1"/>
  <c r="O197" i="1"/>
  <c r="O206" i="1"/>
  <c r="Y233" i="1"/>
  <c r="Y62" i="1"/>
  <c r="Y63" i="1" s="1"/>
  <c r="Y37" i="1"/>
  <c r="Y28" i="1"/>
  <c r="BB193" i="1"/>
  <c r="BB19" i="1"/>
  <c r="K63" i="1"/>
  <c r="AB233" i="1"/>
  <c r="AB28" i="1"/>
  <c r="AB37" i="1"/>
  <c r="AB62" i="1"/>
  <c r="AB63" i="1" s="1"/>
  <c r="AW193" i="1"/>
  <c r="AW19" i="1"/>
  <c r="Z42" i="1"/>
  <c r="Z38" i="1"/>
  <c r="Z41" i="1"/>
  <c r="AX42" i="1"/>
  <c r="AX38" i="1"/>
  <c r="AX41" i="1"/>
  <c r="CD42" i="1"/>
  <c r="CD38" i="1"/>
  <c r="CD41" i="1"/>
  <c r="AR199" i="1"/>
  <c r="AR198" i="1"/>
  <c r="BY233" i="1"/>
  <c r="BY62" i="1"/>
  <c r="BY63" i="1" s="1"/>
  <c r="BY28" i="1"/>
  <c r="AH118" i="1"/>
  <c r="AH126" i="1"/>
  <c r="AH127" i="1" s="1"/>
  <c r="X134" i="1"/>
  <c r="BQ127" i="1"/>
  <c r="BQ118" i="1"/>
  <c r="AL186" i="1"/>
  <c r="AM141" i="1"/>
  <c r="Q209" i="1"/>
  <c r="Q206" i="1"/>
  <c r="Q157" i="1"/>
  <c r="R144" i="1"/>
  <c r="BL134" i="1"/>
  <c r="P220" i="1"/>
  <c r="P46" i="1"/>
  <c r="P51" i="1" s="1"/>
  <c r="P45" i="1"/>
  <c r="BK209" i="1"/>
  <c r="BK157" i="1"/>
  <c r="BK175" i="1" s="1"/>
  <c r="M233" i="1"/>
  <c r="M62" i="1"/>
  <c r="P124" i="1" s="1"/>
  <c r="P125" i="1" s="1"/>
  <c r="M37" i="1"/>
  <c r="M28" i="1"/>
  <c r="AI206" i="1"/>
  <c r="AI201" i="1"/>
  <c r="AI197" i="1"/>
  <c r="AI200" i="1"/>
  <c r="AI207" i="1"/>
  <c r="CK193" i="1"/>
  <c r="CK19" i="1"/>
  <c r="L63" i="1"/>
  <c r="J42" i="1"/>
  <c r="J38" i="1"/>
  <c r="J41" i="1"/>
  <c r="AP42" i="1"/>
  <c r="AP38" i="1"/>
  <c r="AP41" i="1"/>
  <c r="BN42" i="1"/>
  <c r="BN38" i="1"/>
  <c r="BN41" i="1"/>
  <c r="CL42" i="1"/>
  <c r="CL38" i="1"/>
  <c r="CL41" i="1"/>
  <c r="BV197" i="1"/>
  <c r="BV201" i="1"/>
  <c r="BV200" i="1"/>
  <c r="BV202" i="1"/>
  <c r="X198" i="1"/>
  <c r="X199" i="1"/>
  <c r="BH118" i="1"/>
  <c r="BH126" i="1"/>
  <c r="BH127" i="1" s="1"/>
  <c r="AR200" i="1"/>
  <c r="R137" i="1"/>
  <c r="CE209" i="1"/>
  <c r="CE157" i="1"/>
  <c r="CF144" i="1"/>
  <c r="X209" i="1"/>
  <c r="X206" i="1"/>
  <c r="X157" i="1"/>
  <c r="BP186" i="1"/>
  <c r="BQ141" i="1"/>
  <c r="W209" i="1"/>
  <c r="W157" i="1"/>
  <c r="CS175" i="1"/>
  <c r="F42" i="1"/>
  <c r="F38" i="1"/>
  <c r="F41" i="1"/>
  <c r="CH42" i="1"/>
  <c r="CH38" i="1"/>
  <c r="CH41" i="1"/>
  <c r="O134" i="1"/>
  <c r="BK186" i="1"/>
  <c r="BB141" i="1"/>
  <c r="CK161" i="1"/>
  <c r="BE202" i="1"/>
  <c r="BE197" i="1"/>
  <c r="BE201" i="1"/>
  <c r="BE200" i="1"/>
  <c r="BE206" i="1"/>
  <c r="BE207" i="1"/>
  <c r="AG186" i="1"/>
  <c r="CF201" i="1"/>
  <c r="CF197" i="1"/>
  <c r="CF202" i="1"/>
  <c r="CK202" i="1"/>
  <c r="CK197" i="1"/>
  <c r="CK201" i="1"/>
  <c r="CK200" i="1"/>
  <c r="M209" i="1"/>
  <c r="M157" i="1"/>
  <c r="M175" i="1" s="1"/>
  <c r="CO168" i="1"/>
  <c r="DH168" i="1" s="1"/>
  <c r="BL233" i="1"/>
  <c r="BL28" i="1"/>
  <c r="BL62" i="1"/>
  <c r="BL37" i="1"/>
  <c r="AE197" i="1"/>
  <c r="AE201" i="1"/>
  <c r="AE200" i="1"/>
  <c r="AE206" i="1"/>
  <c r="AE207" i="1"/>
  <c r="BW199" i="1"/>
  <c r="BW198" i="1"/>
  <c r="AH200" i="1"/>
  <c r="AH201" i="1"/>
  <c r="AH197" i="1"/>
  <c r="S198" i="1"/>
  <c r="S199" i="1"/>
  <c r="BV193" i="1"/>
  <c r="BV19" i="1"/>
  <c r="AC134" i="1"/>
  <c r="S141" i="1"/>
  <c r="AV162" i="1"/>
  <c r="AV168" i="1" s="1"/>
  <c r="AU168" i="1"/>
  <c r="CI175" i="1"/>
  <c r="BV175" i="1"/>
  <c r="N112" i="1"/>
  <c r="CW136" i="1"/>
  <c r="CE186" i="1"/>
  <c r="CQ233" i="1"/>
  <c r="BA199" i="1"/>
  <c r="BA198" i="1"/>
  <c r="BA233" i="1"/>
  <c r="BA62" i="1"/>
  <c r="BA63" i="1" s="1"/>
  <c r="BA37" i="1"/>
  <c r="BA28" i="1"/>
  <c r="AZ233" i="1"/>
  <c r="AZ28" i="1"/>
  <c r="AZ37" i="1"/>
  <c r="AZ62" i="1"/>
  <c r="AZ63" i="1" s="1"/>
  <c r="BU199" i="1"/>
  <c r="BU198" i="1"/>
  <c r="H41" i="1"/>
  <c r="H42" i="1"/>
  <c r="H38" i="1"/>
  <c r="M200" i="1"/>
  <c r="M197" i="1"/>
  <c r="M201" i="1"/>
  <c r="M207" i="1"/>
  <c r="AC230" i="1"/>
  <c r="AC23" i="1"/>
  <c r="BQ230" i="1"/>
  <c r="BQ23" i="1"/>
  <c r="BZ199" i="1"/>
  <c r="BZ198" i="1"/>
  <c r="AN233" i="1"/>
  <c r="AN28" i="1"/>
  <c r="AN62" i="1"/>
  <c r="AN63" i="1" s="1"/>
  <c r="AN37" i="1"/>
  <c r="BW42" i="1"/>
  <c r="BW38" i="1"/>
  <c r="BW41" i="1"/>
  <c r="CM42" i="1"/>
  <c r="CM38" i="1"/>
  <c r="CM41" i="1"/>
  <c r="L41" i="1"/>
  <c r="L42" i="1"/>
  <c r="L38" i="1"/>
  <c r="CP198" i="1"/>
  <c r="CP199" i="1"/>
  <c r="J63" i="1"/>
  <c r="BI233" i="1"/>
  <c r="BI62" i="1"/>
  <c r="BI63" i="1" s="1"/>
  <c r="BI37" i="1"/>
  <c r="BI28" i="1"/>
  <c r="AM134" i="1"/>
  <c r="BG134" i="1"/>
  <c r="CA134" i="1"/>
  <c r="CV252" i="1"/>
  <c r="CV243" i="1"/>
  <c r="CV226" i="1"/>
  <c r="CV163" i="1"/>
  <c r="N197" i="1"/>
  <c r="AR134" i="1"/>
  <c r="CF207" i="1"/>
  <c r="AV186" i="1"/>
  <c r="AW141" i="1"/>
  <c r="R163" i="1"/>
  <c r="R168" i="1" s="1"/>
  <c r="Q168" i="1"/>
  <c r="F124" i="1"/>
  <c r="F125" i="1" s="1"/>
  <c r="F63" i="1"/>
  <c r="CS209" i="1"/>
  <c r="CN63" i="1"/>
  <c r="CF141" i="1"/>
  <c r="BK233" i="1"/>
  <c r="BK28" i="1"/>
  <c r="BK62" i="1"/>
  <c r="BK63" i="1" s="1"/>
  <c r="BK37" i="1"/>
  <c r="Q42" i="1"/>
  <c r="Q38" i="1"/>
  <c r="Q41" i="1"/>
  <c r="AA42" i="1"/>
  <c r="AA38" i="1"/>
  <c r="AA41" i="1"/>
  <c r="W233" i="1"/>
  <c r="W28" i="1"/>
  <c r="W62" i="1"/>
  <c r="W63" i="1" s="1"/>
  <c r="W37" i="1"/>
  <c r="AG233" i="1"/>
  <c r="AG62" i="1"/>
  <c r="AG63" i="1" s="1"/>
  <c r="AG37" i="1"/>
  <c r="AG28" i="1"/>
  <c r="W201" i="1"/>
  <c r="W197" i="1"/>
  <c r="W207" i="1"/>
  <c r="W200" i="1"/>
  <c r="AQ233" i="1"/>
  <c r="AQ62" i="1"/>
  <c r="AQ63" i="1" s="1"/>
  <c r="AQ28" i="1"/>
  <c r="AQ37" i="1"/>
  <c r="AG197" i="1"/>
  <c r="AG201" i="1"/>
  <c r="AG200" i="1"/>
  <c r="AG207" i="1"/>
  <c r="AH198" i="1"/>
  <c r="AH199" i="1"/>
  <c r="CJ209" i="1"/>
  <c r="CJ157" i="1"/>
  <c r="CJ175" i="1" s="1"/>
  <c r="CK144" i="1"/>
  <c r="BU186" i="1"/>
  <c r="CO186" i="1"/>
  <c r="DH186" i="1" s="1"/>
  <c r="AQ209" i="1"/>
  <c r="AQ157" i="1"/>
  <c r="N175" i="1"/>
  <c r="AH207" i="1"/>
  <c r="BG207" i="1"/>
  <c r="AQ186" i="1"/>
  <c r="DF161" i="1"/>
  <c r="DF54" i="1"/>
  <c r="BL201" i="1"/>
  <c r="BL202" i="1"/>
  <c r="BL197" i="1"/>
  <c r="BC206" i="1"/>
  <c r="BC202" i="1"/>
  <c r="BC201" i="1"/>
  <c r="BC197" i="1"/>
  <c r="BC207" i="1"/>
  <c r="BC200" i="1"/>
  <c r="CA193" i="1"/>
  <c r="CA19" i="1"/>
  <c r="BD233" i="1"/>
  <c r="BD28" i="1"/>
  <c r="BD62" i="1"/>
  <c r="BD63" i="1" s="1"/>
  <c r="BD37" i="1"/>
  <c r="CS233" i="1"/>
  <c r="CS62" i="1"/>
  <c r="CS28" i="1"/>
  <c r="K42" i="1"/>
  <c r="K38" i="1"/>
  <c r="K41" i="1"/>
  <c r="AY42" i="1"/>
  <c r="AY38" i="1"/>
  <c r="AY41" i="1"/>
  <c r="CB233" i="1"/>
  <c r="CB62" i="1"/>
  <c r="CB63" i="1" s="1"/>
  <c r="CB28" i="1"/>
  <c r="AK233" i="1"/>
  <c r="AK62" i="1"/>
  <c r="AK63" i="1" s="1"/>
  <c r="AK37" i="1"/>
  <c r="AK28" i="1"/>
  <c r="AB201" i="1"/>
  <c r="AB197" i="1"/>
  <c r="AB207" i="1"/>
  <c r="AB200" i="1"/>
  <c r="AC201" i="1"/>
  <c r="AC197" i="1"/>
  <c r="CF198" i="1"/>
  <c r="AS233" i="1"/>
  <c r="AS62" i="1"/>
  <c r="AS63" i="1" s="1"/>
  <c r="AS37" i="1"/>
  <c r="AS28" i="1"/>
  <c r="AR112" i="1"/>
  <c r="BO118" i="1"/>
  <c r="BO126" i="1"/>
  <c r="BO127" i="1" s="1"/>
  <c r="AW134" i="1"/>
  <c r="BQ134" i="1"/>
  <c r="BM126" i="1"/>
  <c r="BM127" i="1" s="1"/>
  <c r="BM118" i="1"/>
  <c r="AC200" i="1"/>
  <c r="Q186" i="1"/>
  <c r="BZ186" i="1"/>
  <c r="CA141" i="1"/>
  <c r="CP209" i="1"/>
  <c r="AW162" i="1"/>
  <c r="AW168" i="1" s="1"/>
  <c r="CC233" i="1"/>
  <c r="CC62" i="1"/>
  <c r="CC63" i="1" s="1"/>
  <c r="CC28" i="1"/>
  <c r="CV136" i="1"/>
  <c r="CJ221" i="1"/>
  <c r="CK162" i="1"/>
  <c r="CK221" i="1" s="1"/>
  <c r="X233" i="1"/>
  <c r="X28" i="1"/>
  <c r="X62" i="1"/>
  <c r="X37" i="1"/>
  <c r="CI42" i="1"/>
  <c r="CI38" i="1"/>
  <c r="CI41" i="1"/>
  <c r="CQ42" i="1"/>
  <c r="CQ38" i="1"/>
  <c r="CQ41" i="1"/>
  <c r="BT41" i="1"/>
  <c r="BT42" i="1"/>
  <c r="BT38" i="1"/>
  <c r="CR233" i="1"/>
  <c r="CG233" i="1"/>
  <c r="CG62" i="1"/>
  <c r="CG63" i="1" s="1"/>
  <c r="CG28" i="1"/>
  <c r="BA202" i="1"/>
  <c r="BA197" i="1"/>
  <c r="BA201" i="1"/>
  <c r="BA200" i="1"/>
  <c r="BA207" i="1"/>
  <c r="CO42" i="1"/>
  <c r="DH42" i="1" s="1"/>
  <c r="CO38" i="1"/>
  <c r="DH38" i="1" s="1"/>
  <c r="CO41" i="1"/>
  <c r="DH41" i="1" s="1"/>
  <c r="BX233" i="1"/>
  <c r="BX62" i="1"/>
  <c r="BX63" i="1" s="1"/>
  <c r="BX28" i="1"/>
  <c r="E233" i="1"/>
  <c r="E62" i="1"/>
  <c r="E37" i="1"/>
  <c r="E28" i="1"/>
  <c r="AM233" i="1"/>
  <c r="AM28" i="1"/>
  <c r="AM62" i="1"/>
  <c r="AM37" i="1"/>
  <c r="H124" i="1"/>
  <c r="H125" i="1" s="1"/>
  <c r="H63" i="1"/>
  <c r="AD42" i="1"/>
  <c r="AD38" i="1"/>
  <c r="AD41" i="1"/>
  <c r="BJ42" i="1"/>
  <c r="BJ38" i="1"/>
  <c r="BJ41" i="1"/>
  <c r="AR201" i="1"/>
  <c r="AR202" i="1"/>
  <c r="AR197" i="1"/>
  <c r="BS233" i="1"/>
  <c r="BS28" i="1"/>
  <c r="BS62" i="1"/>
  <c r="BS63" i="1" s="1"/>
  <c r="AF233" i="1"/>
  <c r="AF28" i="1"/>
  <c r="AF62" i="1"/>
  <c r="AF63" i="1" s="1"/>
  <c r="AF37" i="1"/>
  <c r="BP198" i="1"/>
  <c r="BP199" i="1"/>
  <c r="P7" i="1"/>
  <c r="Q6" i="1"/>
  <c r="BB197" i="1"/>
  <c r="BB201" i="1"/>
  <c r="BB200" i="1"/>
  <c r="BB202" i="1"/>
  <c r="AV199" i="1"/>
  <c r="AV198" i="1"/>
  <c r="CJ199" i="1"/>
  <c r="CJ198" i="1"/>
  <c r="X230" i="1"/>
  <c r="BL230" i="1"/>
  <c r="BZ134" i="1"/>
  <c r="BN118" i="1"/>
  <c r="BN126" i="1"/>
  <c r="BN127" i="1" s="1"/>
  <c r="CA209" i="1"/>
  <c r="CA206" i="1"/>
  <c r="CA157" i="1"/>
  <c r="BL186" i="1"/>
  <c r="AB186" i="1"/>
  <c r="AC141" i="1"/>
  <c r="AH230" i="1"/>
  <c r="BE233" i="1"/>
  <c r="BE62" i="1"/>
  <c r="BE63" i="1" s="1"/>
  <c r="BE37" i="1"/>
  <c r="BE28" i="1"/>
  <c r="CK207" i="1"/>
  <c r="N136" i="1"/>
  <c r="N134" i="1" s="1"/>
  <c r="CP141" i="1"/>
  <c r="CN42" i="1"/>
  <c r="CN38" i="1"/>
  <c r="CN41" i="1"/>
  <c r="CT209" i="1" l="1"/>
  <c r="H52" i="227"/>
  <c r="CZ39" i="226"/>
  <c r="DA39" i="226" s="1"/>
  <c r="CY13" i="1"/>
  <c r="CZ13" i="1" s="1"/>
  <c r="R134" i="1"/>
  <c r="Q175" i="1"/>
  <c r="A63" i="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CP206" i="1"/>
  <c r="CP207" i="1"/>
  <c r="CF168" i="1"/>
  <c r="CP202" i="1"/>
  <c r="CP201" i="1"/>
  <c r="CP134" i="1"/>
  <c r="F34" i="236" s="1"/>
  <c r="CP157" i="1"/>
  <c r="CX71" i="226"/>
  <c r="CX86" i="226"/>
  <c r="CX87" i="226" s="1"/>
  <c r="CK90" i="226"/>
  <c r="CK27" i="1"/>
  <c r="BB23" i="226"/>
  <c r="CO25" i="226"/>
  <c r="DH25" i="226" s="1"/>
  <c r="AW23" i="226"/>
  <c r="CV71" i="226"/>
  <c r="CV86" i="226"/>
  <c r="CV87" i="226" s="1"/>
  <c r="CW71" i="226"/>
  <c r="CW86" i="226"/>
  <c r="CW87" i="226" s="1"/>
  <c r="DJ161" i="1"/>
  <c r="S137" i="1"/>
  <c r="S134" i="1" s="1"/>
  <c r="CQ63" i="226"/>
  <c r="CK53" i="226"/>
  <c r="AP63" i="226"/>
  <c r="W61" i="226"/>
  <c r="S51" i="226"/>
  <c r="AR49" i="226"/>
  <c r="AR51" i="226"/>
  <c r="CF24" i="226"/>
  <c r="CK25" i="226" s="1"/>
  <c r="BG61" i="226"/>
  <c r="CF60" i="226"/>
  <c r="CK61" i="226" s="1"/>
  <c r="AM51" i="226"/>
  <c r="CU191" i="226"/>
  <c r="CP62" i="226"/>
  <c r="AR53" i="226"/>
  <c r="CP60" i="226"/>
  <c r="CP61" i="226" s="1"/>
  <c r="CP23" i="226"/>
  <c r="U63" i="226"/>
  <c r="CP53" i="226"/>
  <c r="CP208" i="1"/>
  <c r="AQ44" i="226"/>
  <c r="T63" i="226"/>
  <c r="AW49" i="226"/>
  <c r="CE247" i="1"/>
  <c r="CE248" i="1" s="1"/>
  <c r="CE249" i="1" s="1"/>
  <c r="CE250" i="1"/>
  <c r="BL49" i="226"/>
  <c r="AX63" i="226"/>
  <c r="V63" i="226"/>
  <c r="BQ62" i="226"/>
  <c r="BQ63" i="226" s="1"/>
  <c r="AR25" i="226"/>
  <c r="BB25" i="226"/>
  <c r="X44" i="226"/>
  <c r="AM25" i="226"/>
  <c r="CP87" i="226"/>
  <c r="X25" i="226"/>
  <c r="BV25" i="226"/>
  <c r="AL25" i="226"/>
  <c r="CV78" i="226"/>
  <c r="CU86" i="226"/>
  <c r="CU87" i="226" s="1"/>
  <c r="DJ53" i="226"/>
  <c r="CZ40" i="226"/>
  <c r="AR61" i="226"/>
  <c r="CP90" i="226"/>
  <c r="DI87" i="226"/>
  <c r="DJ87" i="226"/>
  <c r="N60" i="226"/>
  <c r="N61" i="226" s="1"/>
  <c r="CP25" i="226"/>
  <c r="DI91" i="226"/>
  <c r="DJ91" i="226"/>
  <c r="AG63" i="226"/>
  <c r="AH61" i="226"/>
  <c r="N23" i="226"/>
  <c r="N24" i="226"/>
  <c r="BL61" i="226"/>
  <c r="BG25" i="226"/>
  <c r="AQ25" i="226"/>
  <c r="BL53" i="226"/>
  <c r="BU63" i="226"/>
  <c r="AQ61" i="226"/>
  <c r="AY63" i="226"/>
  <c r="DJ52" i="226"/>
  <c r="CO61" i="226"/>
  <c r="DH61" i="226" s="1"/>
  <c r="DH60" i="226"/>
  <c r="U23" i="227"/>
  <c r="T71" i="229"/>
  <c r="DJ14" i="226"/>
  <c r="DI14" i="226"/>
  <c r="CW116" i="1"/>
  <c r="CX88" i="1"/>
  <c r="CW120" i="1"/>
  <c r="CW30" i="1" s="1"/>
  <c r="CJ61" i="226"/>
  <c r="DF35" i="226"/>
  <c r="DF31" i="226"/>
  <c r="DF29" i="226"/>
  <c r="CY92" i="1"/>
  <c r="AB34" i="227"/>
  <c r="AB45" i="227" s="1"/>
  <c r="AB92" i="227" s="1"/>
  <c r="AA45" i="227"/>
  <c r="AA92" i="227" s="1"/>
  <c r="CX94" i="1"/>
  <c r="CW165" i="1"/>
  <c r="CW164" i="1"/>
  <c r="T59" i="227"/>
  <c r="DI54" i="1"/>
  <c r="DJ54" i="1"/>
  <c r="DI161" i="1"/>
  <c r="DJ22" i="226"/>
  <c r="DI22" i="226"/>
  <c r="Q106" i="229"/>
  <c r="P116" i="229"/>
  <c r="AA113" i="229"/>
  <c r="AA115" i="229" s="1"/>
  <c r="L89" i="229"/>
  <c r="L92" i="229" s="1"/>
  <c r="M79" i="229"/>
  <c r="V135" i="229"/>
  <c r="V126" i="229"/>
  <c r="V125" i="229" s="1"/>
  <c r="V49" i="229"/>
  <c r="AA108" i="229"/>
  <c r="AB111" i="229" s="1"/>
  <c r="AA51" i="229"/>
  <c r="AB5" i="229"/>
  <c r="L80" i="229"/>
  <c r="K84" i="229"/>
  <c r="W10" i="229"/>
  <c r="W13" i="229" s="1"/>
  <c r="X8" i="229"/>
  <c r="Y8" i="229" s="1"/>
  <c r="Z8" i="229" s="1"/>
  <c r="AA8" i="229" s="1"/>
  <c r="AB8" i="229" s="1"/>
  <c r="W14" i="229"/>
  <c r="L133" i="229"/>
  <c r="L121" i="229"/>
  <c r="L105" i="229"/>
  <c r="L96" i="229"/>
  <c r="L74" i="229"/>
  <c r="L40" i="229"/>
  <c r="L88" i="229"/>
  <c r="L54" i="229"/>
  <c r="L61" i="229"/>
  <c r="L16" i="229"/>
  <c r="M3" i="229"/>
  <c r="AA134" i="229"/>
  <c r="AA127" i="229"/>
  <c r="AA50" i="229"/>
  <c r="AB20" i="229"/>
  <c r="Q109" i="229"/>
  <c r="R42" i="229"/>
  <c r="L37" i="229"/>
  <c r="M28" i="229"/>
  <c r="K36" i="229"/>
  <c r="K45" i="229" s="1"/>
  <c r="L17" i="229"/>
  <c r="L26" i="229" s="1"/>
  <c r="K97" i="229"/>
  <c r="K98" i="229" s="1"/>
  <c r="K37" i="229"/>
  <c r="M82" i="229"/>
  <c r="L85" i="229"/>
  <c r="Q141" i="228"/>
  <c r="R145" i="228" s="1"/>
  <c r="Q72" i="228"/>
  <c r="Q80" i="228" s="1"/>
  <c r="AB28" i="228"/>
  <c r="R120" i="228"/>
  <c r="R121" i="228" s="1"/>
  <c r="S119" i="228" s="1"/>
  <c r="S38" i="228"/>
  <c r="S63" i="228"/>
  <c r="S66" i="228" s="1"/>
  <c r="H50" i="228"/>
  <c r="H22" i="228"/>
  <c r="Q113" i="228"/>
  <c r="Q115" i="228" s="1"/>
  <c r="P112" i="228"/>
  <c r="K142" i="228"/>
  <c r="K96" i="228"/>
  <c r="K104" i="228" s="1"/>
  <c r="K106" i="228" s="1"/>
  <c r="K107" i="228" s="1"/>
  <c r="K108" i="228" s="1"/>
  <c r="K53" i="228"/>
  <c r="L41" i="228"/>
  <c r="K52" i="228"/>
  <c r="AB32" i="228"/>
  <c r="R150" i="228"/>
  <c r="R171" i="228"/>
  <c r="R164" i="228"/>
  <c r="R86" i="228"/>
  <c r="S3" i="228"/>
  <c r="T132" i="228"/>
  <c r="T133" i="228" s="1"/>
  <c r="U131" i="228" s="1"/>
  <c r="R128" i="228"/>
  <c r="R129" i="228" s="1"/>
  <c r="S127" i="228" s="1"/>
  <c r="R50" i="228"/>
  <c r="R22" i="228"/>
  <c r="T79" i="228"/>
  <c r="T82" i="228" s="1"/>
  <c r="U78" i="228"/>
  <c r="Z91" i="228"/>
  <c r="AA44" i="228"/>
  <c r="Z172" i="228"/>
  <c r="G141" i="228"/>
  <c r="G72" i="228"/>
  <c r="G80" i="228" s="1"/>
  <c r="V166" i="228"/>
  <c r="W76" i="228"/>
  <c r="R128" i="227"/>
  <c r="R129" i="227" s="1"/>
  <c r="S127" i="227" s="1"/>
  <c r="U132" i="227"/>
  <c r="U133" i="227" s="1"/>
  <c r="V131" i="227" s="1"/>
  <c r="Q120" i="227"/>
  <c r="Q121" i="227" s="1"/>
  <c r="R119" i="227" s="1"/>
  <c r="L50" i="227"/>
  <c r="L22" i="227"/>
  <c r="H141" i="227"/>
  <c r="H72" i="227"/>
  <c r="H80" i="227" s="1"/>
  <c r="H107" i="227"/>
  <c r="H108" i="227" s="1"/>
  <c r="AA28" i="227"/>
  <c r="AB4" i="227"/>
  <c r="P142" i="227"/>
  <c r="Q144" i="227" s="1"/>
  <c r="Q41" i="227"/>
  <c r="P53" i="227"/>
  <c r="P52" i="227"/>
  <c r="Q79" i="227"/>
  <c r="Q82" i="227" s="1"/>
  <c r="R78" i="227"/>
  <c r="P113" i="227"/>
  <c r="O112" i="227"/>
  <c r="R171" i="227"/>
  <c r="R150" i="227"/>
  <c r="R164" i="227"/>
  <c r="R86" i="227"/>
  <c r="S3" i="227"/>
  <c r="O116" i="227"/>
  <c r="P114" i="227" s="1"/>
  <c r="R27" i="227"/>
  <c r="Z91" i="227"/>
  <c r="AA44" i="227"/>
  <c r="Z172" i="227"/>
  <c r="AM62" i="226"/>
  <c r="AM44" i="226"/>
  <c r="DC10" i="226"/>
  <c r="CH250" i="1"/>
  <c r="CH247" i="1"/>
  <c r="CH248" i="1" s="1"/>
  <c r="CH249" i="1" s="1"/>
  <c r="CV60" i="226"/>
  <c r="CV61" i="226" s="1"/>
  <c r="CW62" i="226"/>
  <c r="CW63" i="226" s="1"/>
  <c r="CW44" i="226"/>
  <c r="CW15" i="1"/>
  <c r="CW259" i="1"/>
  <c r="AH62" i="226"/>
  <c r="AH44" i="226"/>
  <c r="BF63" i="226"/>
  <c r="CR63" i="226"/>
  <c r="BI63" i="226"/>
  <c r="CX60" i="226"/>
  <c r="CX61" i="226" s="1"/>
  <c r="BK61" i="226"/>
  <c r="AW61" i="226"/>
  <c r="CY22" i="226"/>
  <c r="CZ14" i="226"/>
  <c r="CY122" i="226"/>
  <c r="CT30" i="226"/>
  <c r="DF30" i="226" s="1"/>
  <c r="CU29" i="226"/>
  <c r="CU95" i="226" s="1"/>
  <c r="AW25" i="226"/>
  <c r="BQ61" i="226"/>
  <c r="AW44" i="226"/>
  <c r="AW62" i="226"/>
  <c r="AC25" i="226"/>
  <c r="AH25" i="226"/>
  <c r="BE63" i="226"/>
  <c r="BJ63" i="226"/>
  <c r="CY171" i="226"/>
  <c r="CT36" i="226"/>
  <c r="DF36" i="226" s="1"/>
  <c r="CU35" i="226"/>
  <c r="CU101" i="226" s="1"/>
  <c r="BZ63" i="226"/>
  <c r="AC44" i="226"/>
  <c r="AC62" i="226"/>
  <c r="AC63" i="226" s="1"/>
  <c r="CJ250" i="1"/>
  <c r="CJ247" i="1"/>
  <c r="CJ248" i="1" s="1"/>
  <c r="CJ249" i="1" s="1"/>
  <c r="CN250" i="1"/>
  <c r="CN247" i="1"/>
  <c r="CN248" i="1" s="1"/>
  <c r="CN249" i="1" s="1"/>
  <c r="CY138" i="226"/>
  <c r="CT32" i="226"/>
  <c r="DF32" i="226" s="1"/>
  <c r="CU31" i="226"/>
  <c r="CU97" i="226" s="1"/>
  <c r="AR62" i="226"/>
  <c r="AR44" i="226"/>
  <c r="AM61" i="226"/>
  <c r="BP63" i="226"/>
  <c r="DC133" i="226"/>
  <c r="CY133" i="226"/>
  <c r="DC134" i="226"/>
  <c r="CY134" i="226"/>
  <c r="CY30" i="226"/>
  <c r="CZ29" i="226"/>
  <c r="AU63" i="226"/>
  <c r="CR192" i="226"/>
  <c r="CW192" i="226" s="1"/>
  <c r="Q6" i="226"/>
  <c r="P7" i="226"/>
  <c r="CA61" i="226"/>
  <c r="CS63" i="226"/>
  <c r="BB62" i="226"/>
  <c r="BB44" i="226"/>
  <c r="CS192" i="226"/>
  <c r="CX192" i="226" s="1"/>
  <c r="CX76" i="226" s="1"/>
  <c r="BL25" i="226"/>
  <c r="BK63" i="226"/>
  <c r="DC182" i="226"/>
  <c r="CY182" i="226"/>
  <c r="DC183" i="226"/>
  <c r="CY183" i="226"/>
  <c r="CY36" i="226"/>
  <c r="CZ35" i="226"/>
  <c r="R25" i="226"/>
  <c r="W25" i="226"/>
  <c r="R62" i="226"/>
  <c r="CU15" i="226"/>
  <c r="CU22" i="226"/>
  <c r="BZ250" i="1"/>
  <c r="BZ247" i="1"/>
  <c r="BZ248" i="1" s="1"/>
  <c r="AV25" i="226"/>
  <c r="BA25" i="226"/>
  <c r="AV62" i="226"/>
  <c r="AV63" i="226" s="1"/>
  <c r="DC149" i="226"/>
  <c r="CY149" i="226"/>
  <c r="CY150" i="226"/>
  <c r="DC150" i="226"/>
  <c r="CY32" i="226"/>
  <c r="CZ31" i="226"/>
  <c r="BZ191" i="226"/>
  <c r="CA25" i="226"/>
  <c r="CO250" i="1"/>
  <c r="CO247" i="1"/>
  <c r="CO248" i="1" s="1"/>
  <c r="CO249" i="1" s="1"/>
  <c r="AV61" i="226"/>
  <c r="CO62" i="226"/>
  <c r="DH44" i="226"/>
  <c r="BQ25" i="226"/>
  <c r="X61" i="226"/>
  <c r="CY52" i="226"/>
  <c r="CY33" i="226" s="1"/>
  <c r="CY43" i="226" s="1"/>
  <c r="AC61" i="226"/>
  <c r="CT23" i="226"/>
  <c r="CT24" i="226"/>
  <c r="DB12" i="226"/>
  <c r="G16" i="234"/>
  <c r="AL62" i="226"/>
  <c r="AL63" i="226" s="1"/>
  <c r="AL44" i="226"/>
  <c r="S62" i="226"/>
  <c r="S44" i="226"/>
  <c r="CE25" i="226"/>
  <c r="CJ25" i="226"/>
  <c r="CK250" i="1"/>
  <c r="CK247" i="1"/>
  <c r="CK248" i="1" s="1"/>
  <c r="CK249" i="1" s="1"/>
  <c r="AR55" i="226"/>
  <c r="BG62" i="226"/>
  <c r="BG44" i="226"/>
  <c r="BB61" i="226"/>
  <c r="BV62" i="226"/>
  <c r="I22" i="236"/>
  <c r="I4" i="236"/>
  <c r="J5" i="236"/>
  <c r="K6" i="236"/>
  <c r="AC186" i="1"/>
  <c r="AF41" i="1"/>
  <c r="AF42" i="1"/>
  <c r="AF38" i="1"/>
  <c r="CG42" i="1"/>
  <c r="CG38" i="1"/>
  <c r="CG41" i="1"/>
  <c r="CS42" i="1"/>
  <c r="CS38" i="1"/>
  <c r="CS41" i="1"/>
  <c r="BP233" i="1"/>
  <c r="BP28" i="1"/>
  <c r="BP62" i="1"/>
  <c r="BP63" i="1" s="1"/>
  <c r="H220" i="1"/>
  <c r="H46" i="1"/>
  <c r="H51" i="1" s="1"/>
  <c r="H45" i="1"/>
  <c r="BB186" i="1"/>
  <c r="BY42" i="1"/>
  <c r="BY38" i="1"/>
  <c r="BY41" i="1"/>
  <c r="Y42" i="1"/>
  <c r="Y38" i="1"/>
  <c r="Y41" i="1"/>
  <c r="X186" i="1"/>
  <c r="G42" i="1"/>
  <c r="G38" i="1"/>
  <c r="G41" i="1"/>
  <c r="CR220" i="1"/>
  <c r="CR46" i="1"/>
  <c r="CR51" i="1" s="1"/>
  <c r="CR45" i="1"/>
  <c r="AE220" i="1"/>
  <c r="AE46" i="1"/>
  <c r="AE51" i="1" s="1"/>
  <c r="AE45" i="1"/>
  <c r="R233" i="1"/>
  <c r="R62" i="1"/>
  <c r="R63" i="1" s="1"/>
  <c r="R37" i="1"/>
  <c r="R28" i="1"/>
  <c r="G180" i="1"/>
  <c r="H177" i="1"/>
  <c r="H178" i="1" s="1"/>
  <c r="CP186" i="1"/>
  <c r="CI220" i="1"/>
  <c r="CI45" i="1"/>
  <c r="CI46" i="1"/>
  <c r="CI51" i="1" s="1"/>
  <c r="BQ233" i="1"/>
  <c r="BQ62" i="1"/>
  <c r="BQ28" i="1"/>
  <c r="AY220" i="1"/>
  <c r="AY45" i="1"/>
  <c r="AY46" i="1"/>
  <c r="AY51" i="1" s="1"/>
  <c r="AA220" i="1"/>
  <c r="AA45" i="1"/>
  <c r="AA46" i="1"/>
  <c r="AA51" i="1" s="1"/>
  <c r="CW252" i="1"/>
  <c r="CW243" i="1"/>
  <c r="CW226" i="1"/>
  <c r="CW163" i="1"/>
  <c r="CM220" i="1"/>
  <c r="CM45" i="1"/>
  <c r="CM46" i="1"/>
  <c r="CM51" i="1" s="1"/>
  <c r="AN41" i="1"/>
  <c r="AN42" i="1"/>
  <c r="AN38" i="1"/>
  <c r="AR233" i="1"/>
  <c r="AR28" i="1"/>
  <c r="AR37" i="1"/>
  <c r="BV199" i="1"/>
  <c r="BV198" i="1"/>
  <c r="CH220" i="1"/>
  <c r="CH45" i="1"/>
  <c r="CH46" i="1"/>
  <c r="CH51" i="1" s="1"/>
  <c r="AP220" i="1"/>
  <c r="AP46" i="1"/>
  <c r="AP51" i="1" s="1"/>
  <c r="AP45" i="1"/>
  <c r="CK199" i="1"/>
  <c r="CK198" i="1"/>
  <c r="M63" i="1"/>
  <c r="Q124" i="1"/>
  <c r="Q125" i="1" s="1"/>
  <c r="P58" i="1"/>
  <c r="R209" i="1"/>
  <c r="R157" i="1"/>
  <c r="AM186" i="1"/>
  <c r="AX220" i="1"/>
  <c r="AX46" i="1"/>
  <c r="AX51" i="1" s="1"/>
  <c r="AX45" i="1"/>
  <c r="AL233" i="1"/>
  <c r="AL62" i="1"/>
  <c r="AL63" i="1" s="1"/>
  <c r="AL37" i="1"/>
  <c r="AL28" i="1"/>
  <c r="AW199" i="1"/>
  <c r="AW198" i="1"/>
  <c r="BB198" i="1"/>
  <c r="BB199" i="1"/>
  <c r="I124" i="1"/>
  <c r="I125" i="1" s="1"/>
  <c r="I63" i="1"/>
  <c r="CZ93" i="1"/>
  <c r="DA93" i="1" s="1"/>
  <c r="AO42" i="1"/>
  <c r="AO38" i="1"/>
  <c r="AO41" i="1"/>
  <c r="BC220" i="1"/>
  <c r="BC45" i="1"/>
  <c r="BC46" i="1"/>
  <c r="BC51" i="1" s="1"/>
  <c r="AJ41" i="1"/>
  <c r="AJ42" i="1"/>
  <c r="AJ38" i="1"/>
  <c r="BM42" i="1"/>
  <c r="BM38" i="1"/>
  <c r="BM41" i="1"/>
  <c r="CP42" i="1"/>
  <c r="CP38" i="1"/>
  <c r="CP41" i="1"/>
  <c r="AT220" i="1"/>
  <c r="AT45" i="1"/>
  <c r="AT46" i="1"/>
  <c r="AT51" i="1" s="1"/>
  <c r="T41" i="1"/>
  <c r="T42" i="1"/>
  <c r="T38" i="1"/>
  <c r="U42" i="1"/>
  <c r="U38" i="1"/>
  <c r="U41" i="1"/>
  <c r="CF124" i="1"/>
  <c r="CF125" i="1" s="1"/>
  <c r="CF63" i="1"/>
  <c r="AD220" i="1"/>
  <c r="AD45" i="1"/>
  <c r="AD46" i="1"/>
  <c r="AD51" i="1" s="1"/>
  <c r="AM124" i="1"/>
  <c r="AM125" i="1" s="1"/>
  <c r="AM63" i="1"/>
  <c r="X124" i="1"/>
  <c r="X125" i="1" s="1"/>
  <c r="X63" i="1"/>
  <c r="CA186" i="1"/>
  <c r="CB41" i="1"/>
  <c r="CB42" i="1"/>
  <c r="CB38" i="1"/>
  <c r="W42" i="1"/>
  <c r="W38" i="1"/>
  <c r="W41" i="1"/>
  <c r="BG198" i="1"/>
  <c r="BG199" i="1"/>
  <c r="CF42" i="1"/>
  <c r="CF38" i="1"/>
  <c r="CF41" i="1"/>
  <c r="S163" i="1"/>
  <c r="S168" i="1" s="1"/>
  <c r="R6" i="1"/>
  <c r="Q7" i="1"/>
  <c r="AM42" i="1"/>
  <c r="AM38" i="1"/>
  <c r="AM41" i="1"/>
  <c r="BX41" i="1"/>
  <c r="BX42" i="1"/>
  <c r="BX38" i="1"/>
  <c r="CQ220" i="1"/>
  <c r="CQ45" i="1"/>
  <c r="CQ46" i="1"/>
  <c r="CQ51" i="1" s="1"/>
  <c r="X42" i="1"/>
  <c r="X38" i="1"/>
  <c r="X41" i="1"/>
  <c r="AS42" i="1"/>
  <c r="AS38" i="1"/>
  <c r="AS41" i="1"/>
  <c r="BD41" i="1"/>
  <c r="BD42" i="1"/>
  <c r="BD38" i="1"/>
  <c r="H14" i="236"/>
  <c r="CV54" i="1"/>
  <c r="AQ42" i="1"/>
  <c r="AQ38" i="1"/>
  <c r="AQ41" i="1"/>
  <c r="CJ233" i="1"/>
  <c r="CJ62" i="1"/>
  <c r="CJ63" i="1" s="1"/>
  <c r="CJ28" i="1"/>
  <c r="BL42" i="1"/>
  <c r="BL38" i="1"/>
  <c r="BL41" i="1"/>
  <c r="CO175" i="1"/>
  <c r="DH175" i="1" s="1"/>
  <c r="CK168" i="1"/>
  <c r="BQ186" i="1"/>
  <c r="BN220" i="1"/>
  <c r="BN46" i="1"/>
  <c r="BN51" i="1" s="1"/>
  <c r="BN45" i="1"/>
  <c r="BU233" i="1"/>
  <c r="BU62" i="1"/>
  <c r="BU63" i="1" s="1"/>
  <c r="BU28" i="1"/>
  <c r="CD220" i="1"/>
  <c r="CD46" i="1"/>
  <c r="CD51" i="1" s="1"/>
  <c r="CD45" i="1"/>
  <c r="O124" i="1"/>
  <c r="O125" i="1" s="1"/>
  <c r="AC209" i="1"/>
  <c r="AC206" i="1"/>
  <c r="AC157" i="1"/>
  <c r="O220" i="1"/>
  <c r="O46" i="1"/>
  <c r="O51" i="1" s="1"/>
  <c r="O45" i="1"/>
  <c r="BG186" i="1"/>
  <c r="CP124" i="1"/>
  <c r="CP125" i="1" s="1"/>
  <c r="CP63" i="1"/>
  <c r="BR220" i="1"/>
  <c r="BR45" i="1"/>
  <c r="BR46" i="1"/>
  <c r="BR51" i="1" s="1"/>
  <c r="AI220" i="1"/>
  <c r="AI45" i="1"/>
  <c r="AI46" i="1"/>
  <c r="AI51" i="1" s="1"/>
  <c r="CP168" i="1"/>
  <c r="CP175" i="1" s="1"/>
  <c r="CN220" i="1"/>
  <c r="CN46" i="1"/>
  <c r="CN51" i="1" s="1"/>
  <c r="CN45" i="1"/>
  <c r="BS42" i="1"/>
  <c r="BS38" i="1"/>
  <c r="BS41" i="1"/>
  <c r="E42" i="1"/>
  <c r="E38" i="1"/>
  <c r="E41" i="1"/>
  <c r="BT220" i="1"/>
  <c r="BT46" i="1"/>
  <c r="BT51" i="1" s="1"/>
  <c r="BT45" i="1"/>
  <c r="AG42" i="1"/>
  <c r="AG38" i="1"/>
  <c r="AG41" i="1"/>
  <c r="BL124" i="1"/>
  <c r="BL125" i="1" s="1"/>
  <c r="BL63" i="1"/>
  <c r="CL220" i="1"/>
  <c r="CL46" i="1"/>
  <c r="CL51" i="1" s="1"/>
  <c r="CL45" i="1"/>
  <c r="AB42" i="1"/>
  <c r="AB38" i="1"/>
  <c r="AB41" i="1"/>
  <c r="CE42" i="1"/>
  <c r="CE38" i="1"/>
  <c r="CE41" i="1"/>
  <c r="CK186" i="1"/>
  <c r="CV168" i="1"/>
  <c r="BO42" i="1"/>
  <c r="BO38" i="1"/>
  <c r="BO41" i="1"/>
  <c r="N233" i="1"/>
  <c r="N62" i="1"/>
  <c r="N37" i="1"/>
  <c r="N28" i="1"/>
  <c r="BE42" i="1"/>
  <c r="BE38" i="1"/>
  <c r="BE41" i="1"/>
  <c r="BJ220" i="1"/>
  <c r="BJ45" i="1"/>
  <c r="BJ46" i="1"/>
  <c r="BJ51" i="1" s="1"/>
  <c r="E124" i="1"/>
  <c r="E125" i="1" s="1"/>
  <c r="E63" i="1"/>
  <c r="CO220" i="1"/>
  <c r="DH220" i="1" s="1"/>
  <c r="CO46" i="1"/>
  <c r="CO45" i="1"/>
  <c r="DH45" i="1" s="1"/>
  <c r="CC42" i="1"/>
  <c r="CC38" i="1"/>
  <c r="CC41" i="1"/>
  <c r="AK42" i="1"/>
  <c r="AK38" i="1"/>
  <c r="AK41" i="1"/>
  <c r="K220" i="1"/>
  <c r="K45" i="1"/>
  <c r="K46" i="1"/>
  <c r="K51" i="1" s="1"/>
  <c r="CS63" i="1"/>
  <c r="CA198" i="1"/>
  <c r="CA199" i="1"/>
  <c r="CT168" i="1"/>
  <c r="DF168" i="1" s="1"/>
  <c r="DJ168" i="1" s="1"/>
  <c r="CU161" i="1"/>
  <c r="CU168" i="1" s="1"/>
  <c r="CK206" i="1"/>
  <c r="CK209" i="1"/>
  <c r="CK157" i="1"/>
  <c r="Q220" i="1"/>
  <c r="Q46" i="1"/>
  <c r="Q51" i="1" s="1"/>
  <c r="Q45" i="1"/>
  <c r="BK42" i="1"/>
  <c r="BK38" i="1"/>
  <c r="BK41" i="1"/>
  <c r="CF186" i="1"/>
  <c r="AW186" i="1"/>
  <c r="BI42" i="1"/>
  <c r="BI38" i="1"/>
  <c r="BI41" i="1"/>
  <c r="M124" i="1"/>
  <c r="M125" i="1" s="1"/>
  <c r="L220" i="1"/>
  <c r="L46" i="1"/>
  <c r="L51" i="1" s="1"/>
  <c r="L45" i="1"/>
  <c r="AV233" i="1"/>
  <c r="AV28" i="1"/>
  <c r="AV62" i="1"/>
  <c r="AV63" i="1" s="1"/>
  <c r="AV37" i="1"/>
  <c r="BW220" i="1"/>
  <c r="BW45" i="1"/>
  <c r="BW46" i="1"/>
  <c r="BW51" i="1" s="1"/>
  <c r="CZ101" i="1"/>
  <c r="AZ41" i="1"/>
  <c r="AZ42" i="1"/>
  <c r="AZ38" i="1"/>
  <c r="BA42" i="1"/>
  <c r="BA38" i="1"/>
  <c r="BA41" i="1"/>
  <c r="R186" i="1"/>
  <c r="F220" i="1"/>
  <c r="F46" i="1"/>
  <c r="F51" i="1" s="1"/>
  <c r="F45" i="1"/>
  <c r="CF209" i="1"/>
  <c r="CF206" i="1"/>
  <c r="CF157" i="1"/>
  <c r="CF175" i="1" s="1"/>
  <c r="J46" i="1"/>
  <c r="J51" i="1" s="1"/>
  <c r="J45" i="1"/>
  <c r="M42" i="1"/>
  <c r="M38" i="1"/>
  <c r="M41" i="1"/>
  <c r="S144" i="1"/>
  <c r="Z220" i="1"/>
  <c r="Z46" i="1"/>
  <c r="Z51" i="1" s="1"/>
  <c r="Z45" i="1"/>
  <c r="AH233" i="1"/>
  <c r="AH62" i="1"/>
  <c r="AH37" i="1"/>
  <c r="AH28" i="1"/>
  <c r="CE175" i="1"/>
  <c r="I42" i="1"/>
  <c r="I38" i="1"/>
  <c r="I41" i="1"/>
  <c r="G124" i="1"/>
  <c r="G125" i="1" s="1"/>
  <c r="G63" i="1"/>
  <c r="BZ233" i="1"/>
  <c r="BZ62" i="1"/>
  <c r="BZ63" i="1" s="1"/>
  <c r="BZ28" i="1"/>
  <c r="AU220" i="1"/>
  <c r="AU45" i="1"/>
  <c r="AU46" i="1"/>
  <c r="AU51" i="1" s="1"/>
  <c r="CX167" i="1"/>
  <c r="BH41" i="1"/>
  <c r="BH42" i="1"/>
  <c r="BH38" i="1"/>
  <c r="CX218" i="1"/>
  <c r="CW53" i="1"/>
  <c r="CW161" i="1" s="1"/>
  <c r="V220" i="1"/>
  <c r="V46" i="1"/>
  <c r="V51" i="1" s="1"/>
  <c r="V45" i="1"/>
  <c r="BF233" i="1"/>
  <c r="BF62" i="1"/>
  <c r="BF63" i="1" s="1"/>
  <c r="BF37" i="1"/>
  <c r="BF28" i="1"/>
  <c r="CV27" i="1" l="1"/>
  <c r="CV37" i="1" s="1"/>
  <c r="CV40" i="1" s="1"/>
  <c r="CV42" i="1" s="1"/>
  <c r="CV79" i="226"/>
  <c r="CP91" i="226"/>
  <c r="U59" i="227"/>
  <c r="DB39" i="226"/>
  <c r="DA13" i="1"/>
  <c r="CY12" i="1"/>
  <c r="CY133" i="1" s="1"/>
  <c r="A123" i="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2" i="1" s="1"/>
  <c r="A183" i="1" s="1"/>
  <c r="A211" i="1" s="1"/>
  <c r="A212" i="1" s="1"/>
  <c r="A213" i="1" s="1"/>
  <c r="A214" i="1" s="1"/>
  <c r="A215" i="1" s="1"/>
  <c r="A216" i="1" s="1"/>
  <c r="A217" i="1" s="1"/>
  <c r="A218" i="1" s="1"/>
  <c r="A219" i="1" s="1"/>
  <c r="A220"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CW168" i="1"/>
  <c r="DH46" i="1"/>
  <c r="CO51" i="1"/>
  <c r="DH51" i="1" s="1"/>
  <c r="CK24" i="1"/>
  <c r="CK25" i="1" s="1"/>
  <c r="CW20" i="1"/>
  <c r="CW18" i="1"/>
  <c r="CW22" i="1"/>
  <c r="CF25" i="226"/>
  <c r="CF61" i="226"/>
  <c r="BV63" i="226"/>
  <c r="S25" i="226"/>
  <c r="CW76" i="226"/>
  <c r="S61" i="226"/>
  <c r="CU73" i="226"/>
  <c r="CU67" i="226"/>
  <c r="CU69" i="226"/>
  <c r="CU71" i="226"/>
  <c r="CZ48" i="226"/>
  <c r="N25" i="226"/>
  <c r="N62" i="226"/>
  <c r="N63" i="226" s="1"/>
  <c r="BG63" i="226"/>
  <c r="AR63" i="226"/>
  <c r="CX120" i="1"/>
  <c r="CX30" i="1" s="1"/>
  <c r="CX116" i="1"/>
  <c r="CY88" i="1"/>
  <c r="T60" i="227"/>
  <c r="U56" i="227" s="1"/>
  <c r="U60" i="227" s="1"/>
  <c r="V56" i="227" s="1"/>
  <c r="DI168" i="1"/>
  <c r="DF33" i="226"/>
  <c r="DH62" i="226"/>
  <c r="BB63" i="226"/>
  <c r="DJ30" i="226"/>
  <c r="DI30" i="226"/>
  <c r="CY94" i="1"/>
  <c r="CX164" i="1"/>
  <c r="CX165" i="1"/>
  <c r="CX96" i="1"/>
  <c r="DI29" i="226"/>
  <c r="DJ29" i="226"/>
  <c r="DJ31" i="226"/>
  <c r="DI31" i="226"/>
  <c r="DJ35" i="226"/>
  <c r="DI35" i="226"/>
  <c r="V23" i="227"/>
  <c r="U71" i="229"/>
  <c r="CT25" i="226"/>
  <c r="DF25" i="226" s="1"/>
  <c r="DF24" i="226"/>
  <c r="DI32" i="226"/>
  <c r="DJ32" i="226"/>
  <c r="DF23" i="226"/>
  <c r="DJ36" i="226"/>
  <c r="DI36" i="226"/>
  <c r="M66" i="229"/>
  <c r="M35" i="229"/>
  <c r="Q116" i="229"/>
  <c r="R106" i="229"/>
  <c r="L90" i="229"/>
  <c r="L93" i="229" s="1"/>
  <c r="M80" i="229"/>
  <c r="L84" i="229"/>
  <c r="AB127" i="229"/>
  <c r="AB134" i="229"/>
  <c r="AB50" i="229"/>
  <c r="M121" i="229"/>
  <c r="M133" i="229"/>
  <c r="M105" i="229"/>
  <c r="M88" i="229"/>
  <c r="M96" i="229"/>
  <c r="M61" i="229"/>
  <c r="M54" i="229"/>
  <c r="M74" i="229"/>
  <c r="M16" i="229"/>
  <c r="M40" i="229"/>
  <c r="N3" i="229"/>
  <c r="W126" i="229"/>
  <c r="W125" i="229" s="1"/>
  <c r="W135" i="229"/>
  <c r="W49" i="229"/>
  <c r="AB115" i="229"/>
  <c r="AB113" i="229"/>
  <c r="M17" i="229"/>
  <c r="M26" i="229" s="1"/>
  <c r="L36" i="229"/>
  <c r="L45" i="229" s="1"/>
  <c r="L97" i="229"/>
  <c r="L98" i="229" s="1"/>
  <c r="AB108" i="229"/>
  <c r="AB51" i="229"/>
  <c r="M89" i="229"/>
  <c r="M92" i="229" s="1"/>
  <c r="N79" i="229"/>
  <c r="N82" i="229"/>
  <c r="O82" i="229" s="1"/>
  <c r="P82" i="229" s="1"/>
  <c r="Q82" i="229" s="1"/>
  <c r="R82" i="229" s="1"/>
  <c r="S82" i="229" s="1"/>
  <c r="T82" i="229" s="1"/>
  <c r="U82" i="229" s="1"/>
  <c r="V82" i="229" s="1"/>
  <c r="W82" i="229" s="1"/>
  <c r="X82" i="229" s="1"/>
  <c r="Y82" i="229" s="1"/>
  <c r="Z82" i="229" s="1"/>
  <c r="AA82" i="229" s="1"/>
  <c r="AB82" i="229" s="1"/>
  <c r="K58" i="229"/>
  <c r="K52" i="229"/>
  <c r="K51" i="229" s="1"/>
  <c r="R109" i="229"/>
  <c r="S42" i="229"/>
  <c r="N67" i="229"/>
  <c r="P67" i="229"/>
  <c r="Q67" i="229" s="1"/>
  <c r="R67" i="229" s="1"/>
  <c r="S67" i="229" s="1"/>
  <c r="T67" i="229" s="1"/>
  <c r="U67" i="229" s="1"/>
  <c r="V67" i="229" s="1"/>
  <c r="W67" i="229" s="1"/>
  <c r="X67" i="229" s="1"/>
  <c r="Y67" i="229" s="1"/>
  <c r="Z67" i="229" s="1"/>
  <c r="AA67" i="229" s="1"/>
  <c r="AB67" i="229" s="1"/>
  <c r="R113" i="228"/>
  <c r="Q112" i="228"/>
  <c r="Q116" i="228"/>
  <c r="R114" i="228" s="1"/>
  <c r="S128" i="228"/>
  <c r="S129" i="228" s="1"/>
  <c r="T127" i="228" s="1"/>
  <c r="AA91" i="228"/>
  <c r="AB44" i="228"/>
  <c r="AB91" i="228" s="1"/>
  <c r="AA172" i="228"/>
  <c r="T27" i="228"/>
  <c r="R142" i="228"/>
  <c r="S144" i="228" s="1"/>
  <c r="R53" i="228"/>
  <c r="S41" i="228"/>
  <c r="R52" i="228"/>
  <c r="U132" i="228"/>
  <c r="U133" i="228" s="1"/>
  <c r="V131" i="228" s="1"/>
  <c r="S120" i="228"/>
  <c r="S121" i="228"/>
  <c r="T119" i="228" s="1"/>
  <c r="T167" i="228"/>
  <c r="T175" i="228" s="1"/>
  <c r="W166" i="228"/>
  <c r="V78" i="228"/>
  <c r="U79" i="228"/>
  <c r="U82" i="228" s="1"/>
  <c r="S171" i="228"/>
  <c r="S164" i="228"/>
  <c r="S150" i="228"/>
  <c r="S86" i="228"/>
  <c r="T3" i="228"/>
  <c r="K141" i="228"/>
  <c r="K72" i="228"/>
  <c r="K80" i="228" s="1"/>
  <c r="H142" i="228"/>
  <c r="H96" i="228"/>
  <c r="H104" i="228" s="1"/>
  <c r="H106" i="228" s="1"/>
  <c r="H107" i="228" s="1"/>
  <c r="H108" i="228" s="1"/>
  <c r="H53" i="228"/>
  <c r="H52" i="228"/>
  <c r="AB172" i="228"/>
  <c r="L50" i="228"/>
  <c r="L22" i="228"/>
  <c r="V132" i="227"/>
  <c r="V133" i="227" s="1"/>
  <c r="W131" i="227" s="1"/>
  <c r="S128" i="227"/>
  <c r="S129" i="227" s="1"/>
  <c r="T127" i="227" s="1"/>
  <c r="AA91" i="227"/>
  <c r="AB44" i="227"/>
  <c r="AA172" i="227"/>
  <c r="P115" i="227"/>
  <c r="P141" i="227"/>
  <c r="Q145" i="227" s="1"/>
  <c r="P72" i="227"/>
  <c r="P80" i="227" s="1"/>
  <c r="S164" i="227"/>
  <c r="S171" i="227"/>
  <c r="S150" i="227"/>
  <c r="S86" i="227"/>
  <c r="T3" i="227"/>
  <c r="L142" i="227"/>
  <c r="L96" i="227"/>
  <c r="L104" i="227" s="1"/>
  <c r="L106" i="227" s="1"/>
  <c r="L107" i="227" s="1"/>
  <c r="L108" i="227" s="1"/>
  <c r="L53" i="227"/>
  <c r="M41" i="227"/>
  <c r="L52" i="227"/>
  <c r="R38" i="227"/>
  <c r="R63" i="227"/>
  <c r="R66" i="227" s="1"/>
  <c r="R79" i="227"/>
  <c r="R82" i="227" s="1"/>
  <c r="S78" i="227"/>
  <c r="Q50" i="227"/>
  <c r="Q22" i="227"/>
  <c r="R120" i="227"/>
  <c r="R121" i="227" s="1"/>
  <c r="S119" i="227" s="1"/>
  <c r="AB28" i="227"/>
  <c r="CY60" i="226"/>
  <c r="CZ149" i="226"/>
  <c r="DA138" i="226"/>
  <c r="CZ50" i="226"/>
  <c r="CZ32" i="226"/>
  <c r="CZ150" i="226"/>
  <c r="CU23" i="226"/>
  <c r="CU24" i="226"/>
  <c r="R63" i="226"/>
  <c r="W63" i="226"/>
  <c r="CZ182" i="226"/>
  <c r="CZ54" i="226"/>
  <c r="CZ36" i="226"/>
  <c r="CZ183" i="226"/>
  <c r="CZ138" i="226"/>
  <c r="CY145" i="226"/>
  <c r="CZ171" i="226"/>
  <c r="CY178" i="226"/>
  <c r="CY72" i="226" s="1"/>
  <c r="CY88" i="226" s="1"/>
  <c r="CY89" i="226" s="1"/>
  <c r="AW63" i="226"/>
  <c r="CU48" i="226"/>
  <c r="CU49" i="226" s="1"/>
  <c r="CU30" i="226"/>
  <c r="DA14" i="226"/>
  <c r="CZ15" i="226"/>
  <c r="CZ22" i="226"/>
  <c r="AQ63" i="226"/>
  <c r="CS250" i="1"/>
  <c r="CS247" i="1"/>
  <c r="CS248" i="1" s="1"/>
  <c r="CU50" i="226"/>
  <c r="CU51" i="226" s="1"/>
  <c r="CU32" i="226"/>
  <c r="CY23" i="226"/>
  <c r="CY24" i="226"/>
  <c r="CY25" i="226" s="1"/>
  <c r="AH63" i="226"/>
  <c r="DC12" i="226"/>
  <c r="CY154" i="226"/>
  <c r="CT34" i="226"/>
  <c r="DF34" i="226" s="1"/>
  <c r="CU33" i="226"/>
  <c r="BL63" i="226"/>
  <c r="R6" i="226"/>
  <c r="Q7" i="226"/>
  <c r="DA122" i="226"/>
  <c r="CZ30" i="226"/>
  <c r="CU54" i="226"/>
  <c r="CU55" i="226" s="1"/>
  <c r="CU36" i="226"/>
  <c r="CX62" i="226"/>
  <c r="CX63" i="226" s="1"/>
  <c r="CX44" i="226"/>
  <c r="CX15" i="1"/>
  <c r="CX259" i="1"/>
  <c r="AM63" i="226"/>
  <c r="X63" i="226"/>
  <c r="CY167" i="226"/>
  <c r="DC167" i="226"/>
  <c r="CY166" i="226"/>
  <c r="DC166" i="226"/>
  <c r="CY34" i="226"/>
  <c r="CZ33" i="226"/>
  <c r="CZ43" i="226" s="1"/>
  <c r="CR250" i="1"/>
  <c r="CR247" i="1"/>
  <c r="CR248" i="1" s="1"/>
  <c r="BA63" i="226"/>
  <c r="CZ122" i="226"/>
  <c r="CY129" i="226"/>
  <c r="CW16" i="1"/>
  <c r="CV44" i="226"/>
  <c r="CV62" i="226"/>
  <c r="CV63" i="226" s="1"/>
  <c r="CV259" i="1"/>
  <c r="K5" i="236"/>
  <c r="L6" i="236"/>
  <c r="J22" i="236"/>
  <c r="J4" i="236"/>
  <c r="BF42" i="1"/>
  <c r="BF38" i="1"/>
  <c r="BF41" i="1"/>
  <c r="V58" i="1"/>
  <c r="I220" i="1"/>
  <c r="I46" i="1"/>
  <c r="I51" i="1" s="1"/>
  <c r="I45" i="1"/>
  <c r="AH42" i="1"/>
  <c r="AH38" i="1"/>
  <c r="AH41" i="1"/>
  <c r="M220" i="1"/>
  <c r="M46" i="1"/>
  <c r="M51" i="1" s="1"/>
  <c r="M45" i="1"/>
  <c r="J58" i="1"/>
  <c r="BI220" i="1"/>
  <c r="BI46" i="1"/>
  <c r="BI51" i="1" s="1"/>
  <c r="BI45" i="1"/>
  <c r="Q58" i="1"/>
  <c r="K58" i="1"/>
  <c r="AG220" i="1"/>
  <c r="AG46" i="1"/>
  <c r="AG51" i="1" s="1"/>
  <c r="AG45" i="1"/>
  <c r="CD58" i="1"/>
  <c r="BU42" i="1"/>
  <c r="BU38" i="1"/>
  <c r="BU41" i="1"/>
  <c r="BL220" i="1"/>
  <c r="BL46" i="1"/>
  <c r="BL51" i="1" s="1"/>
  <c r="BL45" i="1"/>
  <c r="AQ220" i="1"/>
  <c r="AQ46" i="1"/>
  <c r="AQ51" i="1" s="1"/>
  <c r="AQ45" i="1"/>
  <c r="BD220" i="1"/>
  <c r="BD46" i="1"/>
  <c r="BD51" i="1" s="1"/>
  <c r="BD45" i="1"/>
  <c r="W220" i="1"/>
  <c r="W46" i="1"/>
  <c r="W51" i="1" s="1"/>
  <c r="W45" i="1"/>
  <c r="BG233" i="1"/>
  <c r="BG62" i="1"/>
  <c r="BG28" i="1"/>
  <c r="BG37" i="1"/>
  <c r="BC58" i="1"/>
  <c r="DB93" i="1"/>
  <c r="AP58" i="1"/>
  <c r="CM58" i="1"/>
  <c r="CX252" i="1"/>
  <c r="CX243" i="1"/>
  <c r="CX226" i="1"/>
  <c r="CX163" i="1"/>
  <c r="BQ124" i="1"/>
  <c r="BQ125" i="1" s="1"/>
  <c r="BQ63" i="1"/>
  <c r="H180" i="1"/>
  <c r="I177" i="1"/>
  <c r="I173" i="1"/>
  <c r="I175" i="1" s="1"/>
  <c r="I178" i="1" s="1"/>
  <c r="H58" i="1"/>
  <c r="AF220" i="1"/>
  <c r="AF46" i="1"/>
  <c r="AF51" i="1" s="1"/>
  <c r="AF45" i="1"/>
  <c r="CY218" i="1"/>
  <c r="CX53" i="1"/>
  <c r="CX161" i="1" s="1"/>
  <c r="S233" i="1"/>
  <c r="S62" i="1"/>
  <c r="S28" i="1"/>
  <c r="S37" i="1"/>
  <c r="AU58" i="1"/>
  <c r="BZ42" i="1"/>
  <c r="BZ38" i="1"/>
  <c r="BZ41" i="1"/>
  <c r="AH124" i="1"/>
  <c r="AH125" i="1" s="1"/>
  <c r="AH63" i="1"/>
  <c r="S206" i="1"/>
  <c r="S209" i="1"/>
  <c r="S157" i="1"/>
  <c r="CK233" i="1"/>
  <c r="CK62" i="1"/>
  <c r="CK28" i="1"/>
  <c r="F58" i="1"/>
  <c r="CZ81" i="1"/>
  <c r="BA220" i="1"/>
  <c r="BA46" i="1"/>
  <c r="BA51" i="1" s="1"/>
  <c r="BA45" i="1"/>
  <c r="AK220" i="1"/>
  <c r="AK46" i="1"/>
  <c r="AK51" i="1" s="1"/>
  <c r="AK45" i="1"/>
  <c r="CC220" i="1"/>
  <c r="CC46" i="1"/>
  <c r="CC51" i="1" s="1"/>
  <c r="CC45" i="1"/>
  <c r="N42" i="1"/>
  <c r="N38" i="1"/>
  <c r="N41" i="1"/>
  <c r="CE220" i="1"/>
  <c r="CE46" i="1"/>
  <c r="CE51" i="1" s="1"/>
  <c r="CE45" i="1"/>
  <c r="CL58" i="1"/>
  <c r="BV233" i="1"/>
  <c r="BV62" i="1"/>
  <c r="BV28" i="1"/>
  <c r="BR58" i="1"/>
  <c r="O58" i="1"/>
  <c r="CJ42" i="1"/>
  <c r="CJ38" i="1"/>
  <c r="CJ41" i="1"/>
  <c r="CA233" i="1"/>
  <c r="CA28" i="1"/>
  <c r="CA62" i="1"/>
  <c r="R7" i="1"/>
  <c r="T6" i="1"/>
  <c r="T124" i="1" s="1"/>
  <c r="T125" i="1" s="1"/>
  <c r="R124" i="1"/>
  <c r="R125" i="1" s="1"/>
  <c r="AT58" i="1"/>
  <c r="BM220" i="1"/>
  <c r="BM46" i="1"/>
  <c r="BM51" i="1" s="1"/>
  <c r="BM45" i="1"/>
  <c r="P132" i="1"/>
  <c r="P140" i="1" s="1"/>
  <c r="P57" i="1"/>
  <c r="P56" i="1"/>
  <c r="AR124" i="1"/>
  <c r="AR125" i="1" s="1"/>
  <c r="AR63" i="1"/>
  <c r="CS220" i="1"/>
  <c r="CS46" i="1"/>
  <c r="CS51" i="1" s="1"/>
  <c r="CS45" i="1"/>
  <c r="Z58" i="1"/>
  <c r="CX136" i="1"/>
  <c r="DA101" i="1"/>
  <c r="AV42" i="1"/>
  <c r="AV38" i="1"/>
  <c r="AV41" i="1"/>
  <c r="BK220" i="1"/>
  <c r="BK46" i="1"/>
  <c r="BK51" i="1" s="1"/>
  <c r="BK45" i="1"/>
  <c r="N124" i="1"/>
  <c r="N125" i="1" s="1"/>
  <c r="N63" i="1"/>
  <c r="BO220" i="1"/>
  <c r="BO45" i="1"/>
  <c r="BO46" i="1"/>
  <c r="BO51" i="1" s="1"/>
  <c r="BB233" i="1"/>
  <c r="BB62" i="1"/>
  <c r="BB37" i="1"/>
  <c r="BB28" i="1"/>
  <c r="AB220" i="1"/>
  <c r="AB46" i="1"/>
  <c r="AB51" i="1" s="1"/>
  <c r="AB45" i="1"/>
  <c r="BS220" i="1"/>
  <c r="BS45" i="1"/>
  <c r="BS46" i="1"/>
  <c r="BS51" i="1" s="1"/>
  <c r="AI58" i="1"/>
  <c r="S186" i="1"/>
  <c r="AS220" i="1"/>
  <c r="AS46" i="1"/>
  <c r="AS51" i="1" s="1"/>
  <c r="AS45" i="1"/>
  <c r="X220" i="1"/>
  <c r="X46" i="1"/>
  <c r="X51" i="1" s="1"/>
  <c r="X45" i="1"/>
  <c r="CF220" i="1"/>
  <c r="CF46" i="1"/>
  <c r="CF51" i="1" s="1"/>
  <c r="CF45" i="1"/>
  <c r="CB220" i="1"/>
  <c r="CB46" i="1"/>
  <c r="CB51" i="1" s="1"/>
  <c r="CB45" i="1"/>
  <c r="AD58" i="1"/>
  <c r="CP220" i="1"/>
  <c r="CP45" i="1"/>
  <c r="CP46" i="1"/>
  <c r="CP51" i="1" s="1"/>
  <c r="AJ220" i="1"/>
  <c r="AJ46" i="1"/>
  <c r="AJ51" i="1" s="1"/>
  <c r="AJ45" i="1"/>
  <c r="AR42" i="1"/>
  <c r="AR38" i="1"/>
  <c r="AR41" i="1"/>
  <c r="AN220" i="1"/>
  <c r="AN46" i="1"/>
  <c r="AN51" i="1" s="1"/>
  <c r="AN45" i="1"/>
  <c r="AA58" i="1"/>
  <c r="CR58" i="1"/>
  <c r="G220" i="1"/>
  <c r="G46" i="1"/>
  <c r="G51" i="1" s="1"/>
  <c r="G45" i="1"/>
  <c r="BY220" i="1"/>
  <c r="BY46" i="1"/>
  <c r="BY51" i="1" s="1"/>
  <c r="BY45" i="1"/>
  <c r="CG220" i="1"/>
  <c r="CG46" i="1"/>
  <c r="CG51" i="1" s="1"/>
  <c r="CG45" i="1"/>
  <c r="BH220" i="1"/>
  <c r="BH46" i="1"/>
  <c r="BH51" i="1" s="1"/>
  <c r="BH45" i="1"/>
  <c r="CY167" i="1"/>
  <c r="CZ167" i="1" s="1"/>
  <c r="CZ79" i="1"/>
  <c r="AW233" i="1"/>
  <c r="AW62" i="1"/>
  <c r="AW37" i="1"/>
  <c r="AW28" i="1"/>
  <c r="AZ220" i="1"/>
  <c r="AZ46" i="1"/>
  <c r="AZ51" i="1" s="1"/>
  <c r="AZ45" i="1"/>
  <c r="BW58" i="1"/>
  <c r="L58" i="1"/>
  <c r="CO58" i="1"/>
  <c r="DH58" i="1" s="1"/>
  <c r="BJ58" i="1"/>
  <c r="BE220" i="1"/>
  <c r="BE46" i="1"/>
  <c r="BE51" i="1" s="1"/>
  <c r="BE45" i="1"/>
  <c r="BT58" i="1"/>
  <c r="E220" i="1"/>
  <c r="E46" i="1"/>
  <c r="E51" i="1" s="1"/>
  <c r="E45" i="1"/>
  <c r="CN58" i="1"/>
  <c r="BN58" i="1"/>
  <c r="CK175" i="1"/>
  <c r="AC233" i="1"/>
  <c r="AC62" i="1"/>
  <c r="AC37" i="1"/>
  <c r="AC28" i="1"/>
  <c r="CW54" i="1"/>
  <c r="CQ58" i="1"/>
  <c r="BX220" i="1"/>
  <c r="BX46" i="1"/>
  <c r="BX51" i="1" s="1"/>
  <c r="BX45" i="1"/>
  <c r="AM220" i="1"/>
  <c r="AM46" i="1"/>
  <c r="AM51" i="1" s="1"/>
  <c r="AM45" i="1"/>
  <c r="U220" i="1"/>
  <c r="U46" i="1"/>
  <c r="U51" i="1" s="1"/>
  <c r="U45" i="1"/>
  <c r="T220" i="1"/>
  <c r="T46" i="1"/>
  <c r="T51" i="1" s="1"/>
  <c r="T45" i="1"/>
  <c r="AO220" i="1"/>
  <c r="AO46" i="1"/>
  <c r="AO51" i="1" s="1"/>
  <c r="AO45" i="1"/>
  <c r="AL42" i="1"/>
  <c r="AL38" i="1"/>
  <c r="AL41" i="1"/>
  <c r="AX58" i="1"/>
  <c r="CH58" i="1"/>
  <c r="AY58" i="1"/>
  <c r="BQ42" i="1"/>
  <c r="BQ38" i="1"/>
  <c r="BQ41" i="1"/>
  <c r="CI58" i="1"/>
  <c r="R42" i="1"/>
  <c r="R38" i="1"/>
  <c r="R41" i="1"/>
  <c r="AE58" i="1"/>
  <c r="Y220" i="1"/>
  <c r="Y46" i="1"/>
  <c r="Y51" i="1" s="1"/>
  <c r="Y45" i="1"/>
  <c r="BP42" i="1"/>
  <c r="BP38" i="1"/>
  <c r="BP41" i="1"/>
  <c r="CX54" i="1" l="1"/>
  <c r="DC39" i="226"/>
  <c r="DC13" i="1" s="1"/>
  <c r="DB13" i="1"/>
  <c r="CX20" i="1"/>
  <c r="CX18" i="1"/>
  <c r="CX22" i="1"/>
  <c r="CY68" i="226"/>
  <c r="CY84" i="226" s="1"/>
  <c r="CY85" i="226" s="1"/>
  <c r="CY66" i="226"/>
  <c r="CY82" i="226" s="1"/>
  <c r="CY83" i="226" s="1"/>
  <c r="CU25" i="226"/>
  <c r="CU43" i="226"/>
  <c r="CU99" i="226"/>
  <c r="S63" i="226"/>
  <c r="M84" i="229"/>
  <c r="W23" i="227"/>
  <c r="V71" i="229"/>
  <c r="CZ94" i="1"/>
  <c r="DA94" i="1" s="1"/>
  <c r="CY165" i="1"/>
  <c r="CZ165" i="1" s="1"/>
  <c r="CY164" i="1"/>
  <c r="CZ164" i="1" s="1"/>
  <c r="DJ33" i="226"/>
  <c r="DI33" i="226"/>
  <c r="CY116" i="1"/>
  <c r="CY120" i="1"/>
  <c r="CY30" i="1" s="1"/>
  <c r="CY96" i="1"/>
  <c r="V59" i="227"/>
  <c r="W59" i="227" s="1"/>
  <c r="DI34" i="226"/>
  <c r="DJ34" i="226"/>
  <c r="DJ23" i="226"/>
  <c r="DI23" i="226"/>
  <c r="DJ24" i="226"/>
  <c r="DI24" i="226"/>
  <c r="DI25" i="226"/>
  <c r="DJ25" i="226"/>
  <c r="R116" i="229"/>
  <c r="S106" i="229"/>
  <c r="M85" i="229"/>
  <c r="N121" i="229"/>
  <c r="N133" i="229"/>
  <c r="N105" i="229"/>
  <c r="N88" i="229"/>
  <c r="N96" i="229"/>
  <c r="N74" i="229"/>
  <c r="N54" i="229"/>
  <c r="N40" i="229"/>
  <c r="N61" i="229"/>
  <c r="O3" i="229"/>
  <c r="N16" i="229"/>
  <c r="M90" i="229"/>
  <c r="M93" i="229" s="1"/>
  <c r="N80" i="229"/>
  <c r="L58" i="229"/>
  <c r="L52" i="229"/>
  <c r="L51" i="229" s="1"/>
  <c r="M97" i="229"/>
  <c r="M37" i="229"/>
  <c r="N28" i="229"/>
  <c r="O79" i="229"/>
  <c r="N89" i="229"/>
  <c r="N92" i="229" s="1"/>
  <c r="M36" i="229"/>
  <c r="M45" i="229" s="1"/>
  <c r="N17" i="229"/>
  <c r="N26" i="229" s="1"/>
  <c r="S109" i="229"/>
  <c r="T42" i="229"/>
  <c r="U167" i="228"/>
  <c r="U175" i="228" s="1"/>
  <c r="T129" i="228"/>
  <c r="U127" i="228" s="1"/>
  <c r="T128" i="228"/>
  <c r="L142" i="228"/>
  <c r="L96" i="228"/>
  <c r="L53" i="228"/>
  <c r="M41" i="228"/>
  <c r="L52" i="228"/>
  <c r="V132" i="228"/>
  <c r="V133" i="228"/>
  <c r="W131" i="228" s="1"/>
  <c r="T171" i="228"/>
  <c r="T164" i="228"/>
  <c r="T150" i="228"/>
  <c r="T86" i="228"/>
  <c r="U3" i="228"/>
  <c r="T120" i="228"/>
  <c r="T121" i="228" s="1"/>
  <c r="U119" i="228" s="1"/>
  <c r="R141" i="228"/>
  <c r="S145" i="228" s="1"/>
  <c r="R72" i="228"/>
  <c r="R80" i="228" s="1"/>
  <c r="R115" i="228"/>
  <c r="S22" i="228"/>
  <c r="S50" i="228"/>
  <c r="H141" i="228"/>
  <c r="H72" i="228"/>
  <c r="H80" i="228" s="1"/>
  <c r="W78" i="228"/>
  <c r="V79" i="228"/>
  <c r="V82" i="228" s="1"/>
  <c r="T38" i="228"/>
  <c r="T63" i="228"/>
  <c r="T128" i="227"/>
  <c r="T129" i="227" s="1"/>
  <c r="U127" i="227" s="1"/>
  <c r="W132" i="227"/>
  <c r="W133" i="227" s="1"/>
  <c r="X131" i="227" s="1"/>
  <c r="T78" i="227"/>
  <c r="S79" i="227"/>
  <c r="S82" i="227" s="1"/>
  <c r="L141" i="227"/>
  <c r="L72" i="227"/>
  <c r="L80" i="227" s="1"/>
  <c r="Q113" i="227"/>
  <c r="P112" i="227"/>
  <c r="S120" i="227"/>
  <c r="S121" i="227" s="1"/>
  <c r="T119" i="227" s="1"/>
  <c r="M50" i="227"/>
  <c r="M22" i="227"/>
  <c r="T150" i="227"/>
  <c r="T171" i="227"/>
  <c r="T164" i="227"/>
  <c r="T86" i="227"/>
  <c r="U3" i="227"/>
  <c r="AB91" i="227"/>
  <c r="AB172" i="227"/>
  <c r="Q142" i="227"/>
  <c r="R144" i="227" s="1"/>
  <c r="Q53" i="227"/>
  <c r="R41" i="227"/>
  <c r="Q52" i="227"/>
  <c r="S27" i="227"/>
  <c r="P116" i="227"/>
  <c r="Q114" i="227" s="1"/>
  <c r="CZ132" i="226"/>
  <c r="CZ129" i="226"/>
  <c r="DA121" i="226" s="1"/>
  <c r="DA129" i="226" s="1"/>
  <c r="DA154" i="226"/>
  <c r="CZ52" i="226"/>
  <c r="CZ34" i="226"/>
  <c r="CZ49" i="226"/>
  <c r="DA48" i="226"/>
  <c r="CT60" i="226"/>
  <c r="DF43" i="226"/>
  <c r="CU52" i="226"/>
  <c r="CU53" i="226" s="1"/>
  <c r="CU34" i="226"/>
  <c r="CZ23" i="226"/>
  <c r="CZ24" i="226"/>
  <c r="CZ51" i="226"/>
  <c r="DA50" i="226"/>
  <c r="CY62" i="226"/>
  <c r="CY259" i="1"/>
  <c r="CZ259" i="1" s="1"/>
  <c r="CY15" i="1"/>
  <c r="CZ55" i="226"/>
  <c r="DA54" i="226"/>
  <c r="CV15" i="1"/>
  <c r="CX16" i="1"/>
  <c r="R7" i="226"/>
  <c r="T6" i="226"/>
  <c r="CZ154" i="226"/>
  <c r="CZ162" i="226" s="1"/>
  <c r="DA153" i="226" s="1"/>
  <c r="CY162" i="226"/>
  <c r="DB14" i="226"/>
  <c r="DA22" i="226"/>
  <c r="CZ181" i="226"/>
  <c r="CZ178" i="226"/>
  <c r="DA170" i="226" s="1"/>
  <c r="DA178" i="226" s="1"/>
  <c r="DA72" i="226" s="1"/>
  <c r="DA88" i="226" s="1"/>
  <c r="DA89" i="226" s="1"/>
  <c r="CZ148" i="226"/>
  <c r="CZ145" i="226"/>
  <c r="DA137" i="226" s="1"/>
  <c r="DA145" i="226" s="1"/>
  <c r="M6" i="236"/>
  <c r="L5" i="236"/>
  <c r="K22" i="236"/>
  <c r="K4" i="236"/>
  <c r="AE132" i="1"/>
  <c r="AE140" i="1" s="1"/>
  <c r="AE57" i="1"/>
  <c r="AE56" i="1"/>
  <c r="BQ220" i="1"/>
  <c r="BQ46" i="1"/>
  <c r="BQ51" i="1" s="1"/>
  <c r="BQ45" i="1"/>
  <c r="BX58" i="1"/>
  <c r="AC124" i="1"/>
  <c r="AC125" i="1" s="1"/>
  <c r="AC63" i="1"/>
  <c r="CN132" i="1"/>
  <c r="CN57" i="1"/>
  <c r="CN56" i="1"/>
  <c r="L132" i="1"/>
  <c r="L140" i="1" s="1"/>
  <c r="L57" i="1"/>
  <c r="L56" i="1"/>
  <c r="AW42" i="1"/>
  <c r="AW38" i="1"/>
  <c r="AW41" i="1"/>
  <c r="BY58" i="1"/>
  <c r="AA132" i="1"/>
  <c r="AA140" i="1" s="1"/>
  <c r="AA57" i="1"/>
  <c r="AA56" i="1"/>
  <c r="AD132" i="1"/>
  <c r="AD140" i="1" s="1"/>
  <c r="AD56" i="1"/>
  <c r="AD57" i="1"/>
  <c r="AI132" i="1"/>
  <c r="AI140" i="1" s="1"/>
  <c r="AI57" i="1"/>
  <c r="AI56" i="1"/>
  <c r="BB42" i="1"/>
  <c r="BB38" i="1"/>
  <c r="BB41" i="1"/>
  <c r="BK58" i="1"/>
  <c r="AV220" i="1"/>
  <c r="AV46" i="1"/>
  <c r="AV51" i="1" s="1"/>
  <c r="AV45" i="1"/>
  <c r="Z132" i="1"/>
  <c r="Z140" i="1" s="1"/>
  <c r="Z56" i="1"/>
  <c r="Z57" i="1"/>
  <c r="O132" i="1"/>
  <c r="O140" i="1" s="1"/>
  <c r="O57" i="1"/>
  <c r="O56" i="1"/>
  <c r="CL132" i="1"/>
  <c r="CL56" i="1"/>
  <c r="CL57" i="1"/>
  <c r="AK58" i="1"/>
  <c r="BZ220" i="1"/>
  <c r="BZ46" i="1"/>
  <c r="BZ51" i="1" s="1"/>
  <c r="BZ45" i="1"/>
  <c r="CZ218" i="1"/>
  <c r="DA218" i="1" s="1"/>
  <c r="CY53" i="1"/>
  <c r="CY54" i="1" s="1"/>
  <c r="CZ54" i="1" s="1"/>
  <c r="BG42" i="1"/>
  <c r="BG38" i="1"/>
  <c r="BG41" i="1"/>
  <c r="BD58" i="1"/>
  <c r="CD132" i="1"/>
  <c r="CD140" i="1" s="1"/>
  <c r="CD56" i="1"/>
  <c r="CD57" i="1"/>
  <c r="J132" i="1"/>
  <c r="J140" i="1" s="1"/>
  <c r="J56" i="1"/>
  <c r="J57" i="1"/>
  <c r="Y58" i="1"/>
  <c r="CI132" i="1"/>
  <c r="CI140" i="1" s="1"/>
  <c r="CI57" i="1"/>
  <c r="CI56" i="1"/>
  <c r="AX132" i="1"/>
  <c r="AX140" i="1" s="1"/>
  <c r="AX56" i="1"/>
  <c r="AX57" i="1"/>
  <c r="AL220" i="1"/>
  <c r="AL46" i="1"/>
  <c r="AL51" i="1" s="1"/>
  <c r="AL45" i="1"/>
  <c r="U58" i="1"/>
  <c r="AM58" i="1"/>
  <c r="E58" i="1"/>
  <c r="BJ132" i="1"/>
  <c r="BJ140" i="1" s="1"/>
  <c r="BJ56" i="1"/>
  <c r="BJ57" i="1"/>
  <c r="AZ58" i="1"/>
  <c r="AW124" i="1"/>
  <c r="AW125" i="1" s="1"/>
  <c r="AW63" i="1"/>
  <c r="CG58" i="1"/>
  <c r="CR132" i="1"/>
  <c r="CR140" i="1" s="1"/>
  <c r="CR57" i="1"/>
  <c r="CR56" i="1"/>
  <c r="CP58" i="1"/>
  <c r="AS58" i="1"/>
  <c r="BS58" i="1"/>
  <c r="AB53" i="1"/>
  <c r="AB54" i="1"/>
  <c r="AB58" i="1" s="1"/>
  <c r="BB124" i="1"/>
  <c r="BB125" i="1" s="1"/>
  <c r="BB63" i="1"/>
  <c r="BM58" i="1"/>
  <c r="BR132" i="1"/>
  <c r="BR140" i="1" s="1"/>
  <c r="BR56" i="1"/>
  <c r="BR57" i="1"/>
  <c r="BV42" i="1"/>
  <c r="BV38" i="1"/>
  <c r="BV41" i="1"/>
  <c r="CC58" i="1"/>
  <c r="DA81" i="1"/>
  <c r="DA136" i="1" s="1"/>
  <c r="S124" i="1"/>
  <c r="S125" i="1" s="1"/>
  <c r="S63" i="1"/>
  <c r="DC93" i="1"/>
  <c r="W54" i="1"/>
  <c r="W58" i="1" s="1"/>
  <c r="W53" i="1"/>
  <c r="V132" i="1"/>
  <c r="V140" i="1" s="1"/>
  <c r="V56" i="1"/>
  <c r="V57" i="1"/>
  <c r="BF220" i="1"/>
  <c r="BF46" i="1"/>
  <c r="BF51" i="1" s="1"/>
  <c r="BF45" i="1"/>
  <c r="AY132" i="1"/>
  <c r="AY140" i="1" s="1"/>
  <c r="AY57" i="1"/>
  <c r="AY56" i="1"/>
  <c r="T58" i="1"/>
  <c r="BH58" i="1"/>
  <c r="CF58" i="1"/>
  <c r="X58" i="1"/>
  <c r="DB101" i="1"/>
  <c r="CA42" i="1"/>
  <c r="CA38" i="1"/>
  <c r="CA41" i="1"/>
  <c r="CZ92" i="1"/>
  <c r="CJ220" i="1"/>
  <c r="CJ46" i="1"/>
  <c r="CJ51" i="1" s="1"/>
  <c r="CJ45" i="1"/>
  <c r="BV124" i="1"/>
  <c r="BV125" i="1" s="1"/>
  <c r="BV63" i="1"/>
  <c r="CY136" i="1"/>
  <c r="CZ136" i="1" s="1"/>
  <c r="CK42" i="1"/>
  <c r="CK38" i="1"/>
  <c r="CK41" i="1"/>
  <c r="AU132" i="1"/>
  <c r="AU140" i="1" s="1"/>
  <c r="AU57" i="1"/>
  <c r="AU56" i="1"/>
  <c r="AF58" i="1"/>
  <c r="H132" i="1"/>
  <c r="H140" i="1" s="1"/>
  <c r="H57" i="1"/>
  <c r="H56" i="1"/>
  <c r="I180" i="1"/>
  <c r="J177" i="1"/>
  <c r="CY252" i="1"/>
  <c r="CY243" i="1"/>
  <c r="CY226" i="1"/>
  <c r="CY163" i="1"/>
  <c r="CZ163" i="1" s="1"/>
  <c r="CZ88" i="1"/>
  <c r="CM132" i="1"/>
  <c r="CM140" i="1" s="1"/>
  <c r="CM57" i="1"/>
  <c r="CM56" i="1"/>
  <c r="BG124" i="1"/>
  <c r="BG125" i="1" s="1"/>
  <c r="BG63" i="1"/>
  <c r="BL58" i="1"/>
  <c r="AG54" i="1"/>
  <c r="AG58" i="1" s="1"/>
  <c r="AG53" i="1"/>
  <c r="K132" i="1"/>
  <c r="K140" i="1" s="1"/>
  <c r="K57" i="1"/>
  <c r="K56" i="1"/>
  <c r="BI58" i="1"/>
  <c r="I58" i="1"/>
  <c r="BP220" i="1"/>
  <c r="BP46" i="1"/>
  <c r="BP51" i="1" s="1"/>
  <c r="BP45" i="1"/>
  <c r="R220" i="1"/>
  <c r="R46" i="1"/>
  <c r="R51" i="1" s="1"/>
  <c r="R45" i="1"/>
  <c r="CH132" i="1"/>
  <c r="CH140" i="1" s="1"/>
  <c r="CH56" i="1"/>
  <c r="CH57" i="1"/>
  <c r="AO58" i="1"/>
  <c r="CZ109" i="1"/>
  <c r="CQ132" i="1"/>
  <c r="CQ57" i="1"/>
  <c r="CQ56" i="1"/>
  <c r="AC42" i="1"/>
  <c r="AC38" i="1"/>
  <c r="AC41" i="1"/>
  <c r="BN132" i="1"/>
  <c r="BN140" i="1" s="1"/>
  <c r="BN56" i="1"/>
  <c r="BN57" i="1"/>
  <c r="BT132" i="1"/>
  <c r="BT140" i="1" s="1"/>
  <c r="BT57" i="1"/>
  <c r="BT56" i="1"/>
  <c r="BE58" i="1"/>
  <c r="CO132" i="1"/>
  <c r="CO140" i="1" s="1"/>
  <c r="CO57" i="1"/>
  <c r="DH57" i="1" s="1"/>
  <c r="CO56" i="1"/>
  <c r="DH56" i="1" s="1"/>
  <c r="BW132" i="1"/>
  <c r="BW140" i="1" s="1"/>
  <c r="BW57" i="1"/>
  <c r="BW56" i="1"/>
  <c r="DA79" i="1"/>
  <c r="G58" i="1"/>
  <c r="AN58" i="1"/>
  <c r="AR220" i="1"/>
  <c r="AR46" i="1"/>
  <c r="AR51" i="1" s="1"/>
  <c r="AR45" i="1"/>
  <c r="AJ58" i="1"/>
  <c r="CB58" i="1"/>
  <c r="BO58" i="1"/>
  <c r="CS58" i="1"/>
  <c r="AT132" i="1"/>
  <c r="AT140" i="1" s="1"/>
  <c r="AT56" i="1"/>
  <c r="AT57" i="1"/>
  <c r="U6" i="1"/>
  <c r="T7" i="1"/>
  <c r="CA124" i="1"/>
  <c r="CA125" i="1" s="1"/>
  <c r="CA63" i="1"/>
  <c r="CE58" i="1"/>
  <c r="N220" i="1"/>
  <c r="N46" i="1"/>
  <c r="N51" i="1" s="1"/>
  <c r="N45" i="1"/>
  <c r="F132" i="1"/>
  <c r="F140" i="1" s="1"/>
  <c r="F56" i="1"/>
  <c r="F57" i="1"/>
  <c r="CK124" i="1"/>
  <c r="CK125" i="1" s="1"/>
  <c r="CK63" i="1"/>
  <c r="S42" i="1"/>
  <c r="S38" i="1"/>
  <c r="S41" i="1"/>
  <c r="CX168" i="1"/>
  <c r="AP132" i="1"/>
  <c r="AP140" i="1" s="1"/>
  <c r="AP56" i="1"/>
  <c r="AP57" i="1"/>
  <c r="BC132" i="1"/>
  <c r="BC140" i="1" s="1"/>
  <c r="BC57" i="1"/>
  <c r="BC56" i="1"/>
  <c r="AQ54" i="1"/>
  <c r="AQ58" i="1" s="1"/>
  <c r="AQ53" i="1"/>
  <c r="BU220" i="1"/>
  <c r="BU46" i="1"/>
  <c r="BU51" i="1" s="1"/>
  <c r="BU45" i="1"/>
  <c r="Q132" i="1"/>
  <c r="Q140" i="1" s="1"/>
  <c r="Q56" i="1"/>
  <c r="Q57" i="1"/>
  <c r="M54" i="1"/>
  <c r="M58" i="1" s="1"/>
  <c r="M53" i="1"/>
  <c r="AH220" i="1"/>
  <c r="AH46" i="1"/>
  <c r="AH51" i="1" s="1"/>
  <c r="AH45" i="1"/>
  <c r="CV22" i="1" l="1"/>
  <c r="CV18" i="1"/>
  <c r="CY20" i="1"/>
  <c r="CY18" i="1"/>
  <c r="CY22" i="1"/>
  <c r="CY70" i="226"/>
  <c r="CY86" i="226" s="1"/>
  <c r="CY87" i="226" s="1"/>
  <c r="DA66" i="226"/>
  <c r="DA82" i="226" s="1"/>
  <c r="DA83" i="226" s="1"/>
  <c r="CY69" i="226"/>
  <c r="CZ68" i="226"/>
  <c r="DA68" i="226"/>
  <c r="DA84" i="226" s="1"/>
  <c r="DA85" i="226" s="1"/>
  <c r="CY73" i="226"/>
  <c r="CZ72" i="226"/>
  <c r="CU90" i="226"/>
  <c r="CU91" i="226" s="1"/>
  <c r="DA162" i="226"/>
  <c r="DB153" i="226" s="1"/>
  <c r="DH140" i="1"/>
  <c r="DH132" i="1"/>
  <c r="V60" i="227"/>
  <c r="W56" i="227" s="1"/>
  <c r="W60" i="227" s="1"/>
  <c r="X56" i="227" s="1"/>
  <c r="DJ43" i="226"/>
  <c r="DI43" i="226"/>
  <c r="DB94" i="1"/>
  <c r="DA164" i="1"/>
  <c r="DA165" i="1"/>
  <c r="X23" i="227"/>
  <c r="X59" i="227" s="1"/>
  <c r="W71" i="229"/>
  <c r="CT61" i="226"/>
  <c r="DF61" i="226" s="1"/>
  <c r="DF60" i="226"/>
  <c r="CY61" i="226"/>
  <c r="O17" i="229"/>
  <c r="O26" i="229" s="1"/>
  <c r="P79" i="229"/>
  <c r="O89" i="229"/>
  <c r="O92" i="229" s="1"/>
  <c r="T109" i="229"/>
  <c r="U42" i="229"/>
  <c r="M52" i="229"/>
  <c r="M51" i="229" s="1"/>
  <c r="M58" i="229"/>
  <c r="N66" i="229"/>
  <c r="N35" i="229"/>
  <c r="S116" i="229"/>
  <c r="T106" i="229"/>
  <c r="N84" i="229"/>
  <c r="N90" i="229"/>
  <c r="O80" i="229"/>
  <c r="O121" i="229"/>
  <c r="O105" i="229"/>
  <c r="O133" i="229"/>
  <c r="O96" i="229"/>
  <c r="O54" i="229"/>
  <c r="O40" i="229"/>
  <c r="O88" i="229"/>
  <c r="O74" i="229"/>
  <c r="O61" i="229"/>
  <c r="O16" i="229"/>
  <c r="P3" i="229"/>
  <c r="U120" i="228"/>
  <c r="U121" i="228" s="1"/>
  <c r="V119" i="228" s="1"/>
  <c r="V167" i="228"/>
  <c r="V175" i="228" s="1"/>
  <c r="T66" i="228"/>
  <c r="U164" i="228"/>
  <c r="U150" i="228"/>
  <c r="U171" i="228"/>
  <c r="V3" i="228"/>
  <c r="U86" i="228"/>
  <c r="M50" i="228"/>
  <c r="M22" i="228"/>
  <c r="U27" i="228"/>
  <c r="S113" i="228"/>
  <c r="R112" i="228"/>
  <c r="W132" i="228"/>
  <c r="W133" i="228" s="1"/>
  <c r="X131" i="228" s="1"/>
  <c r="U128" i="228"/>
  <c r="U129" i="228" s="1"/>
  <c r="V127" i="228" s="1"/>
  <c r="S142" i="228"/>
  <c r="T144" i="228" s="1"/>
  <c r="S53" i="228"/>
  <c r="T41" i="228"/>
  <c r="T50" i="228" s="1"/>
  <c r="T52" i="228" s="1"/>
  <c r="S52" i="228"/>
  <c r="R116" i="228"/>
  <c r="S114" i="228" s="1"/>
  <c r="L104" i="228"/>
  <c r="L106" i="228" s="1"/>
  <c r="L107" i="228" s="1"/>
  <c r="L108" i="228" s="1"/>
  <c r="M93" i="228"/>
  <c r="M94" i="228" s="1"/>
  <c r="X78" i="228"/>
  <c r="Y78" i="228" s="1"/>
  <c r="Z78" i="228" s="1"/>
  <c r="AA78" i="228" s="1"/>
  <c r="AB78" i="228" s="1"/>
  <c r="W79" i="228"/>
  <c r="W82" i="228" s="1"/>
  <c r="L141" i="228"/>
  <c r="L72" i="228"/>
  <c r="L80" i="228" s="1"/>
  <c r="X132" i="227"/>
  <c r="X133" i="227" s="1"/>
  <c r="Y131" i="227" s="1"/>
  <c r="T120" i="227"/>
  <c r="T121" i="227" s="1"/>
  <c r="U119" i="227" s="1"/>
  <c r="S167" i="227"/>
  <c r="S175" i="227" s="1"/>
  <c r="S38" i="227"/>
  <c r="S63" i="227"/>
  <c r="S66" i="227" s="1"/>
  <c r="U128" i="227"/>
  <c r="U129" i="227" s="1"/>
  <c r="V127" i="227" s="1"/>
  <c r="Q141" i="227"/>
  <c r="Q72" i="227"/>
  <c r="Q80" i="227" s="1"/>
  <c r="R145" i="227"/>
  <c r="U164" i="227"/>
  <c r="U150" i="227"/>
  <c r="U171" i="227"/>
  <c r="U86" i="227"/>
  <c r="V3" i="227"/>
  <c r="M142" i="227"/>
  <c r="N144" i="227" s="1"/>
  <c r="M96" i="227"/>
  <c r="M53" i="227"/>
  <c r="M52" i="227"/>
  <c r="U78" i="227"/>
  <c r="T79" i="227"/>
  <c r="T82" i="227" s="1"/>
  <c r="Q115" i="227"/>
  <c r="Q116" i="227" s="1"/>
  <c r="R114" i="227" s="1"/>
  <c r="R50" i="227"/>
  <c r="R22" i="227"/>
  <c r="CY192" i="1"/>
  <c r="CT62" i="226"/>
  <c r="CY63" i="226" s="1"/>
  <c r="CT44" i="226"/>
  <c r="DF44" i="226" s="1"/>
  <c r="DC14" i="226"/>
  <c r="DC22" i="226" s="1"/>
  <c r="DB22" i="226"/>
  <c r="CV16" i="1"/>
  <c r="CV20" i="1"/>
  <c r="CY44" i="226"/>
  <c r="DB170" i="226"/>
  <c r="DB178" i="226" s="1"/>
  <c r="DB72" i="226" s="1"/>
  <c r="DB88" i="226" s="1"/>
  <c r="DB89" i="226" s="1"/>
  <c r="DB121" i="226"/>
  <c r="DB54" i="226"/>
  <c r="DA35" i="226"/>
  <c r="DA36" i="226" s="1"/>
  <c r="CZ60" i="226"/>
  <c r="DB137" i="226"/>
  <c r="DA23" i="226"/>
  <c r="DA24" i="226"/>
  <c r="DA25" i="226" s="1"/>
  <c r="CU60" i="226"/>
  <c r="CU61" i="226" s="1"/>
  <c r="U6" i="226"/>
  <c r="T7" i="226"/>
  <c r="CZ12" i="1"/>
  <c r="DB50" i="226"/>
  <c r="DA31" i="226"/>
  <c r="CZ25" i="226"/>
  <c r="E27" i="234"/>
  <c r="E17" i="234" s="1"/>
  <c r="E18" i="234" s="1"/>
  <c r="DB48" i="226"/>
  <c r="DA29" i="226"/>
  <c r="DA52" i="226"/>
  <c r="CZ53" i="226"/>
  <c r="N6" i="236"/>
  <c r="M5" i="236"/>
  <c r="L22" i="236"/>
  <c r="L4" i="236"/>
  <c r="S220" i="1"/>
  <c r="S46" i="1"/>
  <c r="S51" i="1" s="1"/>
  <c r="S45" i="1"/>
  <c r="CE132" i="1"/>
  <c r="CE140" i="1" s="1"/>
  <c r="CE57" i="1"/>
  <c r="CE56" i="1"/>
  <c r="M132" i="1"/>
  <c r="M140" i="1" s="1"/>
  <c r="M57" i="1"/>
  <c r="M56" i="1"/>
  <c r="BA132" i="1"/>
  <c r="BA140" i="1" s="1"/>
  <c r="BA54" i="1"/>
  <c r="BA58" i="1" s="1"/>
  <c r="BA53" i="1"/>
  <c r="BA56" i="1" s="1"/>
  <c r="CS132" i="1"/>
  <c r="CS56" i="1"/>
  <c r="CS57" i="1"/>
  <c r="AJ132" i="1"/>
  <c r="AJ140" i="1" s="1"/>
  <c r="AJ57" i="1"/>
  <c r="AJ56" i="1"/>
  <c r="G132" i="1"/>
  <c r="G140" i="1" s="1"/>
  <c r="G57" i="1"/>
  <c r="G56" i="1"/>
  <c r="I132" i="1"/>
  <c r="I140" i="1" s="1"/>
  <c r="I56" i="1"/>
  <c r="I57" i="1"/>
  <c r="AG132" i="1"/>
  <c r="AG140" i="1" s="1"/>
  <c r="AG56" i="1"/>
  <c r="AG57" i="1"/>
  <c r="CZ252" i="1"/>
  <c r="CZ243" i="1"/>
  <c r="CZ226" i="1"/>
  <c r="CZ116" i="1"/>
  <c r="CZ120" i="1"/>
  <c r="DA88" i="1"/>
  <c r="DC101" i="1"/>
  <c r="CF132" i="1"/>
  <c r="CF140" i="1" s="1"/>
  <c r="CF57" i="1"/>
  <c r="CF56" i="1"/>
  <c r="BH132" i="1"/>
  <c r="BH140" i="1" s="1"/>
  <c r="BH57" i="1"/>
  <c r="BH56" i="1"/>
  <c r="AB132" i="1"/>
  <c r="AB140" i="1" s="1"/>
  <c r="AB57" i="1"/>
  <c r="AB56" i="1"/>
  <c r="BS132" i="1"/>
  <c r="BS140" i="1" s="1"/>
  <c r="BS57" i="1"/>
  <c r="BS56" i="1"/>
  <c r="CY161" i="1"/>
  <c r="CZ53" i="1"/>
  <c r="BO132" i="1"/>
  <c r="BO140" i="1" s="1"/>
  <c r="BO57" i="1"/>
  <c r="BO56" i="1"/>
  <c r="AN132" i="1"/>
  <c r="AN140" i="1" s="1"/>
  <c r="AN57" i="1"/>
  <c r="AN56" i="1"/>
  <c r="DB79" i="1"/>
  <c r="DB167" i="1" s="1"/>
  <c r="BE132" i="1"/>
  <c r="BE140" i="1" s="1"/>
  <c r="BE56" i="1"/>
  <c r="BE57" i="1"/>
  <c r="AO132" i="1"/>
  <c r="AO140" i="1" s="1"/>
  <c r="AO56" i="1"/>
  <c r="AO57" i="1"/>
  <c r="CZ96" i="1"/>
  <c r="DA92" i="1"/>
  <c r="CA220" i="1"/>
  <c r="CA46" i="1"/>
  <c r="CA51" i="1" s="1"/>
  <c r="CA45" i="1"/>
  <c r="W132" i="1"/>
  <c r="W140" i="1" s="1"/>
  <c r="W57" i="1"/>
  <c r="W56" i="1"/>
  <c r="CC132" i="1"/>
  <c r="CC140" i="1" s="1"/>
  <c r="CC56" i="1"/>
  <c r="CC57" i="1"/>
  <c r="BV220" i="1"/>
  <c r="BV46" i="1"/>
  <c r="BV51" i="1" s="1"/>
  <c r="BV45" i="1"/>
  <c r="BM132" i="1"/>
  <c r="BM140" i="1" s="1"/>
  <c r="BM56" i="1"/>
  <c r="BM57" i="1"/>
  <c r="AS132" i="1"/>
  <c r="AS140" i="1" s="1"/>
  <c r="AS57" i="1"/>
  <c r="AS56" i="1"/>
  <c r="DB218" i="1"/>
  <c r="DA53" i="1"/>
  <c r="AK132" i="1"/>
  <c r="AK140" i="1" s="1"/>
  <c r="AK57" i="1"/>
  <c r="AK56" i="1"/>
  <c r="CL140" i="1"/>
  <c r="CP132" i="1"/>
  <c r="CP140" i="1" s="1"/>
  <c r="BB220" i="1"/>
  <c r="BB45" i="1"/>
  <c r="BB46" i="1"/>
  <c r="BB51" i="1" s="1"/>
  <c r="BQ58" i="1"/>
  <c r="AQ132" i="1"/>
  <c r="AQ140" i="1" s="1"/>
  <c r="AQ57" i="1"/>
  <c r="AQ56" i="1"/>
  <c r="U7" i="1"/>
  <c r="V6" i="1"/>
  <c r="V124" i="1" s="1"/>
  <c r="V125" i="1" s="1"/>
  <c r="U124" i="1"/>
  <c r="U125" i="1" s="1"/>
  <c r="CB132" i="1"/>
  <c r="CB140" i="1" s="1"/>
  <c r="CB57" i="1"/>
  <c r="CB56" i="1"/>
  <c r="DA167" i="1"/>
  <c r="CQ140" i="1"/>
  <c r="BP58" i="1"/>
  <c r="BI132" i="1"/>
  <c r="BI140" i="1" s="1"/>
  <c r="BI57" i="1"/>
  <c r="BI56" i="1"/>
  <c r="N177" i="1"/>
  <c r="N178" i="1" s="1"/>
  <c r="J178" i="1"/>
  <c r="CK220" i="1"/>
  <c r="CK46" i="1"/>
  <c r="CK51" i="1" s="1"/>
  <c r="CK45" i="1"/>
  <c r="X132" i="1"/>
  <c r="X140" i="1" s="1"/>
  <c r="X57" i="1"/>
  <c r="X56" i="1"/>
  <c r="CG132" i="1"/>
  <c r="CG140" i="1" s="1"/>
  <c r="CG57" i="1"/>
  <c r="CG56" i="1"/>
  <c r="AZ132" i="1"/>
  <c r="AZ140" i="1" s="1"/>
  <c r="AZ57" i="1"/>
  <c r="AZ56" i="1"/>
  <c r="AM132" i="1"/>
  <c r="AM140" i="1" s="1"/>
  <c r="AM57" i="1"/>
  <c r="AM56" i="1"/>
  <c r="BK132" i="1"/>
  <c r="BK140" i="1" s="1"/>
  <c r="BK57" i="1"/>
  <c r="BK56" i="1"/>
  <c r="CN140" i="1"/>
  <c r="BX132" i="1"/>
  <c r="BX140" i="1" s="1"/>
  <c r="BX57" i="1"/>
  <c r="BX56" i="1"/>
  <c r="BU58" i="1"/>
  <c r="AH58" i="1"/>
  <c r="N58" i="1"/>
  <c r="AR58" i="1"/>
  <c r="AC220" i="1"/>
  <c r="AC46" i="1"/>
  <c r="AC51" i="1" s="1"/>
  <c r="AC45" i="1"/>
  <c r="DA109" i="1"/>
  <c r="R53" i="1"/>
  <c r="R54" i="1"/>
  <c r="R58" i="1" s="1"/>
  <c r="BL132" i="1"/>
  <c r="BL140" i="1" s="1"/>
  <c r="BL57" i="1"/>
  <c r="BL56" i="1"/>
  <c r="AF132" i="1"/>
  <c r="AF140" i="1" s="1"/>
  <c r="AF57" i="1"/>
  <c r="AF56" i="1"/>
  <c r="CJ58" i="1"/>
  <c r="T132" i="1"/>
  <c r="T140" i="1" s="1"/>
  <c r="T57" i="1"/>
  <c r="T56" i="1"/>
  <c r="DB81" i="1"/>
  <c r="DB136" i="1" s="1"/>
  <c r="CP56" i="1"/>
  <c r="CP57" i="1"/>
  <c r="E132" i="1"/>
  <c r="E140" i="1" s="1"/>
  <c r="E57" i="1"/>
  <c r="E56" i="1"/>
  <c r="U132" i="1"/>
  <c r="U140" i="1" s="1"/>
  <c r="U57" i="1"/>
  <c r="U56" i="1"/>
  <c r="AL53" i="1"/>
  <c r="AL54" i="1"/>
  <c r="AL58" i="1" s="1"/>
  <c r="Y132" i="1"/>
  <c r="Y140" i="1" s="1"/>
  <c r="Y56" i="1"/>
  <c r="Y57" i="1"/>
  <c r="BD132" i="1"/>
  <c r="BD140" i="1" s="1"/>
  <c r="BD57" i="1"/>
  <c r="BD56" i="1"/>
  <c r="BG220" i="1"/>
  <c r="BG46" i="1"/>
  <c r="BG51" i="1" s="1"/>
  <c r="BG45" i="1"/>
  <c r="BZ58" i="1"/>
  <c r="BY132" i="1"/>
  <c r="BY140" i="1" s="1"/>
  <c r="BY57" i="1"/>
  <c r="BY56" i="1"/>
  <c r="AW220" i="1"/>
  <c r="AW46" i="1"/>
  <c r="AW51" i="1" s="1"/>
  <c r="AW45" i="1"/>
  <c r="CZ15" i="1" l="1"/>
  <c r="CY168" i="1"/>
  <c r="CZ161" i="1"/>
  <c r="CV24" i="1"/>
  <c r="BA57" i="1"/>
  <c r="CZ69" i="226"/>
  <c r="CZ84" i="226"/>
  <c r="CY71" i="226"/>
  <c r="CZ70" i="226"/>
  <c r="DA70" i="226"/>
  <c r="CZ88" i="226"/>
  <c r="CZ73" i="226"/>
  <c r="DA73" i="226"/>
  <c r="DA69" i="226"/>
  <c r="CZ20" i="1"/>
  <c r="DI44" i="226"/>
  <c r="DJ44" i="226"/>
  <c r="DC94" i="1"/>
  <c r="DB165" i="1"/>
  <c r="DB164" i="1"/>
  <c r="Y23" i="227"/>
  <c r="X71" i="229"/>
  <c r="X60" i="227"/>
  <c r="Y56" i="227" s="1"/>
  <c r="CY70" i="1"/>
  <c r="CZ70" i="1" s="1"/>
  <c r="DI60" i="226"/>
  <c r="DJ60" i="226"/>
  <c r="CT63" i="226"/>
  <c r="DF62" i="226"/>
  <c r="DJ61" i="226"/>
  <c r="DI61" i="226"/>
  <c r="CZ168" i="1"/>
  <c r="N97" i="229"/>
  <c r="O28" i="229"/>
  <c r="N37" i="229"/>
  <c r="P80" i="229"/>
  <c r="O90" i="229"/>
  <c r="O84" i="229"/>
  <c r="P89" i="229"/>
  <c r="Q79" i="229"/>
  <c r="P133" i="229"/>
  <c r="P121" i="229"/>
  <c r="P96" i="229"/>
  <c r="P105" i="229"/>
  <c r="P88" i="229"/>
  <c r="P74" i="229"/>
  <c r="P40" i="229"/>
  <c r="P61" i="229"/>
  <c r="P54" i="229"/>
  <c r="Q3" i="229"/>
  <c r="P16" i="229"/>
  <c r="U109" i="229"/>
  <c r="V42" i="229"/>
  <c r="P17" i="229"/>
  <c r="P26" i="229" s="1"/>
  <c r="U106" i="229"/>
  <c r="T116" i="229"/>
  <c r="N36" i="229"/>
  <c r="N45" i="229" s="1"/>
  <c r="N58" i="229" s="1"/>
  <c r="T141" i="228"/>
  <c r="W167" i="228"/>
  <c r="W175" i="228" s="1"/>
  <c r="V120" i="228"/>
  <c r="V121" i="228" s="1"/>
  <c r="W119" i="228" s="1"/>
  <c r="V128" i="228"/>
  <c r="V129" i="228" s="1"/>
  <c r="W127" i="228" s="1"/>
  <c r="M142" i="228"/>
  <c r="M53" i="228"/>
  <c r="M96" i="228"/>
  <c r="M52" i="228"/>
  <c r="S115" i="228"/>
  <c r="S116" i="228" s="1"/>
  <c r="T114" i="228" s="1"/>
  <c r="X132" i="228"/>
  <c r="X133" i="228" s="1"/>
  <c r="Y131" i="228" s="1"/>
  <c r="U38" i="228"/>
  <c r="U63" i="228"/>
  <c r="S141" i="228"/>
  <c r="T145" i="228" s="1"/>
  <c r="S72" i="228"/>
  <c r="S80" i="228" s="1"/>
  <c r="V150" i="228"/>
  <c r="V171" i="228"/>
  <c r="V164" i="228"/>
  <c r="V86" i="228"/>
  <c r="W3" i="228"/>
  <c r="U66" i="228"/>
  <c r="M102" i="228"/>
  <c r="N88" i="228"/>
  <c r="T142" i="228"/>
  <c r="U144" i="228" s="1"/>
  <c r="T53" i="228"/>
  <c r="U41" i="228"/>
  <c r="U50" i="228" s="1"/>
  <c r="T67" i="228"/>
  <c r="V128" i="227"/>
  <c r="V129" i="227" s="1"/>
  <c r="W127" i="227" s="1"/>
  <c r="T167" i="227"/>
  <c r="T175" i="227" s="1"/>
  <c r="Y132" i="227"/>
  <c r="Y133" i="227" s="1"/>
  <c r="Z131" i="227" s="1"/>
  <c r="U79" i="227"/>
  <c r="U82" i="227" s="1"/>
  <c r="V78" i="227"/>
  <c r="U120" i="227"/>
  <c r="U121" i="227" s="1"/>
  <c r="V119" i="227" s="1"/>
  <c r="M141" i="227"/>
  <c r="N145" i="227" s="1"/>
  <c r="M72" i="227"/>
  <c r="M80" i="227" s="1"/>
  <c r="V171" i="227"/>
  <c r="V150" i="227"/>
  <c r="V164" i="227"/>
  <c r="V86" i="227"/>
  <c r="W3" i="227"/>
  <c r="T27" i="227"/>
  <c r="R142" i="227"/>
  <c r="S144" i="227" s="1"/>
  <c r="R53" i="227"/>
  <c r="S41" i="227"/>
  <c r="R52" i="227"/>
  <c r="Q112" i="227"/>
  <c r="R113" i="227"/>
  <c r="R115" i="227" s="1"/>
  <c r="M104" i="227"/>
  <c r="M106" i="227" s="1"/>
  <c r="M107" i="227" s="1"/>
  <c r="M108" i="227" s="1"/>
  <c r="N93" i="227"/>
  <c r="N94" i="227" s="1"/>
  <c r="CU62" i="226"/>
  <c r="CU63" i="226" s="1"/>
  <c r="CU44" i="226"/>
  <c r="DC170" i="226"/>
  <c r="DC178" i="226" s="1"/>
  <c r="DC72" i="226" s="1"/>
  <c r="DC88" i="226" s="1"/>
  <c r="DC89" i="226" s="1"/>
  <c r="DB52" i="226"/>
  <c r="DA33" i="226"/>
  <c r="DA43" i="226" s="1"/>
  <c r="CZ192" i="1"/>
  <c r="CZ61" i="226"/>
  <c r="DB122" i="226"/>
  <c r="DA30" i="226"/>
  <c r="DB138" i="226"/>
  <c r="DA32" i="226"/>
  <c r="DB23" i="226"/>
  <c r="DB24" i="226"/>
  <c r="DB25" i="226" s="1"/>
  <c r="DC48" i="226"/>
  <c r="DC29" i="226" s="1"/>
  <c r="DB29" i="226"/>
  <c r="DC50" i="226"/>
  <c r="DC31" i="226" s="1"/>
  <c r="DB31" i="226"/>
  <c r="V6" i="226"/>
  <c r="U7" i="226"/>
  <c r="CZ62" i="226"/>
  <c r="CZ44" i="226"/>
  <c r="DC54" i="226"/>
  <c r="DC35" i="226" s="1"/>
  <c r="DB35" i="226"/>
  <c r="DB36" i="226" s="1"/>
  <c r="DC23" i="226"/>
  <c r="DC24" i="226"/>
  <c r="CY144" i="1"/>
  <c r="M22" i="236"/>
  <c r="M4" i="236"/>
  <c r="N5" i="236"/>
  <c r="O6" i="236"/>
  <c r="BZ132" i="1"/>
  <c r="BZ140" i="1" s="1"/>
  <c r="BZ56" i="1"/>
  <c r="BZ57" i="1"/>
  <c r="AC58" i="1"/>
  <c r="BF132" i="1"/>
  <c r="BF140" i="1" s="1"/>
  <c r="BF53" i="1"/>
  <c r="BF56" i="1" s="1"/>
  <c r="BF54" i="1"/>
  <c r="BF58" i="1" s="1"/>
  <c r="CK58" i="1"/>
  <c r="CA58" i="1"/>
  <c r="S58" i="1"/>
  <c r="AW58" i="1"/>
  <c r="BG58" i="1"/>
  <c r="AL132" i="1"/>
  <c r="AL140" i="1" s="1"/>
  <c r="AL56" i="1"/>
  <c r="AL57" i="1"/>
  <c r="DC81" i="1"/>
  <c r="DC136" i="1" s="1"/>
  <c r="R132" i="1"/>
  <c r="R140" i="1" s="1"/>
  <c r="R56" i="1"/>
  <c r="R57" i="1"/>
  <c r="DB109" i="1"/>
  <c r="AH132" i="1"/>
  <c r="AH140" i="1" s="1"/>
  <c r="AH56" i="1"/>
  <c r="AH57" i="1"/>
  <c r="W6" i="1"/>
  <c r="W124" i="1" s="1"/>
  <c r="W125" i="1" s="1"/>
  <c r="V7" i="1"/>
  <c r="DA54" i="1"/>
  <c r="BV58" i="1"/>
  <c r="DC79" i="1"/>
  <c r="DC167" i="1" s="1"/>
  <c r="AV132" i="1"/>
  <c r="AV140" i="1" s="1"/>
  <c r="AV53" i="1"/>
  <c r="AV56" i="1" s="1"/>
  <c r="AV54" i="1"/>
  <c r="AV58" i="1" s="1"/>
  <c r="AR132" i="1"/>
  <c r="AR140" i="1" s="1"/>
  <c r="AR57" i="1"/>
  <c r="AR56" i="1"/>
  <c r="N132" i="1"/>
  <c r="N140" i="1" s="1"/>
  <c r="N56" i="1"/>
  <c r="N57" i="1"/>
  <c r="J180" i="1"/>
  <c r="K177" i="1"/>
  <c r="K178" i="1" s="1"/>
  <c r="BB58" i="1"/>
  <c r="DA96" i="1"/>
  <c r="DB92" i="1"/>
  <c r="DA252" i="1"/>
  <c r="DA243" i="1"/>
  <c r="DA226" i="1"/>
  <c r="DA163" i="1"/>
  <c r="DA168" i="1" s="1"/>
  <c r="DA116" i="1"/>
  <c r="DA120" i="1"/>
  <c r="DB88" i="1"/>
  <c r="CJ132" i="1"/>
  <c r="CJ140" i="1" s="1"/>
  <c r="CJ57" i="1"/>
  <c r="CJ56" i="1"/>
  <c r="BU132" i="1"/>
  <c r="BU140" i="1" s="1"/>
  <c r="BU56" i="1"/>
  <c r="BU57" i="1"/>
  <c r="N180" i="1"/>
  <c r="O177" i="1"/>
  <c r="BP132" i="1"/>
  <c r="BP140" i="1" s="1"/>
  <c r="BP57" i="1"/>
  <c r="BP56" i="1"/>
  <c r="BQ132" i="1"/>
  <c r="BQ140" i="1" s="1"/>
  <c r="BQ57" i="1"/>
  <c r="BQ56" i="1"/>
  <c r="DC218" i="1"/>
  <c r="DC53" i="1" s="1"/>
  <c r="DC161" i="1" s="1"/>
  <c r="DB53" i="1"/>
  <c r="DB161" i="1" s="1"/>
  <c r="CS140" i="1"/>
  <c r="H24" i="236" l="1"/>
  <c r="G27" i="234"/>
  <c r="CZ21" i="1"/>
  <c r="DA12" i="1"/>
  <c r="U145" i="228"/>
  <c r="DA71" i="226"/>
  <c r="DA86" i="226"/>
  <c r="DA87" i="226" s="1"/>
  <c r="CZ71" i="226"/>
  <c r="CZ86" i="226"/>
  <c r="CZ85" i="226"/>
  <c r="CZ89" i="226"/>
  <c r="DC73" i="226"/>
  <c r="DB73" i="226"/>
  <c r="DB129" i="226"/>
  <c r="DB145" i="226"/>
  <c r="DC36" i="226"/>
  <c r="CZ63" i="226"/>
  <c r="P84" i="229"/>
  <c r="Z23" i="227"/>
  <c r="Y71" i="229"/>
  <c r="BF57" i="1"/>
  <c r="DC164" i="1"/>
  <c r="DC165" i="1"/>
  <c r="Y59" i="227"/>
  <c r="DF15" i="1"/>
  <c r="DC25" i="226"/>
  <c r="DJ62" i="226"/>
  <c r="DI62" i="226"/>
  <c r="Q17" i="229"/>
  <c r="Q26" i="229" s="1"/>
  <c r="P90" i="229"/>
  <c r="Q80" i="229"/>
  <c r="O66" i="229"/>
  <c r="O35" i="229"/>
  <c r="Q121" i="229"/>
  <c r="Q133" i="229"/>
  <c r="Q105" i="229"/>
  <c r="Q96" i="229"/>
  <c r="Q61" i="229"/>
  <c r="Q88" i="229"/>
  <c r="Q74" i="229"/>
  <c r="Q54" i="229"/>
  <c r="Q40" i="229"/>
  <c r="Q16" i="229"/>
  <c r="R3" i="229"/>
  <c r="V109" i="229"/>
  <c r="W42" i="229"/>
  <c r="U116" i="229"/>
  <c r="V106" i="229"/>
  <c r="Q89" i="229"/>
  <c r="R79" i="229"/>
  <c r="W128" i="228"/>
  <c r="W129" i="228" s="1"/>
  <c r="X127" i="228" s="1"/>
  <c r="W120" i="228"/>
  <c r="W121" i="228" s="1"/>
  <c r="X119" i="228" s="1"/>
  <c r="M104" i="228"/>
  <c r="M106" i="228" s="1"/>
  <c r="M107" i="228" s="1"/>
  <c r="M108" i="228" s="1"/>
  <c r="N93" i="228"/>
  <c r="M141" i="228"/>
  <c r="M72" i="228"/>
  <c r="M80" i="228" s="1"/>
  <c r="Y132" i="228"/>
  <c r="Y133" i="228" s="1"/>
  <c r="Z131" i="228" s="1"/>
  <c r="T105" i="228"/>
  <c r="U62" i="228"/>
  <c r="U67" i="228" s="1"/>
  <c r="W171" i="228"/>
  <c r="W164" i="228"/>
  <c r="W150" i="228"/>
  <c r="W86" i="228"/>
  <c r="X3" i="228"/>
  <c r="T72" i="228"/>
  <c r="T80" i="228" s="1"/>
  <c r="U142" i="228"/>
  <c r="V144" i="228" s="1"/>
  <c r="U53" i="228"/>
  <c r="V41" i="228"/>
  <c r="V50" i="228" s="1"/>
  <c r="N94" i="228"/>
  <c r="U52" i="228"/>
  <c r="V27" i="228"/>
  <c r="T113" i="228"/>
  <c r="T115" i="228" s="1"/>
  <c r="S112" i="228"/>
  <c r="N144" i="228"/>
  <c r="O144" i="228"/>
  <c r="O145" i="228" s="1"/>
  <c r="V120" i="227"/>
  <c r="V121" i="227" s="1"/>
  <c r="W119" i="227" s="1"/>
  <c r="S113" i="227"/>
  <c r="R112" i="227"/>
  <c r="R116" i="227"/>
  <c r="S114" i="227" s="1"/>
  <c r="U167" i="227"/>
  <c r="U175" i="227" s="1"/>
  <c r="W128" i="227"/>
  <c r="W129" i="227" s="1"/>
  <c r="X127" i="227" s="1"/>
  <c r="W164" i="227"/>
  <c r="W171" i="227"/>
  <c r="W150" i="227"/>
  <c r="W86" i="227"/>
  <c r="X3" i="227"/>
  <c r="Z132" i="227"/>
  <c r="Z133" i="227" s="1"/>
  <c r="AA131" i="227" s="1"/>
  <c r="R141" i="227"/>
  <c r="S145" i="227" s="1"/>
  <c r="R72" i="227"/>
  <c r="R80" i="227" s="1"/>
  <c r="W78" i="227"/>
  <c r="V79" i="227"/>
  <c r="V82" i="227" s="1"/>
  <c r="N102" i="227"/>
  <c r="O88" i="227"/>
  <c r="N96" i="227"/>
  <c r="S50" i="227"/>
  <c r="S22" i="227"/>
  <c r="T38" i="227"/>
  <c r="T63" i="227"/>
  <c r="CZ201" i="1"/>
  <c r="W6" i="226"/>
  <c r="V7" i="226"/>
  <c r="DC30" i="226"/>
  <c r="G18" i="234"/>
  <c r="G17" i="234" s="1"/>
  <c r="K27" i="234"/>
  <c r="DC138" i="226"/>
  <c r="DB32" i="226"/>
  <c r="CU192" i="1"/>
  <c r="CZ16" i="1"/>
  <c r="DB154" i="226"/>
  <c r="DB162" i="226" s="1"/>
  <c r="DA34" i="226"/>
  <c r="CY209" i="1"/>
  <c r="CY184" i="1"/>
  <c r="DC32" i="226"/>
  <c r="CT23" i="1"/>
  <c r="DF23" i="1" s="1"/>
  <c r="CT192" i="1"/>
  <c r="CT16" i="1"/>
  <c r="DF16" i="1" s="1"/>
  <c r="CX192" i="1"/>
  <c r="CV192" i="1"/>
  <c r="CY16" i="1"/>
  <c r="CW192" i="1"/>
  <c r="DC52" i="226"/>
  <c r="DC33" i="226" s="1"/>
  <c r="DC43" i="226" s="1"/>
  <c r="DB33" i="226"/>
  <c r="DB43" i="226" s="1"/>
  <c r="DC122" i="226"/>
  <c r="DB30" i="226"/>
  <c r="P6" i="236"/>
  <c r="O5" i="236"/>
  <c r="N22" i="236"/>
  <c r="N4" i="236"/>
  <c r="DB96" i="1"/>
  <c r="DC92" i="1"/>
  <c r="DC96" i="1" s="1"/>
  <c r="AV57" i="1"/>
  <c r="DB54" i="1"/>
  <c r="DC54" i="1" s="1"/>
  <c r="BG132" i="1"/>
  <c r="BG140" i="1" s="1"/>
  <c r="BG57" i="1"/>
  <c r="BG56" i="1"/>
  <c r="S177" i="1"/>
  <c r="O178" i="1"/>
  <c r="L177" i="1"/>
  <c r="L178" i="1" s="1"/>
  <c r="K180" i="1"/>
  <c r="BV132" i="1"/>
  <c r="BV140" i="1" s="1"/>
  <c r="BV56" i="1"/>
  <c r="BV57" i="1"/>
  <c r="DC109" i="1"/>
  <c r="AW132" i="1"/>
  <c r="AW140" i="1" s="1"/>
  <c r="AW56" i="1"/>
  <c r="AW57" i="1"/>
  <c r="CA132" i="1"/>
  <c r="CA140" i="1" s="1"/>
  <c r="CA57" i="1"/>
  <c r="CA56" i="1"/>
  <c r="CK132" i="1"/>
  <c r="CK140" i="1" s="1"/>
  <c r="CK56" i="1"/>
  <c r="CK57" i="1"/>
  <c r="AC132" i="1"/>
  <c r="AC140" i="1" s="1"/>
  <c r="AC57" i="1"/>
  <c r="AC56" i="1"/>
  <c r="BB132" i="1"/>
  <c r="BB140" i="1" s="1"/>
  <c r="BB56" i="1"/>
  <c r="BB57" i="1"/>
  <c r="Y6" i="1"/>
  <c r="Y124" i="1" s="1"/>
  <c r="Y125" i="1" s="1"/>
  <c r="W7" i="1"/>
  <c r="CZ30" i="1"/>
  <c r="DB252" i="1"/>
  <c r="DB226" i="1"/>
  <c r="DB243" i="1"/>
  <c r="DB163" i="1"/>
  <c r="DB168" i="1" s="1"/>
  <c r="DB120" i="1"/>
  <c r="DB116" i="1"/>
  <c r="DC88" i="1"/>
  <c r="S132" i="1"/>
  <c r="S140" i="1" s="1"/>
  <c r="S57" i="1"/>
  <c r="S56" i="1"/>
  <c r="DA133" i="1" l="1"/>
  <c r="DB12" i="1"/>
  <c r="Z59" i="227"/>
  <c r="N145" i="228"/>
  <c r="DC12" i="1"/>
  <c r="DB70" i="226"/>
  <c r="DB68" i="226"/>
  <c r="CZ87" i="226"/>
  <c r="DB66" i="226"/>
  <c r="DB82" i="226" s="1"/>
  <c r="DB83" i="226" s="1"/>
  <c r="DA15" i="1"/>
  <c r="DA44" i="226"/>
  <c r="DA62" i="226"/>
  <c r="DA63" i="226" s="1"/>
  <c r="DF192" i="1"/>
  <c r="DI192" i="1" s="1"/>
  <c r="CT197" i="1"/>
  <c r="DF197" i="1" s="1"/>
  <c r="CT206" i="1"/>
  <c r="DF206" i="1" s="1"/>
  <c r="CT202" i="1"/>
  <c r="DF202" i="1" s="1"/>
  <c r="CT198" i="1"/>
  <c r="DF198" i="1" s="1"/>
  <c r="CT201" i="1"/>
  <c r="DF201" i="1" s="1"/>
  <c r="CT200" i="1"/>
  <c r="DF200" i="1" s="1"/>
  <c r="DA60" i="226"/>
  <c r="DA61" i="226" s="1"/>
  <c r="DA259" i="1"/>
  <c r="DC121" i="226"/>
  <c r="DC129" i="226" s="1"/>
  <c r="DC137" i="226"/>
  <c r="DC145" i="226" s="1"/>
  <c r="DC34" i="226"/>
  <c r="CU22" i="1"/>
  <c r="CU230" i="1" s="1"/>
  <c r="DF22" i="1"/>
  <c r="Y60" i="227"/>
  <c r="Z56" i="227" s="1"/>
  <c r="AA23" i="227"/>
  <c r="Z71" i="229"/>
  <c r="DJ16" i="1"/>
  <c r="DI16" i="1"/>
  <c r="DJ192" i="1"/>
  <c r="CU20" i="1"/>
  <c r="CU21" i="1" s="1"/>
  <c r="DF20" i="1"/>
  <c r="DI23" i="1"/>
  <c r="DJ23" i="1"/>
  <c r="G24" i="236"/>
  <c r="DI15" i="1"/>
  <c r="DJ15" i="1"/>
  <c r="CX70" i="1"/>
  <c r="CY135" i="1" s="1"/>
  <c r="CW70" i="1"/>
  <c r="CV70" i="1"/>
  <c r="DF40" i="1"/>
  <c r="Q90" i="229"/>
  <c r="R80" i="229"/>
  <c r="Q84" i="229"/>
  <c r="R89" i="229"/>
  <c r="S79" i="229"/>
  <c r="W109" i="229"/>
  <c r="X42" i="229"/>
  <c r="V116" i="229"/>
  <c r="W106" i="229"/>
  <c r="O97" i="229"/>
  <c r="O37" i="229"/>
  <c r="P28" i="229"/>
  <c r="O36" i="229"/>
  <c r="O45" i="229" s="1"/>
  <c r="BB244" i="1" s="1"/>
  <c r="BB245" i="1" s="1"/>
  <c r="R17" i="229"/>
  <c r="R26" i="229" s="1"/>
  <c r="R121" i="229"/>
  <c r="R133" i="229"/>
  <c r="R105" i="229"/>
  <c r="R88" i="229"/>
  <c r="R74" i="229"/>
  <c r="R96" i="229"/>
  <c r="R54" i="229"/>
  <c r="R61" i="229"/>
  <c r="R40" i="229"/>
  <c r="S3" i="229"/>
  <c r="R16" i="229"/>
  <c r="U113" i="228"/>
  <c r="T112" i="228"/>
  <c r="T116" i="228"/>
  <c r="U114" i="228" s="1"/>
  <c r="X120" i="228"/>
  <c r="X121" i="228" s="1"/>
  <c r="Y119" i="228" s="1"/>
  <c r="Z132" i="228"/>
  <c r="Z133" i="228"/>
  <c r="AA131" i="228" s="1"/>
  <c r="X128" i="228"/>
  <c r="X129" i="228" s="1"/>
  <c r="Y127" i="228" s="1"/>
  <c r="V38" i="228"/>
  <c r="V142" i="228" s="1"/>
  <c r="W144" i="228" s="1"/>
  <c r="V63" i="228"/>
  <c r="V66" i="228" s="1"/>
  <c r="V53" i="228"/>
  <c r="W41" i="228"/>
  <c r="W50" i="228" s="1"/>
  <c r="X171" i="228"/>
  <c r="X164" i="228"/>
  <c r="X150" i="228"/>
  <c r="X86" i="228"/>
  <c r="Y3" i="228"/>
  <c r="U141" i="228"/>
  <c r="U72" i="228"/>
  <c r="U80" i="228" s="1"/>
  <c r="N102" i="228"/>
  <c r="O88" i="228"/>
  <c r="N96" i="228"/>
  <c r="V145" i="228"/>
  <c r="U105" i="228"/>
  <c r="V62" i="228"/>
  <c r="V167" i="227"/>
  <c r="V175" i="227" s="1"/>
  <c r="AA132" i="227"/>
  <c r="AA133" i="227" s="1"/>
  <c r="AB131" i="227" s="1"/>
  <c r="W120" i="227"/>
  <c r="W121" i="227" s="1"/>
  <c r="X119" i="227" s="1"/>
  <c r="X128" i="227"/>
  <c r="X129" i="227" s="1"/>
  <c r="Y127" i="227" s="1"/>
  <c r="S142" i="227"/>
  <c r="T144" i="227" s="1"/>
  <c r="S53" i="227"/>
  <c r="T41" i="227"/>
  <c r="S52" i="227"/>
  <c r="T66" i="227"/>
  <c r="N104" i="227"/>
  <c r="N106" i="227" s="1"/>
  <c r="N107" i="227" s="1"/>
  <c r="N108" i="227" s="1"/>
  <c r="O93" i="227"/>
  <c r="O94" i="227" s="1"/>
  <c r="X150" i="227"/>
  <c r="X171" i="227"/>
  <c r="X164" i="227"/>
  <c r="X86" i="227"/>
  <c r="Y3" i="227"/>
  <c r="U27" i="227"/>
  <c r="X78" i="227"/>
  <c r="Y78" i="227" s="1"/>
  <c r="Z78" i="227" s="1"/>
  <c r="AA78" i="227" s="1"/>
  <c r="AB78" i="227" s="1"/>
  <c r="W79" i="227"/>
  <c r="W82" i="227" s="1"/>
  <c r="S115" i="227"/>
  <c r="S116" i="227" s="1"/>
  <c r="T114" i="227" s="1"/>
  <c r="DB60" i="226"/>
  <c r="CW144" i="1"/>
  <c r="W7" i="226"/>
  <c r="Y6" i="226"/>
  <c r="DC153" i="226"/>
  <c r="DC154" i="226"/>
  <c r="DB34" i="226"/>
  <c r="CV144" i="1"/>
  <c r="DF144" i="1"/>
  <c r="DF82" i="1"/>
  <c r="DF86" i="1"/>
  <c r="DF71" i="1"/>
  <c r="DF70" i="1"/>
  <c r="DF76" i="1"/>
  <c r="DB201" i="1"/>
  <c r="CX144" i="1"/>
  <c r="O22" i="236"/>
  <c r="O4" i="236"/>
  <c r="Q6" i="236"/>
  <c r="P5" i="236"/>
  <c r="DC252" i="1"/>
  <c r="DC243" i="1"/>
  <c r="DC226" i="1"/>
  <c r="DC163" i="1"/>
  <c r="DC168" i="1" s="1"/>
  <c r="DC120" i="1"/>
  <c r="DC116" i="1"/>
  <c r="Z6" i="1"/>
  <c r="Y7" i="1"/>
  <c r="M177" i="1"/>
  <c r="M178" i="1" s="1"/>
  <c r="M180" i="1" s="1"/>
  <c r="L180" i="1"/>
  <c r="O180" i="1"/>
  <c r="P177" i="1"/>
  <c r="P178" i="1" s="1"/>
  <c r="DB133" i="1" l="1"/>
  <c r="DC133" i="1"/>
  <c r="Z60" i="227"/>
  <c r="AA56" i="227" s="1"/>
  <c r="DB69" i="226"/>
  <c r="DB84" i="226"/>
  <c r="DB85" i="226" s="1"/>
  <c r="DB71" i="226"/>
  <c r="DB86" i="226"/>
  <c r="DB87" i="226" s="1"/>
  <c r="CU23" i="1"/>
  <c r="DA20" i="1"/>
  <c r="DA18" i="1"/>
  <c r="DA22" i="1"/>
  <c r="I24" i="236"/>
  <c r="I25" i="236" s="1"/>
  <c r="DC68" i="226"/>
  <c r="DC66" i="226"/>
  <c r="DC82" i="226" s="1"/>
  <c r="DC83" i="226" s="1"/>
  <c r="DA192" i="1"/>
  <c r="DA16" i="1"/>
  <c r="DB61" i="226"/>
  <c r="DI202" i="1"/>
  <c r="DJ202" i="1"/>
  <c r="DJ200" i="1"/>
  <c r="DI200" i="1"/>
  <c r="DJ206" i="1"/>
  <c r="DI206" i="1"/>
  <c r="DJ201" i="1"/>
  <c r="DI201" i="1"/>
  <c r="DJ197" i="1"/>
  <c r="DI197" i="1"/>
  <c r="DJ198" i="1"/>
  <c r="DI198" i="1"/>
  <c r="DI22" i="1"/>
  <c r="DJ22" i="1"/>
  <c r="AB23" i="227"/>
  <c r="AB71" i="229" s="1"/>
  <c r="AA71" i="229"/>
  <c r="AA59" i="227"/>
  <c r="AB59" i="227" s="1"/>
  <c r="CW135" i="1"/>
  <c r="DI76" i="1"/>
  <c r="DJ76" i="1"/>
  <c r="DJ71" i="1"/>
  <c r="DI71" i="1"/>
  <c r="DJ82" i="1"/>
  <c r="DI82" i="1"/>
  <c r="DJ144" i="1"/>
  <c r="DI144" i="1"/>
  <c r="G25" i="236"/>
  <c r="H25" i="236"/>
  <c r="DI20" i="1"/>
  <c r="DJ20" i="1"/>
  <c r="DJ70" i="1"/>
  <c r="DI70" i="1"/>
  <c r="DJ86" i="1"/>
  <c r="DI86" i="1"/>
  <c r="CU133" i="1"/>
  <c r="DF133" i="1"/>
  <c r="DI40" i="1"/>
  <c r="DJ40" i="1"/>
  <c r="CZ133" i="1"/>
  <c r="P66" i="229"/>
  <c r="P35" i="229"/>
  <c r="S17" i="229"/>
  <c r="S26" i="229" s="1"/>
  <c r="X109" i="229"/>
  <c r="Y42" i="229"/>
  <c r="W116" i="229"/>
  <c r="X106" i="229"/>
  <c r="R90" i="229"/>
  <c r="S80" i="229"/>
  <c r="R84" i="229"/>
  <c r="S121" i="229"/>
  <c r="S105" i="229"/>
  <c r="S133" i="229"/>
  <c r="S96" i="229"/>
  <c r="S88" i="229"/>
  <c r="S54" i="229"/>
  <c r="S40" i="229"/>
  <c r="S61" i="229"/>
  <c r="S74" i="229"/>
  <c r="S16" i="229"/>
  <c r="T3" i="229"/>
  <c r="T79" i="229"/>
  <c r="S89" i="229"/>
  <c r="Y164" i="228"/>
  <c r="Y150" i="228"/>
  <c r="Y171" i="228"/>
  <c r="Y86" i="228"/>
  <c r="Z3" i="228"/>
  <c r="Y128" i="228"/>
  <c r="Y129" i="228" s="1"/>
  <c r="Z127" i="228" s="1"/>
  <c r="Y121" i="228"/>
  <c r="Z119" i="228" s="1"/>
  <c r="Y120" i="228"/>
  <c r="U115" i="228"/>
  <c r="X41" i="228"/>
  <c r="V52" i="228"/>
  <c r="W27" i="228"/>
  <c r="AA132" i="228"/>
  <c r="AA133" i="228" s="1"/>
  <c r="AB131" i="228" s="1"/>
  <c r="V67" i="228"/>
  <c r="N104" i="228"/>
  <c r="N106" i="228" s="1"/>
  <c r="N107" i="228" s="1"/>
  <c r="N108" i="228" s="1"/>
  <c r="O93" i="228"/>
  <c r="O94" i="228" s="1"/>
  <c r="Y128" i="227"/>
  <c r="Y129" i="227" s="1"/>
  <c r="Z127" i="227" s="1"/>
  <c r="W167" i="227"/>
  <c r="W175" i="227" s="1"/>
  <c r="O102" i="227"/>
  <c r="P88" i="227"/>
  <c r="O96" i="227"/>
  <c r="X120" i="227"/>
  <c r="X121" i="227" s="1"/>
  <c r="Y119" i="227" s="1"/>
  <c r="AB132" i="227"/>
  <c r="AB133" i="227" s="1"/>
  <c r="U38" i="227"/>
  <c r="U63" i="227"/>
  <c r="U66" i="227" s="1"/>
  <c r="T50" i="227"/>
  <c r="T22" i="227"/>
  <c r="T113" i="227"/>
  <c r="S112" i="227"/>
  <c r="Y164" i="227"/>
  <c r="Y171" i="227"/>
  <c r="Y150" i="227"/>
  <c r="Y86" i="227"/>
  <c r="Z3" i="227"/>
  <c r="T67" i="227"/>
  <c r="T115" i="227"/>
  <c r="S141" i="227"/>
  <c r="T145" i="227" s="1"/>
  <c r="S72" i="227"/>
  <c r="S80" i="227" s="1"/>
  <c r="S54" i="227"/>
  <c r="CW184" i="1"/>
  <c r="CW209" i="1"/>
  <c r="CU70" i="1"/>
  <c r="DB62" i="226"/>
  <c r="DB63" i="226" s="1"/>
  <c r="DB44" i="226"/>
  <c r="DB15" i="1"/>
  <c r="DB259" i="1"/>
  <c r="CU76" i="1"/>
  <c r="CU82" i="1"/>
  <c r="DC201" i="1"/>
  <c r="CU71" i="1"/>
  <c r="CU144" i="1"/>
  <c r="CT184" i="1"/>
  <c r="CV209" i="1"/>
  <c r="CV184" i="1"/>
  <c r="CZ144" i="1"/>
  <c r="DC162" i="226"/>
  <c r="CX135" i="1"/>
  <c r="CX209" i="1"/>
  <c r="CX184" i="1"/>
  <c r="CU86" i="1"/>
  <c r="CT90" i="1"/>
  <c r="DF90" i="1" s="1"/>
  <c r="Z6" i="226"/>
  <c r="Y7" i="226"/>
  <c r="DC60" i="226"/>
  <c r="DC61" i="226" s="1"/>
  <c r="P4" i="236"/>
  <c r="P22" i="236"/>
  <c r="Q5" i="236"/>
  <c r="Q177" i="1"/>
  <c r="Q178" i="1" s="1"/>
  <c r="P180" i="1"/>
  <c r="Z7" i="1"/>
  <c r="AA6" i="1"/>
  <c r="Z124" i="1"/>
  <c r="Z125" i="1" s="1"/>
  <c r="DA70" i="1" l="1"/>
  <c r="DA135" i="1" s="1"/>
  <c r="DA144" i="1"/>
  <c r="CZ206" i="1"/>
  <c r="CZ207" i="1"/>
  <c r="G33" i="236"/>
  <c r="H33" i="236"/>
  <c r="DC69" i="226"/>
  <c r="DC84" i="226"/>
  <c r="DC85" i="226" s="1"/>
  <c r="DB18" i="1"/>
  <c r="DB22" i="1"/>
  <c r="I33" i="236"/>
  <c r="DC70" i="226"/>
  <c r="DA86" i="1"/>
  <c r="DA90" i="1" s="1"/>
  <c r="DA71" i="1"/>
  <c r="AA60" i="227"/>
  <c r="AB56" i="227" s="1"/>
  <c r="AB60" i="227" s="1"/>
  <c r="DJ90" i="1"/>
  <c r="DI90" i="1"/>
  <c r="CU78" i="1"/>
  <c r="DF78" i="1"/>
  <c r="CU146" i="1"/>
  <c r="DF146" i="1"/>
  <c r="CU135" i="1"/>
  <c r="DF135" i="1"/>
  <c r="CU139" i="1"/>
  <c r="DF139" i="1"/>
  <c r="CT157" i="1"/>
  <c r="DF157" i="1" s="1"/>
  <c r="CU184" i="1"/>
  <c r="DF184" i="1"/>
  <c r="CU137" i="1"/>
  <c r="DF137" i="1"/>
  <c r="CU145" i="1"/>
  <c r="DF145" i="1"/>
  <c r="DJ133" i="1"/>
  <c r="DI133" i="1"/>
  <c r="T89" i="229"/>
  <c r="U79" i="229"/>
  <c r="T17" i="229"/>
  <c r="T26" i="229" s="1"/>
  <c r="T133" i="229"/>
  <c r="T121" i="229"/>
  <c r="T105" i="229"/>
  <c r="T96" i="229"/>
  <c r="T74" i="229"/>
  <c r="T40" i="229"/>
  <c r="T54" i="229"/>
  <c r="T61" i="229"/>
  <c r="T88" i="229"/>
  <c r="T16" i="229"/>
  <c r="U3" i="229"/>
  <c r="S90" i="229"/>
  <c r="T80" i="229"/>
  <c r="S84" i="229"/>
  <c r="Y109" i="229"/>
  <c r="Z42" i="229"/>
  <c r="P97" i="229"/>
  <c r="P37" i="229"/>
  <c r="Q28" i="229"/>
  <c r="P36" i="229"/>
  <c r="P45" i="229" s="1"/>
  <c r="BG244" i="1" s="1"/>
  <c r="BG245" i="1" s="1"/>
  <c r="Y106" i="229"/>
  <c r="X116" i="229"/>
  <c r="Z128" i="228"/>
  <c r="Z129" i="228"/>
  <c r="AA127" i="228" s="1"/>
  <c r="P88" i="228"/>
  <c r="O102" i="228"/>
  <c r="O96" i="228"/>
  <c r="V105" i="228"/>
  <c r="W62" i="228"/>
  <c r="V141" i="228"/>
  <c r="W145" i="228" s="1"/>
  <c r="V72" i="228"/>
  <c r="V80" i="228" s="1"/>
  <c r="Z120" i="228"/>
  <c r="Z121" i="228" s="1"/>
  <c r="AA119" i="228" s="1"/>
  <c r="AB132" i="228"/>
  <c r="AB133" i="228" s="1"/>
  <c r="V113" i="228"/>
  <c r="U112" i="228"/>
  <c r="X42" i="228"/>
  <c r="X7" i="228"/>
  <c r="U116" i="228"/>
  <c r="V114" i="228" s="1"/>
  <c r="W38" i="228"/>
  <c r="W63" i="228"/>
  <c r="W66" i="228" s="1"/>
  <c r="Z150" i="228"/>
  <c r="Z171" i="228"/>
  <c r="Z164" i="228"/>
  <c r="Z86" i="228"/>
  <c r="AA3" i="228"/>
  <c r="Y120" i="227"/>
  <c r="Y121" i="227" s="1"/>
  <c r="Z119" i="227" s="1"/>
  <c r="Z128" i="227"/>
  <c r="Z129" i="227" s="1"/>
  <c r="AA127" i="227" s="1"/>
  <c r="Z171" i="227"/>
  <c r="Z150" i="227"/>
  <c r="Z164" i="227"/>
  <c r="Z86" i="227"/>
  <c r="AA3" i="227"/>
  <c r="V27" i="227"/>
  <c r="U113" i="227"/>
  <c r="T112" i="227"/>
  <c r="O104" i="227"/>
  <c r="O106" i="227" s="1"/>
  <c r="O107" i="227" s="1"/>
  <c r="O108" i="227" s="1"/>
  <c r="P93" i="227"/>
  <c r="P94" i="227" s="1"/>
  <c r="T116" i="227"/>
  <c r="U114" i="227" s="1"/>
  <c r="T142" i="227"/>
  <c r="U144" i="227" s="1"/>
  <c r="T53" i="227"/>
  <c r="U41" i="227"/>
  <c r="T52" i="227"/>
  <c r="T105" i="227"/>
  <c r="U62" i="227"/>
  <c r="U67" i="227" s="1"/>
  <c r="DC62" i="226"/>
  <c r="DC63" i="226" s="1"/>
  <c r="DC44" i="226"/>
  <c r="DC15" i="1"/>
  <c r="DC259" i="1"/>
  <c r="AA6" i="226"/>
  <c r="Z7" i="226"/>
  <c r="CU200" i="1"/>
  <c r="CV200" i="1" s="1"/>
  <c r="CV82" i="1" s="1"/>
  <c r="CU202" i="1"/>
  <c r="CV202" i="1" s="1"/>
  <c r="CV76" i="1" s="1"/>
  <c r="G36" i="236"/>
  <c r="CU206" i="1"/>
  <c r="CU209" i="1"/>
  <c r="J24" i="236"/>
  <c r="J25" i="236" s="1"/>
  <c r="DB192" i="1"/>
  <c r="DB20" i="1"/>
  <c r="DB16" i="1"/>
  <c r="CU198" i="1"/>
  <c r="CV198" i="1" s="1"/>
  <c r="CV86" i="1" s="1"/>
  <c r="CV90" i="1" s="1"/>
  <c r="CU90" i="1"/>
  <c r="H36" i="236"/>
  <c r="CZ209" i="1"/>
  <c r="CZ184" i="1"/>
  <c r="CU197" i="1"/>
  <c r="CV197" i="1" s="1"/>
  <c r="CV71" i="1" s="1"/>
  <c r="CU201" i="1"/>
  <c r="CV135" i="1"/>
  <c r="CZ135" i="1" s="1"/>
  <c r="Q22" i="236"/>
  <c r="Q4" i="236"/>
  <c r="R177" i="1"/>
  <c r="Q180" i="1"/>
  <c r="R173" i="1"/>
  <c r="AB6" i="1"/>
  <c r="AB124" i="1" s="1"/>
  <c r="AB125" i="1" s="1"/>
  <c r="AA7" i="1"/>
  <c r="AA124" i="1"/>
  <c r="AA125" i="1" s="1"/>
  <c r="DA184" i="1" l="1"/>
  <c r="I36" i="236"/>
  <c r="DC71" i="226"/>
  <c r="DC86" i="226"/>
  <c r="DC87" i="226" s="1"/>
  <c r="DC22" i="1"/>
  <c r="DC18" i="1"/>
  <c r="DA209" i="1"/>
  <c r="W67" i="228"/>
  <c r="T84" i="229"/>
  <c r="CU157" i="1"/>
  <c r="DJ145" i="1"/>
  <c r="DI145" i="1"/>
  <c r="DJ137" i="1"/>
  <c r="DI137" i="1"/>
  <c r="DJ184" i="1"/>
  <c r="DI184" i="1"/>
  <c r="DJ157" i="1"/>
  <c r="DI157" i="1"/>
  <c r="CV78" i="1"/>
  <c r="CW78" i="1" s="1"/>
  <c r="CX78" i="1" s="1"/>
  <c r="CY78" i="1" s="1"/>
  <c r="CZ78" i="1" s="1"/>
  <c r="DA78" i="1" s="1"/>
  <c r="DI139" i="1"/>
  <c r="DJ139" i="1"/>
  <c r="DI135" i="1"/>
  <c r="DJ135" i="1"/>
  <c r="DI146" i="1"/>
  <c r="DJ146" i="1"/>
  <c r="DJ78" i="1"/>
  <c r="DI78" i="1"/>
  <c r="Q29" i="229"/>
  <c r="Q101" i="229" s="1"/>
  <c r="Q102" i="229" s="1"/>
  <c r="Y116" i="229"/>
  <c r="Z106" i="229"/>
  <c r="U121" i="229"/>
  <c r="U133" i="229"/>
  <c r="U105" i="229"/>
  <c r="U96" i="229"/>
  <c r="U88" i="229"/>
  <c r="U61" i="229"/>
  <c r="U40" i="229"/>
  <c r="U74" i="229"/>
  <c r="U54" i="229"/>
  <c r="U16" i="229"/>
  <c r="V3" i="229"/>
  <c r="T90" i="229"/>
  <c r="U80" i="229"/>
  <c r="U89" i="229"/>
  <c r="V79" i="229"/>
  <c r="Z109" i="229"/>
  <c r="AA42" i="229"/>
  <c r="U17" i="229"/>
  <c r="U26" i="229" s="1"/>
  <c r="AA120" i="228"/>
  <c r="AA121" i="228" s="1"/>
  <c r="AB119" i="228" s="1"/>
  <c r="W52" i="228"/>
  <c r="X27" i="228"/>
  <c r="W53" i="228"/>
  <c r="W142" i="228"/>
  <c r="X144" i="228" s="1"/>
  <c r="X98" i="228"/>
  <c r="V115" i="228"/>
  <c r="V116" i="228" s="1"/>
  <c r="W114" i="228" s="1"/>
  <c r="W105" i="228"/>
  <c r="X62" i="228"/>
  <c r="X89" i="228"/>
  <c r="X64" i="228"/>
  <c r="AA128" i="228"/>
  <c r="AA129" i="228" s="1"/>
  <c r="AB127" i="228" s="1"/>
  <c r="AA171" i="228"/>
  <c r="AA164" i="228"/>
  <c r="AA150" i="228"/>
  <c r="AA86" i="228"/>
  <c r="AB3" i="228"/>
  <c r="X50" i="228"/>
  <c r="O104" i="228"/>
  <c r="O106" i="228" s="1"/>
  <c r="O107" i="228" s="1"/>
  <c r="O108" i="228" s="1"/>
  <c r="P93" i="228"/>
  <c r="P94" i="228" s="1"/>
  <c r="P102" i="227"/>
  <c r="Q88" i="227"/>
  <c r="P96" i="227"/>
  <c r="Z120" i="227"/>
  <c r="Z121" i="227" s="1"/>
  <c r="AA119" i="227" s="1"/>
  <c r="U105" i="227"/>
  <c r="V62" i="227"/>
  <c r="U22" i="227"/>
  <c r="U50" i="227"/>
  <c r="V38" i="227"/>
  <c r="V63" i="227"/>
  <c r="V66" i="227" s="1"/>
  <c r="U115" i="227"/>
  <c r="U116" i="227" s="1"/>
  <c r="V114" i="227" s="1"/>
  <c r="AA128" i="227"/>
  <c r="AA129" i="227" s="1"/>
  <c r="AB127" i="227" s="1"/>
  <c r="T141" i="227"/>
  <c r="T72" i="227"/>
  <c r="T80" i="227" s="1"/>
  <c r="T54" i="227"/>
  <c r="U145" i="227"/>
  <c r="AA164" i="227"/>
  <c r="AA171" i="227"/>
  <c r="AA150" i="227"/>
  <c r="AA86" i="227"/>
  <c r="AB3" i="227"/>
  <c r="K24" i="236"/>
  <c r="DC16" i="1"/>
  <c r="DC20" i="1"/>
  <c r="DC192" i="1"/>
  <c r="CW198" i="1"/>
  <c r="CW86" i="1" s="1"/>
  <c r="CW90" i="1" s="1"/>
  <c r="CW202" i="1"/>
  <c r="CW76" i="1" s="1"/>
  <c r="DB86" i="1"/>
  <c r="DB144" i="1"/>
  <c r="J33" i="236"/>
  <c r="DB71" i="1"/>
  <c r="DB70" i="1"/>
  <c r="DB135" i="1" s="1"/>
  <c r="AB6" i="226"/>
  <c r="AA7" i="226"/>
  <c r="CW197" i="1"/>
  <c r="CW71" i="1" s="1"/>
  <c r="CW200" i="1"/>
  <c r="CW82" i="1" s="1"/>
  <c r="S173" i="1"/>
  <c r="S175" i="1" s="1"/>
  <c r="S178" i="1" s="1"/>
  <c r="R175" i="1"/>
  <c r="R178" i="1" s="1"/>
  <c r="R180" i="1" s="1"/>
  <c r="AD6" i="1"/>
  <c r="AB7" i="1"/>
  <c r="Z116" i="229" l="1"/>
  <c r="AA106" i="229"/>
  <c r="V17" i="229"/>
  <c r="V26" i="229" s="1"/>
  <c r="V89" i="229"/>
  <c r="W79" i="229"/>
  <c r="V121" i="229"/>
  <c r="V133" i="229"/>
  <c r="V88" i="229"/>
  <c r="V74" i="229"/>
  <c r="V105" i="229"/>
  <c r="V96" i="229"/>
  <c r="V54" i="229"/>
  <c r="V61" i="229"/>
  <c r="V40" i="229"/>
  <c r="V16" i="229"/>
  <c r="W3" i="229"/>
  <c r="AA109" i="229"/>
  <c r="AB42" i="229"/>
  <c r="AB109" i="229" s="1"/>
  <c r="AB116" i="229" s="1"/>
  <c r="V80" i="229"/>
  <c r="U90" i="229"/>
  <c r="U84" i="229"/>
  <c r="Q35" i="229"/>
  <c r="P102" i="228"/>
  <c r="Q88" i="228"/>
  <c r="P96" i="228"/>
  <c r="AB128" i="228"/>
  <c r="AB129" i="228" s="1"/>
  <c r="AB171" i="228"/>
  <c r="AB164" i="228"/>
  <c r="AB150" i="228"/>
  <c r="AB86" i="228"/>
  <c r="Y41" i="228"/>
  <c r="X6" i="228"/>
  <c r="X63" i="228"/>
  <c r="W141" i="228"/>
  <c r="W72" i="228"/>
  <c r="W80" i="228" s="1"/>
  <c r="X145" i="228"/>
  <c r="AB120" i="228"/>
  <c r="AB121" i="228" s="1"/>
  <c r="W113" i="228"/>
  <c r="W115" i="228" s="1"/>
  <c r="V112" i="228"/>
  <c r="AA120" i="227"/>
  <c r="AA121" i="227" s="1"/>
  <c r="AB119" i="227" s="1"/>
  <c r="AB128" i="227"/>
  <c r="AB129" i="227" s="1"/>
  <c r="V113" i="227"/>
  <c r="V115" i="227" s="1"/>
  <c r="U112" i="227"/>
  <c r="AB150" i="227"/>
  <c r="AB171" i="227"/>
  <c r="AB164" i="227"/>
  <c r="AB86" i="227"/>
  <c r="W27" i="227"/>
  <c r="V67" i="227"/>
  <c r="P104" i="227"/>
  <c r="P106" i="227" s="1"/>
  <c r="P107" i="227" s="1"/>
  <c r="P108" i="227" s="1"/>
  <c r="Q93" i="227"/>
  <c r="Q94" i="227" s="1"/>
  <c r="U142" i="227"/>
  <c r="V144" i="227" s="1"/>
  <c r="U53" i="227"/>
  <c r="V41" i="227"/>
  <c r="U52" i="227"/>
  <c r="DB139" i="1"/>
  <c r="DB90" i="1"/>
  <c r="DC86" i="1"/>
  <c r="DC71" i="1"/>
  <c r="DC144" i="1"/>
  <c r="K33" i="236"/>
  <c r="DC70" i="1"/>
  <c r="DC135" i="1" s="1"/>
  <c r="CX200" i="1"/>
  <c r="CX82" i="1" s="1"/>
  <c r="AB7" i="226"/>
  <c r="AD6" i="226"/>
  <c r="DB137" i="1"/>
  <c r="CV145" i="1"/>
  <c r="CV146" i="1"/>
  <c r="CW140" i="1"/>
  <c r="CV140" i="1"/>
  <c r="CV137" i="1"/>
  <c r="CX202" i="1"/>
  <c r="CX76" i="1" s="1"/>
  <c r="CV139" i="1"/>
  <c r="CX197" i="1"/>
  <c r="CX71" i="1" s="1"/>
  <c r="J36" i="236"/>
  <c r="DB209" i="1"/>
  <c r="DB184" i="1"/>
  <c r="DB78" i="1"/>
  <c r="CX198" i="1"/>
  <c r="CX86" i="1" s="1"/>
  <c r="CX90" i="1" s="1"/>
  <c r="K25" i="236"/>
  <c r="L24" i="236"/>
  <c r="L34" i="236" s="1"/>
  <c r="AE6" i="1"/>
  <c r="AD7" i="1"/>
  <c r="AD124" i="1"/>
  <c r="AD125" i="1" s="1"/>
  <c r="CT250" i="1"/>
  <c r="S180" i="1"/>
  <c r="T173" i="1"/>
  <c r="T177" i="1"/>
  <c r="X177" i="1" s="1"/>
  <c r="DC137" i="1" l="1"/>
  <c r="V84" i="229"/>
  <c r="DF18" i="1"/>
  <c r="DC78" i="1"/>
  <c r="Q97" i="229"/>
  <c r="Q37" i="229"/>
  <c r="R28" i="229"/>
  <c r="Q36" i="229"/>
  <c r="Q45" i="229" s="1"/>
  <c r="W17" i="229"/>
  <c r="W26" i="229" s="1"/>
  <c r="AA116" i="229"/>
  <c r="AB106" i="229"/>
  <c r="W121" i="229"/>
  <c r="W105" i="229"/>
  <c r="W133" i="229"/>
  <c r="W96" i="229"/>
  <c r="W74" i="229"/>
  <c r="W88" i="229"/>
  <c r="W54" i="229"/>
  <c r="W61" i="229"/>
  <c r="W16" i="229"/>
  <c r="X3" i="229"/>
  <c r="W40" i="229"/>
  <c r="W89" i="229"/>
  <c r="X79" i="229"/>
  <c r="V90" i="229"/>
  <c r="W80" i="229"/>
  <c r="X113" i="228"/>
  <c r="W112" i="228"/>
  <c r="W116" i="228"/>
  <c r="X114" i="228" s="1"/>
  <c r="X31" i="228"/>
  <c r="X66" i="228"/>
  <c r="X67" i="228" s="1"/>
  <c r="Y42" i="228"/>
  <c r="Y7" i="228"/>
  <c r="X30" i="228"/>
  <c r="X38" i="228" s="1"/>
  <c r="X10" i="228"/>
  <c r="X14" i="228"/>
  <c r="P104" i="228"/>
  <c r="P106" i="228" s="1"/>
  <c r="P107" i="228" s="1"/>
  <c r="P108" i="228" s="1"/>
  <c r="Q93" i="228"/>
  <c r="Q94" i="228" s="1"/>
  <c r="W113" i="227"/>
  <c r="V112" i="227"/>
  <c r="V116" i="227"/>
  <c r="W114" i="227" s="1"/>
  <c r="R88" i="227"/>
  <c r="Q102" i="227"/>
  <c r="Q96" i="227"/>
  <c r="AB120" i="227"/>
  <c r="AB121" i="227" s="1"/>
  <c r="V22" i="227"/>
  <c r="V50" i="227"/>
  <c r="V105" i="227"/>
  <c r="W62" i="227"/>
  <c r="W38" i="227"/>
  <c r="W63" i="227"/>
  <c r="W66" i="227" s="1"/>
  <c r="U141" i="227"/>
  <c r="V145" i="227" s="1"/>
  <c r="U72" i="227"/>
  <c r="U80" i="227" s="1"/>
  <c r="U54" i="227"/>
  <c r="CW139" i="1"/>
  <c r="CY202" i="1"/>
  <c r="K36" i="236"/>
  <c r="DC209" i="1"/>
  <c r="DC184" i="1"/>
  <c r="CY198" i="1"/>
  <c r="CY86" i="1" s="1"/>
  <c r="CY90" i="1" s="1"/>
  <c r="CY200" i="1"/>
  <c r="L36" i="236"/>
  <c r="L33" i="236" s="1"/>
  <c r="M24" i="236"/>
  <c r="M34" i="236" s="1"/>
  <c r="L27" i="236"/>
  <c r="CW137" i="1"/>
  <c r="CV157" i="1"/>
  <c r="AE6" i="226"/>
  <c r="AD7" i="226"/>
  <c r="DC139" i="1"/>
  <c r="DC90" i="1"/>
  <c r="CY197" i="1"/>
  <c r="CX137" i="1"/>
  <c r="CW146" i="1"/>
  <c r="CX145" i="1"/>
  <c r="CW145" i="1"/>
  <c r="AE7" i="1"/>
  <c r="AF6" i="1"/>
  <c r="AF124" i="1" s="1"/>
  <c r="AF125" i="1" s="1"/>
  <c r="AE124" i="1"/>
  <c r="AE125" i="1" s="1"/>
  <c r="CT193" i="1"/>
  <c r="CT199" i="1" s="1"/>
  <c r="DF199" i="1" s="1"/>
  <c r="DF24" i="1"/>
  <c r="CT19" i="1"/>
  <c r="DF19" i="1" s="1"/>
  <c r="CU18" i="1"/>
  <c r="T175" i="1"/>
  <c r="T178" i="1" s="1"/>
  <c r="Y98" i="228" l="1"/>
  <c r="DJ199" i="1"/>
  <c r="DI199" i="1"/>
  <c r="CW157" i="1"/>
  <c r="CY71" i="1"/>
  <c r="CZ71" i="1" s="1"/>
  <c r="CY76" i="1"/>
  <c r="CZ76" i="1" s="1"/>
  <c r="CZ202" i="1" s="1"/>
  <c r="DA202" i="1" s="1"/>
  <c r="CY82" i="1"/>
  <c r="CY140" i="1" s="1"/>
  <c r="DI19" i="1"/>
  <c r="DJ19" i="1"/>
  <c r="DF72" i="1"/>
  <c r="DF193" i="1"/>
  <c r="DI18" i="1"/>
  <c r="DJ18" i="1"/>
  <c r="DI24" i="1"/>
  <c r="DJ24" i="1"/>
  <c r="X89" i="229"/>
  <c r="Y79" i="229"/>
  <c r="Q58" i="229"/>
  <c r="BL244" i="1"/>
  <c r="BL245" i="1" s="1"/>
  <c r="W90" i="229"/>
  <c r="X80" i="229"/>
  <c r="W84" i="229"/>
  <c r="R29" i="229"/>
  <c r="R101" i="229" s="1"/>
  <c r="R102" i="229" s="1"/>
  <c r="X133" i="229"/>
  <c r="X121" i="229"/>
  <c r="X105" i="229"/>
  <c r="X88" i="229"/>
  <c r="X96" i="229"/>
  <c r="X74" i="229"/>
  <c r="X40" i="229"/>
  <c r="X54" i="229"/>
  <c r="X61" i="229"/>
  <c r="X16" i="229"/>
  <c r="Y3" i="229"/>
  <c r="X17" i="229"/>
  <c r="Q102" i="228"/>
  <c r="R88" i="228"/>
  <c r="Q96" i="228"/>
  <c r="X52" i="228"/>
  <c r="Y27" i="228"/>
  <c r="X142" i="228"/>
  <c r="Y144" i="228" s="1"/>
  <c r="X53" i="228"/>
  <c r="X115" i="228"/>
  <c r="X13" i="228"/>
  <c r="X76" i="228"/>
  <c r="Y50" i="228"/>
  <c r="X105" i="228"/>
  <c r="Y62" i="228"/>
  <c r="Y89" i="228"/>
  <c r="Y64" i="228"/>
  <c r="X27" i="227"/>
  <c r="V142" i="227"/>
  <c r="W144" i="227" s="1"/>
  <c r="W41" i="227"/>
  <c r="V53" i="227"/>
  <c r="V52" i="227"/>
  <c r="W115" i="227"/>
  <c r="W116" i="227" s="1"/>
  <c r="X114" i="227" s="1"/>
  <c r="Q104" i="227"/>
  <c r="Q106" i="227" s="1"/>
  <c r="Q107" i="227" s="1"/>
  <c r="Q108" i="227" s="1"/>
  <c r="R93" i="227"/>
  <c r="R94" i="227" s="1"/>
  <c r="W67" i="227"/>
  <c r="AF6" i="226"/>
  <c r="AE7" i="226"/>
  <c r="CX146" i="1"/>
  <c r="CX157" i="1" s="1"/>
  <c r="L30" i="236"/>
  <c r="CX139" i="1"/>
  <c r="M27" i="236"/>
  <c r="M30" i="236" s="1"/>
  <c r="N24" i="236"/>
  <c r="N34" i="236" s="1"/>
  <c r="M36" i="236"/>
  <c r="M33" i="236" s="1"/>
  <c r="CY139" i="1"/>
  <c r="CZ86" i="1"/>
  <c r="CX140" i="1"/>
  <c r="CU193" i="1"/>
  <c r="CU19" i="1"/>
  <c r="T180" i="1"/>
  <c r="U173" i="1"/>
  <c r="U177" i="1"/>
  <c r="CT25" i="1"/>
  <c r="DF25" i="1" s="1"/>
  <c r="CT41" i="1"/>
  <c r="AG6" i="1"/>
  <c r="AF7" i="1"/>
  <c r="DF41" i="1" l="1"/>
  <c r="CY146" i="1"/>
  <c r="CZ146" i="1" s="1"/>
  <c r="CU72" i="1"/>
  <c r="CU199" i="1" s="1"/>
  <c r="CV199" i="1" s="1"/>
  <c r="CW199" i="1" s="1"/>
  <c r="CX199" i="1" s="1"/>
  <c r="CY199" i="1" s="1"/>
  <c r="DF138" i="1"/>
  <c r="DI138" i="1" s="1"/>
  <c r="CY137" i="1"/>
  <c r="CZ137" i="1" s="1"/>
  <c r="CY145" i="1"/>
  <c r="CZ145" i="1" s="1"/>
  <c r="CZ140" i="1"/>
  <c r="CZ197" i="1"/>
  <c r="DA137" i="1"/>
  <c r="CZ82" i="1"/>
  <c r="CZ200" i="1" s="1"/>
  <c r="DA200" i="1" s="1"/>
  <c r="DB200" i="1" s="1"/>
  <c r="DJ25" i="1"/>
  <c r="DI25" i="1"/>
  <c r="DI193" i="1"/>
  <c r="DJ193" i="1"/>
  <c r="DF27" i="1"/>
  <c r="DI72" i="1"/>
  <c r="DJ72" i="1"/>
  <c r="Y121" i="229"/>
  <c r="Y133" i="229"/>
  <c r="Y105" i="229"/>
  <c r="Y96" i="229"/>
  <c r="Y61" i="229"/>
  <c r="Y74" i="229"/>
  <c r="Y54" i="229"/>
  <c r="Y88" i="229"/>
  <c r="Y40" i="229"/>
  <c r="Y16" i="229"/>
  <c r="Z3" i="229"/>
  <c r="R35" i="229"/>
  <c r="X6" i="229"/>
  <c r="X90" i="229"/>
  <c r="Y80" i="229"/>
  <c r="X84" i="229"/>
  <c r="Y89" i="229"/>
  <c r="Z79" i="229"/>
  <c r="X166" i="228"/>
  <c r="X79" i="228"/>
  <c r="X82" i="228" s="1"/>
  <c r="Q104" i="228"/>
  <c r="Q106" i="228" s="1"/>
  <c r="Q107" i="228" s="1"/>
  <c r="Q108" i="228" s="1"/>
  <c r="R93" i="228"/>
  <c r="R94" i="228" s="1"/>
  <c r="X152" i="228"/>
  <c r="X154" i="228" s="1"/>
  <c r="X173" i="228"/>
  <c r="X157" i="228"/>
  <c r="X161" i="228" s="1"/>
  <c r="Z41" i="228"/>
  <c r="Y113" i="228"/>
  <c r="X112" i="228"/>
  <c r="X141" i="228"/>
  <c r="Y145" i="228" s="1"/>
  <c r="X72" i="228"/>
  <c r="X80" i="228" s="1"/>
  <c r="X116" i="228"/>
  <c r="Y114" i="228" s="1"/>
  <c r="Y6" i="228"/>
  <c r="Y63" i="228"/>
  <c r="R102" i="227"/>
  <c r="S88" i="227"/>
  <c r="R96" i="227"/>
  <c r="W105" i="227"/>
  <c r="X62" i="227"/>
  <c r="X6" i="227"/>
  <c r="X63" i="227"/>
  <c r="V141" i="227"/>
  <c r="W145" i="227" s="1"/>
  <c r="V72" i="227"/>
  <c r="V80" i="227" s="1"/>
  <c r="V54" i="227"/>
  <c r="X113" i="227"/>
  <c r="X115" i="227" s="1"/>
  <c r="W112" i="227"/>
  <c r="W50" i="227"/>
  <c r="W22" i="227"/>
  <c r="CZ139" i="1"/>
  <c r="CZ90" i="1"/>
  <c r="CZ198" i="1"/>
  <c r="DA139" i="1"/>
  <c r="N36" i="236"/>
  <c r="N33" i="236" s="1"/>
  <c r="N27" i="236"/>
  <c r="N30" i="236" s="1"/>
  <c r="O24" i="236"/>
  <c r="O34" i="236" s="1"/>
  <c r="AG6" i="226"/>
  <c r="AF7" i="226"/>
  <c r="DB202" i="1"/>
  <c r="DA76" i="1"/>
  <c r="CU25" i="1"/>
  <c r="CU250" i="1"/>
  <c r="U175" i="1"/>
  <c r="U178" i="1" s="1"/>
  <c r="CT233" i="1"/>
  <c r="CT62" i="1"/>
  <c r="CT28" i="1"/>
  <c r="AG7" i="1"/>
  <c r="AI6" i="1"/>
  <c r="AG124" i="1"/>
  <c r="AG125" i="1" s="1"/>
  <c r="G30" i="236" l="1"/>
  <c r="DJ41" i="1"/>
  <c r="DI41" i="1"/>
  <c r="DA82" i="1"/>
  <c r="DA140" i="1" s="1"/>
  <c r="CU138" i="1"/>
  <c r="CU134" i="1" s="1"/>
  <c r="DF134" i="1"/>
  <c r="DI134" i="1" s="1"/>
  <c r="DJ138" i="1"/>
  <c r="CY157" i="1"/>
  <c r="CZ157" i="1"/>
  <c r="DF28" i="1"/>
  <c r="CT63" i="1"/>
  <c r="DF63" i="1" s="1"/>
  <c r="DF62" i="1"/>
  <c r="DI27" i="1"/>
  <c r="DJ27" i="1"/>
  <c r="DF37" i="1"/>
  <c r="Z80" i="229"/>
  <c r="Y90" i="229"/>
  <c r="R97" i="229"/>
  <c r="R37" i="229"/>
  <c r="S28" i="229"/>
  <c r="R36" i="229"/>
  <c r="R45" i="229" s="1"/>
  <c r="Z89" i="229"/>
  <c r="AA79" i="229"/>
  <c r="Z121" i="229"/>
  <c r="Z133" i="229"/>
  <c r="Z88" i="229"/>
  <c r="Z96" i="229"/>
  <c r="Z74" i="229"/>
  <c r="Z105" i="229"/>
  <c r="Z54" i="229"/>
  <c r="Z40" i="229"/>
  <c r="Z61" i="229"/>
  <c r="AA3" i="229"/>
  <c r="Z16" i="229"/>
  <c r="X19" i="229"/>
  <c r="X26" i="229" s="1"/>
  <c r="X14" i="229"/>
  <c r="X10" i="229"/>
  <c r="X13" i="229" s="1"/>
  <c r="Y31" i="228"/>
  <c r="Y66" i="228"/>
  <c r="Z7" i="228"/>
  <c r="Z42" i="228"/>
  <c r="Z50" i="228" s="1"/>
  <c r="R102" i="228"/>
  <c r="S88" i="228"/>
  <c r="R96" i="228"/>
  <c r="X167" i="228"/>
  <c r="Y30" i="228"/>
  <c r="Y38" i="228" s="1"/>
  <c r="Y10" i="228"/>
  <c r="Y14" i="228"/>
  <c r="Y115" i="228"/>
  <c r="X175" i="228"/>
  <c r="Y113" i="227"/>
  <c r="X112" i="227"/>
  <c r="X116" i="227"/>
  <c r="Y114" i="227" s="1"/>
  <c r="W142" i="227"/>
  <c r="X144" i="227" s="1"/>
  <c r="X41" i="227"/>
  <c r="W53" i="227"/>
  <c r="W52" i="227"/>
  <c r="X30" i="227"/>
  <c r="X31" i="227"/>
  <c r="R104" i="227"/>
  <c r="R106" i="227" s="1"/>
  <c r="R107" i="227" s="1"/>
  <c r="R108" i="227" s="1"/>
  <c r="S93" i="227"/>
  <c r="S94" i="227" s="1"/>
  <c r="DA145" i="1"/>
  <c r="DA146" i="1"/>
  <c r="DB76" i="1"/>
  <c r="DC202" i="1"/>
  <c r="DC76" i="1" s="1"/>
  <c r="AG7" i="226"/>
  <c r="AI6" i="226"/>
  <c r="P24" i="236"/>
  <c r="P34" i="236" s="1"/>
  <c r="O36" i="236"/>
  <c r="O33" i="236" s="1"/>
  <c r="O27" i="236"/>
  <c r="O30" i="236" s="1"/>
  <c r="DC200" i="1"/>
  <c r="DC82" i="1" s="1"/>
  <c r="DB82" i="1"/>
  <c r="AJ6" i="1"/>
  <c r="AJ124" i="1" s="1"/>
  <c r="AJ125" i="1" s="1"/>
  <c r="AI7" i="1"/>
  <c r="AI124" i="1"/>
  <c r="AI125" i="1" s="1"/>
  <c r="V177" i="1"/>
  <c r="U180" i="1"/>
  <c r="V173" i="1"/>
  <c r="CT42" i="1"/>
  <c r="CT45" i="1" s="1"/>
  <c r="CV45" i="1" s="1"/>
  <c r="CT38" i="1"/>
  <c r="DF38" i="1" s="1"/>
  <c r="CU233" i="1"/>
  <c r="CU28" i="1"/>
  <c r="CU62" i="1"/>
  <c r="CU38" i="1" l="1"/>
  <c r="CU41" i="1"/>
  <c r="CU42" i="1"/>
  <c r="G34" i="236"/>
  <c r="DF45" i="1"/>
  <c r="CW45" i="1"/>
  <c r="CX45" i="1" s="1"/>
  <c r="CY45" i="1" s="1"/>
  <c r="DB140" i="1"/>
  <c r="DJ134" i="1"/>
  <c r="G27" i="236"/>
  <c r="G31" i="236" s="1"/>
  <c r="DF42" i="1"/>
  <c r="DJ37" i="1"/>
  <c r="DI37" i="1"/>
  <c r="DI62" i="1"/>
  <c r="DJ62" i="1"/>
  <c r="DI28" i="1"/>
  <c r="DJ28" i="1"/>
  <c r="DI38" i="1"/>
  <c r="DJ38" i="1"/>
  <c r="DJ63" i="1"/>
  <c r="DI63" i="1"/>
  <c r="S29" i="229"/>
  <c r="S101" i="229" s="1"/>
  <c r="S7" i="229"/>
  <c r="Z90" i="229"/>
  <c r="AA80" i="229"/>
  <c r="AB79" i="229"/>
  <c r="AB89" i="229" s="1"/>
  <c r="AA89" i="229"/>
  <c r="Y17" i="229"/>
  <c r="X126" i="229"/>
  <c r="X125" i="229" s="1"/>
  <c r="X135" i="229"/>
  <c r="X49" i="229"/>
  <c r="AA121" i="229"/>
  <c r="AA105" i="229"/>
  <c r="AA133" i="229"/>
  <c r="AA96" i="229"/>
  <c r="AA88" i="229"/>
  <c r="AA61" i="229"/>
  <c r="AA74" i="229"/>
  <c r="AA54" i="229"/>
  <c r="AA40" i="229"/>
  <c r="AB3" i="229"/>
  <c r="AA16" i="229"/>
  <c r="R58" i="229"/>
  <c r="BQ244" i="1"/>
  <c r="BQ245" i="1" s="1"/>
  <c r="Z113" i="228"/>
  <c r="Y112" i="228"/>
  <c r="Y13" i="228"/>
  <c r="Y76" i="228"/>
  <c r="R104" i="228"/>
  <c r="R106" i="228" s="1"/>
  <c r="R107" i="228" s="1"/>
  <c r="R108" i="228" s="1"/>
  <c r="S93" i="228"/>
  <c r="S94" i="228" s="1"/>
  <c r="Z89" i="228"/>
  <c r="Z64" i="228"/>
  <c r="Y116" i="228"/>
  <c r="Z114" i="228" s="1"/>
  <c r="Z27" i="228"/>
  <c r="Y52" i="228"/>
  <c r="Y142" i="228"/>
  <c r="Z144" i="228" s="1"/>
  <c r="Y53" i="228"/>
  <c r="AA41" i="228"/>
  <c r="Y67" i="228"/>
  <c r="Z98" i="228"/>
  <c r="S102" i="227"/>
  <c r="T88" i="227"/>
  <c r="S96" i="227"/>
  <c r="X38" i="227"/>
  <c r="Y115" i="227"/>
  <c r="Y116" i="227"/>
  <c r="Z114" i="227" s="1"/>
  <c r="X7" i="227"/>
  <c r="X42" i="227"/>
  <c r="W141" i="227"/>
  <c r="X145" i="227" s="1"/>
  <c r="W72" i="227"/>
  <c r="W80" i="227" s="1"/>
  <c r="W54" i="227"/>
  <c r="DB146" i="1"/>
  <c r="DC146" i="1"/>
  <c r="DC145" i="1"/>
  <c r="DC140" i="1"/>
  <c r="AJ6" i="226"/>
  <c r="AI7" i="226"/>
  <c r="Q24" i="236"/>
  <c r="Q34" i="236" s="1"/>
  <c r="P36" i="236"/>
  <c r="P33" i="236" s="1"/>
  <c r="P27" i="236"/>
  <c r="P30" i="236" s="1"/>
  <c r="DA157" i="1"/>
  <c r="DB145" i="1"/>
  <c r="CU124" i="1"/>
  <c r="CU63" i="1"/>
  <c r="CT220" i="1"/>
  <c r="DF220" i="1" s="1"/>
  <c r="AJ7" i="1"/>
  <c r="AK6" i="1"/>
  <c r="V175" i="1"/>
  <c r="V178" i="1" s="1"/>
  <c r="G28" i="236" l="1"/>
  <c r="X98" i="227"/>
  <c r="CU45" i="1"/>
  <c r="CU46" i="1"/>
  <c r="CU51" i="1" s="1"/>
  <c r="DI45" i="1"/>
  <c r="DJ45" i="1"/>
  <c r="DB157" i="1"/>
  <c r="S35" i="229"/>
  <c r="S97" i="229" s="1"/>
  <c r="DJ220" i="1"/>
  <c r="DI220" i="1"/>
  <c r="DJ42" i="1"/>
  <c r="DI42" i="1"/>
  <c r="DF44" i="1"/>
  <c r="Y6" i="229"/>
  <c r="Y84" i="229"/>
  <c r="Y22" i="229" s="1"/>
  <c r="S37" i="229"/>
  <c r="T28" i="229"/>
  <c r="S36" i="229"/>
  <c r="S45" i="229" s="1"/>
  <c r="S100" i="229"/>
  <c r="S102" i="229" s="1"/>
  <c r="S10" i="229"/>
  <c r="S13" i="229" s="1"/>
  <c r="S49" i="229" s="1"/>
  <c r="S52" i="229" s="1"/>
  <c r="BT246" i="1"/>
  <c r="BS246" i="1"/>
  <c r="BR246" i="1"/>
  <c r="S14" i="229"/>
  <c r="BU246" i="1"/>
  <c r="AA90" i="229"/>
  <c r="AB80" i="229"/>
  <c r="AB90" i="229" s="1"/>
  <c r="AB133" i="229"/>
  <c r="AB121" i="229"/>
  <c r="AB105" i="229"/>
  <c r="AB96" i="229"/>
  <c r="AB74" i="229"/>
  <c r="AB40" i="229"/>
  <c r="AB88" i="229"/>
  <c r="AB54" i="229"/>
  <c r="AB61" i="229"/>
  <c r="AB16" i="229"/>
  <c r="S102" i="228"/>
  <c r="T88" i="228"/>
  <c r="S96" i="228"/>
  <c r="Z6" i="228"/>
  <c r="Z63" i="228"/>
  <c r="AA7" i="228"/>
  <c r="AA42" i="228"/>
  <c r="AA50" i="228" s="1"/>
  <c r="Z115" i="228"/>
  <c r="Y105" i="228"/>
  <c r="Z62" i="228"/>
  <c r="Y141" i="228"/>
  <c r="Z145" i="228" s="1"/>
  <c r="Y72" i="228"/>
  <c r="Y80" i="228" s="1"/>
  <c r="Y152" i="228"/>
  <c r="Y154" i="228" s="1"/>
  <c r="Y173" i="228"/>
  <c r="Y157" i="228"/>
  <c r="Y161" i="228" s="1"/>
  <c r="Y166" i="228"/>
  <c r="Y79" i="228"/>
  <c r="Y82" i="228" s="1"/>
  <c r="X89" i="227"/>
  <c r="X64" i="227"/>
  <c r="CR246" i="1"/>
  <c r="CR249" i="1" s="1"/>
  <c r="CQ246" i="1"/>
  <c r="CQ249" i="1" s="1"/>
  <c r="F35" i="236"/>
  <c r="F37" i="236" s="1"/>
  <c r="X14" i="227"/>
  <c r="X15" i="227" s="1"/>
  <c r="X10" i="227"/>
  <c r="CT246" i="1"/>
  <c r="CS246" i="1"/>
  <c r="CS249" i="1" s="1"/>
  <c r="CU246" i="1"/>
  <c r="Y27" i="227"/>
  <c r="X50" i="227"/>
  <c r="X52" i="227" s="1"/>
  <c r="S104" i="227"/>
  <c r="S106" i="227" s="1"/>
  <c r="S107" i="227" s="1"/>
  <c r="S108" i="227" s="1"/>
  <c r="T93" i="227"/>
  <c r="T94" i="227" s="1"/>
  <c r="Z113" i="227"/>
  <c r="Z115" i="227" s="1"/>
  <c r="Y112" i="227"/>
  <c r="AK6" i="226"/>
  <c r="AJ7" i="226"/>
  <c r="Q27" i="236"/>
  <c r="Q36" i="236"/>
  <c r="Q33" i="236" s="1"/>
  <c r="DC157" i="1"/>
  <c r="AL6" i="1"/>
  <c r="AL124" i="1" s="1"/>
  <c r="AL125" i="1" s="1"/>
  <c r="AK7" i="1"/>
  <c r="AK124" i="1"/>
  <c r="AK125" i="1" s="1"/>
  <c r="CT46" i="1"/>
  <c r="V180" i="1"/>
  <c r="W177" i="1"/>
  <c r="W173" i="1"/>
  <c r="CU220" i="1"/>
  <c r="H12" i="236" l="1"/>
  <c r="Q31" i="234"/>
  <c r="CT51" i="1"/>
  <c r="DF51" i="1" s="1"/>
  <c r="CU58" i="1"/>
  <c r="DF46" i="1"/>
  <c r="DJ46" i="1" s="1"/>
  <c r="BV246" i="1"/>
  <c r="DJ44" i="1"/>
  <c r="DI44" i="1"/>
  <c r="Y19" i="229"/>
  <c r="Y26" i="229" s="1"/>
  <c r="Y10" i="229"/>
  <c r="Y13" i="229" s="1"/>
  <c r="Y14" i="229"/>
  <c r="S55" i="229"/>
  <c r="S57" i="229" s="1"/>
  <c r="T48" i="229" s="1"/>
  <c r="BV244" i="1"/>
  <c r="BV245" i="1" s="1"/>
  <c r="T29" i="229"/>
  <c r="T101" i="229" s="1"/>
  <c r="T7" i="229"/>
  <c r="AA98" i="228"/>
  <c r="AA89" i="228"/>
  <c r="AA64" i="228"/>
  <c r="S104" i="228"/>
  <c r="S106" i="228" s="1"/>
  <c r="S107" i="228" s="1"/>
  <c r="S108" i="228" s="1"/>
  <c r="T93" i="228"/>
  <c r="T94" i="228" s="1"/>
  <c r="Z31" i="228"/>
  <c r="Z66" i="228"/>
  <c r="Z67" i="228" s="1"/>
  <c r="AA113" i="228"/>
  <c r="Z112" i="228"/>
  <c r="Z116" i="228"/>
  <c r="AA114" i="228" s="1"/>
  <c r="Y167" i="228"/>
  <c r="Y175" i="228" s="1"/>
  <c r="AB41" i="228"/>
  <c r="Z30" i="228"/>
  <c r="Z14" i="228"/>
  <c r="Z10" i="228"/>
  <c r="T102" i="227"/>
  <c r="U88" i="227"/>
  <c r="T96" i="227"/>
  <c r="X142" i="227"/>
  <c r="Y144" i="227" s="1"/>
  <c r="X53" i="227"/>
  <c r="Y41" i="227"/>
  <c r="Y6" i="227"/>
  <c r="Y63" i="227"/>
  <c r="Y31" i="227" s="1"/>
  <c r="X13" i="227"/>
  <c r="X76" i="227"/>
  <c r="AA113" i="227"/>
  <c r="Z112" i="227"/>
  <c r="X141" i="227"/>
  <c r="X54" i="227"/>
  <c r="Z116" i="227"/>
  <c r="AA114" i="227" s="1"/>
  <c r="X77" i="227"/>
  <c r="X66" i="227"/>
  <c r="X67" i="227" s="1"/>
  <c r="Q30" i="236"/>
  <c r="AL6" i="226"/>
  <c r="AK7" i="226"/>
  <c r="W175" i="1"/>
  <c r="W178" i="1" s="1"/>
  <c r="W180" i="1" s="1"/>
  <c r="X173" i="1"/>
  <c r="X175" i="1" s="1"/>
  <c r="X178" i="1" s="1"/>
  <c r="AL7" i="1"/>
  <c r="AN6" i="1"/>
  <c r="AN124" i="1" s="1"/>
  <c r="AN125" i="1" s="1"/>
  <c r="Z38" i="228" l="1"/>
  <c r="Z53" i="228" s="1"/>
  <c r="CT56" i="1"/>
  <c r="DI51" i="1"/>
  <c r="DJ51" i="1"/>
  <c r="DI46" i="1"/>
  <c r="CU57" i="1"/>
  <c r="CU56" i="1"/>
  <c r="Y145" i="227"/>
  <c r="DF58" i="1"/>
  <c r="Z17" i="229"/>
  <c r="T35" i="229"/>
  <c r="S58" i="229"/>
  <c r="T100" i="229"/>
  <c r="BY246" i="1"/>
  <c r="BY249" i="1" s="1"/>
  <c r="BX246" i="1"/>
  <c r="BX249" i="1" s="1"/>
  <c r="T14" i="229"/>
  <c r="CA246" i="1"/>
  <c r="CA249" i="1" s="1"/>
  <c r="BW246" i="1"/>
  <c r="BW249" i="1" s="1"/>
  <c r="T10" i="229"/>
  <c r="T13" i="229" s="1"/>
  <c r="BZ246" i="1"/>
  <c r="BZ249" i="1" s="1"/>
  <c r="T102" i="229"/>
  <c r="Y126" i="229"/>
  <c r="Y125" i="229" s="1"/>
  <c r="Y135" i="229"/>
  <c r="Y49" i="229"/>
  <c r="T102" i="228"/>
  <c r="U88" i="228"/>
  <c r="T96" i="228"/>
  <c r="AB42" i="228"/>
  <c r="AB7" i="228"/>
  <c r="Z105" i="228"/>
  <c r="AA62" i="228"/>
  <c r="Z13" i="228"/>
  <c r="Z76" i="228"/>
  <c r="AA27" i="228"/>
  <c r="Z52" i="228"/>
  <c r="Z142" i="228"/>
  <c r="AA144" i="228" s="1"/>
  <c r="AA115" i="228"/>
  <c r="AA116" i="228" s="1"/>
  <c r="AB114" i="228" s="1"/>
  <c r="Y62" i="227"/>
  <c r="X105" i="227"/>
  <c r="X166" i="227"/>
  <c r="X79" i="227"/>
  <c r="X82" i="227" s="1"/>
  <c r="Y30" i="227"/>
  <c r="Y38" i="227" s="1"/>
  <c r="X72" i="227"/>
  <c r="X80" i="227" s="1"/>
  <c r="AA115" i="227"/>
  <c r="X157" i="227"/>
  <c r="X161" i="227" s="1"/>
  <c r="X173" i="227"/>
  <c r="X152" i="227"/>
  <c r="X154" i="227" s="1"/>
  <c r="Y42" i="227"/>
  <c r="Y50" i="227" s="1"/>
  <c r="Y7" i="227"/>
  <c r="CX246" i="1" s="1"/>
  <c r="T104" i="227"/>
  <c r="T106" i="227" s="1"/>
  <c r="T107" i="227" s="1"/>
  <c r="T108" i="227" s="1"/>
  <c r="U93" i="227"/>
  <c r="U94" i="227" s="1"/>
  <c r="AL7" i="226"/>
  <c r="AN6" i="226"/>
  <c r="Y173" i="1"/>
  <c r="X180" i="1"/>
  <c r="Y177" i="1"/>
  <c r="AC177" i="1" s="1"/>
  <c r="CT132" i="1"/>
  <c r="DF56" i="1"/>
  <c r="CT57" i="1"/>
  <c r="DF57" i="1" s="1"/>
  <c r="AO6" i="1"/>
  <c r="AN7" i="1"/>
  <c r="DF132" i="1" l="1"/>
  <c r="DJ132" i="1" s="1"/>
  <c r="CT140" i="1"/>
  <c r="DI57" i="1"/>
  <c r="DJ57" i="1"/>
  <c r="DI132" i="1"/>
  <c r="DI58" i="1"/>
  <c r="DJ58" i="1"/>
  <c r="DI56" i="1"/>
  <c r="DJ56" i="1"/>
  <c r="T126" i="229"/>
  <c r="T125" i="229" s="1"/>
  <c r="T135" i="229"/>
  <c r="T49" i="229"/>
  <c r="T52" i="229" s="1"/>
  <c r="T97" i="229"/>
  <c r="U28" i="229"/>
  <c r="T37" i="229"/>
  <c r="T36" i="229"/>
  <c r="T45" i="229" s="1"/>
  <c r="Z84" i="229"/>
  <c r="Z22" i="229" s="1"/>
  <c r="Z141" i="228"/>
  <c r="AA145" i="228" s="1"/>
  <c r="Z72" i="228"/>
  <c r="Z80" i="228" s="1"/>
  <c r="AB98" i="228"/>
  <c r="Z166" i="228"/>
  <c r="Z79" i="228"/>
  <c r="Z82" i="228" s="1"/>
  <c r="AA112" i="228"/>
  <c r="AB113" i="228"/>
  <c r="AB115" i="228" s="1"/>
  <c r="AA6" i="228"/>
  <c r="AA63" i="228"/>
  <c r="T104" i="228"/>
  <c r="T106" i="228" s="1"/>
  <c r="T107" i="228" s="1"/>
  <c r="T108" i="228" s="1"/>
  <c r="U93" i="228"/>
  <c r="U94" i="228" s="1"/>
  <c r="AB89" i="228"/>
  <c r="AB64" i="228"/>
  <c r="Z173" i="228"/>
  <c r="Z157" i="228"/>
  <c r="Z161" i="228" s="1"/>
  <c r="Z152" i="228"/>
  <c r="Z154" i="228" s="1"/>
  <c r="AB50" i="228"/>
  <c r="V88" i="227"/>
  <c r="U102" i="227"/>
  <c r="U96" i="227"/>
  <c r="Y142" i="227"/>
  <c r="Z144" i="227" s="1"/>
  <c r="Y53" i="227"/>
  <c r="Z41" i="227"/>
  <c r="X167" i="227"/>
  <c r="X175" i="227" s="1"/>
  <c r="AB113" i="227"/>
  <c r="AA112" i="227"/>
  <c r="Y10" i="227"/>
  <c r="CV246" i="1"/>
  <c r="Y89" i="227"/>
  <c r="Y64" i="227"/>
  <c r="CY246" i="1"/>
  <c r="CW246" i="1"/>
  <c r="Y98" i="227"/>
  <c r="G35" i="236"/>
  <c r="G37" i="236" s="1"/>
  <c r="G40" i="236" s="1"/>
  <c r="Y52" i="227"/>
  <c r="Z27" i="227"/>
  <c r="AA116" i="227"/>
  <c r="AB114" i="227" s="1"/>
  <c r="Y14" i="227"/>
  <c r="Y15" i="227" s="1"/>
  <c r="CZ246" i="1"/>
  <c r="AO6" i="226"/>
  <c r="AN7" i="226"/>
  <c r="AO7" i="1"/>
  <c r="AP6" i="1"/>
  <c r="AP124" i="1" s="1"/>
  <c r="AP125" i="1" s="1"/>
  <c r="DF104" i="1"/>
  <c r="DF141" i="1"/>
  <c r="CU132" i="1"/>
  <c r="AO124" i="1"/>
  <c r="AO125" i="1" s="1"/>
  <c r="Y175" i="1"/>
  <c r="Y178" i="1" s="1"/>
  <c r="CU140" i="1" l="1"/>
  <c r="CU141" i="1" s="1"/>
  <c r="CU186" i="1" s="1"/>
  <c r="DF140" i="1"/>
  <c r="DI141" i="1"/>
  <c r="DJ141" i="1"/>
  <c r="DI104" i="1"/>
  <c r="DJ104" i="1"/>
  <c r="T55" i="229"/>
  <c r="T57" i="229" s="1"/>
  <c r="CA244" i="1"/>
  <c r="CA245" i="1" s="1"/>
  <c r="Z19" i="229"/>
  <c r="Z26" i="229" s="1"/>
  <c r="Z14" i="229"/>
  <c r="Z10" i="229"/>
  <c r="Z13" i="229" s="1"/>
  <c r="U29" i="229"/>
  <c r="U101" i="229" s="1"/>
  <c r="U102" i="229" s="1"/>
  <c r="AB112" i="228"/>
  <c r="AB116" i="228"/>
  <c r="U102" i="228"/>
  <c r="V88" i="228"/>
  <c r="U96" i="228"/>
  <c r="AA30" i="228"/>
  <c r="AA14" i="228"/>
  <c r="AA10" i="228"/>
  <c r="AA31" i="228"/>
  <c r="AA66" i="228"/>
  <c r="Z167" i="228"/>
  <c r="Z175" i="228" s="1"/>
  <c r="Y13" i="227"/>
  <c r="Y76" i="227"/>
  <c r="Y66" i="227"/>
  <c r="Y77" i="227"/>
  <c r="Y141" i="227"/>
  <c r="Z145" i="227" s="1"/>
  <c r="Y54" i="227"/>
  <c r="AB115" i="227"/>
  <c r="AB112" i="227" s="1"/>
  <c r="Z6" i="227"/>
  <c r="Z63" i="227"/>
  <c r="Z31" i="227" s="1"/>
  <c r="Z7" i="227"/>
  <c r="Z42" i="227"/>
  <c r="U104" i="227"/>
  <c r="U106" i="227" s="1"/>
  <c r="U107" i="227" s="1"/>
  <c r="U108" i="227" s="1"/>
  <c r="V93" i="227"/>
  <c r="V94" i="227" s="1"/>
  <c r="AP6" i="226"/>
  <c r="AO7" i="226"/>
  <c r="Y180" i="1"/>
  <c r="Z177" i="1"/>
  <c r="Z173" i="1"/>
  <c r="AQ6" i="1"/>
  <c r="AP7" i="1"/>
  <c r="CU104" i="1"/>
  <c r="CT107" i="1"/>
  <c r="DF107" i="1" s="1"/>
  <c r="CT186" i="1"/>
  <c r="DF186" i="1" s="1"/>
  <c r="CT175" i="1"/>
  <c r="DF175" i="1" s="1"/>
  <c r="Z98" i="227" l="1"/>
  <c r="CU175" i="1"/>
  <c r="DJ140" i="1"/>
  <c r="DI140" i="1"/>
  <c r="AA38" i="228"/>
  <c r="AA53" i="228" s="1"/>
  <c r="U35" i="229"/>
  <c r="U37" i="229" s="1"/>
  <c r="DJ186" i="1"/>
  <c r="DI186" i="1"/>
  <c r="DI175" i="1"/>
  <c r="DJ175" i="1"/>
  <c r="DJ107" i="1"/>
  <c r="DI107" i="1"/>
  <c r="AA17" i="229"/>
  <c r="Z135" i="229"/>
  <c r="Z126" i="229"/>
  <c r="Z125" i="229" s="1"/>
  <c r="Z49" i="229"/>
  <c r="V28" i="229"/>
  <c r="U36" i="229"/>
  <c r="U45" i="229" s="1"/>
  <c r="T130" i="229"/>
  <c r="T137" i="229" s="1"/>
  <c r="U48" i="229"/>
  <c r="U52" i="229" s="1"/>
  <c r="T58" i="229"/>
  <c r="AA13" i="228"/>
  <c r="AA76" i="228"/>
  <c r="AA67" i="228"/>
  <c r="V93" i="228"/>
  <c r="V94" i="228" s="1"/>
  <c r="U104" i="228"/>
  <c r="U106" i="228" s="1"/>
  <c r="U107" i="228" s="1"/>
  <c r="U108" i="228" s="1"/>
  <c r="V102" i="227"/>
  <c r="W88" i="227"/>
  <c r="V96" i="227"/>
  <c r="Y152" i="227"/>
  <c r="Y154" i="227" s="1"/>
  <c r="Y173" i="227"/>
  <c r="Y157" i="227"/>
  <c r="Y161" i="227" s="1"/>
  <c r="Z64" i="227"/>
  <c r="Z77" i="227" s="1"/>
  <c r="Z89" i="227"/>
  <c r="Y67" i="227"/>
  <c r="Z30" i="227"/>
  <c r="Z38" i="227" s="1"/>
  <c r="H35" i="236"/>
  <c r="DA246" i="1"/>
  <c r="Z14" i="227"/>
  <c r="Z15" i="227" s="1"/>
  <c r="Z10" i="227"/>
  <c r="Z13" i="227" s="1"/>
  <c r="Z50" i="227"/>
  <c r="AB116" i="227"/>
  <c r="Y166" i="227"/>
  <c r="Y79" i="227"/>
  <c r="Y82" i="227" s="1"/>
  <c r="AQ6" i="226"/>
  <c r="AP7" i="226"/>
  <c r="AS6" i="1"/>
  <c r="AS124" i="1" s="1"/>
  <c r="AS125" i="1" s="1"/>
  <c r="AQ7" i="1"/>
  <c r="CT126" i="1"/>
  <c r="CT110" i="1"/>
  <c r="DF110" i="1" s="1"/>
  <c r="CT251" i="1"/>
  <c r="AQ124" i="1"/>
  <c r="AQ125" i="1" s="1"/>
  <c r="CU107" i="1"/>
  <c r="Z175" i="1"/>
  <c r="Z178" i="1" s="1"/>
  <c r="AA52" i="228" l="1"/>
  <c r="AA72" i="228" s="1"/>
  <c r="AA80" i="228" s="1"/>
  <c r="U97" i="229"/>
  <c r="AB27" i="228"/>
  <c r="AB63" i="228" s="1"/>
  <c r="AA142" i="228"/>
  <c r="AB144" i="228" s="1"/>
  <c r="Z66" i="227"/>
  <c r="Z76" i="227"/>
  <c r="Z166" i="227" s="1"/>
  <c r="DI110" i="1"/>
  <c r="DJ110" i="1"/>
  <c r="CT127" i="1"/>
  <c r="DF127" i="1" s="1"/>
  <c r="DF126" i="1"/>
  <c r="U58" i="229"/>
  <c r="U55" i="229"/>
  <c r="U57" i="229" s="1"/>
  <c r="CF244" i="1"/>
  <c r="CF245" i="1" s="1"/>
  <c r="V29" i="229"/>
  <c r="V101" i="229" s="1"/>
  <c r="V102" i="229" s="1"/>
  <c r="AA6" i="229"/>
  <c r="V102" i="228"/>
  <c r="W88" i="228"/>
  <c r="V96" i="228"/>
  <c r="AA141" i="228"/>
  <c r="AA166" i="228"/>
  <c r="AA79" i="228"/>
  <c r="AA82" i="228" s="1"/>
  <c r="AA105" i="228"/>
  <c r="AB62" i="228"/>
  <c r="AA152" i="228"/>
  <c r="AA154" i="228" s="1"/>
  <c r="AA173" i="228"/>
  <c r="AA157" i="228"/>
  <c r="AA161" i="228" s="1"/>
  <c r="Y167" i="227"/>
  <c r="Y175" i="227" s="1"/>
  <c r="Z173" i="227"/>
  <c r="Z152" i="227"/>
  <c r="Z154" i="227" s="1"/>
  <c r="Z157" i="227"/>
  <c r="Z161" i="227" s="1"/>
  <c r="Z52" i="227"/>
  <c r="AA27" i="227"/>
  <c r="V104" i="227"/>
  <c r="V106" i="227" s="1"/>
  <c r="V107" i="227" s="1"/>
  <c r="V108" i="227" s="1"/>
  <c r="W93" i="227"/>
  <c r="W94" i="227" s="1"/>
  <c r="Y105" i="227"/>
  <c r="Z62" i="227"/>
  <c r="Y72" i="227"/>
  <c r="Y80" i="227" s="1"/>
  <c r="Z142" i="227"/>
  <c r="AA144" i="227" s="1"/>
  <c r="Z53" i="227"/>
  <c r="AA41" i="227"/>
  <c r="AQ7" i="226"/>
  <c r="AS6" i="226"/>
  <c r="CU126" i="1"/>
  <c r="CU127" i="1" s="1"/>
  <c r="CU110" i="1"/>
  <c r="CU251" i="1"/>
  <c r="Z180" i="1"/>
  <c r="AA177" i="1"/>
  <c r="AA173" i="1"/>
  <c r="AT6" i="1"/>
  <c r="AS7" i="1"/>
  <c r="AB6" i="228" l="1"/>
  <c r="AB30" i="228" s="1"/>
  <c r="AB145" i="228"/>
  <c r="Z79" i="227"/>
  <c r="Z82" i="227" s="1"/>
  <c r="Z167" i="227" s="1"/>
  <c r="Z175" i="227" s="1"/>
  <c r="Z67" i="227"/>
  <c r="AA62" i="227" s="1"/>
  <c r="DI126" i="1"/>
  <c r="DJ126" i="1"/>
  <c r="DJ127" i="1"/>
  <c r="DI127" i="1"/>
  <c r="AA19" i="229"/>
  <c r="AA26" i="229" s="1"/>
  <c r="AA14" i="229"/>
  <c r="AA10" i="229"/>
  <c r="AA13" i="229" s="1"/>
  <c r="V35" i="229"/>
  <c r="U130" i="229"/>
  <c r="U137" i="229" s="1"/>
  <c r="V48" i="229"/>
  <c r="V52" i="229" s="1"/>
  <c r="AB31" i="228"/>
  <c r="AB66" i="228"/>
  <c r="AB67" i="228" s="1"/>
  <c r="AB105" i="228" s="1"/>
  <c r="AA167" i="228"/>
  <c r="AA175" i="228" s="1"/>
  <c r="V104" i="228"/>
  <c r="V106" i="228" s="1"/>
  <c r="V107" i="228" s="1"/>
  <c r="V108" i="228" s="1"/>
  <c r="W93" i="228"/>
  <c r="W94" i="228" s="1"/>
  <c r="AA6" i="227"/>
  <c r="AA63" i="227"/>
  <c r="AA42" i="227"/>
  <c r="AA7" i="227"/>
  <c r="W102" i="227"/>
  <c r="X88" i="227"/>
  <c r="W96" i="227"/>
  <c r="Z141" i="227"/>
  <c r="AA145" i="227" s="1"/>
  <c r="Z54" i="227"/>
  <c r="AT6" i="226"/>
  <c r="AS7" i="226"/>
  <c r="AT7" i="1"/>
  <c r="AU6" i="1"/>
  <c r="AU124" i="1" s="1"/>
  <c r="AU125" i="1" s="1"/>
  <c r="AT124" i="1"/>
  <c r="AT125" i="1" s="1"/>
  <c r="AA175" i="1"/>
  <c r="AA178" i="1" s="1"/>
  <c r="AB14" i="228" l="1"/>
  <c r="AB10" i="228"/>
  <c r="AB38" i="228"/>
  <c r="AB53" i="228" s="1"/>
  <c r="AA98" i="227"/>
  <c r="Z105" i="227"/>
  <c r="Z72" i="227"/>
  <c r="Z80" i="227" s="1"/>
  <c r="AB17" i="229"/>
  <c r="AB84" i="229" s="1"/>
  <c r="AB22" i="229" s="1"/>
  <c r="V97" i="229"/>
  <c r="V37" i="229"/>
  <c r="W28" i="229"/>
  <c r="V36" i="229"/>
  <c r="V45" i="229" s="1"/>
  <c r="AA126" i="229"/>
  <c r="AA125" i="229" s="1"/>
  <c r="AA135" i="229"/>
  <c r="AA49" i="229"/>
  <c r="W102" i="228"/>
  <c r="X88" i="228"/>
  <c r="W96" i="228"/>
  <c r="AB52" i="228"/>
  <c r="AB142" i="228"/>
  <c r="AB13" i="228"/>
  <c r="AB76" i="228"/>
  <c r="AA50" i="227"/>
  <c r="DB246" i="1"/>
  <c r="AA30" i="227"/>
  <c r="I35" i="236"/>
  <c r="AA14" i="227"/>
  <c r="AA15" i="227" s="1"/>
  <c r="AA10" i="227"/>
  <c r="W104" i="227"/>
  <c r="W106" i="227" s="1"/>
  <c r="W107" i="227" s="1"/>
  <c r="W108" i="227" s="1"/>
  <c r="X93" i="227"/>
  <c r="X94" i="227" s="1"/>
  <c r="AA64" i="227"/>
  <c r="AA77" i="227" s="1"/>
  <c r="AA89" i="227"/>
  <c r="AA31" i="227"/>
  <c r="AU6" i="226"/>
  <c r="AT7" i="226"/>
  <c r="AV6" i="1"/>
  <c r="AV124" i="1" s="1"/>
  <c r="AV125" i="1" s="1"/>
  <c r="AU7" i="1"/>
  <c r="AB173" i="1"/>
  <c r="AB177" i="1"/>
  <c r="AA180" i="1"/>
  <c r="W29" i="229" l="1"/>
  <c r="W101" i="229" s="1"/>
  <c r="W102" i="229" s="1"/>
  <c r="V55" i="229"/>
  <c r="V57" i="229" s="1"/>
  <c r="V58" i="229" s="1"/>
  <c r="CK244" i="1"/>
  <c r="CK245" i="1" s="1"/>
  <c r="AB6" i="229"/>
  <c r="W104" i="228"/>
  <c r="W106" i="228" s="1"/>
  <c r="W107" i="228" s="1"/>
  <c r="W108" i="228" s="1"/>
  <c r="X93" i="228"/>
  <c r="AB152" i="228"/>
  <c r="AB154" i="228" s="1"/>
  <c r="AB173" i="228"/>
  <c r="AB157" i="228"/>
  <c r="AB161" i="228" s="1"/>
  <c r="X94" i="228"/>
  <c r="AB166" i="228"/>
  <c r="AB79" i="228"/>
  <c r="AB82" i="228" s="1"/>
  <c r="AB167" i="228" s="1"/>
  <c r="AB141" i="228"/>
  <c r="AB72" i="228"/>
  <c r="AB80" i="228" s="1"/>
  <c r="X102" i="227"/>
  <c r="Y88" i="227"/>
  <c r="X96" i="227"/>
  <c r="AA13" i="227"/>
  <c r="AA76" i="227"/>
  <c r="AA38" i="227"/>
  <c r="AA142" i="227" s="1"/>
  <c r="AB144" i="227" s="1"/>
  <c r="AA66" i="227"/>
  <c r="AA67" i="227" s="1"/>
  <c r="AB41" i="227"/>
  <c r="AV6" i="226"/>
  <c r="AU7" i="226"/>
  <c r="AB175" i="1"/>
  <c r="AB178" i="1" s="1"/>
  <c r="AB180" i="1" s="1"/>
  <c r="AC173" i="1"/>
  <c r="AC175" i="1" s="1"/>
  <c r="AC178" i="1" s="1"/>
  <c r="AX6" i="1"/>
  <c r="AV7" i="1"/>
  <c r="AA53" i="227" l="1"/>
  <c r="AB175" i="228"/>
  <c r="AB19" i="229"/>
  <c r="AB26" i="229" s="1"/>
  <c r="AB14" i="229"/>
  <c r="AB10" i="229"/>
  <c r="AB13" i="229" s="1"/>
  <c r="K35" i="236"/>
  <c r="L35" i="236" s="1"/>
  <c r="M35" i="236" s="1"/>
  <c r="N35" i="236" s="1"/>
  <c r="O35" i="236" s="1"/>
  <c r="P35" i="236" s="1"/>
  <c r="Q35" i="236" s="1"/>
  <c r="V130" i="229"/>
  <c r="V137" i="229" s="1"/>
  <c r="W48" i="229"/>
  <c r="W52" i="229" s="1"/>
  <c r="W35" i="229"/>
  <c r="X102" i="228"/>
  <c r="Y88" i="228"/>
  <c r="X96" i="228"/>
  <c r="AA152" i="227"/>
  <c r="AA154" i="227" s="1"/>
  <c r="AA173" i="227"/>
  <c r="AA157" i="227"/>
  <c r="AA161" i="227" s="1"/>
  <c r="AB7" i="227"/>
  <c r="AB42" i="227"/>
  <c r="AB62" i="227"/>
  <c r="AA105" i="227"/>
  <c r="AA166" i="227"/>
  <c r="AA79" i="227"/>
  <c r="AA82" i="227" s="1"/>
  <c r="X104" i="227"/>
  <c r="X106" i="227" s="1"/>
  <c r="X107" i="227" s="1"/>
  <c r="X108" i="227" s="1"/>
  <c r="Y93" i="227"/>
  <c r="Y94" i="227" s="1"/>
  <c r="AA52" i="227"/>
  <c r="AB27" i="227"/>
  <c r="AV7" i="226"/>
  <c r="AX6" i="226"/>
  <c r="AY6" i="1"/>
  <c r="AY124" i="1" s="1"/>
  <c r="AY125" i="1" s="1"/>
  <c r="AX7" i="1"/>
  <c r="AX124" i="1"/>
  <c r="AX125" i="1" s="1"/>
  <c r="AD177" i="1"/>
  <c r="AH177" i="1" s="1"/>
  <c r="AC180" i="1"/>
  <c r="AD173" i="1"/>
  <c r="AB98" i="227" l="1"/>
  <c r="W97" i="229"/>
  <c r="W37" i="229"/>
  <c r="X28" i="229"/>
  <c r="W36" i="229"/>
  <c r="W45" i="229" s="1"/>
  <c r="AB126" i="229"/>
  <c r="AB125" i="229" s="1"/>
  <c r="AB135" i="229"/>
  <c r="AB49" i="229"/>
  <c r="X104" i="228"/>
  <c r="X106" i="228" s="1"/>
  <c r="X107" i="228" s="1"/>
  <c r="X108" i="228" s="1"/>
  <c r="Y93" i="228"/>
  <c r="Y94" i="228" s="1"/>
  <c r="AA167" i="227"/>
  <c r="AA175" i="227" s="1"/>
  <c r="AA141" i="227"/>
  <c r="AB145" i="227" s="1"/>
  <c r="AA72" i="227"/>
  <c r="AA80" i="227" s="1"/>
  <c r="AA54" i="227"/>
  <c r="Z88" i="227"/>
  <c r="Y102" i="227"/>
  <c r="Y96" i="227"/>
  <c r="AB89" i="227"/>
  <c r="AB64" i="227"/>
  <c r="AB77" i="227" s="1"/>
  <c r="AB6" i="227"/>
  <c r="AB63" i="227"/>
  <c r="AB50" i="227"/>
  <c r="AY6" i="226"/>
  <c r="AX7" i="226"/>
  <c r="AD175" i="1"/>
  <c r="AD178" i="1" s="1"/>
  <c r="AY7" i="1"/>
  <c r="AZ6" i="1"/>
  <c r="AZ124" i="1" s="1"/>
  <c r="AZ125" i="1" s="1"/>
  <c r="W55" i="229" l="1"/>
  <c r="W57" i="229" s="1"/>
  <c r="CP244" i="1"/>
  <c r="CP245" i="1" s="1"/>
  <c r="X29" i="229"/>
  <c r="X101" i="229" s="1"/>
  <c r="X102" i="229" s="1"/>
  <c r="Y102" i="228"/>
  <c r="Z88" i="228"/>
  <c r="Y96" i="228"/>
  <c r="AB31" i="227"/>
  <c r="AB66" i="227"/>
  <c r="AB67" i="227" s="1"/>
  <c r="AB105" i="227" s="1"/>
  <c r="J35" i="236"/>
  <c r="AB30" i="227"/>
  <c r="AB38" i="227" s="1"/>
  <c r="AB52" i="227" s="1"/>
  <c r="DC246" i="1"/>
  <c r="AB14" i="227"/>
  <c r="AB15" i="227" s="1"/>
  <c r="AB10" i="227"/>
  <c r="Y104" i="227"/>
  <c r="Y106" i="227" s="1"/>
  <c r="Y107" i="227" s="1"/>
  <c r="Y108" i="227" s="1"/>
  <c r="Z93" i="227"/>
  <c r="Z94" i="227" s="1"/>
  <c r="AZ6" i="226"/>
  <c r="AY7" i="226"/>
  <c r="AD180" i="1"/>
  <c r="AE177" i="1"/>
  <c r="AE173" i="1"/>
  <c r="BA6" i="1"/>
  <c r="BA124" i="1" s="1"/>
  <c r="BA125" i="1" s="1"/>
  <c r="AZ7" i="1"/>
  <c r="AB142" i="227" l="1"/>
  <c r="W130" i="229"/>
  <c r="W137" i="229" s="1"/>
  <c r="X48" i="229"/>
  <c r="X52" i="229" s="1"/>
  <c r="X35" i="229"/>
  <c r="W58" i="229"/>
  <c r="Z93" i="228"/>
  <c r="Z94" i="228" s="1"/>
  <c r="Y104" i="228"/>
  <c r="Y106" i="228" s="1"/>
  <c r="Y107" i="228" s="1"/>
  <c r="Y108" i="228" s="1"/>
  <c r="Z102" i="227"/>
  <c r="AA88" i="227"/>
  <c r="Z96" i="227"/>
  <c r="AB141" i="227"/>
  <c r="AB72" i="227"/>
  <c r="AB54" i="227"/>
  <c r="AB53" i="227"/>
  <c r="AB13" i="227"/>
  <c r="AB76" i="227"/>
  <c r="BA6" i="226"/>
  <c r="AZ7" i="226"/>
  <c r="BA7" i="1"/>
  <c r="BC6" i="1"/>
  <c r="BC124" i="1" s="1"/>
  <c r="BC125" i="1" s="1"/>
  <c r="AE175" i="1"/>
  <c r="AE178" i="1" s="1"/>
  <c r="X97" i="229" l="1"/>
  <c r="X37" i="229"/>
  <c r="Y28" i="229"/>
  <c r="X36" i="229"/>
  <c r="X45" i="229" s="1"/>
  <c r="Z102" i="228"/>
  <c r="AA88" i="228"/>
  <c r="Z96" i="228"/>
  <c r="AB166" i="227"/>
  <c r="AB79" i="227"/>
  <c r="AB82" i="227" s="1"/>
  <c r="AB167" i="227" s="1"/>
  <c r="AA93" i="227"/>
  <c r="AA94" i="227" s="1"/>
  <c r="Z104" i="227"/>
  <c r="Z106" i="227" s="1"/>
  <c r="Z107" i="227" s="1"/>
  <c r="Z108" i="227" s="1"/>
  <c r="AB157" i="227"/>
  <c r="AB161" i="227" s="1"/>
  <c r="AB173" i="227"/>
  <c r="AB152" i="227"/>
  <c r="AB154" i="227" s="1"/>
  <c r="AB80" i="227"/>
  <c r="BA7" i="226"/>
  <c r="BC6" i="226"/>
  <c r="BD6" i="1"/>
  <c r="BD124" i="1" s="1"/>
  <c r="BD125" i="1" s="1"/>
  <c r="BC7" i="1"/>
  <c r="AE180" i="1"/>
  <c r="AF173" i="1"/>
  <c r="AF177" i="1"/>
  <c r="X55" i="229" l="1"/>
  <c r="X57" i="229" s="1"/>
  <c r="X58" i="229" s="1"/>
  <c r="CU244" i="1"/>
  <c r="CU245" i="1" s="1"/>
  <c r="Y29" i="229"/>
  <c r="Y101" i="229" s="1"/>
  <c r="Y102" i="229" s="1"/>
  <c r="Z104" i="228"/>
  <c r="Z106" i="228" s="1"/>
  <c r="Z107" i="228" s="1"/>
  <c r="Z108" i="228" s="1"/>
  <c r="AA93" i="228"/>
  <c r="AA94" i="228" s="1"/>
  <c r="AA102" i="227"/>
  <c r="AB88" i="227"/>
  <c r="AA96" i="227"/>
  <c r="AB175" i="227"/>
  <c r="BD6" i="226"/>
  <c r="BC7" i="226"/>
  <c r="AF175" i="1"/>
  <c r="AF178" i="1" s="1"/>
  <c r="BD7" i="1"/>
  <c r="BE6" i="1"/>
  <c r="Y35" i="229" l="1"/>
  <c r="Y97" i="229" s="1"/>
  <c r="Z28" i="229"/>
  <c r="Y36" i="229"/>
  <c r="Y45" i="229" s="1"/>
  <c r="X130" i="229"/>
  <c r="X137" i="229" s="1"/>
  <c r="Y48" i="229"/>
  <c r="Y52" i="229" s="1"/>
  <c r="AB88" i="228"/>
  <c r="AA102" i="228"/>
  <c r="AA96" i="228"/>
  <c r="AA104" i="227"/>
  <c r="AA106" i="227" s="1"/>
  <c r="AA107" i="227" s="1"/>
  <c r="AA108" i="227" s="1"/>
  <c r="AB93" i="227"/>
  <c r="AB94" i="227" s="1"/>
  <c r="BE6" i="226"/>
  <c r="BD7" i="226"/>
  <c r="BF6" i="1"/>
  <c r="BF124" i="1" s="1"/>
  <c r="BF125" i="1" s="1"/>
  <c r="BE7" i="1"/>
  <c r="BE124" i="1"/>
  <c r="BE125" i="1" s="1"/>
  <c r="AG173" i="1"/>
  <c r="AG177" i="1"/>
  <c r="AF180" i="1"/>
  <c r="Y37" i="229" l="1"/>
  <c r="Y55" i="229"/>
  <c r="Y57" i="229" s="1"/>
  <c r="CZ244" i="1"/>
  <c r="CZ245" i="1" s="1"/>
  <c r="Z29" i="229"/>
  <c r="Z101" i="229" s="1"/>
  <c r="Z102" i="229" s="1"/>
  <c r="AA104" i="228"/>
  <c r="AA106" i="228" s="1"/>
  <c r="AA107" i="228" s="1"/>
  <c r="AA108" i="228" s="1"/>
  <c r="AB93" i="228"/>
  <c r="AB94" i="228" s="1"/>
  <c r="AB102" i="227"/>
  <c r="AB96" i="227"/>
  <c r="AB104" i="227" s="1"/>
  <c r="AB106" i="227" s="1"/>
  <c r="BF6" i="226"/>
  <c r="BE7" i="226"/>
  <c r="AG175" i="1"/>
  <c r="AG178" i="1" s="1"/>
  <c r="AG180" i="1" s="1"/>
  <c r="AH173" i="1"/>
  <c r="AH175" i="1" s="1"/>
  <c r="AH178" i="1" s="1"/>
  <c r="BH6" i="1"/>
  <c r="BH124" i="1" s="1"/>
  <c r="BH125" i="1" s="1"/>
  <c r="BF7" i="1"/>
  <c r="AB107" i="227" l="1"/>
  <c r="AB108" i="227" s="1"/>
  <c r="Z35" i="229"/>
  <c r="Z97" i="229"/>
  <c r="Z37" i="229"/>
  <c r="AA28" i="229"/>
  <c r="Z36" i="229"/>
  <c r="Z45" i="229" s="1"/>
  <c r="Y130" i="229"/>
  <c r="Y137" i="229" s="1"/>
  <c r="Z48" i="229"/>
  <c r="Z52" i="229" s="1"/>
  <c r="Y58" i="229"/>
  <c r="AB102" i="228"/>
  <c r="AB96" i="228"/>
  <c r="AB104" i="228" s="1"/>
  <c r="AB106" i="228" s="1"/>
  <c r="BF7" i="226"/>
  <c r="BH6" i="226"/>
  <c r="BI6" i="1"/>
  <c r="BH7" i="1"/>
  <c r="AH180" i="1"/>
  <c r="AI177" i="1"/>
  <c r="AM177" i="1" s="1"/>
  <c r="AI173" i="1"/>
  <c r="Z55" i="229" l="1"/>
  <c r="Z57" i="229" s="1"/>
  <c r="Z58" i="229" s="1"/>
  <c r="DA244" i="1"/>
  <c r="DA245" i="1" s="1"/>
  <c r="AA29" i="229"/>
  <c r="AA101" i="229" s="1"/>
  <c r="AA102" i="229" s="1"/>
  <c r="AB107" i="228"/>
  <c r="AB108" i="228" s="1"/>
  <c r="BI6" i="226"/>
  <c r="BH7" i="226"/>
  <c r="AI175" i="1"/>
  <c r="AI178" i="1" s="1"/>
  <c r="BI7" i="1"/>
  <c r="BJ6" i="1"/>
  <c r="BJ124" i="1" s="1"/>
  <c r="BJ125" i="1" s="1"/>
  <c r="BI124" i="1"/>
  <c r="BI125" i="1" s="1"/>
  <c r="AA35" i="229" l="1"/>
  <c r="AA97" i="229" s="1"/>
  <c r="AA36" i="229"/>
  <c r="AA45" i="229" s="1"/>
  <c r="Z130" i="229"/>
  <c r="Z137" i="229" s="1"/>
  <c r="AA48" i="229"/>
  <c r="AA52" i="229" s="1"/>
  <c r="BJ6" i="226"/>
  <c r="BI7" i="226"/>
  <c r="AI180" i="1"/>
  <c r="AJ173" i="1"/>
  <c r="AJ177" i="1"/>
  <c r="BK6" i="1"/>
  <c r="BK124" i="1" s="1"/>
  <c r="BK125" i="1" s="1"/>
  <c r="BJ7" i="1"/>
  <c r="AB28" i="229" l="1"/>
  <c r="AB29" i="229" s="1"/>
  <c r="AB101" i="229" s="1"/>
  <c r="AB102" i="229" s="1"/>
  <c r="AA37" i="229"/>
  <c r="AA55" i="229"/>
  <c r="AA57" i="229" s="1"/>
  <c r="DB244" i="1"/>
  <c r="DB245" i="1" s="1"/>
  <c r="BK6" i="226"/>
  <c r="BJ7" i="226"/>
  <c r="AJ175" i="1"/>
  <c r="AJ178" i="1" s="1"/>
  <c r="BM6" i="1"/>
  <c r="BK7" i="1"/>
  <c r="AA130" i="229" l="1"/>
  <c r="AA137" i="229" s="1"/>
  <c r="AB48" i="229"/>
  <c r="AB52" i="229" s="1"/>
  <c r="AB35" i="229"/>
  <c r="AA58" i="229"/>
  <c r="BK7" i="226"/>
  <c r="BM6" i="226"/>
  <c r="BN6" i="1"/>
  <c r="BN124" i="1" s="1"/>
  <c r="BN125" i="1" s="1"/>
  <c r="BM7" i="1"/>
  <c r="BM124" i="1"/>
  <c r="BM125" i="1" s="1"/>
  <c r="AJ180" i="1"/>
  <c r="AK173" i="1"/>
  <c r="AK177" i="1"/>
  <c r="AB97" i="229" l="1"/>
  <c r="AB37" i="229"/>
  <c r="AB36" i="229"/>
  <c r="AB45" i="229" s="1"/>
  <c r="BN6" i="226"/>
  <c r="BM7" i="226"/>
  <c r="AK175" i="1"/>
  <c r="AK178" i="1" s="1"/>
  <c r="BN7" i="1"/>
  <c r="BO6" i="1"/>
  <c r="AB55" i="229" l="1"/>
  <c r="AB57" i="229" s="1"/>
  <c r="AB130" i="229" s="1"/>
  <c r="AB137" i="229" s="1"/>
  <c r="DC244" i="1"/>
  <c r="DC245" i="1" s="1"/>
  <c r="BO6" i="226"/>
  <c r="BN7" i="226"/>
  <c r="BP6" i="1"/>
  <c r="BP124" i="1" s="1"/>
  <c r="BP125" i="1" s="1"/>
  <c r="BO7" i="1"/>
  <c r="BO124" i="1"/>
  <c r="BO125" i="1" s="1"/>
  <c r="AL177" i="1"/>
  <c r="AK180" i="1"/>
  <c r="AL173" i="1"/>
  <c r="AB58" i="229" l="1"/>
  <c r="BP6" i="226"/>
  <c r="BO7" i="226"/>
  <c r="AL175" i="1"/>
  <c r="AL178" i="1" s="1"/>
  <c r="AL180" i="1" s="1"/>
  <c r="AM173" i="1"/>
  <c r="AM175" i="1" s="1"/>
  <c r="AM178" i="1" s="1"/>
  <c r="BR6" i="1"/>
  <c r="BP7" i="1"/>
  <c r="BP7" i="226" l="1"/>
  <c r="BR6" i="226"/>
  <c r="BS6" i="1"/>
  <c r="BS124" i="1" s="1"/>
  <c r="BS125" i="1" s="1"/>
  <c r="BR7" i="1"/>
  <c r="BR124" i="1"/>
  <c r="BR125" i="1" s="1"/>
  <c r="AN173" i="1"/>
  <c r="AM180" i="1"/>
  <c r="AN177" i="1"/>
  <c r="AR177" i="1" s="1"/>
  <c r="BS6" i="226" l="1"/>
  <c r="BR7" i="226"/>
  <c r="AN175" i="1"/>
  <c r="AN178" i="1" s="1"/>
  <c r="BS7" i="1"/>
  <c r="BT6" i="1"/>
  <c r="BT124" i="1" s="1"/>
  <c r="BT125" i="1" s="1"/>
  <c r="BT6" i="226" l="1"/>
  <c r="BS7" i="226"/>
  <c r="AO173" i="1"/>
  <c r="AN180" i="1"/>
  <c r="AO177" i="1"/>
  <c r="BU6" i="1"/>
  <c r="BU124" i="1" s="1"/>
  <c r="BU125" i="1" s="1"/>
  <c r="BT7" i="1"/>
  <c r="BU6" i="226" l="1"/>
  <c r="BT7" i="226"/>
  <c r="BW6" i="1"/>
  <c r="BU7" i="1"/>
  <c r="AO175" i="1"/>
  <c r="AO178" i="1" s="1"/>
  <c r="BU7" i="226" l="1"/>
  <c r="BW6" i="226"/>
  <c r="AO180" i="1"/>
  <c r="AP177" i="1"/>
  <c r="AP173" i="1"/>
  <c r="BX6" i="1"/>
  <c r="BX124" i="1" s="1"/>
  <c r="BX125" i="1" s="1"/>
  <c r="BW7" i="1"/>
  <c r="BW124" i="1"/>
  <c r="BW125" i="1" s="1"/>
  <c r="BX6" i="226" l="1"/>
  <c r="BW7" i="226"/>
  <c r="AP175" i="1"/>
  <c r="AP178" i="1" s="1"/>
  <c r="BX7" i="1"/>
  <c r="BY6" i="1"/>
  <c r="BY6" i="226" l="1"/>
  <c r="BX7" i="226"/>
  <c r="BZ6" i="1"/>
  <c r="BY7" i="1"/>
  <c r="AP180" i="1"/>
  <c r="AQ177" i="1"/>
  <c r="AQ173" i="1"/>
  <c r="BZ124" i="1"/>
  <c r="BZ125" i="1" s="1"/>
  <c r="BY124" i="1"/>
  <c r="BY125" i="1" s="1"/>
  <c r="BZ6" i="226" l="1"/>
  <c r="BY7" i="226"/>
  <c r="AQ175" i="1"/>
  <c r="AQ178" i="1" s="1"/>
  <c r="AQ180" i="1" s="1"/>
  <c r="AR173" i="1"/>
  <c r="AR175" i="1" s="1"/>
  <c r="AR178" i="1" s="1"/>
  <c r="CB6" i="1"/>
  <c r="BZ7" i="1"/>
  <c r="BZ7" i="226" l="1"/>
  <c r="CB6" i="226"/>
  <c r="CC6" i="1"/>
  <c r="CC124" i="1" s="1"/>
  <c r="CC125" i="1" s="1"/>
  <c r="CB7" i="1"/>
  <c r="CB124" i="1"/>
  <c r="CB125" i="1" s="1"/>
  <c r="AS173" i="1"/>
  <c r="AS177" i="1"/>
  <c r="AW177" i="1" s="1"/>
  <c r="AR180" i="1"/>
  <c r="CC6" i="226" l="1"/>
  <c r="CB7" i="226"/>
  <c r="AS175" i="1"/>
  <c r="AS178" i="1" s="1"/>
  <c r="CC7" i="1"/>
  <c r="CD6" i="1"/>
  <c r="CD6" i="226" l="1"/>
  <c r="CC7" i="226"/>
  <c r="CD7" i="1"/>
  <c r="CE6" i="1"/>
  <c r="CE124" i="1" s="1"/>
  <c r="CE125" i="1" s="1"/>
  <c r="CD124" i="1"/>
  <c r="CD125" i="1" s="1"/>
  <c r="AT177" i="1"/>
  <c r="AS180" i="1"/>
  <c r="AT173" i="1"/>
  <c r="CE6" i="226" l="1"/>
  <c r="CD7" i="226"/>
  <c r="AT175" i="1"/>
  <c r="AT178" i="1" s="1"/>
  <c r="CE7" i="1"/>
  <c r="CG6" i="1"/>
  <c r="CE7" i="226" l="1"/>
  <c r="CG6" i="226"/>
  <c r="CH6" i="1"/>
  <c r="CH124" i="1" s="1"/>
  <c r="CH125" i="1" s="1"/>
  <c r="CG7" i="1"/>
  <c r="CG124" i="1"/>
  <c r="CG125" i="1" s="1"/>
  <c r="AT180" i="1"/>
  <c r="AU177" i="1"/>
  <c r="AU173" i="1"/>
  <c r="CH6" i="226" l="1"/>
  <c r="CG7" i="226"/>
  <c r="AU175" i="1"/>
  <c r="AU178" i="1" s="1"/>
  <c r="CH7" i="1"/>
  <c r="CI6" i="1"/>
  <c r="CI6" i="226" l="1"/>
  <c r="CH7" i="226"/>
  <c r="CI7" i="1"/>
  <c r="CJ6" i="1"/>
  <c r="CI124" i="1"/>
  <c r="CI125" i="1" s="1"/>
  <c r="AU180" i="1"/>
  <c r="AV173" i="1"/>
  <c r="AV177" i="1"/>
  <c r="CJ6" i="226" l="1"/>
  <c r="CI7" i="226"/>
  <c r="AV175" i="1"/>
  <c r="AV178" i="1" s="1"/>
  <c r="AV180" i="1" s="1"/>
  <c r="AW173" i="1"/>
  <c r="AW175" i="1" s="1"/>
  <c r="AW178" i="1" s="1"/>
  <c r="CJ7" i="1"/>
  <c r="CL6" i="1"/>
  <c r="CL124" i="1" s="1"/>
  <c r="CL125" i="1" s="1"/>
  <c r="CJ124" i="1"/>
  <c r="CJ125" i="1" s="1"/>
  <c r="CJ7" i="226" l="1"/>
  <c r="CL6" i="226"/>
  <c r="AX177" i="1"/>
  <c r="BB177" i="1" s="1"/>
  <c r="AW180" i="1"/>
  <c r="AX173" i="1"/>
  <c r="CM6" i="1"/>
  <c r="CL7" i="1"/>
  <c r="CM6" i="226" l="1"/>
  <c r="CL7" i="226"/>
  <c r="AX175" i="1"/>
  <c r="AX178" i="1" s="1"/>
  <c r="CM7" i="1"/>
  <c r="CN6" i="1"/>
  <c r="CN124" i="1" s="1"/>
  <c r="CM124" i="1"/>
  <c r="CM125" i="1" s="1"/>
  <c r="CN6" i="226" l="1"/>
  <c r="CM7" i="226"/>
  <c r="CN125" i="1"/>
  <c r="AX180" i="1"/>
  <c r="AY177" i="1"/>
  <c r="AY173" i="1"/>
  <c r="CN7" i="1"/>
  <c r="CO6" i="1"/>
  <c r="DH6" i="1" s="1"/>
  <c r="CO6" i="226" l="1"/>
  <c r="DH6" i="226" s="1"/>
  <c r="CN7" i="226"/>
  <c r="CO7" i="1"/>
  <c r="CQ6" i="1"/>
  <c r="CQ124" i="1" s="1"/>
  <c r="CQ125" i="1" s="1"/>
  <c r="CO124" i="1"/>
  <c r="AY175" i="1"/>
  <c r="AY178" i="1" s="1"/>
  <c r="CO125" i="1" l="1"/>
  <c r="DH125" i="1" s="1"/>
  <c r="DH124" i="1"/>
  <c r="CO7" i="226"/>
  <c r="DH69" i="226" s="1"/>
  <c r="CQ6" i="226"/>
  <c r="CR6" i="1"/>
  <c r="CR124" i="1" s="1"/>
  <c r="CR125" i="1" s="1"/>
  <c r="CQ7" i="1"/>
  <c r="AY180" i="1"/>
  <c r="AZ173" i="1"/>
  <c r="AZ177" i="1"/>
  <c r="CR6" i="226" l="1"/>
  <c r="CQ7" i="226"/>
  <c r="AZ175" i="1"/>
  <c r="AZ178" i="1" s="1"/>
  <c r="CR7" i="1"/>
  <c r="CS6" i="1"/>
  <c r="CS6" i="226" l="1"/>
  <c r="CR7" i="226"/>
  <c r="CS7" i="1"/>
  <c r="CT6" i="1"/>
  <c r="DF6" i="1" s="1"/>
  <c r="CS124" i="1"/>
  <c r="AZ180" i="1"/>
  <c r="BA173" i="1"/>
  <c r="BA177" i="1"/>
  <c r="CT6" i="226" l="1"/>
  <c r="DF6" i="226" s="1"/>
  <c r="CS7" i="226"/>
  <c r="CS125" i="1"/>
  <c r="CT7" i="1"/>
  <c r="CV6" i="1"/>
  <c r="BA175" i="1"/>
  <c r="BA178" i="1" s="1"/>
  <c r="BA180" i="1" s="1"/>
  <c r="BB173" i="1"/>
  <c r="BB175" i="1" s="1"/>
  <c r="BB178" i="1" s="1"/>
  <c r="CT124" i="1"/>
  <c r="DF124" i="1" s="1"/>
  <c r="CT7" i="226" l="1"/>
  <c r="DF69" i="226" s="1"/>
  <c r="CV6" i="226"/>
  <c r="CW6" i="1"/>
  <c r="CV7" i="1"/>
  <c r="DJ124" i="1"/>
  <c r="DI124" i="1"/>
  <c r="BB180" i="1"/>
  <c r="BC177" i="1"/>
  <c r="BG177" i="1" s="1"/>
  <c r="BC173" i="1"/>
  <c r="DJ69" i="226" l="1"/>
  <c r="DI69" i="226"/>
  <c r="CW6" i="226"/>
  <c r="CV7" i="226"/>
  <c r="CW7" i="1"/>
  <c r="CX6" i="1"/>
  <c r="BC175" i="1"/>
  <c r="BC178" i="1" s="1"/>
  <c r="CX6" i="226" l="1"/>
  <c r="CW7" i="226"/>
  <c r="BD173" i="1"/>
  <c r="BC180" i="1"/>
  <c r="BD177" i="1"/>
  <c r="CX7" i="1"/>
  <c r="CY6" i="1"/>
  <c r="CY7" i="1" s="1"/>
  <c r="CY6" i="226" l="1"/>
  <c r="CY7" i="226" s="1"/>
  <c r="CX7" i="226"/>
  <c r="BD175" i="1"/>
  <c r="BD178" i="1" s="1"/>
  <c r="BE173" i="1" l="1"/>
  <c r="BD180" i="1"/>
  <c r="BE177" i="1"/>
  <c r="BE175" i="1" l="1"/>
  <c r="BE178" i="1" s="1"/>
  <c r="BE180" i="1" l="1"/>
  <c r="BF177" i="1"/>
  <c r="BF173" i="1"/>
  <c r="BF175" i="1" l="1"/>
  <c r="BF178" i="1" s="1"/>
  <c r="BF180" i="1" s="1"/>
  <c r="BG173" i="1"/>
  <c r="BG175" i="1" s="1"/>
  <c r="BG178" i="1" s="1"/>
  <c r="BH177" i="1" l="1"/>
  <c r="BG180" i="1"/>
  <c r="BL177" i="1" l="1"/>
  <c r="BL178" i="1" s="1"/>
  <c r="BH178" i="1"/>
  <c r="BI177" i="1" l="1"/>
  <c r="BI178" i="1" s="1"/>
  <c r="BH180" i="1"/>
  <c r="BM177" i="1"/>
  <c r="BQ177" i="1" s="1"/>
  <c r="BM173" i="1"/>
  <c r="BL180" i="1"/>
  <c r="BM175" i="1" l="1"/>
  <c r="BM178" i="1" s="1"/>
  <c r="BJ177" i="1"/>
  <c r="BJ178" i="1" s="1"/>
  <c r="BI180" i="1"/>
  <c r="BJ180" i="1" l="1"/>
  <c r="BK177" i="1"/>
  <c r="BK178" i="1" s="1"/>
  <c r="BK180" i="1" s="1"/>
  <c r="BN177" i="1"/>
  <c r="BN173" i="1"/>
  <c r="BM180" i="1"/>
  <c r="BN175" i="1" l="1"/>
  <c r="BN178" i="1" s="1"/>
  <c r="BN180" i="1" l="1"/>
  <c r="BO177" i="1"/>
  <c r="BO173" i="1"/>
  <c r="BO175" i="1" l="1"/>
  <c r="BO178" i="1" s="1"/>
  <c r="BO180" i="1" l="1"/>
  <c r="BP177" i="1"/>
  <c r="BP173" i="1"/>
  <c r="BP175" i="1" l="1"/>
  <c r="BP178" i="1" s="1"/>
  <c r="BP180" i="1" s="1"/>
  <c r="BQ173" i="1"/>
  <c r="BQ175" i="1" s="1"/>
  <c r="BQ178" i="1" s="1"/>
  <c r="BR177" i="1" l="1"/>
  <c r="BQ180" i="1"/>
  <c r="BV177" i="1" l="1"/>
  <c r="BV178" i="1" s="1"/>
  <c r="BR178" i="1"/>
  <c r="BR180" i="1" l="1"/>
  <c r="BS177" i="1"/>
  <c r="BS178" i="1" s="1"/>
  <c r="BV180" i="1"/>
  <c r="BW177" i="1"/>
  <c r="CA177" i="1" s="1"/>
  <c r="BW173" i="1"/>
  <c r="BS180" i="1" l="1"/>
  <c r="BT177" i="1"/>
  <c r="BT178" i="1" s="1"/>
  <c r="BW175" i="1"/>
  <c r="BW178" i="1" s="1"/>
  <c r="BX177" i="1" l="1"/>
  <c r="BX173" i="1"/>
  <c r="BW180" i="1"/>
  <c r="BT180" i="1"/>
  <c r="BU177" i="1"/>
  <c r="BU178" i="1" s="1"/>
  <c r="BU180" i="1" s="1"/>
  <c r="BX175" i="1" l="1"/>
  <c r="BX178" i="1" s="1"/>
  <c r="BY177" i="1" l="1"/>
  <c r="BY173" i="1"/>
  <c r="BX180" i="1"/>
  <c r="BY175" i="1" l="1"/>
  <c r="BY178" i="1" s="1"/>
  <c r="BZ177" i="1" l="1"/>
  <c r="BZ173" i="1"/>
  <c r="BY180" i="1"/>
  <c r="BZ175" i="1" l="1"/>
  <c r="BZ178" i="1" s="1"/>
  <c r="BZ180" i="1" s="1"/>
  <c r="CA173" i="1"/>
  <c r="CA175" i="1" s="1"/>
  <c r="CA178" i="1" s="1"/>
  <c r="CA180" i="1" l="1"/>
  <c r="CB177" i="1"/>
  <c r="CF177" i="1" l="1"/>
  <c r="CF178" i="1" s="1"/>
  <c r="CB178" i="1"/>
  <c r="CC177" i="1" l="1"/>
  <c r="CC178" i="1" s="1"/>
  <c r="CB180" i="1"/>
  <c r="CF180" i="1"/>
  <c r="CG177" i="1"/>
  <c r="CK177" i="1" l="1"/>
  <c r="CK178" i="1" s="1"/>
  <c r="CG178" i="1"/>
  <c r="CD177" i="1"/>
  <c r="CD178" i="1" s="1"/>
  <c r="CC180" i="1"/>
  <c r="CD180" i="1" l="1"/>
  <c r="CE177" i="1"/>
  <c r="CE178" i="1" s="1"/>
  <c r="CE180" i="1" s="1"/>
  <c r="CH177" i="1"/>
  <c r="CH178" i="1" s="1"/>
  <c r="CG180" i="1"/>
  <c r="CK180" i="1"/>
  <c r="CL177" i="1"/>
  <c r="CH180" i="1" l="1"/>
  <c r="CI177" i="1"/>
  <c r="CI178" i="1" s="1"/>
  <c r="CP177" i="1"/>
  <c r="CP178" i="1" s="1"/>
  <c r="CL178" i="1"/>
  <c r="CL180" i="1" l="1"/>
  <c r="CM177" i="1"/>
  <c r="CM178" i="1" s="1"/>
  <c r="CI180" i="1"/>
  <c r="CJ177" i="1"/>
  <c r="CJ178" i="1" s="1"/>
  <c r="CJ180" i="1" s="1"/>
  <c r="CP180" i="1"/>
  <c r="CQ177" i="1"/>
  <c r="CU177" i="1" l="1"/>
  <c r="CU178" i="1" s="1"/>
  <c r="CQ178" i="1"/>
  <c r="CN177" i="1"/>
  <c r="CM180" i="1"/>
  <c r="CQ180" i="1" l="1"/>
  <c r="CR177" i="1"/>
  <c r="CR178" i="1" s="1"/>
  <c r="CN178" i="1"/>
  <c r="CV177" i="1"/>
  <c r="CZ177" i="1" s="1"/>
  <c r="CO177" i="1" l="1"/>
  <c r="CN180" i="1"/>
  <c r="CS177" i="1"/>
  <c r="CR180" i="1"/>
  <c r="CO178" i="1" l="1"/>
  <c r="DH177" i="1"/>
  <c r="CS178" i="1"/>
  <c r="CO180" i="1" l="1"/>
  <c r="DH178" i="1"/>
  <c r="CT177" i="1"/>
  <c r="CS180" i="1"/>
  <c r="CT178" i="1" l="1"/>
  <c r="DF178" i="1" s="1"/>
  <c r="DJ178" i="1" s="1"/>
  <c r="DF177" i="1"/>
  <c r="DF68" i="1" l="1"/>
  <c r="DI178" i="1"/>
  <c r="DJ177" i="1"/>
  <c r="DI177" i="1"/>
  <c r="CT74" i="1" l="1"/>
  <c r="CT83" i="1" s="1"/>
  <c r="CT227" i="1"/>
  <c r="CT228" i="1" s="1"/>
  <c r="CT180" i="1"/>
  <c r="CU68" i="1"/>
  <c r="CT117" i="1"/>
  <c r="CT118" i="1" s="1"/>
  <c r="DI68" i="1"/>
  <c r="DJ68" i="1"/>
  <c r="DF74" i="1" l="1"/>
  <c r="DJ74" i="1" s="1"/>
  <c r="CU180" i="1"/>
  <c r="DF117" i="1"/>
  <c r="DI117" i="1" s="1"/>
  <c r="CU74" i="1"/>
  <c r="CU83" i="1" s="1"/>
  <c r="CU112" i="1" s="1"/>
  <c r="CU117" i="1"/>
  <c r="CU118" i="1" s="1"/>
  <c r="CU125" i="1" s="1"/>
  <c r="CU227" i="1"/>
  <c r="CU228" i="1" s="1"/>
  <c r="CT112" i="1"/>
  <c r="DF83" i="1"/>
  <c r="CT125" i="1"/>
  <c r="DF125" i="1" s="1"/>
  <c r="DF118" i="1"/>
  <c r="DI74" i="1" l="1"/>
  <c r="DJ117" i="1"/>
  <c r="DJ118" i="1"/>
  <c r="DI118" i="1"/>
  <c r="DI83" i="1"/>
  <c r="DJ83" i="1"/>
  <c r="DJ125" i="1"/>
  <c r="DI125" i="1"/>
  <c r="CV67" i="226" l="1"/>
  <c r="CV90" i="226" l="1"/>
  <c r="CV91" i="226" s="1"/>
  <c r="CV247" i="1" l="1"/>
  <c r="CV248" i="1" s="1"/>
  <c r="CV249" i="1" s="1"/>
  <c r="CV250" i="1"/>
  <c r="CV193" i="1" l="1"/>
  <c r="CV72" i="1" s="1"/>
  <c r="CV25" i="1" l="1"/>
  <c r="CV138" i="1"/>
  <c r="CV134" i="1" l="1"/>
  <c r="CV233" i="1"/>
  <c r="CV62" i="1"/>
  <c r="CV28" i="1"/>
  <c r="CV124" i="1" l="1"/>
  <c r="CV63" i="1"/>
  <c r="CV38" i="1"/>
  <c r="CV220" i="1" l="1"/>
  <c r="CV44" i="1"/>
  <c r="CV46" i="1" s="1"/>
  <c r="CV51" i="1" l="1"/>
  <c r="CV58" i="1" l="1"/>
  <c r="CV132" i="1" l="1"/>
  <c r="CV104" i="1" s="1"/>
  <c r="CV57" i="1"/>
  <c r="CV56" i="1"/>
  <c r="CV107" i="1" l="1"/>
  <c r="CV141" i="1"/>
  <c r="CV110" i="1" l="1"/>
  <c r="CV126" i="1"/>
  <c r="CV127" i="1" s="1"/>
  <c r="CV186" i="1"/>
  <c r="CV121" i="1" s="1"/>
  <c r="CV175" i="1"/>
  <c r="CV178" i="1" s="1"/>
  <c r="CV68" i="1" s="1"/>
  <c r="CV122" i="1" l="1"/>
  <c r="CV74" i="1"/>
  <c r="CV83" i="1" s="1"/>
  <c r="CV112" i="1" s="1"/>
  <c r="CV117" i="1"/>
  <c r="CV118" i="1" s="1"/>
  <c r="CV125" i="1" s="1"/>
  <c r="CW177" i="1"/>
  <c r="CV251" i="1"/>
  <c r="CV227" i="1" l="1"/>
  <c r="CV228" i="1" s="1"/>
  <c r="CV180" i="1"/>
  <c r="CW78" i="226" l="1"/>
  <c r="CW247" i="1"/>
  <c r="CW248" i="1" s="1"/>
  <c r="CW249" i="1" s="1"/>
  <c r="CW250" i="1"/>
  <c r="CW27" i="1" l="1"/>
  <c r="CW37" i="1" s="1"/>
  <c r="CW40" i="1" s="1"/>
  <c r="CW79" i="226"/>
  <c r="CW67" i="226"/>
  <c r="CW193" i="1"/>
  <c r="CW72" i="1" s="1"/>
  <c r="CW90" i="226" l="1"/>
  <c r="CW91" i="226" s="1"/>
  <c r="CW138" i="1"/>
  <c r="CW134" i="1" l="1"/>
  <c r="CX78" i="226" l="1"/>
  <c r="CX250" i="1"/>
  <c r="CX247" i="1"/>
  <c r="CX248" i="1" s="1"/>
  <c r="CX249" i="1" s="1"/>
  <c r="CX27" i="1" l="1"/>
  <c r="CX28" i="1" s="1"/>
  <c r="CX79" i="226"/>
  <c r="CX67" i="226"/>
  <c r="CX193" i="1"/>
  <c r="CX72" i="1" s="1"/>
  <c r="CX37" i="1" l="1"/>
  <c r="CX40" i="1" s="1"/>
  <c r="CX24" i="1"/>
  <c r="CX25" i="1" s="1"/>
  <c r="CX90" i="226"/>
  <c r="CX91" i="226" s="1"/>
  <c r="CX138" i="1"/>
  <c r="CX134" i="1" l="1"/>
  <c r="CX233" i="1"/>
  <c r="CX62" i="1"/>
  <c r="CX63" i="1" l="1"/>
  <c r="CX42" i="1"/>
  <c r="CX38" i="1"/>
  <c r="CX220" i="1" l="1"/>
  <c r="CX44" i="1"/>
  <c r="CX46" i="1" l="1"/>
  <c r="CX51" i="1" s="1"/>
  <c r="CX58" i="1" l="1"/>
  <c r="CX132" i="1" l="1"/>
  <c r="CX56" i="1"/>
  <c r="CX57" i="1"/>
  <c r="CX141" i="1" l="1"/>
  <c r="CX186" i="1" l="1"/>
  <c r="CX175" i="1"/>
  <c r="CY250" i="1" l="1"/>
  <c r="CY193" i="1" l="1"/>
  <c r="CY72" i="1" s="1"/>
  <c r="CZ18" i="1"/>
  <c r="CZ193" i="1" l="1"/>
  <c r="CZ19" i="1"/>
  <c r="CZ72" i="1"/>
  <c r="CY138" i="1"/>
  <c r="CZ250" i="1" l="1"/>
  <c r="CY134" i="1"/>
  <c r="CZ138" i="1"/>
  <c r="CZ134" i="1" s="1"/>
  <c r="CZ199" i="1"/>
  <c r="H34" i="236" l="1"/>
  <c r="CU259" i="1" l="1"/>
  <c r="CT208" i="1"/>
  <c r="CP191" i="226" l="1"/>
  <c r="CP192" i="226" s="1"/>
  <c r="CT192" i="226"/>
  <c r="CY192" i="226" l="1"/>
  <c r="CU192" i="226"/>
  <c r="CY76" i="226" l="1"/>
  <c r="CZ76" i="226" s="1"/>
  <c r="CZ192" i="226"/>
  <c r="DA186" i="226" l="1"/>
  <c r="DA192" i="226" s="1"/>
  <c r="I16" i="234"/>
  <c r="CY247" i="1"/>
  <c r="CY248" i="1" s="1"/>
  <c r="CY249" i="1" s="1"/>
  <c r="CT247" i="1"/>
  <c r="CT248" i="1" s="1"/>
  <c r="CT249" i="1" s="1"/>
  <c r="DA76" i="226" l="1"/>
  <c r="DB186" i="226"/>
  <c r="DB192" i="226" s="1"/>
  <c r="DB76" i="226" l="1"/>
  <c r="CY78" i="226"/>
  <c r="DC186" i="226"/>
  <c r="DC192" i="226" s="1"/>
  <c r="CZ22" i="1"/>
  <c r="CY27" i="1" l="1"/>
  <c r="CY28" i="1" s="1"/>
  <c r="CY79" i="226"/>
  <c r="DC76" i="226"/>
  <c r="CY67" i="226"/>
  <c r="CZ66" i="226"/>
  <c r="CZ23" i="1"/>
  <c r="CZ230" i="1"/>
  <c r="CU247" i="1"/>
  <c r="CU248" i="1" s="1"/>
  <c r="CU249" i="1" s="1"/>
  <c r="CZ247" i="1"/>
  <c r="CZ248" i="1" s="1"/>
  <c r="CZ249" i="1" s="1"/>
  <c r="CY24" i="1" l="1"/>
  <c r="CY25" i="1" s="1"/>
  <c r="CZ27" i="1"/>
  <c r="CZ37" i="1" s="1"/>
  <c r="CY37" i="1"/>
  <c r="CY40" i="1" s="1"/>
  <c r="CZ40" i="1" s="1"/>
  <c r="H30" i="236" s="1"/>
  <c r="CZ82" i="226"/>
  <c r="CZ78" i="226"/>
  <c r="CY90" i="226"/>
  <c r="CY91" i="226" s="1"/>
  <c r="CZ67" i="226"/>
  <c r="CY62" i="1"/>
  <c r="CY233" i="1"/>
  <c r="CZ79" i="226" l="1"/>
  <c r="CZ83" i="226"/>
  <c r="CZ90" i="226"/>
  <c r="CZ91" i="226" s="1"/>
  <c r="CZ233" i="1"/>
  <c r="CZ28" i="1"/>
  <c r="CZ62" i="1"/>
  <c r="CY38" i="1"/>
  <c r="CY42" i="1"/>
  <c r="CY63" i="1"/>
  <c r="CY220" i="1" l="1"/>
  <c r="CY44" i="1"/>
  <c r="CZ42" i="1"/>
  <c r="H27" i="236"/>
  <c r="CZ38" i="1"/>
  <c r="CZ41" i="1"/>
  <c r="CZ63" i="1"/>
  <c r="CZ124" i="1"/>
  <c r="I27" i="234"/>
  <c r="H28" i="236" l="1"/>
  <c r="H37" i="236"/>
  <c r="H40" i="236" s="1"/>
  <c r="H31" i="236"/>
  <c r="CY46" i="1"/>
  <c r="CY51" i="1" s="1"/>
  <c r="M27" i="234"/>
  <c r="I18" i="234"/>
  <c r="I17" i="234" s="1"/>
  <c r="S17" i="234" s="1"/>
  <c r="CZ220" i="1"/>
  <c r="CY58" i="1" l="1"/>
  <c r="CY56" i="1" l="1"/>
  <c r="CY57" i="1"/>
  <c r="CY132" i="1"/>
  <c r="CY141" i="1" l="1"/>
  <c r="CY186" i="1" l="1"/>
  <c r="CY175" i="1"/>
  <c r="DA250" i="1" l="1"/>
  <c r="DA247" i="1"/>
  <c r="DA248" i="1" s="1"/>
  <c r="DA249" i="1" s="1"/>
  <c r="DA78" i="226" l="1"/>
  <c r="DA193" i="1"/>
  <c r="DA72" i="1" s="1"/>
  <c r="DA79" i="226" l="1"/>
  <c r="DA27" i="1"/>
  <c r="DA67" i="226"/>
  <c r="DA138" i="1"/>
  <c r="DA134" i="1" s="1"/>
  <c r="DA24" i="1" l="1"/>
  <c r="DA25" i="1" s="1"/>
  <c r="DA37" i="1"/>
  <c r="DA40" i="1" s="1"/>
  <c r="I30" i="236" s="1"/>
  <c r="DA90" i="226"/>
  <c r="DA91" i="226" s="1"/>
  <c r="I34" i="236"/>
  <c r="DA28" i="1"/>
  <c r="DA233" i="1"/>
  <c r="DA62" i="1"/>
  <c r="DA63" i="1" l="1"/>
  <c r="DA124" i="1"/>
  <c r="DA38" i="1"/>
  <c r="I27" i="236"/>
  <c r="DA42" i="1"/>
  <c r="DA220" i="1" l="1"/>
  <c r="I37" i="236"/>
  <c r="I40" i="236" s="1"/>
  <c r="I28" i="236"/>
  <c r="I31" i="236"/>
  <c r="DB250" i="1" l="1"/>
  <c r="DB247" i="1"/>
  <c r="DB248" i="1" s="1"/>
  <c r="DB249" i="1" s="1"/>
  <c r="DB78" i="226" l="1"/>
  <c r="DB193" i="1"/>
  <c r="DB72" i="1" s="1"/>
  <c r="DB79" i="226" l="1"/>
  <c r="DB90" i="226"/>
  <c r="DB91" i="226" s="1"/>
  <c r="DB27" i="1"/>
  <c r="DB67" i="226"/>
  <c r="DB138" i="1"/>
  <c r="DB134" i="1" s="1"/>
  <c r="DB24" i="1" l="1"/>
  <c r="DB25" i="1" s="1"/>
  <c r="DB37" i="1"/>
  <c r="DB40" i="1" s="1"/>
  <c r="J30" i="236" s="1"/>
  <c r="J34" i="236"/>
  <c r="DB233" i="1"/>
  <c r="DB62" i="1"/>
  <c r="DB28" i="1"/>
  <c r="DB38" i="1" l="1"/>
  <c r="J27" i="236"/>
  <c r="DB42" i="1"/>
  <c r="DB124" i="1"/>
  <c r="DB63" i="1"/>
  <c r="DB220" i="1" l="1"/>
  <c r="J37" i="236"/>
  <c r="J40" i="236" s="1"/>
  <c r="J28" i="236"/>
  <c r="J31" i="236"/>
  <c r="DC250" i="1" l="1"/>
  <c r="DC247" i="1"/>
  <c r="DC248" i="1" s="1"/>
  <c r="DC249" i="1" s="1"/>
  <c r="DC78" i="226" l="1"/>
  <c r="DC193" i="1"/>
  <c r="DC72" i="1" s="1"/>
  <c r="DC79" i="226" l="1"/>
  <c r="DC27" i="1"/>
  <c r="DC90" i="226"/>
  <c r="DC91" i="226" s="1"/>
  <c r="DC67" i="226"/>
  <c r="DC138" i="1"/>
  <c r="DC134" i="1" s="1"/>
  <c r="DC24" i="1" l="1"/>
  <c r="DC25" i="1" s="1"/>
  <c r="DC37" i="1"/>
  <c r="DC40" i="1" s="1"/>
  <c r="K30" i="236" s="1"/>
  <c r="K34" i="236"/>
  <c r="DC28" i="1"/>
  <c r="DC233" i="1"/>
  <c r="DC62" i="1"/>
  <c r="L37" i="236" l="1"/>
  <c r="L40" i="236" s="1"/>
  <c r="DC124" i="1"/>
  <c r="DC63" i="1"/>
  <c r="DC38" i="1"/>
  <c r="K27" i="236"/>
  <c r="DC42" i="1"/>
  <c r="M37" i="236" l="1"/>
  <c r="M40" i="236" s="1"/>
  <c r="DC220" i="1"/>
  <c r="K28" i="236"/>
  <c r="K37" i="236"/>
  <c r="K40" i="236" s="1"/>
  <c r="K31" i="236"/>
  <c r="N37" i="236" l="1"/>
  <c r="N40" i="236" s="1"/>
  <c r="O37" i="236" l="1"/>
  <c r="O40" i="236" s="1"/>
  <c r="P37" i="236" l="1"/>
  <c r="P40" i="236" s="1"/>
  <c r="Q37" i="236"/>
  <c r="Q38" i="236" s="1"/>
  <c r="Q40" i="236" s="1"/>
  <c r="H10" i="236" l="1"/>
  <c r="CT122" i="1" l="1"/>
  <c r="O29" i="234" s="1"/>
  <c r="H11" i="236" l="1"/>
  <c r="H13" i="236" s="1"/>
  <c r="H15" i="236" s="1"/>
  <c r="Q29" i="234"/>
  <c r="Q33" i="234" s="1"/>
  <c r="Q36" i="234" s="1"/>
  <c r="O33" i="234"/>
  <c r="CU122" i="1"/>
  <c r="CW24" i="1" l="1"/>
  <c r="CW28" i="1"/>
  <c r="CW42" i="1"/>
  <c r="CW44" i="1" s="1"/>
  <c r="CZ44" i="1" s="1"/>
  <c r="CW62" i="1"/>
  <c r="CW63" i="1" s="1"/>
  <c r="CW233" i="1"/>
  <c r="CY124" i="1" l="1"/>
  <c r="CX124" i="1"/>
  <c r="CW124" i="1"/>
  <c r="CZ46" i="1"/>
  <c r="CZ45" i="1"/>
  <c r="DA45" i="1" s="1"/>
  <c r="CW38" i="1"/>
  <c r="CW220" i="1"/>
  <c r="CW25" i="1"/>
  <c r="CZ24" i="1"/>
  <c r="CZ25" i="1" s="1"/>
  <c r="CW46" i="1"/>
  <c r="CW51" i="1" s="1"/>
  <c r="CZ51" i="1" l="1"/>
  <c r="DB45" i="1"/>
  <c r="DA44" i="1"/>
  <c r="DA46" i="1" s="1"/>
  <c r="DA51" i="1" s="1"/>
  <c r="CZ58" i="1"/>
  <c r="CW58" i="1"/>
  <c r="CZ56" i="1" l="1"/>
  <c r="CZ57" i="1"/>
  <c r="DA58" i="1"/>
  <c r="DC45" i="1"/>
  <c r="DC44" i="1" s="1"/>
  <c r="DC46" i="1" s="1"/>
  <c r="DC51" i="1" s="1"/>
  <c r="DB44" i="1"/>
  <c r="DB46" i="1" s="1"/>
  <c r="DB51" i="1" s="1"/>
  <c r="CW56" i="1"/>
  <c r="CW57" i="1"/>
  <c r="CW132" i="1"/>
  <c r="CZ132" i="1" s="1"/>
  <c r="CZ141" i="1" s="1"/>
  <c r="CZ186" i="1" s="1"/>
  <c r="DB58" i="1" l="1"/>
  <c r="DA56" i="1"/>
  <c r="DA57" i="1"/>
  <c r="DA132" i="1"/>
  <c r="DA141" i="1" s="1"/>
  <c r="CZ175" i="1"/>
  <c r="CZ178" i="1" s="1"/>
  <c r="DA177" i="1" s="1"/>
  <c r="DC58" i="1"/>
  <c r="CW104" i="1"/>
  <c r="CW141" i="1"/>
  <c r="DB56" i="1" l="1"/>
  <c r="DB57" i="1"/>
  <c r="DB132" i="1"/>
  <c r="DB141" i="1" s="1"/>
  <c r="DB186" i="1" s="1"/>
  <c r="DC132" i="1"/>
  <c r="DC141" i="1" s="1"/>
  <c r="DC56" i="1"/>
  <c r="DC57" i="1"/>
  <c r="DA186" i="1"/>
  <c r="DA175" i="1"/>
  <c r="DA178" i="1" s="1"/>
  <c r="CW107" i="1"/>
  <c r="CX104" i="1"/>
  <c r="CW175" i="1"/>
  <c r="CW178" i="1" s="1"/>
  <c r="CW186" i="1"/>
  <c r="CW121" i="1" s="1"/>
  <c r="CX121" i="1" l="1"/>
  <c r="CW122" i="1"/>
  <c r="DB177" i="1"/>
  <c r="DA68" i="1"/>
  <c r="DA180" i="1" s="1"/>
  <c r="DC175" i="1"/>
  <c r="DC186" i="1"/>
  <c r="DB175" i="1"/>
  <c r="CW68" i="1"/>
  <c r="CX177" i="1"/>
  <c r="CX178" i="1" s="1"/>
  <c r="CW126" i="1"/>
  <c r="CW127" i="1" s="1"/>
  <c r="CW251" i="1"/>
  <c r="CW110" i="1"/>
  <c r="CX107" i="1"/>
  <c r="CY104" i="1"/>
  <c r="CY121" i="1" l="1"/>
  <c r="CX122" i="1"/>
  <c r="DB178" i="1"/>
  <c r="DC177" i="1" s="1"/>
  <c r="DC178" i="1" s="1"/>
  <c r="DA74" i="1"/>
  <c r="DA83" i="1" s="1"/>
  <c r="DA227" i="1"/>
  <c r="DA228" i="1" s="1"/>
  <c r="DB230" i="1" s="1"/>
  <c r="DA117" i="1"/>
  <c r="DA118" i="1" s="1"/>
  <c r="DA125" i="1" s="1"/>
  <c r="CW227" i="1"/>
  <c r="CW228" i="1" s="1"/>
  <c r="CW74" i="1"/>
  <c r="CW83" i="1" s="1"/>
  <c r="CW112" i="1" s="1"/>
  <c r="CW117" i="1"/>
  <c r="CW118" i="1" s="1"/>
  <c r="CW125" i="1" s="1"/>
  <c r="CZ104" i="1"/>
  <c r="CY107" i="1"/>
  <c r="CX110" i="1"/>
  <c r="CX126" i="1"/>
  <c r="CX127" i="1" s="1"/>
  <c r="CX251" i="1"/>
  <c r="CW180" i="1"/>
  <c r="CX68" i="1"/>
  <c r="CX180" i="1" s="1"/>
  <c r="CY177" i="1"/>
  <c r="CY178" i="1" s="1"/>
  <c r="CY122" i="1" l="1"/>
  <c r="CZ121" i="1"/>
  <c r="DB68" i="1"/>
  <c r="DB180" i="1" s="1"/>
  <c r="DC68" i="1"/>
  <c r="DC180" i="1" s="1"/>
  <c r="CY110" i="1"/>
  <c r="CY251" i="1"/>
  <c r="CY126" i="1"/>
  <c r="CY127" i="1" s="1"/>
  <c r="DA104" i="1"/>
  <c r="CZ107" i="1"/>
  <c r="CY68" i="1"/>
  <c r="CX227" i="1"/>
  <c r="CX228" i="1" s="1"/>
  <c r="CX74" i="1"/>
  <c r="CX83" i="1" s="1"/>
  <c r="CX112" i="1" s="1"/>
  <c r="CX117" i="1"/>
  <c r="CX118" i="1" s="1"/>
  <c r="CX125" i="1" s="1"/>
  <c r="DA121" i="1" l="1"/>
  <c r="CZ122" i="1"/>
  <c r="DB227" i="1"/>
  <c r="DB228" i="1" s="1"/>
  <c r="DC230" i="1" s="1"/>
  <c r="DB117" i="1"/>
  <c r="DB118" i="1" s="1"/>
  <c r="DB125" i="1" s="1"/>
  <c r="DB74" i="1"/>
  <c r="DB83" i="1" s="1"/>
  <c r="DC227" i="1"/>
  <c r="DC228" i="1" s="1"/>
  <c r="DC74" i="1"/>
  <c r="DC83" i="1" s="1"/>
  <c r="DC117" i="1"/>
  <c r="DC118" i="1" s="1"/>
  <c r="DC125" i="1" s="1"/>
  <c r="DA107" i="1"/>
  <c r="DB104" i="1"/>
  <c r="CZ68" i="1"/>
  <c r="CY227" i="1"/>
  <c r="CY228" i="1" s="1"/>
  <c r="CY74" i="1"/>
  <c r="CY83" i="1" s="1"/>
  <c r="CY112" i="1" s="1"/>
  <c r="CY117" i="1"/>
  <c r="CY118" i="1" s="1"/>
  <c r="CY125" i="1" s="1"/>
  <c r="CZ251" i="1"/>
  <c r="CZ110" i="1"/>
  <c r="CZ126" i="1"/>
  <c r="CZ127" i="1" s="1"/>
  <c r="CY180" i="1"/>
  <c r="DB121" i="1" l="1"/>
  <c r="DA122" i="1"/>
  <c r="CZ74" i="1"/>
  <c r="CZ83" i="1" s="1"/>
  <c r="CZ112" i="1" s="1"/>
  <c r="CZ117" i="1"/>
  <c r="CZ118" i="1" s="1"/>
  <c r="CZ125" i="1" s="1"/>
  <c r="CZ180" i="1"/>
  <c r="CZ227" i="1"/>
  <c r="CZ228" i="1" s="1"/>
  <c r="DA230" i="1" s="1"/>
  <c r="DA126" i="1"/>
  <c r="DA127" i="1" s="1"/>
  <c r="DA251" i="1"/>
  <c r="DA110" i="1"/>
  <c r="DA112" i="1" s="1"/>
  <c r="DB107" i="1"/>
  <c r="DC104" i="1"/>
  <c r="DC107" i="1" s="1"/>
  <c r="DC121" i="1" l="1"/>
  <c r="DB122" i="1"/>
  <c r="DC251" i="1"/>
  <c r="DC110" i="1"/>
  <c r="DC112" i="1" s="1"/>
  <c r="DC126" i="1"/>
  <c r="DC127" i="1" s="1"/>
  <c r="DB110" i="1"/>
  <c r="DB112" i="1" s="1"/>
  <c r="DB126" i="1"/>
  <c r="DB127" i="1" s="1"/>
  <c r="DB251" i="1"/>
  <c r="DC122" i="1" l="1"/>
</calcChain>
</file>

<file path=xl/comments1.xml><?xml version="1.0" encoding="utf-8"?>
<comments xmlns="http://schemas.openxmlformats.org/spreadsheetml/2006/main">
  <authors>
    <author>Jonas, Adam (Research)</author>
  </authors>
  <commentList>
    <comment ref="O31" authorId="0">
      <text>
        <r>
          <rPr>
            <b/>
            <sz val="9"/>
            <color indexed="81"/>
            <rFont val="Tahoma"/>
            <family val="2"/>
          </rPr>
          <t>Jonas, Adam (Research):</t>
        </r>
        <r>
          <rPr>
            <sz val="9"/>
            <color indexed="81"/>
            <rFont val="Tahoma"/>
            <family val="2"/>
          </rPr>
          <t xml:space="preserve">
after tax</t>
        </r>
      </text>
    </comment>
  </commentList>
</comments>
</file>

<file path=xl/comments2.xml><?xml version="1.0" encoding="utf-8"?>
<comments xmlns="http://schemas.openxmlformats.org/spreadsheetml/2006/main">
  <authors>
    <author>Jonas, Adam (Research)</author>
    <author>Dixit, Siddharth (Research)</author>
    <author>Mendiratta, Divya (Research)</author>
    <author>Kapoor, Vishal (Research)</author>
    <author>Varma, Abhiroop (Research)</author>
    <author>Soni, Swati (Research)</author>
  </authors>
  <commentList>
    <comment ref="CZ15" authorId="0">
      <text>
        <r>
          <rPr>
            <b/>
            <sz val="9"/>
            <color indexed="81"/>
            <rFont val="Tahoma"/>
            <family val="2"/>
          </rPr>
          <t>Jonas, Adam (Research):</t>
        </r>
        <r>
          <rPr>
            <sz val="9"/>
            <color indexed="81"/>
            <rFont val="Tahoma"/>
            <family val="2"/>
          </rPr>
          <t xml:space="preserve">
</t>
        </r>
      </text>
    </comment>
    <comment ref="AS18" authorId="1">
      <text>
        <r>
          <rPr>
            <sz val="9"/>
            <color indexed="81"/>
            <rFont val="Tahoma"/>
            <family val="2"/>
          </rPr>
          <t>$113mn: Special Items - Atutomotive</t>
        </r>
      </text>
    </comment>
    <comment ref="AT18" authorId="1">
      <text>
        <r>
          <rPr>
            <sz val="9"/>
            <color indexed="81"/>
            <rFont val="Tahoma"/>
            <family val="2"/>
          </rPr>
          <t>$443mn: Special Items - Atutomotive</t>
        </r>
      </text>
    </comment>
    <comment ref="AU18" authorId="1">
      <text>
        <r>
          <rPr>
            <sz val="9"/>
            <color indexed="81"/>
            <rFont val="Tahoma"/>
            <family val="2"/>
          </rPr>
          <t>$350mn: Special Items - Atutomotive</t>
        </r>
      </text>
    </comment>
    <comment ref="AV18" authorId="2">
      <text>
        <r>
          <rPr>
            <sz val="9"/>
            <color indexed="81"/>
            <rFont val="Tahoma"/>
            <family val="2"/>
          </rPr>
          <t xml:space="preserve">Total Special items: $3,872mn
</t>
        </r>
      </text>
    </comment>
    <comment ref="AX18" authorId="1">
      <text>
        <r>
          <rPr>
            <sz val="9"/>
            <color indexed="81"/>
            <rFont val="Tahoma"/>
            <family val="2"/>
          </rPr>
          <t xml:space="preserve">$344mn: Special Items - Total Personnel and Dealer-Related Items - Automotive sector
</t>
        </r>
      </text>
    </comment>
    <comment ref="AY18" authorId="2">
      <text>
        <r>
          <rPr>
            <sz val="9"/>
            <color indexed="81"/>
            <rFont val="Tahoma"/>
            <family val="2"/>
          </rPr>
          <t xml:space="preserve">$5,300: Fixed asset impairment charges
$469: Total Personnel and Dealer-Related Items - Automotive sector
</t>
        </r>
      </text>
    </comment>
    <comment ref="AZ18" authorId="2">
      <text>
        <r>
          <rPr>
            <sz val="9"/>
            <color indexed="81"/>
            <rFont val="Tahoma"/>
            <family val="2"/>
          </rPr>
          <t xml:space="preserve">$2,654: Total Personnel and Dealer-Related Items - Automotive sector
</t>
        </r>
      </text>
    </comment>
    <comment ref="BA18" authorId="1">
      <text>
        <r>
          <rPr>
            <sz val="9"/>
            <color indexed="81"/>
            <rFont val="Tahoma"/>
            <family val="2"/>
          </rPr>
          <t>$668mn: Special Items - Total Personnel and Dealer-Related Items - Automotive sector
$6,230mn: Special Items - Total Other Items – Automotive sector
$5,300: Fixed asset impairment charges</t>
        </r>
      </text>
    </comment>
    <comment ref="BC18" authorId="1">
      <text>
        <r>
          <rPr>
            <sz val="9"/>
            <color indexed="81"/>
            <rFont val="Tahoma"/>
            <family val="2"/>
          </rPr>
          <t xml:space="preserve">$149mn: Special Items - Total Personnel and Dealer-Related Items - Automotive sector
</t>
        </r>
      </text>
    </comment>
    <comment ref="BD18" authorId="1">
      <text>
        <r>
          <rPr>
            <sz val="9"/>
            <color indexed="81"/>
            <rFont val="Tahoma"/>
            <family val="2"/>
          </rPr>
          <t xml:space="preserve">$358mn: Special Items - Total Personnel and Dealer-Related Items - Automotive sector
</t>
        </r>
      </text>
    </comment>
    <comment ref="BE18" authorId="1">
      <text>
        <r>
          <rPr>
            <sz val="9"/>
            <color indexed="81"/>
            <rFont val="Tahoma"/>
            <family val="2"/>
          </rPr>
          <t xml:space="preserve">$160mn: Special Items - Total Personnel and Dealer-Related Items - Automotive sector
</t>
        </r>
      </text>
    </comment>
    <comment ref="BF18" authorId="1">
      <text>
        <r>
          <rPr>
            <sz val="9"/>
            <color indexed="81"/>
            <rFont val="Tahoma"/>
            <family val="2"/>
          </rPr>
          <t xml:space="preserve">$1,531mn: Special Items - Total Personnel and Dealer-Related Items - Automotive sector
</t>
        </r>
      </text>
    </comment>
    <comment ref="BH18" authorId="2">
      <text>
        <r>
          <rPr>
            <sz val="9"/>
            <color indexed="81"/>
            <rFont val="Tahoma"/>
            <family val="2"/>
          </rPr>
          <t>$86mn: Personnel-reduction actions
$15mn: Mercury discontinuation / Other dealer actions
$38mn: Job Security Benefits / Other
We have divided the special items in COGS and SG&amp;A</t>
        </r>
      </text>
    </comment>
    <comment ref="BI18" authorId="2">
      <text>
        <r>
          <rPr>
            <sz val="9"/>
            <color indexed="81"/>
            <rFont val="Tahoma"/>
            <family val="2"/>
          </rPr>
          <t>$110mn: Personnel-reduction actions
$61mn: Mercury discontinuation / Other dealer actions
$5mn: Job Security Benefits / Other
We have divided the special items in COGS and SG&amp;A</t>
        </r>
      </text>
    </comment>
    <comment ref="BJ18" authorId="2">
      <text>
        <r>
          <rPr>
            <sz val="9"/>
            <color indexed="81"/>
            <rFont val="Tahoma"/>
            <family val="2"/>
          </rPr>
          <t>$3mn: Personnel-reduction actions
$43mn: Mercury discontinuation / Other dealer actions
$7mn: Job Security Benefits / Other
We have divided the special items in COGS and SG&amp;A</t>
        </r>
      </text>
    </comment>
    <comment ref="BK18" authorId="2">
      <text>
        <r>
          <rPr>
            <sz val="9"/>
            <color indexed="81"/>
            <rFont val="Tahoma"/>
            <family val="2"/>
          </rPr>
          <t>$35mn: Personnel-reduction actions
$49mn: Mercury discontinuation / Other dealer actions
$39mn: Job Security Benefits / Other
We have divided the special items in COGS and SG&amp;A</t>
        </r>
      </text>
    </comment>
    <comment ref="BM18" authorId="2">
      <text>
        <r>
          <rPr>
            <sz val="9"/>
            <color indexed="81"/>
            <rFont val="Tahoma"/>
            <family val="2"/>
          </rPr>
          <t>$22mn: Personnel-reduction actions
$1mn: Mercury discontinuation / Other dealer actions
$1mn: Job Security Benefits / Other</t>
        </r>
      </text>
    </comment>
    <comment ref="BN18" authorId="2">
      <text>
        <r>
          <rPr>
            <sz val="9"/>
            <color indexed="81"/>
            <rFont val="Tahoma"/>
            <family val="2"/>
          </rPr>
          <t>$110mn: Personnel-reduction actions
$61mn: Mercury discontinuation / Other dealer actions
$5mn: Job Security Benefits / Other
$104mn: Belgium Pension
We have divided the special items in COGS and SG&amp;A</t>
        </r>
      </text>
    </comment>
    <comment ref="BO18" authorId="2">
      <text>
        <r>
          <rPr>
            <sz val="9"/>
            <color indexed="81"/>
            <rFont val="Tahoma"/>
            <family val="2"/>
          </rPr>
          <t>$81mn: Personnel-reduction actions
$42mn: Mercury discontinuation / Other dealer actions
$29mn: Job Security Benefits / Other
We have divided the special items in COGS and SG&amp;A</t>
        </r>
      </text>
    </comment>
    <comment ref="BP18" authorId="2">
      <text>
        <r>
          <rPr>
            <sz val="9"/>
            <color indexed="81"/>
            <rFont val="Tahoma"/>
            <family val="2"/>
          </rPr>
          <t>$269mn: Personnel-reduction actions
$151mn: Mercury discontinuation / Other dealer actions
$93mn: Job Security Benefits / Other
$109mn: Belgium Pension
We have divided the special items in COGS and SG&amp;A</t>
        </r>
      </text>
    </comment>
    <comment ref="BR18" authorId="2">
      <text>
        <r>
          <rPr>
            <sz val="9"/>
            <color indexed="81"/>
            <rFont val="Tahoma"/>
            <family val="2"/>
          </rPr>
          <t>$233: Separation-related action
Assumed to be part of COGS</t>
        </r>
      </text>
    </comment>
    <comment ref="BS18" authorId="2">
      <text>
        <r>
          <rPr>
            <sz val="9"/>
            <color indexed="81"/>
            <rFont val="Tahoma"/>
            <family val="2"/>
          </rPr>
          <t>$39: Separation-related action
Assumed to be part of COGS</t>
        </r>
      </text>
    </comment>
    <comment ref="BT18" authorId="2">
      <text>
        <r>
          <rPr>
            <sz val="9"/>
            <color indexed="81"/>
            <rFont val="Tahoma"/>
            <family val="2"/>
          </rPr>
          <t>$18: Separation-related action
Assumed to be part of COGS</t>
        </r>
      </text>
    </comment>
    <comment ref="BU18" authorId="2">
      <text>
        <r>
          <rPr>
            <sz val="9"/>
            <color indexed="81"/>
            <rFont val="Tahoma"/>
            <family val="2"/>
          </rPr>
          <t>$481: Separation-related action
Assumed to be part of COGS</t>
        </r>
      </text>
    </comment>
    <comment ref="BW18" authorId="1">
      <text>
        <r>
          <rPr>
            <sz val="9"/>
            <color indexed="81"/>
            <rFont val="Tahoma"/>
            <family val="2"/>
          </rPr>
          <t>$8mn: Primarily related to separation costs for personnel at the Genk and U.K. facilities
The cost was divided in Cost of Sales and SG&amp;A. IN absence of breakup, we have allocated to both.</t>
        </r>
      </text>
    </comment>
    <comment ref="BX18" authorId="1">
      <text>
        <r>
          <rPr>
            <sz val="9"/>
            <color indexed="81"/>
            <rFont val="Tahoma"/>
            <family val="2"/>
          </rPr>
          <t>$442mn: Primarily related to separation costs for personnel at the Genk and U.K. facilities
$294: U.S. pension lump-sum program
The cost was divided in Cost of Sales and SG&amp;A. IN absence of breakup, we have allocated to both.</t>
        </r>
      </text>
    </comment>
    <comment ref="BY18" authorId="1">
      <text>
        <r>
          <rPr>
            <sz val="9"/>
            <color indexed="81"/>
            <rFont val="Tahoma"/>
            <family val="2"/>
          </rPr>
          <t>$250mn: Primarily related to separation costs for personnel at the Genk and U.K. facilities
$145: U.S. pension lump-sum program
The cost was divided in Cost of Sales and SG&amp;A. IN absence of breakup, we have allocated to both.</t>
        </r>
      </text>
    </comment>
    <comment ref="BZ18" authorId="1">
      <text>
        <r>
          <rPr>
            <sz val="9"/>
            <color indexed="81"/>
            <rFont val="Tahoma"/>
            <family val="2"/>
          </rPr>
          <t>$856mn: Primarily related to separation costs for personnel at the Genk and U.K. facilities
$594: U.S. pension lump-sum program
The cost was divided in Cost of Sales and SG&amp;A. IN absence of breakup, we have allocated to both.</t>
        </r>
      </text>
    </comment>
    <comment ref="CB18" authorId="1">
      <text>
        <r>
          <rPr>
            <sz val="9"/>
            <color indexed="81"/>
            <rFont val="Tahoma"/>
            <family val="2"/>
          </rPr>
          <t>$122mn: Primarily related to separation costs for personnel at the Genk and U.K. facilities
The cost was divided in Cost of Sales and SG&amp;A. IN absence of breakup, we have allocated to both.</t>
        </r>
      </text>
    </comment>
    <comment ref="CC18" authorId="1">
      <text>
        <r>
          <rPr>
            <sz val="9"/>
            <color indexed="81"/>
            <rFont val="Tahoma"/>
            <family val="2"/>
          </rPr>
          <t>$152mn: Primarily related to separation costs for personnel at the Genk and U.K. facilities
The cost was divided in Cost of Sales and SG&amp;A. IN absence of breakup, we have allocated to both.</t>
        </r>
      </text>
    </comment>
    <comment ref="CD18" authorId="1">
      <text>
        <r>
          <rPr>
            <sz val="9"/>
            <color indexed="81"/>
            <rFont val="Tahoma"/>
            <family val="2"/>
          </rPr>
          <t>$160mn: Primarily related to separation costs for personnel at the Genk and U.K. facilities
The cost was divided in Cost of Sales and SG&amp;A. IN absence of breakup, we have allocated to both.</t>
        </r>
      </text>
    </comment>
    <comment ref="CE18" authorId="1">
      <text>
        <r>
          <rPr>
            <sz val="9"/>
            <color indexed="81"/>
            <rFont val="Tahoma"/>
            <family val="2"/>
          </rPr>
          <t>$681mn: Primarily related to separation costs for personnel at the Genk and U.K. facilities
The cost was divided in Cost of Sales and SG&amp;A. IN absence of breakup, we have allocated to both.
$41,23mn: Pension and OPEB Remeasurements- This is part of net periodic benefit cost which are recorded in Automotive cost of sales and Selling, administrative, and other expenses</t>
        </r>
      </text>
    </comment>
    <comment ref="CJ18" authorId="2">
      <text>
        <r>
          <rPr>
            <sz val="9"/>
            <color indexed="81"/>
            <rFont val="Tahoma"/>
            <family val="2"/>
          </rPr>
          <t xml:space="preserve">Pension and OPEB Remeasurement loss: $698mn
</t>
        </r>
      </text>
    </comment>
    <comment ref="CL18" authorId="2">
      <text>
        <r>
          <rPr>
            <sz val="9"/>
            <color indexed="81"/>
            <rFont val="Tahoma"/>
            <family val="2"/>
          </rPr>
          <t xml:space="preserve">-Japan, Indonesia market closure: $12mn
-Separation -related actions:: $174mn
</t>
        </r>
      </text>
    </comment>
    <comment ref="CM18" authorId="2">
      <text>
        <r>
          <rPr>
            <sz val="9"/>
            <color indexed="81"/>
            <rFont val="Tahoma"/>
            <family val="2"/>
          </rPr>
          <t>-Japan, Indonesia market closure: $5mn
-Separation -related actions:: $102mn
-Pension &amp; OPEB: $11mn</t>
        </r>
      </text>
    </comment>
    <comment ref="CN18" authorId="2">
      <text>
        <r>
          <rPr>
            <sz val="9"/>
            <color indexed="81"/>
            <rFont val="Tahoma"/>
            <family val="2"/>
          </rPr>
          <t xml:space="preserve">-Separation -related actions: $17mn
-Market Closure: $9mn
</t>
        </r>
      </text>
    </comment>
    <comment ref="CO18" authorId="2">
      <text>
        <r>
          <rPr>
            <sz val="9"/>
            <color indexed="81"/>
            <rFont val="Tahoma"/>
            <family val="2"/>
          </rPr>
          <t xml:space="preserve">Pension and OPEB Remeasurement loss: $2,985mn
Other Pension Remeasurement loss: $11mn
Seperation related actions: $304mn
San Luis Plant Cancellation: $199mn
Japan Indo Plant Closure: 80mn
</t>
        </r>
      </text>
    </comment>
    <comment ref="CQ18" authorId="2">
      <text>
        <r>
          <rPr>
            <sz val="9"/>
            <color indexed="81"/>
            <rFont val="Tahoma"/>
            <family val="2"/>
          </rPr>
          <t xml:space="preserve">-Separation -related actions: $22mn
-San Luis plant cancellation: $46mn
</t>
        </r>
      </text>
    </comment>
    <comment ref="AY20" authorId="2">
      <text>
        <r>
          <rPr>
            <sz val="9"/>
            <color indexed="81"/>
            <rFont val="Tahoma"/>
            <family val="2"/>
          </rPr>
          <t>$2,086: Ford Credit net operating lease impairment charge
included in SG&amp;A</t>
        </r>
      </text>
    </comment>
    <comment ref="BA20" authorId="1">
      <text>
        <r>
          <rPr>
            <sz val="9"/>
            <color indexed="81"/>
            <rFont val="Tahoma"/>
            <family val="2"/>
          </rPr>
          <t>$2,086mn: Special Items - Financial Services</t>
        </r>
      </text>
    </comment>
    <comment ref="BH20" authorId="2">
      <text>
        <r>
          <rPr>
            <sz val="9"/>
            <color indexed="81"/>
            <rFont val="Tahoma"/>
            <family val="2"/>
          </rPr>
          <t>$86mn: Personnel-reduction actions
$15mn: Mercury discontinuation / Other dealer actions
$38mn: Job Security Benefits / Other
We have divided the special items in COGS and SG&amp;A</t>
        </r>
      </text>
    </comment>
    <comment ref="BI20" authorId="2">
      <text>
        <r>
          <rPr>
            <sz val="9"/>
            <color indexed="81"/>
            <rFont val="Tahoma"/>
            <family val="2"/>
          </rPr>
          <t>$110mn: Personnel-reduction actions
$61mn: Mercury discontinuation / Other dealer actions
$5mn: Job Security Benefits / Other
We have divided the special items in COGS and SG&amp;A</t>
        </r>
      </text>
    </comment>
    <comment ref="BJ20" authorId="2">
      <text>
        <r>
          <rPr>
            <sz val="9"/>
            <color indexed="81"/>
            <rFont val="Tahoma"/>
            <family val="2"/>
          </rPr>
          <t>$3mn: Personnel-reduction actions
$43mn: Mercury discontinuation / Other dealer actions
$7mn: Job Security Benefits / Other
We have divided the special items in COGS and SG&amp;A</t>
        </r>
      </text>
    </comment>
    <comment ref="BK20" authorId="2">
      <text>
        <r>
          <rPr>
            <sz val="9"/>
            <color indexed="81"/>
            <rFont val="Tahoma"/>
            <family val="2"/>
          </rPr>
          <t>$35mn: Personnel-reduction actions
$49mn: Mercury discontinuation / Other dealer actions
$39mn: Job Security Benefits / Other
We have divided the special items in COGS and SG&amp;A</t>
        </r>
      </text>
    </comment>
    <comment ref="BN20" authorId="2">
      <text>
        <r>
          <rPr>
            <sz val="9"/>
            <color indexed="81"/>
            <rFont val="Tahoma"/>
            <family val="2"/>
          </rPr>
          <t>$110mn: Personnel-reduction actions
$61mn: Mercury discontinuation / Other dealer actions
$5mn: Job Security Benefits / Other
$104mn: Belgium Pension
We have divided the special items in COGS and SG&amp;A</t>
        </r>
      </text>
    </comment>
    <comment ref="BO20" authorId="2">
      <text>
        <r>
          <rPr>
            <sz val="9"/>
            <color indexed="81"/>
            <rFont val="Tahoma"/>
            <family val="2"/>
          </rPr>
          <t>$81mn: Personnel-reduction actions
$42mn: Mercury discontinuation / Other dealer actions
$29mn: Job Security Benefits / Other
We have divided the special items in COGS and SG&amp;A</t>
        </r>
      </text>
    </comment>
    <comment ref="BP20" authorId="2">
      <text>
        <r>
          <rPr>
            <sz val="9"/>
            <color indexed="81"/>
            <rFont val="Tahoma"/>
            <family val="2"/>
          </rPr>
          <t>$269mn: Personnel-reduction actions
$151mn: Mercury discontinuation / Other dealer actions
$93mn: Job Security Benefits / Other
$109mn: Belgium Pension
We have divided the special items in COGS and SG&amp;A</t>
        </r>
      </text>
    </comment>
    <comment ref="BR20" authorId="2">
      <text>
        <r>
          <rPr>
            <sz val="9"/>
            <color indexed="81"/>
            <rFont val="Tahoma"/>
            <family val="2"/>
          </rPr>
          <t>$16mn: Mercury discontinuation / Other dealer actions</t>
        </r>
      </text>
    </comment>
    <comment ref="BS20" authorId="2">
      <text>
        <r>
          <rPr>
            <sz val="9"/>
            <color indexed="81"/>
            <rFont val="Tahoma"/>
            <family val="2"/>
          </rPr>
          <t>$13mn: Mercury discontinuation / Other dealer actions</t>
        </r>
      </text>
    </comment>
    <comment ref="BT20" authorId="2">
      <text>
        <r>
          <rPr>
            <sz val="9"/>
            <color indexed="81"/>
            <rFont val="Tahoma"/>
            <family val="2"/>
          </rPr>
          <t>$18mn: Mercury discontinuation / Other dealer actions</t>
        </r>
      </text>
    </comment>
    <comment ref="BU20" authorId="2">
      <text>
        <r>
          <rPr>
            <sz val="9"/>
            <color indexed="81"/>
            <rFont val="Tahoma"/>
            <family val="2"/>
          </rPr>
          <t>$71mn: Mercury discontinuation / Other dealer actions</t>
        </r>
      </text>
    </comment>
    <comment ref="BW20" authorId="1">
      <text>
        <r>
          <rPr>
            <sz val="9"/>
            <color indexed="81"/>
            <rFont val="Tahoma"/>
            <family val="2"/>
          </rPr>
          <t>$8mn: Primarily related to separation costs for personnel at the Genk and U.K. facilities
The cost was divided in Cost of Sales and SG&amp;A. IN absence of breakup, we have allocated to both.</t>
        </r>
      </text>
    </comment>
    <comment ref="BX20" authorId="1">
      <text>
        <r>
          <rPr>
            <sz val="9"/>
            <color indexed="81"/>
            <rFont val="Tahoma"/>
            <family val="2"/>
          </rPr>
          <t>$442mn: Primarily related to separation costs for personnel at the Genk and U.K. facilities
$294: U.S. pension lump-sum program
The cost was divided in Cost of Sales and SG&amp;A. IN absence of breakup, we have allocated to both.</t>
        </r>
      </text>
    </comment>
    <comment ref="BY20" authorId="1">
      <text>
        <r>
          <rPr>
            <sz val="9"/>
            <color indexed="81"/>
            <rFont val="Tahoma"/>
            <family val="2"/>
          </rPr>
          <t>$250mn: Primarily related to separation costs for personnel at the Genk and U.K. facilities
$145: U.S. pension lump-sum program
The cost was divided in Cost of Sales and SG&amp;A. IN absence of breakup, we have allocated to both.</t>
        </r>
      </text>
    </comment>
    <comment ref="BZ20" authorId="1">
      <text>
        <r>
          <rPr>
            <sz val="9"/>
            <color indexed="81"/>
            <rFont val="Tahoma"/>
            <family val="2"/>
          </rPr>
          <t>$856mn: Primarily related to separation costs for personnel at the Genk and U.K. facilities
$594: U.S. pension lump-sum program
The cost was divided in Cost of Sales and SG&amp;A. IN absence of breakup, we have allocated to both.</t>
        </r>
      </text>
    </comment>
    <comment ref="CB20" authorId="1">
      <text>
        <r>
          <rPr>
            <sz val="9"/>
            <color indexed="81"/>
            <rFont val="Tahoma"/>
            <family val="2"/>
          </rPr>
          <t>$122mn: Primarily related to separation costs for personnel at the Genk and U.K. facilities
The cost was divided in Cost of Sales and SG&amp;A. IN absence of breakup, we have allocated to both.</t>
        </r>
      </text>
    </comment>
    <comment ref="CC20" authorId="1">
      <text>
        <r>
          <rPr>
            <sz val="9"/>
            <color indexed="81"/>
            <rFont val="Tahoma"/>
            <family val="2"/>
          </rPr>
          <t>$152mn: Primarily related to separation costs for personnel at the Genk and U.K. facilities
The cost was divided in Cost of Sales and SG&amp;A. IN absence of breakup, we have allocated to both.</t>
        </r>
      </text>
    </comment>
    <comment ref="CD20" authorId="1">
      <text>
        <r>
          <rPr>
            <sz val="9"/>
            <color indexed="81"/>
            <rFont val="Tahoma"/>
            <family val="2"/>
          </rPr>
          <t>$160mn: Primarily related to separation costs for personnel at the Genk and U.K. facilities
The cost was divided in Cost of Sales and SG&amp;A. IN absence of breakup, we have allocated to both.</t>
        </r>
      </text>
    </comment>
    <comment ref="CE20" authorId="1">
      <text>
        <r>
          <rPr>
            <sz val="9"/>
            <color indexed="81"/>
            <rFont val="Tahoma"/>
            <family val="2"/>
          </rPr>
          <t>$681mn: Primarily related to separation costs for personnel at the Genk and U.K. facilities
The cost was divided in Cost of Sales and SG&amp;A. IN absence of breakup, we have allocated to both.
$41,23mn: Pension and OPEB Remeasurements- This is part of net periodic benefit cost which are recorded in Automotive cost of sales and Selling, administrative, and other expenses</t>
        </r>
      </text>
    </comment>
    <comment ref="CI20" authorId="2">
      <text>
        <r>
          <rPr>
            <sz val="9"/>
            <color indexed="81"/>
            <rFont val="Tahoma"/>
            <family val="2"/>
          </rPr>
          <t xml:space="preserve">Nemak IPO : $166mn
</t>
        </r>
      </text>
    </comment>
    <comment ref="AX31" authorId="2">
      <text>
        <r>
          <rPr>
            <sz val="9"/>
            <color indexed="81"/>
            <rFont val="Tahoma"/>
            <family val="2"/>
          </rPr>
          <t xml:space="preserve">Other Special items: $56mn
</t>
        </r>
      </text>
    </comment>
    <comment ref="AZ31" authorId="1">
      <text>
        <r>
          <rPr>
            <sz val="9"/>
            <color indexed="81"/>
            <rFont val="Tahoma"/>
            <family val="2"/>
          </rPr>
          <t xml:space="preserve">
$103mn: Special Items - Total Other Items – Automotive sector</t>
        </r>
      </text>
    </comment>
    <comment ref="BA31" authorId="1">
      <text>
        <r>
          <rPr>
            <sz val="9"/>
            <color indexed="81"/>
            <rFont val="Tahoma"/>
            <family val="2"/>
          </rPr>
          <t>$6,230mn: Special Items - Total Other Items – Automotive sector</t>
        </r>
      </text>
    </comment>
    <comment ref="BC31" authorId="2">
      <text>
        <r>
          <rPr>
            <sz val="9"/>
            <color indexed="81"/>
            <rFont val="Tahoma"/>
            <family val="2"/>
          </rPr>
          <t xml:space="preserve">-Held-for-sale impairment and related items: $666mn
-Gain on debt reduction: $1,270mn
-Other: $2mn
</t>
        </r>
      </text>
    </comment>
    <comment ref="BD31" authorId="2">
      <text>
        <r>
          <rPr>
            <sz val="9"/>
            <color indexed="81"/>
            <rFont val="Tahoma"/>
            <family val="2"/>
          </rPr>
          <t>-Liquidation of foreign subsidiary – foreign currency translation impact: $281mn
-Investment impairment and related items: $100mn
-Net gains on debt reduction actions: $3,385mn
- Volvo held-for-sale cessation of depreciation and related charges: $141mn
-Other: $8mn</t>
        </r>
      </text>
    </comment>
    <comment ref="BE31" authorId="1">
      <text>
        <r>
          <rPr>
            <sz val="9"/>
            <color indexed="81"/>
            <rFont val="Tahoma"/>
            <family val="2"/>
          </rPr>
          <t>$101mn: Special Items - Atutomotive
$160: Sale of volvo</t>
        </r>
      </text>
    </comment>
    <comment ref="BF31" authorId="2">
      <text>
        <r>
          <rPr>
            <sz val="9"/>
            <color indexed="81"/>
            <rFont val="Tahoma"/>
            <family val="2"/>
          </rPr>
          <t>-Liquidation of foreign subsidiary – foreign currency translation impact: $281mn
-Investment impairment and related items: $100mn
-Net gains on debt reduction actions: $4,714mn
- Volvo held-for-sale cessation of depreciation and related charges: $226mn
-Other: $225mn</t>
        </r>
      </text>
    </comment>
    <comment ref="BH31" authorId="1">
      <text>
        <r>
          <rPr>
            <sz val="9"/>
            <color indexed="81"/>
            <rFont val="Tahoma"/>
            <family val="2"/>
          </rPr>
          <t>$188mn: Sale of Volvo</t>
        </r>
      </text>
    </comment>
    <comment ref="BI31" authorId="1">
      <text>
        <r>
          <rPr>
            <sz val="9"/>
            <color indexed="81"/>
            <rFont val="Tahoma"/>
            <family val="2"/>
          </rPr>
          <t>$94mn: Sale of Volvo
$40mn: Gain on debt reduction actions</t>
        </r>
      </text>
    </comment>
    <comment ref="BJ31" authorId="1">
      <text>
        <r>
          <rPr>
            <sz val="9"/>
            <color indexed="81"/>
            <rFont val="Tahoma"/>
            <family val="2"/>
          </rPr>
          <t>$102mn: Sale of volvo
$33mn: Other</t>
        </r>
      </text>
    </comment>
    <comment ref="BK31" authorId="1">
      <text>
        <r>
          <rPr>
            <sz val="9"/>
            <color indexed="81"/>
            <rFont val="Tahoma"/>
            <family val="2"/>
          </rPr>
          <t>$893: Debt reduction actions
$1mn: Sale of volvo
$4mn: Other</t>
        </r>
      </text>
    </comment>
    <comment ref="BM31" authorId="2">
      <text>
        <r>
          <rPr>
            <sz val="9"/>
            <color indexed="81"/>
            <rFont val="Tahoma"/>
            <family val="2"/>
          </rPr>
          <t xml:space="preserve">$60mn: Debt reduction
$23mn: Other
</t>
        </r>
      </text>
    </comment>
    <comment ref="BN31" authorId="2">
      <text>
        <r>
          <rPr>
            <sz val="9"/>
            <color indexed="81"/>
            <rFont val="Tahoma"/>
            <family val="2"/>
          </rPr>
          <t xml:space="preserve">$2mn: Other
</t>
        </r>
      </text>
    </comment>
    <comment ref="BO31" authorId="2">
      <text>
        <r>
          <rPr>
            <sz val="9"/>
            <color indexed="81"/>
            <rFont val="Tahoma"/>
            <family val="2"/>
          </rPr>
          <t xml:space="preserve">$4mn: Other
</t>
        </r>
      </text>
    </comment>
    <comment ref="BP31" authorId="1">
      <text>
        <r>
          <rPr>
            <sz val="9"/>
            <color indexed="81"/>
            <rFont val="Tahoma"/>
            <family val="2"/>
          </rPr>
          <t>$47mn:Others
$401mn: FordSollers gain</t>
        </r>
      </text>
    </comment>
    <comment ref="BR31" authorId="2">
      <text>
        <r>
          <rPr>
            <sz val="9"/>
            <color indexed="81"/>
            <rFont val="Tahoma"/>
            <family val="2"/>
          </rPr>
          <t>$6mn: Other</t>
        </r>
      </text>
    </comment>
    <comment ref="BS31" authorId="2">
      <text>
        <r>
          <rPr>
            <sz val="9"/>
            <color indexed="81"/>
            <rFont val="Tahoma"/>
            <family val="2"/>
          </rPr>
          <t xml:space="preserve">$173: Loss on sale of two component businesses
$9mn: Other
</t>
        </r>
      </text>
    </comment>
    <comment ref="BT31" authorId="2">
      <text>
        <r>
          <rPr>
            <sz val="9"/>
            <color indexed="81"/>
            <rFont val="Tahoma"/>
            <family val="2"/>
          </rPr>
          <t xml:space="preserve">$1: Loss on sale of two component businesses
$136mn: AAI Consolidation
$16mn: Other
</t>
        </r>
      </text>
    </comment>
    <comment ref="BU31" authorId="2">
      <text>
        <r>
          <rPr>
            <sz val="9"/>
            <color indexed="81"/>
            <rFont val="Tahoma"/>
            <family val="2"/>
          </rPr>
          <t>$174: Loss on sale of two component businesses
$136mn: AAI Consolidation
$27mn: Other
$4mn: FCTA - subsidiary liquidation
$625mn: CFMA Restructuring</t>
        </r>
      </text>
    </comment>
    <comment ref="BW31" authorId="1">
      <text>
        <r>
          <rPr>
            <sz val="9"/>
            <color indexed="81"/>
            <rFont val="Tahoma"/>
            <family val="2"/>
          </rPr>
          <t>$15mn: Ford Romania consolidation loss</t>
        </r>
      </text>
    </comment>
    <comment ref="BY31" authorId="1">
      <text>
        <r>
          <rPr>
            <sz val="9"/>
            <color indexed="81"/>
            <rFont val="Tahoma"/>
            <family val="2"/>
          </rPr>
          <t>FCTA - subsidiary liquidation: $103mn</t>
        </r>
      </text>
    </comment>
    <comment ref="BZ31" authorId="1">
      <text>
        <r>
          <rPr>
            <sz val="9"/>
            <color indexed="81"/>
            <rFont val="Tahoma"/>
            <family val="2"/>
          </rPr>
          <t>FCTA - subsidiary liquidation: $103mn
Ford Romania consolidation loass: $15mn</t>
        </r>
      </text>
    </comment>
    <comment ref="CE31" authorId="1">
      <text>
        <r>
          <rPr>
            <sz val="9"/>
            <color indexed="81"/>
            <rFont val="Tahoma"/>
            <family val="2"/>
          </rPr>
          <t xml:space="preserve">$800mn: Venezuela Deconsolidation
$126mn: Convertible notes settlement
</t>
        </r>
      </text>
    </comment>
    <comment ref="CI31" authorId="2">
      <text>
        <r>
          <rPr>
            <sz val="9"/>
            <color indexed="81"/>
            <rFont val="Tahoma"/>
            <family val="2"/>
          </rPr>
          <t xml:space="preserve">Nemak IPO : $166mn
</t>
        </r>
      </text>
    </comment>
    <comment ref="CJ31" authorId="1">
      <text>
        <r>
          <rPr>
            <sz val="9"/>
            <color indexed="81"/>
            <rFont val="Tahoma"/>
            <family val="2"/>
          </rPr>
          <t>Nemak IPO : $150mn</t>
        </r>
      </text>
    </comment>
    <comment ref="F32" authorId="1">
      <text>
        <r>
          <rPr>
            <sz val="9"/>
            <color indexed="81"/>
            <rFont val="Tahoma"/>
            <family val="2"/>
          </rPr>
          <t xml:space="preserve">Gain on sale of Common Stock of a subsidiary
</t>
        </r>
      </text>
    </comment>
    <comment ref="G32" authorId="1">
      <text>
        <r>
          <rPr>
            <sz val="9"/>
            <color indexed="81"/>
            <rFont val="Tahoma"/>
            <family val="2"/>
          </rPr>
          <t xml:space="preserve">Gain on sale of Common Stock of a subsidiary
</t>
        </r>
      </text>
    </comment>
    <comment ref="H32" authorId="1">
      <text>
        <r>
          <rPr>
            <sz val="9"/>
            <color indexed="81"/>
            <rFont val="Tahoma"/>
            <family val="2"/>
          </rPr>
          <t>$15,955mn: Gain on spin-off of the Associates</t>
        </r>
      </text>
    </comment>
    <comment ref="BC32" authorId="1">
      <text>
        <r>
          <rPr>
            <sz val="9"/>
            <color indexed="81"/>
            <rFont val="Tahoma"/>
            <family val="2"/>
          </rPr>
          <t>$90mn: Special Items - Financial Services</t>
        </r>
      </text>
    </comment>
    <comment ref="BE32" authorId="1">
      <text>
        <r>
          <rPr>
            <sz val="9"/>
            <color indexed="81"/>
            <rFont val="Tahoma"/>
            <family val="2"/>
          </rPr>
          <t>$9mn: Special Items - Financial Services</t>
        </r>
      </text>
    </comment>
    <comment ref="BF32" authorId="1">
      <text>
        <r>
          <rPr>
            <sz val="9"/>
            <color indexed="81"/>
            <rFont val="Tahoma"/>
            <family val="2"/>
          </rPr>
          <t>$81mn: Special Items - Financial Services</t>
        </r>
      </text>
    </comment>
    <comment ref="CC34" authorId="1">
      <text>
        <r>
          <rPr>
            <sz val="9"/>
            <color indexed="81"/>
            <rFont val="Tahoma"/>
            <family val="2"/>
          </rPr>
          <t>$329mn: Ford Sollers equity impairment</t>
        </r>
      </text>
    </comment>
    <comment ref="CE34" authorId="1">
      <text>
        <r>
          <rPr>
            <sz val="9"/>
            <color indexed="81"/>
            <rFont val="Tahoma"/>
            <family val="2"/>
          </rPr>
          <t>$329mn: Ford Sollers equity impairment</t>
        </r>
      </text>
    </comment>
    <comment ref="AT40" authorId="1">
      <text>
        <r>
          <rPr>
            <sz val="9"/>
            <color indexed="81"/>
            <rFont val="Tahoma"/>
            <family val="2"/>
          </rPr>
          <t>$17mn: (Provision for)/Benefit from Income Taxes on Special Items</t>
        </r>
      </text>
    </comment>
    <comment ref="AU40" authorId="1">
      <text>
        <r>
          <rPr>
            <sz val="9"/>
            <color indexed="81"/>
            <rFont val="Tahoma"/>
            <family val="2"/>
          </rPr>
          <t>$6mn: (Provision for)/Benefit from Income Taxes on Special Items</t>
        </r>
      </text>
    </comment>
    <comment ref="AX40" authorId="1">
      <text>
        <r>
          <rPr>
            <sz val="9"/>
            <color indexed="81"/>
            <rFont val="Tahoma"/>
            <family val="2"/>
          </rPr>
          <t>$87mn: Special Items:  (Provision for) / Benefit from income taxes (Adjusted)</t>
        </r>
      </text>
    </comment>
    <comment ref="AY40" authorId="1">
      <text>
        <r>
          <rPr>
            <sz val="9"/>
            <color indexed="81"/>
            <rFont val="Tahoma"/>
            <family val="2"/>
          </rPr>
          <t>$727mn: (Provision for)/Benefit from Income Taxes on Special Items</t>
        </r>
      </text>
    </comment>
    <comment ref="AZ40" authorId="1">
      <text>
        <r>
          <rPr>
            <sz val="9"/>
            <color indexed="81"/>
            <rFont val="Tahoma"/>
            <family val="2"/>
          </rPr>
          <t>$641mn: (Provision for)/Benefit from Income Taxes on Special Items</t>
        </r>
      </text>
    </comment>
    <comment ref="BA40" authorId="1">
      <text>
        <r>
          <rPr>
            <sz val="9"/>
            <color indexed="81"/>
            <rFont val="Tahoma"/>
            <family val="2"/>
          </rPr>
          <t>$144mn: (Provision for)/Benefit from Income Taxes on Special Items</t>
        </r>
      </text>
    </comment>
    <comment ref="BC40" authorId="1">
      <text>
        <r>
          <rPr>
            <sz val="9"/>
            <color indexed="81"/>
            <rFont val="Tahoma"/>
            <family val="2"/>
          </rPr>
          <t>$3mn: Special Items:  (Provision for) / Benefit from income taxes (Adjusted)</t>
        </r>
      </text>
    </comment>
    <comment ref="BD40" authorId="1">
      <text>
        <r>
          <rPr>
            <sz val="9"/>
            <color indexed="81"/>
            <rFont val="Tahoma"/>
            <family val="2"/>
          </rPr>
          <t>$84mn: (Provision for) / Benefit from income taxes (Adjusted)</t>
        </r>
      </text>
    </comment>
    <comment ref="BE40" authorId="1">
      <text>
        <r>
          <rPr>
            <sz val="9"/>
            <color indexed="81"/>
            <rFont val="Tahoma"/>
            <family val="2"/>
          </rPr>
          <t>$115mn: (Provision for) / Benefit from income taxes (Adjusted)</t>
        </r>
      </text>
    </comment>
    <comment ref="BF40" authorId="1">
      <text>
        <r>
          <rPr>
            <sz val="9"/>
            <color indexed="81"/>
            <rFont val="Tahoma"/>
            <family val="2"/>
          </rPr>
          <t>$19mn: (Provision for) / Benefit from income taxes (Adjusted)</t>
        </r>
      </text>
    </comment>
    <comment ref="BH40" authorId="1">
      <text>
        <r>
          <rPr>
            <sz val="9"/>
            <color indexed="81"/>
            <rFont val="Tahoma"/>
            <family val="2"/>
          </rPr>
          <t>$249mn: (Provision for) / Benefit from income taxes (Adjusted)</t>
        </r>
      </text>
    </comment>
    <comment ref="BI40" authorId="1">
      <text>
        <r>
          <rPr>
            <sz val="9"/>
            <color indexed="81"/>
            <rFont val="Tahoma"/>
            <family val="2"/>
          </rPr>
          <t>$241mn: (Provision for) / Benefit from income taxes (Adjusted)</t>
        </r>
      </text>
    </comment>
    <comment ref="BJ40" authorId="1">
      <text>
        <r>
          <rPr>
            <sz val="9"/>
            <color indexed="81"/>
            <rFont val="Tahoma"/>
            <family val="2"/>
          </rPr>
          <t>$142mn: (Provision for) / Benefit from income taxes (Adjusted)</t>
        </r>
      </text>
    </comment>
    <comment ref="BK40" authorId="1">
      <text>
        <r>
          <rPr>
            <sz val="9"/>
            <color indexed="81"/>
            <rFont val="Tahoma"/>
            <family val="2"/>
          </rPr>
          <t>$4mn: Tax impact</t>
        </r>
      </text>
    </comment>
    <comment ref="BM40" authorId="1">
      <text>
        <r>
          <rPr>
            <sz val="9"/>
            <color indexed="81"/>
            <rFont val="Tahoma"/>
            <family val="2"/>
          </rPr>
          <t>$852mn: (Provision for) / Benefit from income taxes (Adjusted)</t>
        </r>
      </text>
    </comment>
    <comment ref="BN40" authorId="1">
      <text>
        <r>
          <rPr>
            <sz val="9"/>
            <color indexed="81"/>
            <rFont val="Tahoma"/>
            <family val="2"/>
          </rPr>
          <t>$896mn: (Provision for) / Benefit from income taxes (Adjusted)</t>
        </r>
      </text>
    </comment>
    <comment ref="BO40" authorId="1">
      <text>
        <r>
          <rPr>
            <sz val="9"/>
            <color indexed="81"/>
            <rFont val="Tahoma"/>
            <family val="2"/>
          </rPr>
          <t>$579mn: (Provision for) / Benefit from income taxes (Adjusted)</t>
        </r>
      </text>
    </comment>
    <comment ref="BP40" authorId="1">
      <text>
        <r>
          <rPr>
            <sz val="9"/>
            <color indexed="81"/>
            <rFont val="Tahoma"/>
            <family val="2"/>
          </rPr>
          <t>$2,635mn: (Provision for) / Benefit from income taxes (Adjusted)</t>
        </r>
      </text>
    </comment>
    <comment ref="BR40" authorId="1">
      <text>
        <r>
          <rPr>
            <sz val="9"/>
            <color indexed="81"/>
            <rFont val="Tahoma"/>
            <family val="2"/>
          </rPr>
          <t>$73mn: Tax impact</t>
        </r>
      </text>
    </comment>
    <comment ref="BS40" authorId="1">
      <text>
        <r>
          <rPr>
            <sz val="9"/>
            <color indexed="81"/>
            <rFont val="Tahoma"/>
            <family val="2"/>
          </rPr>
          <t>$71mn: Tax impact</t>
        </r>
      </text>
    </comment>
    <comment ref="BT40" authorId="1">
      <text>
        <r>
          <rPr>
            <sz val="9"/>
            <color indexed="81"/>
            <rFont val="Tahoma"/>
            <family val="2"/>
          </rPr>
          <t>$26mn: Tax impact</t>
        </r>
      </text>
    </comment>
    <comment ref="BU40" authorId="1">
      <text>
        <r>
          <rPr>
            <sz val="9"/>
            <color indexed="81"/>
            <rFont val="Tahoma"/>
            <family val="2"/>
          </rPr>
          <t>$315mn: Tax impact</t>
        </r>
      </text>
    </comment>
    <comment ref="BW40" authorId="1">
      <text>
        <r>
          <rPr>
            <sz val="9"/>
            <color indexed="81"/>
            <rFont val="Tahoma"/>
            <family val="2"/>
          </rPr>
          <t>Tax benefit: $8mn</t>
        </r>
      </text>
    </comment>
    <comment ref="BX40" authorId="1">
      <text>
        <r>
          <rPr>
            <sz val="9"/>
            <color indexed="81"/>
            <rFont val="Tahoma"/>
            <family val="2"/>
          </rPr>
          <t>$136mn: Tax impact</t>
        </r>
      </text>
    </comment>
    <comment ref="BY40" authorId="1">
      <text>
        <r>
          <rPr>
            <sz val="9"/>
            <color indexed="81"/>
            <rFont val="Tahoma"/>
            <family val="2"/>
          </rPr>
          <t>$51mn: Tax benefit</t>
        </r>
      </text>
    </comment>
    <comment ref="BZ40" authorId="1">
      <text>
        <r>
          <rPr>
            <sz val="9"/>
            <color indexed="81"/>
            <rFont val="Tahoma"/>
            <family val="2"/>
          </rPr>
          <t>$2,022mn: (Provision for) / Benefit from income taxes (Adjusted)</t>
        </r>
      </text>
    </comment>
    <comment ref="CB40" authorId="1">
      <text>
        <r>
          <rPr>
            <sz val="9"/>
            <color indexed="81"/>
            <rFont val="Tahoma"/>
            <family val="2"/>
          </rPr>
          <t xml:space="preserve">$92mn: Tax Special Items
</t>
        </r>
      </text>
    </comment>
    <comment ref="CC40" authorId="1">
      <text>
        <r>
          <rPr>
            <sz val="9"/>
            <color indexed="81"/>
            <rFont val="Tahoma"/>
            <family val="2"/>
          </rPr>
          <t xml:space="preserve">$162mn: Tax Special Items
</t>
        </r>
      </text>
    </comment>
    <comment ref="CD40" authorId="1">
      <text>
        <r>
          <rPr>
            <sz val="9"/>
            <color indexed="81"/>
            <rFont val="Tahoma"/>
            <family val="2"/>
          </rPr>
          <t xml:space="preserve">$59mn: Tax Special Items
</t>
        </r>
      </text>
    </comment>
    <comment ref="CE40" authorId="1">
      <text>
        <r>
          <rPr>
            <sz val="9"/>
            <color indexed="81"/>
            <rFont val="Tahoma"/>
            <family val="2"/>
          </rPr>
          <t xml:space="preserve">$1905mn: Tax Special Items
</t>
        </r>
      </text>
    </comment>
    <comment ref="CI40" authorId="2">
      <text>
        <r>
          <rPr>
            <sz val="9"/>
            <color indexed="81"/>
            <rFont val="Tahoma"/>
            <family val="2"/>
          </rPr>
          <t xml:space="preserve">-Tax effect of Special items: $58mn
</t>
        </r>
      </text>
    </comment>
    <comment ref="CJ40" authorId="1">
      <text>
        <r>
          <rPr>
            <sz val="9"/>
            <color indexed="81"/>
            <rFont val="Tahoma"/>
            <family val="2"/>
          </rPr>
          <t>-Tax effect of Special items: $205mn</t>
        </r>
      </text>
    </comment>
    <comment ref="CL40" authorId="2">
      <text>
        <r>
          <rPr>
            <sz val="9"/>
            <color indexed="81"/>
            <rFont val="Tahoma"/>
            <family val="2"/>
          </rPr>
          <t>Tax special items: $66mn</t>
        </r>
      </text>
    </comment>
    <comment ref="CM40" authorId="2">
      <text>
        <r>
          <rPr>
            <sz val="9"/>
            <color indexed="81"/>
            <rFont val="Tahoma"/>
            <family val="2"/>
          </rPr>
          <t xml:space="preserve">-Tax effect of Special items: $42mn
- Tax expense of restructuring : $43mn
</t>
        </r>
      </text>
    </comment>
    <comment ref="CN40" authorId="2">
      <text>
        <r>
          <rPr>
            <sz val="9"/>
            <color indexed="81"/>
            <rFont val="Tahoma"/>
            <family val="2"/>
          </rPr>
          <t xml:space="preserve">-Tax effect of Special items: $9mn
- Tax expense of restructuring : $69mn
</t>
        </r>
      </text>
    </comment>
    <comment ref="CO40" authorId="2">
      <text>
        <r>
          <rPr>
            <sz val="9"/>
            <color indexed="81"/>
            <rFont val="Tahoma"/>
            <family val="2"/>
          </rPr>
          <t xml:space="preserve">Tax on Special items: $1,121mn
</t>
        </r>
      </text>
    </comment>
    <comment ref="CQ40" authorId="2">
      <text>
        <r>
          <rPr>
            <sz val="9"/>
            <color indexed="81"/>
            <rFont val="Tahoma"/>
            <family val="2"/>
          </rPr>
          <t>Tax special items: $15mn</t>
        </r>
      </text>
    </comment>
    <comment ref="K52" authorId="1">
      <text>
        <r>
          <rPr>
            <sz val="9"/>
            <color indexed="81"/>
            <rFont val="Tahoma"/>
            <family val="2"/>
          </rPr>
          <t xml:space="preserve">Loss on spin-off of discontinued operation
</t>
        </r>
      </text>
    </comment>
    <comment ref="T52" authorId="1">
      <text>
        <r>
          <rPr>
            <sz val="9"/>
            <color indexed="81"/>
            <rFont val="Tahoma"/>
            <family val="2"/>
          </rPr>
          <t>$1,002mn: Cumulative effects of changes in accounting principles</t>
        </r>
      </text>
    </comment>
    <comment ref="U52" authorId="1">
      <text>
        <r>
          <rPr>
            <sz val="9"/>
            <color indexed="81"/>
            <rFont val="Tahoma"/>
            <family val="2"/>
          </rPr>
          <t>$9mn: Cumulative effects of changes in accounting principles</t>
        </r>
      </text>
    </comment>
    <comment ref="W52" authorId="1">
      <text>
        <r>
          <rPr>
            <sz val="9"/>
            <color indexed="81"/>
            <rFont val="Tahoma"/>
            <family val="2"/>
          </rPr>
          <t>$1,002mn: Cumulative effects of changes in accounting principles</t>
        </r>
      </text>
    </comment>
    <comment ref="AA52" authorId="1">
      <text>
        <r>
          <rPr>
            <sz val="9"/>
            <color indexed="81"/>
            <rFont val="Tahoma"/>
            <family val="2"/>
          </rPr>
          <t>$264mn: Cumulative effects of changes in accounting principles</t>
        </r>
      </text>
    </comment>
    <comment ref="AB52" authorId="1">
      <text>
        <r>
          <rPr>
            <sz val="9"/>
            <color indexed="81"/>
            <rFont val="Tahoma"/>
            <family val="2"/>
          </rPr>
          <t>$264mn: Cumulative effects of changes in accounting principles</t>
        </r>
      </text>
    </comment>
    <comment ref="AL52" authorId="1">
      <text>
        <r>
          <rPr>
            <sz val="9"/>
            <color indexed="81"/>
            <rFont val="Tahoma"/>
            <family val="2"/>
          </rPr>
          <t>$251mn: Cumulative effects of changes in accounting principles</t>
        </r>
      </text>
    </comment>
    <comment ref="AS52" authorId="1">
      <text>
        <r>
          <rPr>
            <sz val="9"/>
            <color indexed="81"/>
            <rFont val="Tahoma"/>
            <family val="2"/>
          </rPr>
          <t>$113mn: Special Items - Atutomotive</t>
        </r>
      </text>
    </comment>
    <comment ref="AT52" authorId="1">
      <text>
        <r>
          <rPr>
            <sz val="9"/>
            <color indexed="81"/>
            <rFont val="Tahoma"/>
            <family val="2"/>
          </rPr>
          <t>$443mn: Special Items -  Automotive sector
$17mn: (Provision for)/Benefit from Income Taxes on Special Items</t>
        </r>
      </text>
    </comment>
    <comment ref="AU52" authorId="1">
      <text>
        <r>
          <rPr>
            <sz val="9"/>
            <color indexed="81"/>
            <rFont val="Tahoma"/>
            <family val="2"/>
          </rPr>
          <t>$350mn: Special Items -  Automotive sector
$6mn: (Provision for)/Benefit from Income Taxes on Special Items</t>
        </r>
      </text>
    </comment>
    <comment ref="AX52" authorId="1">
      <text>
        <r>
          <rPr>
            <sz val="9"/>
            <color indexed="81"/>
            <rFont val="Tahoma"/>
            <family val="2"/>
          </rPr>
          <t xml:space="preserve">$400mn: Special Items - Automotive (Pre-tax)
$87mn: (Provision for) / Benefit from income taxes (Adjusted)
$95mn: (Provision for) / Benefit from income taxes (GAAP)
</t>
        </r>
      </text>
    </comment>
    <comment ref="AY52" authorId="1">
      <text>
        <r>
          <rPr>
            <sz val="9"/>
            <color indexed="81"/>
            <rFont val="Tahoma"/>
            <family val="2"/>
          </rPr>
          <t>$5,300: Fixed asset impairment charges
$469: Total Personnel and Dealer-Related Items - Automotive sector
$2,086mn: Special Items - Financial Services
$727mn: (Provision for)/Benefit from Income Taxes on Special Items</t>
        </r>
      </text>
    </comment>
    <comment ref="AZ52" authorId="1">
      <text>
        <r>
          <rPr>
            <sz val="9"/>
            <color indexed="81"/>
            <rFont val="Tahoma"/>
            <family val="2"/>
          </rPr>
          <t>$2,310mn: Special Items - Total Personnel and Dealer-Related Items - Automotive sector
$103mn: Special Items - Total Other Items – Automotive sector
$641mn: (Provision for)/Benefit from Income Taxes on Special Items</t>
        </r>
      </text>
    </comment>
    <comment ref="BA52" authorId="1">
      <text>
        <r>
          <rPr>
            <sz val="9"/>
            <color indexed="81"/>
            <rFont val="Tahoma"/>
            <family val="2"/>
          </rPr>
          <t>$668mn: Special Items - Total Personnel and Dealer-Related Items - Automotive sector
$6,230mn: Special Items - Total Other Items – Automotive sector
$2,086mn: Special Items - Financial Services
$144mn: (Provision for)/Benefit from Income Taxes on Special Items</t>
        </r>
      </text>
    </comment>
    <comment ref="BC52" authorId="1">
      <text>
        <r>
          <rPr>
            <sz val="9"/>
            <color indexed="81"/>
            <rFont val="Tahoma"/>
            <family val="2"/>
          </rPr>
          <t xml:space="preserve">$363mn: Special Items - Automotive (Pre-tax)
$3mn: Special Items: (Provision for) / Benefit from income taxes (Adjusted)
</t>
        </r>
      </text>
    </comment>
    <comment ref="BD52" authorId="1">
      <text>
        <r>
          <rPr>
            <sz val="9"/>
            <color indexed="81"/>
            <rFont val="Tahoma"/>
            <family val="2"/>
          </rPr>
          <t xml:space="preserve">$2,795mn: Special Items - Automotive (Pre-tax)
$84mn: (Provision for) / Benefit from income taxes (Adjusted)
$15mn: (Provision for) / Benefit from income taxes (GAAP)
</t>
        </r>
      </text>
    </comment>
    <comment ref="BE52" authorId="1">
      <text>
        <r>
          <rPr>
            <sz val="9"/>
            <color indexed="81"/>
            <rFont val="Tahoma"/>
            <family val="2"/>
          </rPr>
          <t>$160mn: Special Items - Total Personnel and Dealer-Related Items - Automotive sector
$101mn: Special Items - Atutomotive
$160: Sale of volvo
$115mn: (Provision for) / Benefit from income taxes (Adjusted)
$99mn: (Provision for) / Benefit from income taxes (GAAP)
$9mn: Special Items -Financial Services (Pre-tax)</t>
        </r>
      </text>
    </comment>
    <comment ref="BF52" authorId="1">
      <text>
        <r>
          <rPr>
            <sz val="9"/>
            <color indexed="81"/>
            <rFont val="Tahoma"/>
            <family val="2"/>
          </rPr>
          <t>$2,642mn: Special Items - Automotive (Pre-tax)
$19mn: (Provision for) / Benefit from income taxes (Adjusted)
$113mn: (Provision for) / Benefit from income taxes (GAAP)
$81mn: Special Items -Financial Services (Pre-tax)</t>
        </r>
      </text>
    </comment>
    <comment ref="BH52" authorId="1">
      <text>
        <r>
          <rPr>
            <sz val="9"/>
            <color indexed="81"/>
            <rFont val="Tahoma"/>
            <family val="2"/>
          </rPr>
          <t xml:space="preserve">$86mn: Personnel-reduction actions
$15mn: Mercury discontinuation / Other dealer actions
$38mn: Job Security Benefits / Other
$249mn: (Provision for) / Benefit from income taxes (Adjusted)
$50mn: (Provision for) / Benefit from income taxes (GAAP)
</t>
        </r>
      </text>
    </comment>
    <comment ref="BI52" authorId="1">
      <text>
        <r>
          <rPr>
            <sz val="9"/>
            <color indexed="81"/>
            <rFont val="Tahoma"/>
            <family val="2"/>
          </rPr>
          <t xml:space="preserve">$110mn: Personnel-reduction actions
$61mn: Mercury discontinuation / Other dealer actions
$5mn: Job Security Benefits / Other
$241mn: (Provision for) / Benefit from income taxes (Adjusted)
$251mn: (Provision for) / Benefit from income taxes (GAAP)
</t>
        </r>
      </text>
    </comment>
    <comment ref="BJ52" authorId="1">
      <text>
        <r>
          <rPr>
            <sz val="9"/>
            <color indexed="81"/>
            <rFont val="Tahoma"/>
            <family val="2"/>
          </rPr>
          <t xml:space="preserve">$3mn: Personnel-reduction actions
$43mn: Mercury discontinuation / Other dealer actions
$7mn: Job Security Benefits / Other
$142mn: (Provision for) / Benefit from income taxes (Adjusted)
$102mn: Sale of volvo
$33mn: Other
$199mn: (Provision for) / Benefit from income taxes (GAAP)
</t>
        </r>
      </text>
    </comment>
    <comment ref="BK52" authorId="1">
      <text>
        <r>
          <rPr>
            <sz val="9"/>
            <color indexed="81"/>
            <rFont val="Tahoma"/>
            <family val="2"/>
          </rPr>
          <t xml:space="preserve">$1,151mn: Special Items - Automotive (Pre-tax)
$726mn: (Provision for) / Benefit from income taxes (Adjusted)
$592mn: (Provision for) / Benefit from income taxes (GAAP)
</t>
        </r>
      </text>
    </comment>
    <comment ref="BM52" authorId="2">
      <text>
        <r>
          <rPr>
            <sz val="9"/>
            <color indexed="81"/>
            <rFont val="Tahoma"/>
            <family val="2"/>
          </rPr>
          <t>$22mn: Personnel-reduction actions
$1mn: Mercury discontinuation / Other dealer actions
$1mn: Job Security Benefits / Other
$60mn: Debt reduction
$23mn: Other</t>
        </r>
      </text>
    </comment>
    <comment ref="BN52" authorId="1">
      <text>
        <r>
          <rPr>
            <sz val="9"/>
            <color indexed="81"/>
            <rFont val="Tahoma"/>
            <family val="2"/>
          </rPr>
          <t xml:space="preserve">$110mn: Personnel-reduction actions
$61mn: Mercury discontinuation / Other dealer actions
$5mn: Job Security Benefits / Other
$104mn: Belgium Pension
$896mn: (Provision for) / Benefit from income taxes (Adjusted)
$206mn: (Provision for) / Benefit from income taxes (GAAP)
</t>
        </r>
      </text>
    </comment>
    <comment ref="BO52" authorId="1">
      <text>
        <r>
          <rPr>
            <sz val="9"/>
            <color indexed="81"/>
            <rFont val="Tahoma"/>
            <family val="2"/>
          </rPr>
          <t xml:space="preserve">$110mn: Personnel-reduction actions
$61mn: Mercury discontinuation / Other dealer actions
$5mn: Job Security Benefits / Other
$104mn: Belgium Pension
$896mn: (Provision for) / Benefit from income taxes (Adjusted)
$206mn: (Provision for) / Benefit from income taxes (GAAP)
</t>
        </r>
      </text>
    </comment>
    <comment ref="BP52" authorId="2">
      <text>
        <r>
          <rPr>
            <sz val="9"/>
            <color indexed="81"/>
            <rFont val="Tahoma"/>
            <family val="2"/>
          </rPr>
          <t xml:space="preserve">$269mn: Personnel-reduction actions
$151mn: Mercury discontinuation / Other dealer actions
$93mn: Job Security Benefits / Other
$109mn: Belgium Pension
$47mn:Others
$401mn: FordSollers gain
</t>
        </r>
      </text>
    </comment>
    <comment ref="BR52" authorId="2">
      <text>
        <r>
          <rPr>
            <sz val="9"/>
            <color indexed="81"/>
            <rFont val="Tahoma"/>
            <family val="2"/>
          </rPr>
          <t>$233: Separation-related action
$16mn:Mercury discontinuation / Other dealer actions
$73mn: Tax impact
$6mn: Other</t>
        </r>
      </text>
    </comment>
    <comment ref="BS52" authorId="2">
      <text>
        <r>
          <rPr>
            <sz val="9"/>
            <color indexed="81"/>
            <rFont val="Tahoma"/>
            <family val="2"/>
          </rPr>
          <t>$39: Separation-related action
$13mn:Mercury discontinuation / Other dealer actions
$71mn: Tax impact
$9mn: Other
$173mn: Loss on sale of two component businesses</t>
        </r>
      </text>
    </comment>
    <comment ref="BT52" authorId="2">
      <text>
        <r>
          <rPr>
            <sz val="9"/>
            <color indexed="81"/>
            <rFont val="Tahoma"/>
            <family val="2"/>
          </rPr>
          <t>$18: Separation-related action
$18mn:Mercury discontinuation / Other dealer actions
$26mn: Tax impact
$16mn: Other
$1mn: Loss on sale of two component businesses
$136mn: AAI consolidation</t>
        </r>
      </text>
    </comment>
    <comment ref="BU52" authorId="2">
      <text>
        <r>
          <rPr>
            <sz val="9"/>
            <color indexed="81"/>
            <rFont val="Tahoma"/>
            <family val="2"/>
          </rPr>
          <t>$174: Loss on sale of two component businesses
$136mn: AAI Consolidation
$27mn: Other
$4mn: FCTA - subsidiary liquidation
$625mn: CFMA Restructuring
$481: Separation-related action
$71mn: Mercury discontinuation / Other dealer actions
$250mn: U.S. pension lump-sum program</t>
        </r>
      </text>
    </comment>
    <comment ref="BW52" authorId="1">
      <text>
        <r>
          <rPr>
            <sz val="9"/>
            <color indexed="81"/>
            <rFont val="Tahoma"/>
            <family val="2"/>
          </rPr>
          <t>$15mn: Ford Romania consolidation loss
$8mn: Primarily related to separation costs for personnel at the Genk and U.K. facilities
Tax benefit: $8mn</t>
        </r>
      </text>
    </comment>
    <comment ref="BX52" authorId="1">
      <text>
        <r>
          <rPr>
            <sz val="9"/>
            <color indexed="81"/>
            <rFont val="Tahoma"/>
            <family val="2"/>
          </rPr>
          <t>$294mn:U.S. pension lump-sum program
$442mn: Primarily related to separation costs for personnel at the Genk and U.K. facilities
Tax impact: $136mn</t>
        </r>
      </text>
    </comment>
    <comment ref="BY52" authorId="1">
      <text>
        <r>
          <rPr>
            <sz val="9"/>
            <color indexed="81"/>
            <rFont val="Tahoma"/>
            <family val="2"/>
          </rPr>
          <t>$145mn:U.S. pension lump-sum program
$250mn: Primarily related to separation costs for personnel at the Genk and U.K. facilities
$103mn:FCTA - subsidiary liquidation
Tax benefit: $51mn</t>
        </r>
      </text>
    </comment>
    <comment ref="BZ52" authorId="1">
      <text>
        <r>
          <rPr>
            <sz val="9"/>
            <color indexed="81"/>
            <rFont val="Tahoma"/>
            <family val="2"/>
          </rPr>
          <t xml:space="preserve">$1,568mn: Special Items - Automotive (Pre-tax)
$2,022mn: (Provision for) / Benefit from income taxes (Adjusted)
$135mn: (Provision for) / Benefit from income taxes (GAAP)
</t>
        </r>
      </text>
    </comment>
    <comment ref="CB52" authorId="1">
      <text>
        <r>
          <rPr>
            <sz val="9"/>
            <color indexed="81"/>
            <rFont val="Tahoma"/>
            <family val="2"/>
          </rPr>
          <t>$122mn: Primarily related to separation costs for personnel at the Genk and U.K. facilities
$92mn: Tax Special Items</t>
        </r>
      </text>
    </comment>
    <comment ref="CC52" authorId="1">
      <text>
        <r>
          <rPr>
            <sz val="9"/>
            <color indexed="81"/>
            <rFont val="Tahoma"/>
            <family val="2"/>
          </rPr>
          <t xml:space="preserve">$152mn: Separation-related actions
$329mn: Ford Sollers equity impairment
$162mn: Tax Special Items
</t>
        </r>
      </text>
    </comment>
    <comment ref="CD52" authorId="1">
      <text>
        <r>
          <rPr>
            <sz val="9"/>
            <color indexed="81"/>
            <rFont val="Tahoma"/>
            <family val="2"/>
          </rPr>
          <t xml:space="preserve">$160mn: Separation-related actions
$59mn: Tax Special Items
</t>
        </r>
      </text>
    </comment>
    <comment ref="CE52" authorId="1">
      <text>
        <r>
          <rPr>
            <sz val="9"/>
            <color indexed="81"/>
            <rFont val="Tahoma"/>
            <family val="2"/>
          </rPr>
          <t>$247mn: Separation-related actions
$800mn: Venezuela Deconsolidation
$126mn: Debt Reduction Action
$1592mn: Tax Special Items</t>
        </r>
      </text>
    </comment>
    <comment ref="CI52" authorId="2">
      <text>
        <r>
          <rPr>
            <sz val="9"/>
            <color indexed="81"/>
            <rFont val="Tahoma"/>
            <family val="2"/>
          </rPr>
          <t xml:space="preserve">Nemak IPO : $166mn
</t>
        </r>
      </text>
    </comment>
    <comment ref="CJ52" authorId="1">
      <text>
        <r>
          <rPr>
            <sz val="9"/>
            <color indexed="81"/>
            <rFont val="Tahoma"/>
            <family val="2"/>
          </rPr>
          <t>Nemak IPO : $150mn
Pension and OPEB Remeasurement loss: $698mn
Tax effect of Special items: $205mn</t>
        </r>
      </text>
    </comment>
    <comment ref="CL52" authorId="2">
      <text>
        <r>
          <rPr>
            <sz val="9"/>
            <color indexed="81"/>
            <rFont val="Tahoma"/>
            <family val="2"/>
          </rPr>
          <t>-Japan, Indonesia market closure: $12mn
-Separation -related actions:: $174mn
-Tax impact: $66mn</t>
        </r>
      </text>
    </comment>
    <comment ref="CM52" authorId="2">
      <text>
        <r>
          <rPr>
            <sz val="9"/>
            <color indexed="81"/>
            <rFont val="Tahoma"/>
            <family val="2"/>
          </rPr>
          <t>-Japan, Indonesia market closure: $5mn
-Separation -related actions:: $102mn
-Pension &amp; OPEB: $11mn
-Tax effect of Special items: $42mn
- Tax expense of restructuring : $43mn</t>
        </r>
      </text>
    </comment>
    <comment ref="CN52" authorId="2">
      <text>
        <r>
          <rPr>
            <sz val="9"/>
            <color indexed="81"/>
            <rFont val="Tahoma"/>
            <family val="2"/>
          </rPr>
          <t xml:space="preserve">-Separation -related actions: $17mn
-Market Closure: $9mn
-Tax effect of Special items: $9mn
- Tax expense of restructuring : $69mn
</t>
        </r>
      </text>
    </comment>
    <comment ref="CO52" authorId="2">
      <text>
        <r>
          <rPr>
            <sz val="9"/>
            <color indexed="81"/>
            <rFont val="Tahoma"/>
            <family val="2"/>
          </rPr>
          <t xml:space="preserve">Pension and OPEB Remeasurement loss: $2,985mn
Other Pension Remeasurement loss: $11mn
Seperation related actions: $304mn
San Luis Plant Cancellation: $199mn
Tax impact: $1121mn
Japan Indo Plant Closure: 80mn
</t>
        </r>
      </text>
    </comment>
    <comment ref="CQ52" authorId="2">
      <text>
        <r>
          <rPr>
            <sz val="9"/>
            <color indexed="81"/>
            <rFont val="Tahoma"/>
            <family val="2"/>
          </rPr>
          <t xml:space="preserve">-Separation -related actions: $22mn
-San Luis plant cancellation: $46mn
-Tax special items: $15mn
</t>
        </r>
      </text>
    </comment>
    <comment ref="CZ58" authorId="0">
      <text>
        <r>
          <rPr>
            <b/>
            <sz val="9"/>
            <color indexed="81"/>
            <rFont val="Tahoma"/>
            <family val="2"/>
          </rPr>
          <t>Jonas, Adam (Research):</t>
        </r>
        <r>
          <rPr>
            <sz val="9"/>
            <color indexed="81"/>
            <rFont val="Tahoma"/>
            <family val="2"/>
          </rPr>
          <t xml:space="preserve">
guide is $1.45 to $1.70</t>
        </r>
      </text>
    </comment>
    <comment ref="Z69" authorId="3">
      <text>
        <r>
          <rPr>
            <sz val="9"/>
            <color indexed="81"/>
            <rFont val="Tahoma"/>
            <family val="2"/>
          </rPr>
          <t>Includes: Loaned securities - $4,647Mn</t>
        </r>
      </text>
    </comment>
    <comment ref="AA69" authorId="3">
      <text>
        <r>
          <rPr>
            <sz val="9"/>
            <color indexed="81"/>
            <rFont val="Tahoma"/>
            <family val="2"/>
          </rPr>
          <t>Includes: Loaned securities - $6,942Mn</t>
        </r>
      </text>
    </comment>
    <comment ref="AB69" authorId="4">
      <text>
        <r>
          <rPr>
            <sz val="9"/>
            <color indexed="81"/>
            <rFont val="Tahoma"/>
            <family val="2"/>
          </rPr>
          <t>Includes: Loaned securities - $5,667Mn</t>
        </r>
      </text>
    </comment>
    <comment ref="AD69" authorId="3">
      <text>
        <r>
          <rPr>
            <sz val="9"/>
            <color indexed="81"/>
            <rFont val="Tahoma"/>
            <family val="2"/>
          </rPr>
          <t>Includes: Loaned securities - $9,344Mn</t>
        </r>
      </text>
    </comment>
    <comment ref="AE69" authorId="3">
      <text>
        <r>
          <rPr>
            <sz val="9"/>
            <color indexed="81"/>
            <rFont val="Tahoma"/>
            <family val="2"/>
          </rPr>
          <t>Includes: Loaned securities - $5,317Mn</t>
        </r>
      </text>
    </comment>
    <comment ref="AF69" authorId="3">
      <text>
        <r>
          <rPr>
            <sz val="9"/>
            <color indexed="81"/>
            <rFont val="Tahoma"/>
            <family val="2"/>
          </rPr>
          <t>Includes: Loaned securities - $2,332Mn</t>
        </r>
      </text>
    </comment>
    <comment ref="AG69" authorId="4">
      <text>
        <r>
          <rPr>
            <sz val="9"/>
            <color indexed="81"/>
            <rFont val="Tahoma"/>
            <family val="2"/>
          </rPr>
          <t>Includes: Loaned securities - $1,058Mn</t>
        </r>
      </text>
    </comment>
    <comment ref="AL69" authorId="4">
      <text>
        <r>
          <rPr>
            <sz val="9"/>
            <color indexed="81"/>
            <rFont val="Tahoma"/>
            <family val="2"/>
          </rPr>
          <t>Includes: Loaned securities - $3,461Mn</t>
        </r>
      </text>
    </comment>
    <comment ref="AQ69" authorId="4">
      <text>
        <r>
          <rPr>
            <sz val="9"/>
            <color indexed="81"/>
            <rFont val="Tahoma"/>
            <family val="2"/>
          </rPr>
          <t>Includes: Loaned securities - $5,256 Mn</t>
        </r>
      </text>
    </comment>
    <comment ref="AU69" authorId="4">
      <text>
        <r>
          <rPr>
            <sz val="9"/>
            <color indexed="81"/>
            <rFont val="Tahoma"/>
            <family val="2"/>
          </rPr>
          <t>Includes: Loaned securities - $7,697 Mn</t>
        </r>
      </text>
    </comment>
    <comment ref="AV69" authorId="4">
      <text>
        <r>
          <rPr>
            <sz val="9"/>
            <color indexed="81"/>
            <rFont val="Tahoma"/>
            <family val="2"/>
          </rPr>
          <t>Includes: Loaned securities - $10,267 Mn</t>
        </r>
      </text>
    </comment>
    <comment ref="AX69" authorId="4">
      <text>
        <r>
          <rPr>
            <sz val="9"/>
            <color indexed="81"/>
            <rFont val="Tahoma"/>
            <family val="2"/>
          </rPr>
          <t>Includes: Loaned securities - $6,746 Mn</t>
        </r>
      </text>
    </comment>
    <comment ref="AY69" authorId="4">
      <text>
        <r>
          <rPr>
            <sz val="9"/>
            <color indexed="81"/>
            <rFont val="Tahoma"/>
            <family val="2"/>
          </rPr>
          <t>Includes: Loaned securities - $7,347 Mn</t>
        </r>
      </text>
    </comment>
    <comment ref="E70" authorId="4">
      <text>
        <r>
          <rPr>
            <sz val="9"/>
            <color indexed="81"/>
            <rFont val="Tahoma"/>
            <family val="2"/>
          </rPr>
          <t>Company has disclosed the total Financial receivables and net investments in operating leases combined amount</t>
        </r>
      </text>
    </comment>
    <comment ref="F70" authorId="4">
      <text>
        <r>
          <rPr>
            <sz val="9"/>
            <color indexed="81"/>
            <rFont val="Tahoma"/>
            <family val="2"/>
          </rPr>
          <t>Company has disclosed the total Financial receivables and net investments in operating leases combined amount</t>
        </r>
      </text>
    </comment>
    <comment ref="G70" authorId="4">
      <text>
        <r>
          <rPr>
            <sz val="9"/>
            <color indexed="81"/>
            <rFont val="Tahoma"/>
            <family val="2"/>
          </rPr>
          <t>Company has disclosed the total Financial receivables and net investments in operating leases combined amount</t>
        </r>
      </text>
    </comment>
    <comment ref="M73" authorId="4">
      <text>
        <r>
          <rPr>
            <sz val="9"/>
            <color indexed="81"/>
            <rFont val="Tahoma"/>
            <family val="2"/>
          </rPr>
          <t>Includes: Deferred Income taxes current - $2,239 Mn</t>
        </r>
      </text>
    </comment>
    <comment ref="U73" authorId="4">
      <text>
        <r>
          <rPr>
            <sz val="9"/>
            <color indexed="81"/>
            <rFont val="Tahoma"/>
            <family val="2"/>
          </rPr>
          <t>Includes: Deferred income taxes - $2,595 Mn</t>
        </r>
      </text>
    </comment>
    <comment ref="V73" authorId="4">
      <text>
        <r>
          <rPr>
            <sz val="9"/>
            <color indexed="81"/>
            <rFont val="Tahoma"/>
            <family val="2"/>
          </rPr>
          <t>Includes: Deferred income taxes - $2,596 Mn</t>
        </r>
      </text>
    </comment>
    <comment ref="CL76" authorId="4">
      <text>
        <r>
          <rPr>
            <sz val="9"/>
            <color indexed="81"/>
            <rFont val="Tahoma"/>
            <family val="2"/>
          </rPr>
          <t xml:space="preserve">Company has not disclosed the current and non current  finance receivables breakup in Q1FY16 and historically. </t>
        </r>
      </text>
    </comment>
    <comment ref="R80" authorId="4">
      <text>
        <r>
          <rPr>
            <sz val="9"/>
            <color indexed="81"/>
            <rFont val="Tahoma"/>
            <family val="2"/>
          </rPr>
          <t>Goodwill and other intangible assets</t>
        </r>
      </text>
    </comment>
    <comment ref="J82" authorId="4">
      <text>
        <r>
          <rPr>
            <sz val="9"/>
            <color indexed="81"/>
            <rFont val="Tahoma"/>
            <family val="2"/>
          </rPr>
          <t>Includes: 
Net assets of discontinued operations - Visteon : $ 1,644Mn</t>
        </r>
      </text>
    </comment>
    <comment ref="M82" authorId="4">
      <text>
        <r>
          <rPr>
            <sz val="9"/>
            <color indexed="81"/>
            <rFont val="Tahoma"/>
            <family val="2"/>
          </rPr>
          <t>Includes:
Retained interest in sold receivables - $ 3,687Mn</t>
        </r>
      </text>
    </comment>
    <comment ref="R82" authorId="4">
      <text>
        <r>
          <rPr>
            <sz val="9"/>
            <color indexed="81"/>
            <rFont val="Tahoma"/>
            <family val="2"/>
          </rPr>
          <t>Includes:
Assets of held-for-sale operations - $2,504Mn
Retained interest in sold receivables - $ 12,548Mn</t>
        </r>
      </text>
    </comment>
    <comment ref="V82" authorId="4">
      <text>
        <r>
          <rPr>
            <sz val="9"/>
            <color indexed="81"/>
            <rFont val="Tahoma"/>
            <family val="2"/>
          </rPr>
          <t>Includes:
Retained interest in sold receivables - $ 9,675Mn</t>
        </r>
      </text>
    </comment>
    <comment ref="W82" authorId="4">
      <text>
        <r>
          <rPr>
            <sz val="9"/>
            <color indexed="81"/>
            <rFont val="Tahoma"/>
            <family val="2"/>
          </rPr>
          <t>Includes:
Assets of held-for-sale operations - $3,029Mn
Retained interest in sold receivables - $ 17,618Mn</t>
        </r>
      </text>
    </comment>
    <comment ref="Y82" authorId="3">
      <text>
        <r>
          <rPr>
            <sz val="9"/>
            <color indexed="81"/>
            <rFont val="Tahoma"/>
            <family val="2"/>
          </rPr>
          <t>Includes:
Goodwill - $5,677Mn
Retained interest in sold receivables - $18,092Mn
Assets of discontinued/held-for-sale operations- $92Mn</t>
        </r>
      </text>
    </comment>
    <comment ref="Z82" authorId="3">
      <text>
        <r>
          <rPr>
            <sz val="9"/>
            <color indexed="81"/>
            <rFont val="Tahoma"/>
            <family val="2"/>
          </rPr>
          <t>Includes:
Goodwill - $5,856Mn
Retained interest in sold receivables - $14,530Mn</t>
        </r>
      </text>
    </comment>
    <comment ref="AA82" authorId="3">
      <text>
        <r>
          <rPr>
            <sz val="9"/>
            <color indexed="81"/>
            <rFont val="Tahoma"/>
            <family val="2"/>
          </rPr>
          <t>Includes:
Goodwill - $5,975Mn
Retained interest in sold receivables - $10,203Mn</t>
        </r>
      </text>
    </comment>
    <comment ref="AB82" authorId="4">
      <text>
        <r>
          <rPr>
            <sz val="9"/>
            <color indexed="81"/>
            <rFont val="Tahoma"/>
            <family val="2"/>
          </rPr>
          <t>Includes:
Assets of held-for-sale operations - $2,220Mn
Retained interest in sold receivables - $ 12,569Mn</t>
        </r>
      </text>
    </comment>
    <comment ref="AD82" authorId="3">
      <text>
        <r>
          <rPr>
            <sz val="9"/>
            <color indexed="81"/>
            <rFont val="Tahoma"/>
            <family val="2"/>
          </rPr>
          <t>Includes:
Assets of held-for-sale operations - $448Mn
Retained interest in sold receivables - $13,369Mn</t>
        </r>
      </text>
    </comment>
    <comment ref="AE82" authorId="3">
      <text>
        <r>
          <rPr>
            <sz val="9"/>
            <color indexed="81"/>
            <rFont val="Tahoma"/>
            <family val="2"/>
          </rPr>
          <t>Includes:
Assets of held-for-sale operations - $387Mn
Retained interest in sold receivables - $16,396Mn</t>
        </r>
      </text>
    </comment>
    <comment ref="AF82" authorId="3">
      <text>
        <r>
          <rPr>
            <sz val="9"/>
            <color indexed="81"/>
            <rFont val="Tahoma"/>
            <family val="2"/>
          </rPr>
          <t>Includes:
Assets of held-for-sale operations - $114Mn
Retained interest in sold receivables - $9,473Mn</t>
        </r>
      </text>
    </comment>
    <comment ref="AG82" authorId="4">
      <text>
        <r>
          <rPr>
            <sz val="9"/>
            <color indexed="81"/>
            <rFont val="Tahoma"/>
            <family val="2"/>
          </rPr>
          <t>Includes:
Assets of held-for-sale operations - $16,346Mn
Retained interest in sold receivables - $ 9,178Mn</t>
        </r>
      </text>
    </comment>
    <comment ref="AK82" authorId="4">
      <text>
        <r>
          <rPr>
            <sz val="9"/>
            <color indexed="81"/>
            <rFont val="Tahoma"/>
            <family val="2"/>
          </rPr>
          <t>Includes:
Assets of held-for-sale operations - $4,415Mn
Retained interest in sold receivables - $ 15,535Mn</t>
        </r>
      </text>
    </comment>
    <comment ref="AL82" authorId="4">
      <text>
        <r>
          <rPr>
            <sz val="9"/>
            <color indexed="81"/>
            <rFont val="Tahoma"/>
            <family val="2"/>
          </rPr>
          <t>Includes:
Assets of held-for-sale operations - $5Mn
Retained interest in sold receivables - $ 1,420Mn</t>
        </r>
      </text>
    </comment>
    <comment ref="AQ82" authorId="4">
      <text>
        <r>
          <rPr>
            <sz val="9"/>
            <color indexed="81"/>
            <rFont val="Tahoma"/>
            <family val="2"/>
          </rPr>
          <t>Includes:
Assets of held-for-sale operations - $8,215Mn
Retained interest in sold receivables - $ 990Mn</t>
        </r>
      </text>
    </comment>
    <comment ref="AS82" authorId="4">
      <text>
        <r>
          <rPr>
            <sz val="9"/>
            <color indexed="81"/>
            <rFont val="Tahoma"/>
            <family val="2"/>
          </rPr>
          <t>Includes:
Assets of held-for-sale operations - $1,107Mn
Retained interest in sold receivables - $ 936Mn</t>
        </r>
      </text>
    </comment>
    <comment ref="AT82" authorId="4">
      <text>
        <r>
          <rPr>
            <sz val="9"/>
            <color indexed="81"/>
            <rFont val="Tahoma"/>
            <family val="2"/>
          </rPr>
          <t>Includes:
Assets of held-for-sale operations - $166Mn
Retained interest in sold receivables - $ 868Mn</t>
        </r>
      </text>
    </comment>
    <comment ref="AV82" authorId="4">
      <text>
        <r>
          <rPr>
            <sz val="9"/>
            <color indexed="81"/>
            <rFont val="Tahoma"/>
            <family val="2"/>
          </rPr>
          <t>Includes:
Assets of held-for-sale operations - $14,976Mn
Retained interest in sold receivables - $ 653Mn</t>
        </r>
      </text>
    </comment>
    <comment ref="AY82" authorId="4">
      <text>
        <r>
          <rPr>
            <sz val="9"/>
            <color indexed="81"/>
            <rFont val="Tahoma"/>
            <family val="2"/>
          </rPr>
          <t>Assets of held-for-sale operations - $28Mn</t>
        </r>
      </text>
    </comment>
    <comment ref="BA82" authorId="4">
      <text>
        <r>
          <rPr>
            <sz val="9"/>
            <color indexed="81"/>
            <rFont val="Tahoma"/>
            <family val="2"/>
          </rPr>
          <t>Assets of held-for-sale operations - $8,612Mn</t>
        </r>
      </text>
    </comment>
    <comment ref="BC82" authorId="4">
      <text>
        <r>
          <rPr>
            <sz val="9"/>
            <color indexed="81"/>
            <rFont val="Tahoma"/>
            <family val="2"/>
          </rPr>
          <t>Assets of held-for-sale operations - $7,273Mn</t>
        </r>
      </text>
    </comment>
    <comment ref="BD82" authorId="4">
      <text>
        <r>
          <rPr>
            <sz val="9"/>
            <color indexed="81"/>
            <rFont val="Tahoma"/>
            <family val="2"/>
          </rPr>
          <t>Assets of held-for-sale operations - $7,530Mn</t>
        </r>
      </text>
    </comment>
    <comment ref="BE82" authorId="4">
      <text>
        <r>
          <rPr>
            <sz val="9"/>
            <color indexed="81"/>
            <rFont val="Tahoma"/>
            <family val="2"/>
          </rPr>
          <t>Assets of held-for-sale operations - $9023Mn</t>
        </r>
      </text>
    </comment>
    <comment ref="BF82" authorId="4">
      <text>
        <r>
          <rPr>
            <sz val="9"/>
            <color indexed="81"/>
            <rFont val="Tahoma"/>
            <family val="2"/>
          </rPr>
          <t>Assets of held-for-sale operations - $7618 Mn</t>
        </r>
      </text>
    </comment>
    <comment ref="BH82" authorId="4">
      <text>
        <r>
          <rPr>
            <sz val="9"/>
            <color indexed="81"/>
            <rFont val="Tahoma"/>
            <family val="2"/>
          </rPr>
          <t>Includes: Assets held for sale operations - $8076Mn</t>
        </r>
      </text>
    </comment>
    <comment ref="BN82" authorId="4">
      <text>
        <r>
          <rPr>
            <sz val="9"/>
            <color indexed="81"/>
            <rFont val="Tahoma"/>
            <family val="2"/>
          </rPr>
          <t>Includes: Assets held for sale operations - $419Mn</t>
        </r>
      </text>
    </comment>
    <comment ref="BO82" authorId="4">
      <text>
        <r>
          <rPr>
            <sz val="9"/>
            <color indexed="81"/>
            <rFont val="Tahoma"/>
            <family val="2"/>
          </rPr>
          <t>Includes: Assets held for sale operations - $502Mn</t>
        </r>
      </text>
    </comment>
    <comment ref="BW82" authorId="4">
      <text>
        <r>
          <rPr>
            <sz val="9"/>
            <color indexed="81"/>
            <rFont val="Tahoma"/>
            <family val="2"/>
          </rPr>
          <t>Includes:
Assets held for sale- $571 Mn</t>
        </r>
      </text>
    </comment>
    <comment ref="BX82" authorId="4">
      <text>
        <r>
          <rPr>
            <sz val="9"/>
            <color indexed="81"/>
            <rFont val="Tahoma"/>
            <family val="2"/>
          </rPr>
          <t>Includes:
Assets held for sale- $264 Mn</t>
        </r>
      </text>
    </comment>
    <comment ref="BY82" authorId="4">
      <text>
        <r>
          <rPr>
            <sz val="9"/>
            <color indexed="81"/>
            <rFont val="Tahoma"/>
            <family val="2"/>
          </rPr>
          <t>Includes:
Assets held for sale- $98 Mn</t>
        </r>
      </text>
    </comment>
    <comment ref="I87" authorId="4">
      <text>
        <r>
          <rPr>
            <sz val="9"/>
            <color indexed="81"/>
            <rFont val="Tahoma"/>
            <family val="2"/>
          </rPr>
          <t>Includes: Accrued Liabiliies- $23,369Mn</t>
        </r>
      </text>
    </comment>
    <comment ref="J87" authorId="4">
      <text>
        <r>
          <rPr>
            <sz val="9"/>
            <color indexed="81"/>
            <rFont val="Tahoma"/>
            <family val="2"/>
          </rPr>
          <t>Includes: Accrued Liabiliies- $23,369Mn</t>
        </r>
      </text>
    </comment>
    <comment ref="K87" authorId="4">
      <text>
        <r>
          <rPr>
            <sz val="9"/>
            <color indexed="81"/>
            <rFont val="Tahoma"/>
            <family val="2"/>
          </rPr>
          <t>Includes: Accrued Liabiliies- $23,369Mn</t>
        </r>
      </text>
    </comment>
    <comment ref="L87" authorId="4">
      <text>
        <r>
          <rPr>
            <sz val="9"/>
            <color indexed="81"/>
            <rFont val="Tahoma"/>
            <family val="2"/>
          </rPr>
          <t>Includes: Accrued Liabiliies- $23,369Mn</t>
        </r>
      </text>
    </comment>
    <comment ref="M87" authorId="4">
      <text>
        <r>
          <rPr>
            <sz val="9"/>
            <color indexed="81"/>
            <rFont val="Tahoma"/>
            <family val="2"/>
          </rPr>
          <t>Includes: Accrued Liabiliies- $23,369Mn</t>
        </r>
      </text>
    </comment>
    <comment ref="O87" authorId="4">
      <text>
        <r>
          <rPr>
            <sz val="9"/>
            <color indexed="81"/>
            <rFont val="Tahoma"/>
            <family val="2"/>
          </rPr>
          <t>Includes: Accrued Liabiliies- $24,224Mn</t>
        </r>
      </text>
    </comment>
    <comment ref="P87" authorId="4">
      <text>
        <r>
          <rPr>
            <sz val="9"/>
            <color indexed="81"/>
            <rFont val="Tahoma"/>
            <family val="2"/>
          </rPr>
          <t>Includes: Accrued Liabiliies- $24,224Mn</t>
        </r>
      </text>
    </comment>
    <comment ref="Q87" authorId="4">
      <text>
        <r>
          <rPr>
            <sz val="9"/>
            <color indexed="81"/>
            <rFont val="Tahoma"/>
            <family val="2"/>
          </rPr>
          <t>Includes: Accrued Liabiliies- $24,224Mn</t>
        </r>
      </text>
    </comment>
    <comment ref="R87" authorId="4">
      <text>
        <r>
          <rPr>
            <sz val="9"/>
            <color indexed="81"/>
            <rFont val="Tahoma"/>
            <family val="2"/>
          </rPr>
          <t>Includes: Accrued Liabiliies- $24,224Mn</t>
        </r>
      </text>
    </comment>
    <comment ref="T87" authorId="3">
      <text>
        <r>
          <rPr>
            <sz val="9"/>
            <color indexed="81"/>
            <rFont val="Tahoma"/>
            <family val="2"/>
          </rPr>
          <t>Includes: Accrued Liabilities</t>
        </r>
      </text>
    </comment>
    <comment ref="U87" authorId="3">
      <text>
        <r>
          <rPr>
            <sz val="9"/>
            <color indexed="81"/>
            <rFont val="Tahoma"/>
            <family val="2"/>
          </rPr>
          <t>Includes: Accrued Liabilities</t>
        </r>
      </text>
    </comment>
    <comment ref="V87" authorId="3">
      <text>
        <r>
          <rPr>
            <sz val="9"/>
            <color indexed="81"/>
            <rFont val="Tahoma"/>
            <family val="2"/>
          </rPr>
          <t>Includes: Accrued Liabilities</t>
        </r>
      </text>
    </comment>
    <comment ref="W87" authorId="4">
      <text>
        <r>
          <rPr>
            <sz val="9"/>
            <color indexed="81"/>
            <rFont val="Tahoma"/>
            <family val="2"/>
          </rPr>
          <t>Includes: Accrued Liabiliies- $25,059Mn</t>
        </r>
      </text>
    </comment>
    <comment ref="Y87" authorId="3">
      <text>
        <r>
          <rPr>
            <sz val="9"/>
            <color indexed="81"/>
            <rFont val="Tahoma"/>
            <family val="2"/>
          </rPr>
          <t>Includes: Accrued Liabilities</t>
        </r>
      </text>
    </comment>
    <comment ref="Z87" authorId="3">
      <text>
        <r>
          <rPr>
            <sz val="9"/>
            <color indexed="81"/>
            <rFont val="Tahoma"/>
            <family val="2"/>
          </rPr>
          <t>Includes: Accrued Liabilities</t>
        </r>
      </text>
    </comment>
    <comment ref="AA87" authorId="3">
      <text>
        <r>
          <rPr>
            <sz val="9"/>
            <color indexed="81"/>
            <rFont val="Tahoma"/>
            <family val="2"/>
          </rPr>
          <t>Includes: Accrued Liabilities</t>
        </r>
      </text>
    </comment>
    <comment ref="AB87" authorId="4">
      <text>
        <r>
          <rPr>
            <sz val="9"/>
            <color indexed="81"/>
            <rFont val="Tahoma"/>
            <family val="2"/>
          </rPr>
          <t>Includes: Accrued Liabiliies- $29,563 Mn</t>
        </r>
      </text>
    </comment>
    <comment ref="AD87" authorId="3">
      <text>
        <r>
          <rPr>
            <sz val="9"/>
            <color indexed="81"/>
            <rFont val="Tahoma"/>
            <family val="2"/>
          </rPr>
          <t>Includes: Accrued Liabilities</t>
        </r>
      </text>
    </comment>
    <comment ref="AE87" authorId="3">
      <text>
        <r>
          <rPr>
            <sz val="9"/>
            <color indexed="81"/>
            <rFont val="Tahoma"/>
            <family val="2"/>
          </rPr>
          <t>Includes: Accrued Liabilities</t>
        </r>
      </text>
    </comment>
    <comment ref="AF87" authorId="3">
      <text>
        <r>
          <rPr>
            <sz val="9"/>
            <color indexed="81"/>
            <rFont val="Tahoma"/>
            <family val="2"/>
          </rPr>
          <t>Includes: Accrued Liabilities</t>
        </r>
      </text>
    </comment>
    <comment ref="CL89" authorId="4">
      <text>
        <r>
          <rPr>
            <sz val="9"/>
            <color indexed="81"/>
            <rFont val="Tahoma"/>
            <family val="2"/>
          </rPr>
          <t>Includes:
Total short term debt: $11,914 Mn
Notes payable within one year $ 13,655 Mn
ABS- Notes payable within  one year $20,231 Mn
Source: Q1FY16 10Q, page 18 Note 9</t>
        </r>
      </text>
    </comment>
    <comment ref="R92" authorId="4">
      <text>
        <r>
          <rPr>
            <sz val="9"/>
            <color indexed="81"/>
            <rFont val="Tahoma"/>
            <family val="2"/>
          </rPr>
          <t>Includes: 
Financial services - Other liabilites and deferred revenue $9,165 Mn
Liabilities of discontinued/held-for-sale operations -$923Mn</t>
        </r>
      </text>
    </comment>
    <comment ref="W92" authorId="4">
      <text>
        <r>
          <rPr>
            <sz val="9"/>
            <color indexed="81"/>
            <rFont val="Tahoma"/>
            <family val="2"/>
          </rPr>
          <t>Includes: 
Financial services - Other liabilites and deferred revenue $9,441 Mn
Liabilities of discontinued/held-for-sale operations -$1,074Mn</t>
        </r>
      </text>
    </comment>
    <comment ref="Y92" authorId="3">
      <text>
        <r>
          <rPr>
            <sz val="9"/>
            <color indexed="81"/>
            <rFont val="Tahoma"/>
            <family val="2"/>
          </rPr>
          <t>Liabilities of discontinued/held-for-sale operations -$89Mn</t>
        </r>
      </text>
    </comment>
    <comment ref="Z92" authorId="3">
      <text>
        <r>
          <rPr>
            <sz val="9"/>
            <color indexed="81"/>
            <rFont val="Tahoma"/>
            <family val="2"/>
          </rPr>
          <t>Liabilities of discontinued/held-for-sale operations -$27Mn</t>
        </r>
      </text>
    </comment>
    <comment ref="AA92" authorId="3">
      <text>
        <r>
          <rPr>
            <sz val="9"/>
            <color indexed="81"/>
            <rFont val="Tahoma"/>
            <family val="2"/>
          </rPr>
          <t>Liabilities of discontinued/held-for-sale operations -$24Mn</t>
        </r>
      </text>
    </comment>
    <comment ref="AB92" authorId="4">
      <text>
        <r>
          <rPr>
            <sz val="9"/>
            <color indexed="81"/>
            <rFont val="Tahoma"/>
            <family val="2"/>
          </rPr>
          <t>Includes: 
Financial services - Other liabilites and deferred revenue $9,148 Mn
Liabilities of discontinued/held-for-sale operations -$235Mn</t>
        </r>
      </text>
    </comment>
    <comment ref="AD92" authorId="3">
      <text>
        <r>
          <rPr>
            <sz val="9"/>
            <color indexed="81"/>
            <rFont val="Tahoma"/>
            <family val="2"/>
          </rPr>
          <t>Liabilities of discontinued/held-for-sale operations -$145Mn</t>
        </r>
      </text>
    </comment>
    <comment ref="AE92" authorId="3">
      <text>
        <r>
          <rPr>
            <sz val="9"/>
            <color indexed="81"/>
            <rFont val="Tahoma"/>
            <family val="2"/>
          </rPr>
          <t>Liabilities of discontinued/held-for-sale operations -$112Mn</t>
        </r>
      </text>
    </comment>
    <comment ref="AF92" authorId="3">
      <text>
        <r>
          <rPr>
            <sz val="9"/>
            <color indexed="81"/>
            <rFont val="Tahoma"/>
            <family val="2"/>
          </rPr>
          <t xml:space="preserve">Automotive: Liabilities of discontinued/held-for-sale operations -$69Mn
</t>
        </r>
      </text>
    </comment>
    <comment ref="AG92" authorId="4">
      <text>
        <r>
          <rPr>
            <sz val="9"/>
            <color indexed="81"/>
            <rFont val="Tahoma"/>
            <family val="2"/>
          </rPr>
          <t>Liabilities of held-for-sale operations - $11,4774Mn</t>
        </r>
      </text>
    </comment>
    <comment ref="AK92" authorId="4">
      <text>
        <r>
          <rPr>
            <sz val="9"/>
            <color indexed="81"/>
            <rFont val="Tahoma"/>
            <family val="2"/>
          </rPr>
          <t>Liabilities of held-for-sale operations - $12,522Mn</t>
        </r>
      </text>
    </comment>
    <comment ref="AQ92" authorId="4">
      <text>
        <r>
          <rPr>
            <sz val="9"/>
            <color indexed="81"/>
            <rFont val="Tahoma"/>
            <family val="2"/>
          </rPr>
          <t>Liabilities of held-for-sale operations - $5,654Mn</t>
        </r>
      </text>
    </comment>
    <comment ref="AS92" authorId="4">
      <text>
        <r>
          <rPr>
            <sz val="9"/>
            <color indexed="81"/>
            <rFont val="Tahoma"/>
            <family val="2"/>
          </rPr>
          <t>Liabilities of held-for-sale operations - $249Mn</t>
        </r>
      </text>
    </comment>
    <comment ref="AT92" authorId="4">
      <text>
        <r>
          <rPr>
            <sz val="9"/>
            <color indexed="81"/>
            <rFont val="Tahoma"/>
            <family val="2"/>
          </rPr>
          <t>Liabilities of held-for-sale operations - $14Mn</t>
        </r>
      </text>
    </comment>
    <comment ref="AV92" authorId="4">
      <text>
        <r>
          <rPr>
            <sz val="9"/>
            <color indexed="81"/>
            <rFont val="Tahoma"/>
            <family val="2"/>
          </rPr>
          <t>Liabilities of held-for-sale operations - $4,824Mn</t>
        </r>
      </text>
    </comment>
    <comment ref="AX92" authorId="4">
      <text>
        <r>
          <rPr>
            <sz val="9"/>
            <color indexed="81"/>
            <rFont val="Tahoma"/>
            <family val="2"/>
          </rPr>
          <t>Liabilities of held-for-sale operations - $5,408Mn</t>
        </r>
      </text>
    </comment>
    <comment ref="BA92" authorId="4">
      <text>
        <r>
          <rPr>
            <sz val="9"/>
            <color indexed="81"/>
            <rFont val="Tahoma"/>
            <family val="2"/>
          </rPr>
          <t>Liabilities of held-for-sale operations - $5,542Mn</t>
        </r>
      </text>
    </comment>
    <comment ref="BC92" authorId="4">
      <text>
        <r>
          <rPr>
            <sz val="9"/>
            <color indexed="81"/>
            <rFont val="Tahoma"/>
            <family val="2"/>
          </rPr>
          <t>Liabilities of held-for-sale operations - $5,008Mn</t>
        </r>
      </text>
    </comment>
    <comment ref="BD92" authorId="4">
      <text>
        <r>
          <rPr>
            <sz val="9"/>
            <color indexed="81"/>
            <rFont val="Tahoma"/>
            <family val="2"/>
          </rPr>
          <t>Liabilities of held-for-sale operations - $4,985Mn</t>
        </r>
      </text>
    </comment>
    <comment ref="BE92" authorId="4">
      <text>
        <r>
          <rPr>
            <sz val="9"/>
            <color indexed="81"/>
            <rFont val="Tahoma"/>
            <family val="2"/>
          </rPr>
          <t>Liabilities of held-for-sale operations - $5,355Mn</t>
        </r>
      </text>
    </comment>
    <comment ref="BF92" authorId="4">
      <text>
        <r>
          <rPr>
            <sz val="9"/>
            <color indexed="81"/>
            <rFont val="Tahoma"/>
            <family val="2"/>
          </rPr>
          <t>Liabilities of held-for-sale operations - $5,321Mn</t>
        </r>
      </text>
    </comment>
    <comment ref="BH92" authorId="4">
      <text>
        <r>
          <rPr>
            <sz val="9"/>
            <color indexed="81"/>
            <rFont val="Tahoma"/>
            <family val="2"/>
          </rPr>
          <t>Liabilities of held-for-sale operations - $5644Mn</t>
        </r>
      </text>
    </comment>
    <comment ref="BI92" authorId="4">
      <text>
        <r>
          <rPr>
            <sz val="9"/>
            <color indexed="81"/>
            <rFont val="Tahoma"/>
            <family val="2"/>
          </rPr>
          <t>Liabilities of held-for-sale operations - $5331Mn</t>
        </r>
      </text>
    </comment>
    <comment ref="BN92" authorId="4">
      <text>
        <r>
          <rPr>
            <sz val="9"/>
            <color indexed="81"/>
            <rFont val="Tahoma"/>
            <family val="2"/>
          </rPr>
          <t>Liabilities of held-for-sale operations - $129Mn</t>
        </r>
      </text>
    </comment>
    <comment ref="BO92" authorId="4">
      <text>
        <r>
          <rPr>
            <sz val="9"/>
            <color indexed="81"/>
            <rFont val="Tahoma"/>
            <family val="2"/>
          </rPr>
          <t>Liabilities of held-for-sale operations - $109Mn</t>
        </r>
      </text>
    </comment>
    <comment ref="CL92" authorId="4">
      <text>
        <r>
          <rPr>
            <sz val="9"/>
            <color indexed="81"/>
            <rFont val="Tahoma"/>
            <family val="2"/>
          </rPr>
          <t>Includes: Non current other liabilites of Financial services sector - $ 1,801 Mn</t>
        </r>
      </text>
    </comment>
    <comment ref="AZ94" authorId="4">
      <text>
        <r>
          <rPr>
            <sz val="9"/>
            <color indexed="81"/>
            <rFont val="Tahoma"/>
            <family val="2"/>
          </rPr>
          <t>Company has not disclosed the debt break up for Financial services segment</t>
        </r>
      </text>
    </comment>
    <comment ref="BC94" authorId="4">
      <text>
        <r>
          <rPr>
            <sz val="9"/>
            <color indexed="81"/>
            <rFont val="Tahoma"/>
            <family val="2"/>
          </rPr>
          <t>Included intersector elimiation in Financial services sector- $(357)Mn</t>
        </r>
      </text>
    </comment>
    <comment ref="BD94" authorId="4">
      <text>
        <r>
          <rPr>
            <sz val="9"/>
            <color indexed="81"/>
            <rFont val="Tahoma"/>
            <family val="2"/>
          </rPr>
          <t>Included intersector elimiation in Financial services sector- $(357)Mn</t>
        </r>
      </text>
    </comment>
    <comment ref="BE94" authorId="4">
      <text>
        <r>
          <rPr>
            <sz val="9"/>
            <color indexed="81"/>
            <rFont val="Tahoma"/>
            <family val="2"/>
          </rPr>
          <t>Included intersector elimiation in Financial services sector- $(646)Mn</t>
        </r>
      </text>
    </comment>
    <comment ref="BF94" authorId="4">
      <text>
        <r>
          <rPr>
            <sz val="9"/>
            <color indexed="81"/>
            <rFont val="Tahoma"/>
            <family val="2"/>
          </rPr>
          <t>Included intersector elimiation in Financial services sector- $(646)Mn</t>
        </r>
      </text>
    </comment>
    <comment ref="BH94" authorId="4">
      <text>
        <r>
          <rPr>
            <sz val="9"/>
            <color indexed="81"/>
            <rFont val="Tahoma"/>
            <family val="2"/>
          </rPr>
          <t>Included intersector elimiation in Financial services sector- $(432)Mn</t>
        </r>
      </text>
    </comment>
    <comment ref="BI94" authorId="4">
      <text>
        <r>
          <rPr>
            <sz val="9"/>
            <color indexed="81"/>
            <rFont val="Tahoma"/>
            <family val="2"/>
          </rPr>
          <t>Included intersector elimiation in Financial services sector- $(314)Mn</t>
        </r>
      </text>
    </comment>
    <comment ref="BJ94" authorId="4">
      <text>
        <r>
          <rPr>
            <sz val="9"/>
            <color indexed="81"/>
            <rFont val="Tahoma"/>
            <family val="2"/>
          </rPr>
          <t>Included intersector elimiation in Financial services sector- $(229)Mn</t>
        </r>
      </text>
    </comment>
    <comment ref="BK94" authorId="4">
      <text>
        <r>
          <rPr>
            <sz val="9"/>
            <color indexed="81"/>
            <rFont val="Tahoma"/>
            <family val="2"/>
          </rPr>
          <t>Included intersector elimiation in Financial services sector- $(201)Mn</t>
        </r>
      </text>
    </comment>
    <comment ref="BN94" authorId="4">
      <text>
        <r>
          <rPr>
            <sz val="9"/>
            <color indexed="81"/>
            <rFont val="Tahoma"/>
            <family val="2"/>
          </rPr>
          <t>Included intersector elimiation in Financial services sector- $(201)Mn</t>
        </r>
      </text>
    </comment>
    <comment ref="BO94" authorId="4">
      <text>
        <r>
          <rPr>
            <sz val="9"/>
            <color indexed="81"/>
            <rFont val="Tahoma"/>
            <family val="2"/>
          </rPr>
          <t>Included intersector elimiation in Financial services sector- $(201)Mn</t>
        </r>
      </text>
    </comment>
    <comment ref="BP94" authorId="4">
      <text>
        <r>
          <rPr>
            <sz val="9"/>
            <color indexed="81"/>
            <rFont val="Tahoma"/>
            <family val="2"/>
          </rPr>
          <t>Included intersector elimiation in Financial services sector- $(201)Mn</t>
        </r>
      </text>
    </comment>
    <comment ref="Y98" authorId="3">
      <text>
        <r>
          <rPr>
            <sz val="9"/>
            <color indexed="81"/>
            <rFont val="Tahoma"/>
            <family val="2"/>
          </rPr>
          <t>Company-obligated mandatorily redeemable preferred securities of subsidiary trusts holding solely junior subordinated debentures of the Company</t>
        </r>
      </text>
    </comment>
    <comment ref="Z98" authorId="3">
      <text>
        <r>
          <rPr>
            <sz val="9"/>
            <color indexed="81"/>
            <rFont val="Tahoma"/>
            <family val="2"/>
          </rPr>
          <t>Company-obligated mandatorily redeemable preferred securities of subsidiary trusts holding solely junior subordinated debentures of the Company</t>
        </r>
      </text>
    </comment>
    <comment ref="Q129" authorId="1">
      <text>
        <r>
          <rPr>
            <sz val="9"/>
            <color indexed="81"/>
            <rFont val="Tahoma"/>
            <family val="2"/>
          </rPr>
          <t>Consolidated CF taken as sum of Automotive and Financial Services Statement of Cash Flows.</t>
        </r>
      </text>
    </comment>
    <comment ref="C133" authorId="0">
      <text>
        <r>
          <rPr>
            <b/>
            <sz val="9"/>
            <color indexed="81"/>
            <rFont val="Tahoma"/>
            <family val="2"/>
          </rPr>
          <t>Jonas, Adam (Research):</t>
        </r>
        <r>
          <rPr>
            <sz val="9"/>
            <color indexed="81"/>
            <rFont val="Tahoma"/>
            <family val="2"/>
          </rPr>
          <t xml:space="preserve">
Auto D&amp;A only.</t>
        </r>
      </text>
    </comment>
    <comment ref="CU133" authorId="0">
      <text>
        <r>
          <rPr>
            <b/>
            <sz val="9"/>
            <color indexed="81"/>
            <rFont val="Tahoma"/>
            <family val="2"/>
          </rPr>
          <t>Jonas, Adam (Research):</t>
        </r>
        <r>
          <rPr>
            <sz val="9"/>
            <color indexed="81"/>
            <rFont val="Tahoma"/>
            <family val="2"/>
          </rPr>
          <t xml:space="preserve">
actual D&amp;A is $5bn (page 26 of slide deck.</t>
        </r>
      </text>
    </comment>
    <comment ref="CU144" authorId="0">
      <text>
        <r>
          <rPr>
            <b/>
            <sz val="9"/>
            <color indexed="81"/>
            <rFont val="Tahoma"/>
            <family val="2"/>
          </rPr>
          <t>Jonas, Adam (Research):</t>
        </r>
        <r>
          <rPr>
            <sz val="9"/>
            <color indexed="81"/>
            <rFont val="Tahoma"/>
            <family val="2"/>
          </rPr>
          <t xml:space="preserve">
$7bn actual</t>
        </r>
      </text>
    </comment>
    <comment ref="CZ144" authorId="0">
      <text>
        <r>
          <rPr>
            <b/>
            <sz val="9"/>
            <color indexed="81"/>
            <rFont val="Tahoma"/>
            <family val="2"/>
          </rPr>
          <t>Jonas, Adam (Research):</t>
        </r>
        <r>
          <rPr>
            <sz val="9"/>
            <color indexed="81"/>
            <rFont val="Tahoma"/>
            <family val="2"/>
          </rPr>
          <t xml:space="preserve">
'about $7.5bn'</t>
        </r>
      </text>
    </comment>
    <comment ref="F156" authorId="1">
      <text>
        <r>
          <rPr>
            <sz val="9"/>
            <color indexed="81"/>
            <rFont val="Tahoma"/>
            <family val="2"/>
          </rPr>
          <t>$195mn: Purchase of leased assets
$1,157mn: Net proceeds from USL Capital asset sales</t>
        </r>
      </text>
    </comment>
    <comment ref="G156" authorId="1">
      <text>
        <r>
          <rPr>
            <sz val="9"/>
            <color indexed="81"/>
            <rFont val="Tahoma"/>
            <family val="2"/>
          </rPr>
          <t>$332mn: Purchase of leased assets</t>
        </r>
      </text>
    </comment>
    <comment ref="H156" authorId="1">
      <text>
        <r>
          <rPr>
            <sz val="9"/>
            <color indexed="81"/>
            <rFont val="Tahoma"/>
            <family val="2"/>
          </rPr>
          <t>$110mn: Purchase of leased assets</t>
        </r>
      </text>
    </comment>
    <comment ref="Y156" authorId="1">
      <text>
        <r>
          <rPr>
            <sz val="9"/>
            <color indexed="81"/>
            <rFont val="Tahoma"/>
            <family val="2"/>
          </rPr>
          <t xml:space="preserve">$1,421mn: Repayment of debt from discontinued operations.
</t>
        </r>
      </text>
    </comment>
    <comment ref="Z156" authorId="1">
      <text>
        <r>
          <rPr>
            <sz val="9"/>
            <color indexed="81"/>
            <rFont val="Tahoma"/>
            <family val="2"/>
          </rPr>
          <t xml:space="preserve">$1,421mn: Repayment of debt from discontinued operations.
</t>
        </r>
      </text>
    </comment>
    <comment ref="BK156" authorId="1">
      <text>
        <r>
          <rPr>
            <sz val="9"/>
            <color indexed="81"/>
            <rFont val="Tahoma"/>
            <family val="2"/>
          </rPr>
          <t xml:space="preserve">$94mn: Receipt of cash from purchase of Bordeaux
</t>
        </r>
      </text>
    </comment>
    <comment ref="CE156" authorId="1">
      <text>
        <r>
          <rPr>
            <sz val="9"/>
            <color indexed="81"/>
            <rFont val="Tahoma"/>
            <family val="2"/>
          </rPr>
          <t>$477mn: Change related to Venezuelan operations</t>
        </r>
      </text>
    </comment>
    <comment ref="E167" authorId="1">
      <text>
        <r>
          <rPr>
            <sz val="9"/>
            <color indexed="81"/>
            <rFont val="Tahoma"/>
            <family val="2"/>
          </rPr>
          <t>$1,875mn:Net (redemption)/issuance of subsidiary company preffered stock 
$283mn: Receipts from annuity contracts</t>
        </r>
      </text>
    </comment>
    <comment ref="H167" authorId="1">
      <text>
        <r>
          <rPr>
            <sz val="9"/>
            <color indexed="81"/>
            <rFont val="Tahoma"/>
            <family val="2"/>
          </rPr>
          <t>$508mn: Spin-off of the Associates cash
$420mn: Preffered Stock - Series B redemption</t>
        </r>
      </text>
    </comment>
    <comment ref="J167" authorId="1">
      <text>
        <r>
          <rPr>
            <sz val="9"/>
            <color indexed="81"/>
            <rFont val="Tahoma"/>
            <family val="2"/>
          </rPr>
          <t>$17mn: Net Debt Repayments/Net Cash Distribution - Discontinued Operations</t>
        </r>
      </text>
    </comment>
    <comment ref="K167" authorId="1">
      <text>
        <r>
          <rPr>
            <sz val="9"/>
            <color indexed="81"/>
            <rFont val="Tahoma"/>
            <family val="2"/>
          </rPr>
          <t xml:space="preserve">$650mn: Net debt repayments from discontinued operations
$85mn: Net cash distribution to discontinued operations </t>
        </r>
      </text>
    </comment>
    <comment ref="L167" authorId="1">
      <text>
        <r>
          <rPr>
            <sz val="9"/>
            <color indexed="81"/>
            <rFont val="Tahoma"/>
            <family val="2"/>
          </rPr>
          <t xml:space="preserve">$5,440mn: Value enhancement Plan Payments
$650mn: Net debt repayments from discontinued operations
$85mn: Net cash distribution to discontinued operations
</t>
        </r>
      </text>
    </comment>
    <comment ref="M167" authorId="1">
      <text>
        <r>
          <rPr>
            <sz val="9"/>
            <color indexed="81"/>
            <rFont val="Tahoma"/>
            <family val="2"/>
          </rPr>
          <t xml:space="preserve">$5,555mn: Value enhancement Plan Payments
$650mn: Net debt repayments from discontinued operations
$85mn: Net cash distribution to discontinued operations
</t>
        </r>
      </text>
    </comment>
    <comment ref="T167" authorId="1">
      <text>
        <r>
          <rPr>
            <sz val="9"/>
            <color indexed="81"/>
            <rFont val="Tahoma"/>
            <family val="2"/>
          </rPr>
          <t xml:space="preserve">$4,900mn: Proceeds from mandatorily redeemable convertible preferred securities
</t>
        </r>
      </text>
    </comment>
    <comment ref="U167" authorId="1">
      <text>
        <r>
          <rPr>
            <sz val="9"/>
            <color indexed="81"/>
            <rFont val="Tahoma"/>
            <family val="2"/>
          </rPr>
          <t xml:space="preserve">$4,900mn: Proceeds from mandatorily redeemable convertible preferred securities
</t>
        </r>
      </text>
    </comment>
    <comment ref="V167" authorId="1">
      <text>
        <r>
          <rPr>
            <sz val="9"/>
            <color indexed="81"/>
            <rFont val="Tahoma"/>
            <family val="2"/>
          </rPr>
          <t xml:space="preserve">$4,900mn: Proceeds from mandatorily redeemable convertible preferred securities
</t>
        </r>
      </text>
    </comment>
    <comment ref="W167" authorId="1">
      <text>
        <r>
          <rPr>
            <sz val="9"/>
            <color indexed="81"/>
            <rFont val="Tahoma"/>
            <family val="2"/>
          </rPr>
          <t>$4,900mn: Proceeds from mandatorily redeemable convertible preferred securities
$177mn: Preferred Stock — Series B redemption</t>
        </r>
      </text>
    </comment>
    <comment ref="BF167" authorId="1">
      <text>
        <r>
          <rPr>
            <sz val="9"/>
            <color indexed="81"/>
            <rFont val="Tahoma"/>
            <family val="2"/>
          </rPr>
          <t>$2,572mn: Payments on notes/transfer of cash equivalents to the UAW Voluntary Employee Benefit Association</t>
        </r>
      </text>
    </comment>
    <comment ref="BK167" authorId="1">
      <text>
        <r>
          <rPr>
            <sz val="9"/>
            <color indexed="81"/>
            <rFont val="Tahoma"/>
            <family val="2"/>
          </rPr>
          <t>$7,302mn: Payments on notes/transfer of cash equivalents to the UAW Voluntary Employee Benefit Association</t>
        </r>
      </text>
    </comment>
    <comment ref="DA210" authorId="0">
      <text>
        <r>
          <rPr>
            <b/>
            <sz val="9"/>
            <color indexed="81"/>
            <rFont val="Tahoma"/>
            <family val="2"/>
          </rPr>
          <t>Jonas, Adam (Research):</t>
        </r>
        <r>
          <rPr>
            <sz val="9"/>
            <color indexed="81"/>
            <rFont val="Tahoma"/>
            <family val="2"/>
          </rPr>
          <t xml:space="preserve">
Assumes 50% cut to the dividend. </t>
        </r>
      </text>
    </comment>
    <comment ref="C254" authorId="5">
      <text>
        <r>
          <rPr>
            <sz val="9"/>
            <color indexed="81"/>
            <rFont val="Tahoma"/>
            <family val="2"/>
          </rPr>
          <t>Sourced from Ford Original File
Forecast growth rate taken to match with the original model</t>
        </r>
      </text>
    </comment>
  </commentList>
</comments>
</file>

<file path=xl/comments3.xml><?xml version="1.0" encoding="utf-8"?>
<comments xmlns="http://schemas.openxmlformats.org/spreadsheetml/2006/main">
  <authors>
    <author>Jonas, Adam (Research)</author>
    <author>Dixit, Siddharth (Research)</author>
    <author>Mendiratta, Divya (Research)</author>
    <author>Yejay Ying</author>
    <author>jonasa</author>
    <author>Mehta, Neel (Research)</author>
    <author>Gupte, Vaibhav (Research)</author>
    <author>Soni, Swati (Research)</author>
  </authors>
  <commentList>
    <comment ref="CR10" authorId="0">
      <text>
        <r>
          <rPr>
            <b/>
            <sz val="9"/>
            <color indexed="81"/>
            <rFont val="Tahoma"/>
            <family val="2"/>
          </rPr>
          <t>Jonas, Adam (Research):</t>
        </r>
        <r>
          <rPr>
            <sz val="9"/>
            <color indexed="81"/>
            <rFont val="Tahoma"/>
            <family val="2"/>
          </rPr>
          <t xml:space="preserve">
target 835</t>
        </r>
      </text>
    </comment>
    <comment ref="E12" authorId="1">
      <text>
        <r>
          <rPr>
            <sz val="9"/>
            <color indexed="81"/>
            <rFont val="Tahoma"/>
            <family val="2"/>
          </rPr>
          <t xml:space="preserve">Includes:
Brazil: 201
Argentina: 48
</t>
        </r>
      </text>
    </comment>
    <comment ref="F12" authorId="1">
      <text>
        <r>
          <rPr>
            <sz val="9"/>
            <color indexed="81"/>
            <rFont val="Tahoma"/>
            <family val="2"/>
          </rPr>
          <t xml:space="preserve">Includes:
Brazil: 190
Argentina: 64
</t>
        </r>
      </text>
    </comment>
    <comment ref="G12" authorId="1">
      <text>
        <r>
          <rPr>
            <sz val="9"/>
            <color indexed="81"/>
            <rFont val="Tahoma"/>
            <family val="2"/>
          </rPr>
          <t xml:space="preserve">Includes:
Brazil: 214
Argentina: 143
</t>
        </r>
      </text>
    </comment>
    <comment ref="H12" authorId="1">
      <text>
        <r>
          <rPr>
            <sz val="9"/>
            <color indexed="81"/>
            <rFont val="Tahoma"/>
            <family val="2"/>
          </rPr>
          <t xml:space="preserve">Includes:
Brazil: 178
Argentina: 97
</t>
        </r>
      </text>
    </comment>
    <comment ref="I12" authorId="1">
      <text>
        <r>
          <rPr>
            <sz val="9"/>
            <color indexed="81"/>
            <rFont val="Tahoma"/>
            <family val="2"/>
          </rPr>
          <t xml:space="preserve">Includes:
Brazil: 117
Argentina: 60
</t>
        </r>
      </text>
    </comment>
    <comment ref="K12" authorId="1">
      <text>
        <r>
          <rPr>
            <sz val="9"/>
            <color indexed="81"/>
            <rFont val="Tahoma"/>
            <family val="2"/>
          </rPr>
          <t xml:space="preserve">Includes:
Brazil: 35
Argentina: 12
</t>
        </r>
      </text>
    </comment>
    <comment ref="L12" authorId="1">
      <text>
        <r>
          <rPr>
            <sz val="9"/>
            <color indexed="81"/>
            <rFont val="Tahoma"/>
            <family val="2"/>
          </rPr>
          <t xml:space="preserve">Includes:
Brazil: 33
Argentina: 12
</t>
        </r>
      </text>
    </comment>
    <comment ref="M12" authorId="1">
      <text>
        <r>
          <rPr>
            <sz val="9"/>
            <color indexed="81"/>
            <rFont val="Tahoma"/>
            <family val="2"/>
          </rPr>
          <t xml:space="preserve">Includes:
Brazil: 134
Argentina: 49
</t>
        </r>
      </text>
    </comment>
    <comment ref="P12" authorId="1">
      <text>
        <r>
          <rPr>
            <sz val="9"/>
            <color indexed="81"/>
            <rFont val="Tahoma"/>
            <family val="2"/>
          </rPr>
          <t xml:space="preserve">Includes:
Brazil: 40
Argentina: 8
</t>
        </r>
      </text>
    </comment>
    <comment ref="Q12" authorId="1">
      <text>
        <r>
          <rPr>
            <sz val="9"/>
            <color indexed="81"/>
            <rFont val="Tahoma"/>
            <family val="2"/>
          </rPr>
          <t xml:space="preserve">Includes:
Brazil: 24
Argentina: 8
</t>
        </r>
      </text>
    </comment>
    <comment ref="R12" authorId="1">
      <text>
        <r>
          <rPr>
            <sz val="9"/>
            <color indexed="81"/>
            <rFont val="Tahoma"/>
            <family val="2"/>
          </rPr>
          <t xml:space="preserve">Includes:
Brazil: 125
Argentina: 29
</t>
        </r>
      </text>
    </comment>
    <comment ref="CR12" authorId="0">
      <text>
        <r>
          <rPr>
            <b/>
            <sz val="9"/>
            <color indexed="81"/>
            <rFont val="Tahoma"/>
            <family val="2"/>
          </rPr>
          <t>Jonas, Adam (Research):</t>
        </r>
        <r>
          <rPr>
            <sz val="9"/>
            <color indexed="81"/>
            <rFont val="Tahoma"/>
            <family val="2"/>
          </rPr>
          <t xml:space="preserve">
target 91</t>
        </r>
      </text>
    </comment>
    <comment ref="CR14" authorId="0">
      <text>
        <r>
          <rPr>
            <b/>
            <sz val="9"/>
            <color indexed="81"/>
            <rFont val="Tahoma"/>
            <family val="2"/>
          </rPr>
          <t>Jonas, Adam (Research):</t>
        </r>
        <r>
          <rPr>
            <sz val="9"/>
            <color indexed="81"/>
            <rFont val="Tahoma"/>
            <family val="2"/>
          </rPr>
          <t xml:space="preserve">
target 397 combined with ME</t>
        </r>
      </text>
    </comment>
    <comment ref="E16" authorId="1">
      <text>
        <r>
          <rPr>
            <sz val="9"/>
            <color indexed="81"/>
            <rFont val="Tahoma"/>
            <family val="2"/>
          </rPr>
          <t xml:space="preserve">Includes:
Australia: 139
Taiwan: 106
Japan: 57
Other Countries: 67
</t>
        </r>
      </text>
    </comment>
    <comment ref="F16" authorId="1">
      <text>
        <r>
          <rPr>
            <sz val="9"/>
            <color indexed="81"/>
            <rFont val="Tahoma"/>
            <family val="2"/>
          </rPr>
          <t xml:space="preserve">Includes:
Australia: 138
Taiwan: 86
Japan: 52
Other Countries: 81
</t>
        </r>
      </text>
    </comment>
    <comment ref="G16" authorId="1">
      <text>
        <r>
          <rPr>
            <sz val="9"/>
            <color indexed="81"/>
            <rFont val="Tahoma"/>
            <family val="2"/>
          </rPr>
          <t xml:space="preserve">Includes:
Australia: 132
Taiwan: 79
Japan: 40
Other Countries: 103
</t>
        </r>
      </text>
    </comment>
    <comment ref="H16" authorId="1">
      <text>
        <r>
          <rPr>
            <sz val="9"/>
            <color indexed="81"/>
            <rFont val="Tahoma"/>
            <family val="2"/>
          </rPr>
          <t xml:space="preserve">Includes:
Australia: 133
Taiwan: 77
Japan: 25
Other Countries: 93
</t>
        </r>
      </text>
    </comment>
    <comment ref="I16" authorId="1">
      <text>
        <r>
          <rPr>
            <sz val="9"/>
            <color indexed="81"/>
            <rFont val="Tahoma"/>
            <family val="2"/>
          </rPr>
          <t xml:space="preserve">Includes:
Australia: 125
Taiwan: 56
Japan: 32
Other Countries: 83
</t>
        </r>
      </text>
    </comment>
    <comment ref="J16" authorId="1">
      <text>
        <r>
          <rPr>
            <sz val="9"/>
            <color indexed="81"/>
            <rFont val="Tahoma"/>
            <family val="2"/>
          </rPr>
          <t xml:space="preserve">Includes:
Australia: 26
Taiwan: 17
Other Countries: 32
</t>
        </r>
      </text>
    </comment>
    <comment ref="K16" authorId="1">
      <text>
        <r>
          <rPr>
            <sz val="9"/>
            <color indexed="81"/>
            <rFont val="Tahoma"/>
            <family val="2"/>
          </rPr>
          <t xml:space="preserve">Includes:
Australia: 37
Taiwan: 19
Japan: 8
Other Countries: 55
</t>
        </r>
      </text>
    </comment>
    <comment ref="L16" authorId="1">
      <text>
        <r>
          <rPr>
            <sz val="9"/>
            <color indexed="81"/>
            <rFont val="Tahoma"/>
            <family val="2"/>
          </rPr>
          <t xml:space="preserve">Includes:
Australia: 34
Taiwan: 13
Japan: 5
Other Countries: 61
</t>
        </r>
      </text>
    </comment>
    <comment ref="M16" authorId="1">
      <text>
        <r>
          <rPr>
            <sz val="9"/>
            <color indexed="81"/>
            <rFont val="Tahoma"/>
            <family val="2"/>
          </rPr>
          <t xml:space="preserve">Includes:
Australia: 125
Taiwan: 63
Japan: 26
Other Countries: 212
</t>
        </r>
      </text>
    </comment>
    <comment ref="O16" authorId="1">
      <text>
        <r>
          <rPr>
            <sz val="9"/>
            <color indexed="81"/>
            <rFont val="Tahoma"/>
            <family val="2"/>
          </rPr>
          <t xml:space="preserve">Includes:
Australia: 26
Taiwan: 17
Other Countries: 32
</t>
        </r>
      </text>
    </comment>
    <comment ref="P16" authorId="1">
      <text>
        <r>
          <rPr>
            <sz val="9"/>
            <color indexed="81"/>
            <rFont val="Tahoma"/>
            <family val="2"/>
          </rPr>
          <t xml:space="preserve">Includes:
Australia: 31
Taiwan: 12
Japan: 5
Other Countries: 41
</t>
        </r>
      </text>
    </comment>
    <comment ref="Q16" authorId="1">
      <text>
        <r>
          <rPr>
            <sz val="9"/>
            <color indexed="81"/>
            <rFont val="Tahoma"/>
            <family val="2"/>
          </rPr>
          <t xml:space="preserve">Includes:
Australia: 29
Taiwan: 14
Japan: 4
Other Countries: 50
</t>
        </r>
      </text>
    </comment>
    <comment ref="R16" authorId="1">
      <text>
        <r>
          <rPr>
            <sz val="9"/>
            <color indexed="81"/>
            <rFont val="Tahoma"/>
            <family val="2"/>
          </rPr>
          <t xml:space="preserve">Includes:
Australia: 115
Taiwan: 53
Japan: 18
Other Countries: 198
</t>
        </r>
      </text>
    </comment>
    <comment ref="T16" authorId="1">
      <text>
        <r>
          <rPr>
            <sz val="9"/>
            <color indexed="81"/>
            <rFont val="Tahoma"/>
            <family val="2"/>
          </rPr>
          <t xml:space="preserve">Includes:
Australia: 27
Taiwan: 20
Other Countries: 40
</t>
        </r>
      </text>
    </comment>
    <comment ref="U16" authorId="1">
      <text>
        <r>
          <rPr>
            <sz val="9"/>
            <color indexed="81"/>
            <rFont val="Tahoma"/>
            <family val="2"/>
          </rPr>
          <t xml:space="preserve">Includes:
Australia: 31
Taiwan: 12
Other Countries: 36
</t>
        </r>
      </text>
    </comment>
    <comment ref="V16" authorId="1">
      <text>
        <r>
          <rPr>
            <sz val="9"/>
            <color indexed="81"/>
            <rFont val="Tahoma"/>
            <family val="2"/>
          </rPr>
          <t xml:space="preserve">Includes:
Australia: 28
Taiwan: 16
Other Countries: 46
</t>
        </r>
      </text>
    </comment>
    <comment ref="W16" authorId="1">
      <text>
        <r>
          <rPr>
            <sz val="9"/>
            <color indexed="81"/>
            <rFont val="Tahoma"/>
            <family val="2"/>
          </rPr>
          <t xml:space="preserve">Includes:
Australia: 117
Taiwan: 65
Other Countries: 186
</t>
        </r>
      </text>
    </comment>
    <comment ref="CT24" authorId="0">
      <text>
        <r>
          <rPr>
            <b/>
            <sz val="9"/>
            <color indexed="81"/>
            <rFont val="Tahoma"/>
            <family val="2"/>
          </rPr>
          <t>Jonas, Adam (Research):</t>
        </r>
        <r>
          <rPr>
            <sz val="9"/>
            <color indexed="81"/>
            <rFont val="Tahoma"/>
            <family val="2"/>
          </rPr>
          <t xml:space="preserve">
target is 1,694 3Q production</t>
        </r>
      </text>
    </comment>
    <comment ref="I35" authorId="1">
      <text>
        <r>
          <rPr>
            <sz val="9"/>
            <color indexed="81"/>
            <rFont val="Tahoma"/>
            <family val="2"/>
          </rPr>
          <t>Rest of World</t>
        </r>
      </text>
    </comment>
    <comment ref="J35" authorId="1">
      <text>
        <r>
          <rPr>
            <sz val="9"/>
            <color indexed="81"/>
            <rFont val="Tahoma"/>
            <family val="2"/>
          </rPr>
          <t>Rest of World</t>
        </r>
      </text>
    </comment>
    <comment ref="K35" authorId="1">
      <text>
        <r>
          <rPr>
            <sz val="9"/>
            <color indexed="81"/>
            <rFont val="Tahoma"/>
            <family val="2"/>
          </rPr>
          <t>Rest of World</t>
        </r>
      </text>
    </comment>
    <comment ref="L35" authorId="1">
      <text>
        <r>
          <rPr>
            <sz val="9"/>
            <color indexed="81"/>
            <rFont val="Tahoma"/>
            <family val="2"/>
          </rPr>
          <t>Rest of World</t>
        </r>
      </text>
    </comment>
    <comment ref="M35" authorId="1">
      <text>
        <r>
          <rPr>
            <sz val="9"/>
            <color indexed="81"/>
            <rFont val="Tahoma"/>
            <family val="2"/>
          </rPr>
          <t>Rest of World</t>
        </r>
      </text>
    </comment>
    <comment ref="O35" authorId="1">
      <text>
        <r>
          <rPr>
            <sz val="9"/>
            <color indexed="81"/>
            <rFont val="Tahoma"/>
            <family val="2"/>
          </rPr>
          <t>Rest of World</t>
        </r>
      </text>
    </comment>
    <comment ref="P35" authorId="1">
      <text>
        <r>
          <rPr>
            <sz val="9"/>
            <color indexed="81"/>
            <rFont val="Tahoma"/>
            <family val="2"/>
          </rPr>
          <t>Rest of World</t>
        </r>
      </text>
    </comment>
    <comment ref="Q35" authorId="1">
      <text>
        <r>
          <rPr>
            <sz val="9"/>
            <color indexed="81"/>
            <rFont val="Tahoma"/>
            <family val="2"/>
          </rPr>
          <t>Rest of World</t>
        </r>
      </text>
    </comment>
    <comment ref="R35" authorId="1">
      <text>
        <r>
          <rPr>
            <sz val="9"/>
            <color indexed="81"/>
            <rFont val="Tahoma"/>
            <family val="2"/>
          </rPr>
          <t>Rest of World</t>
        </r>
      </text>
    </comment>
    <comment ref="T35" authorId="1">
      <text>
        <r>
          <rPr>
            <sz val="9"/>
            <color indexed="81"/>
            <rFont val="Tahoma"/>
            <family val="2"/>
          </rPr>
          <t>Rest of World</t>
        </r>
      </text>
    </comment>
    <comment ref="U35" authorId="1">
      <text>
        <r>
          <rPr>
            <sz val="9"/>
            <color indexed="81"/>
            <rFont val="Tahoma"/>
            <family val="2"/>
          </rPr>
          <t>Rest of World</t>
        </r>
      </text>
    </comment>
    <comment ref="V35" authorId="1">
      <text>
        <r>
          <rPr>
            <sz val="9"/>
            <color indexed="81"/>
            <rFont val="Tahoma"/>
            <family val="2"/>
          </rPr>
          <t>Rest of World</t>
        </r>
      </text>
    </comment>
    <comment ref="W35" authorId="1">
      <text>
        <r>
          <rPr>
            <sz val="9"/>
            <color indexed="81"/>
            <rFont val="Tahoma"/>
            <family val="2"/>
          </rPr>
          <t>Rest of World</t>
        </r>
      </text>
    </comment>
    <comment ref="AI35" authorId="1">
      <text>
        <r>
          <rPr>
            <sz val="9"/>
            <color indexed="81"/>
            <rFont val="Tahoma"/>
            <family val="2"/>
          </rPr>
          <t>Includes Mazda</t>
        </r>
      </text>
    </comment>
    <comment ref="AJ35" authorId="1">
      <text>
        <r>
          <rPr>
            <sz val="9"/>
            <color indexed="81"/>
            <rFont val="Tahoma"/>
            <family val="2"/>
          </rPr>
          <t>Includes Mazda</t>
        </r>
      </text>
    </comment>
    <comment ref="AK35" authorId="1">
      <text>
        <r>
          <rPr>
            <sz val="9"/>
            <color indexed="81"/>
            <rFont val="Tahoma"/>
            <family val="2"/>
          </rPr>
          <t>Includes Mazda</t>
        </r>
      </text>
    </comment>
    <comment ref="AL35" authorId="1">
      <text>
        <r>
          <rPr>
            <sz val="9"/>
            <color indexed="81"/>
            <rFont val="Tahoma"/>
            <family val="2"/>
          </rPr>
          <t>Includes Mazda</t>
        </r>
      </text>
    </comment>
    <comment ref="AN35" authorId="1">
      <text>
        <r>
          <rPr>
            <sz val="9"/>
            <color indexed="81"/>
            <rFont val="Tahoma"/>
            <family val="2"/>
          </rPr>
          <t>Includes Mazda</t>
        </r>
      </text>
    </comment>
    <comment ref="AO35" authorId="1">
      <text>
        <r>
          <rPr>
            <sz val="9"/>
            <color indexed="81"/>
            <rFont val="Tahoma"/>
            <family val="2"/>
          </rPr>
          <t>Includes Mazda</t>
        </r>
      </text>
    </comment>
    <comment ref="AP35" authorId="1">
      <text>
        <r>
          <rPr>
            <sz val="9"/>
            <color indexed="81"/>
            <rFont val="Tahoma"/>
            <family val="2"/>
          </rPr>
          <t>Includes Mazda</t>
        </r>
      </text>
    </comment>
    <comment ref="AQ35" authorId="1">
      <text>
        <r>
          <rPr>
            <sz val="9"/>
            <color indexed="81"/>
            <rFont val="Tahoma"/>
            <family val="2"/>
          </rPr>
          <t>Includes Mazda</t>
        </r>
      </text>
    </comment>
    <comment ref="AS35" authorId="1">
      <text>
        <r>
          <rPr>
            <sz val="9"/>
            <color indexed="81"/>
            <rFont val="Tahoma"/>
            <family val="2"/>
          </rPr>
          <t>Includes Mazda</t>
        </r>
      </text>
    </comment>
    <comment ref="AT35" authorId="1">
      <text>
        <r>
          <rPr>
            <sz val="9"/>
            <color indexed="81"/>
            <rFont val="Tahoma"/>
            <family val="2"/>
          </rPr>
          <t>Includes Mazda</t>
        </r>
      </text>
    </comment>
    <comment ref="AU35" authorId="1">
      <text>
        <r>
          <rPr>
            <sz val="9"/>
            <color indexed="81"/>
            <rFont val="Tahoma"/>
            <family val="2"/>
          </rPr>
          <t>Includes Mazda</t>
        </r>
      </text>
    </comment>
    <comment ref="AV35" authorId="1">
      <text>
        <r>
          <rPr>
            <sz val="9"/>
            <color indexed="81"/>
            <rFont val="Tahoma"/>
            <family val="2"/>
          </rPr>
          <t>Includes Mazda</t>
        </r>
      </text>
    </comment>
    <comment ref="AX41" authorId="2">
      <text>
        <r>
          <rPr>
            <sz val="9"/>
            <color indexed="81"/>
            <rFont val="Tahoma"/>
            <family val="2"/>
          </rPr>
          <t>JLR and Aston Martin</t>
        </r>
      </text>
    </comment>
    <comment ref="AY41" authorId="2">
      <text>
        <r>
          <rPr>
            <sz val="9"/>
            <color indexed="81"/>
            <rFont val="Tahoma"/>
            <family val="2"/>
          </rPr>
          <t>JLR and Aston Martin</t>
        </r>
      </text>
    </comment>
    <comment ref="J72" authorId="1">
      <text>
        <r>
          <rPr>
            <sz val="9"/>
            <color indexed="81"/>
            <rFont val="Tahoma"/>
            <family val="2"/>
          </rPr>
          <t>Rest of World</t>
        </r>
      </text>
    </comment>
    <comment ref="K72" authorId="1">
      <text>
        <r>
          <rPr>
            <sz val="9"/>
            <color indexed="81"/>
            <rFont val="Tahoma"/>
            <family val="2"/>
          </rPr>
          <t>Rest of World</t>
        </r>
      </text>
    </comment>
    <comment ref="L72" authorId="1">
      <text>
        <r>
          <rPr>
            <sz val="9"/>
            <color indexed="81"/>
            <rFont val="Tahoma"/>
            <family val="2"/>
          </rPr>
          <t>Rest of World</t>
        </r>
      </text>
    </comment>
    <comment ref="M72" authorId="1">
      <text>
        <r>
          <rPr>
            <sz val="9"/>
            <color indexed="81"/>
            <rFont val="Tahoma"/>
            <family val="2"/>
          </rPr>
          <t>Rest of World</t>
        </r>
      </text>
    </comment>
    <comment ref="O72" authorId="1">
      <text>
        <r>
          <rPr>
            <sz val="9"/>
            <color indexed="81"/>
            <rFont val="Tahoma"/>
            <family val="2"/>
          </rPr>
          <t>Rest of World</t>
        </r>
      </text>
    </comment>
    <comment ref="P72" authorId="1">
      <text>
        <r>
          <rPr>
            <sz val="9"/>
            <color indexed="81"/>
            <rFont val="Tahoma"/>
            <family val="2"/>
          </rPr>
          <t>Rest of World</t>
        </r>
      </text>
    </comment>
    <comment ref="Q72" authorId="1">
      <text>
        <r>
          <rPr>
            <sz val="9"/>
            <color indexed="81"/>
            <rFont val="Tahoma"/>
            <family val="2"/>
          </rPr>
          <t>Rest of World</t>
        </r>
      </text>
    </comment>
    <comment ref="R72" authorId="1">
      <text>
        <r>
          <rPr>
            <sz val="9"/>
            <color indexed="81"/>
            <rFont val="Tahoma"/>
            <family val="2"/>
          </rPr>
          <t>Rest of World</t>
        </r>
      </text>
    </comment>
    <comment ref="T72" authorId="1">
      <text>
        <r>
          <rPr>
            <sz val="9"/>
            <color indexed="81"/>
            <rFont val="Tahoma"/>
            <family val="2"/>
          </rPr>
          <t>Rest of World</t>
        </r>
      </text>
    </comment>
    <comment ref="U72" authorId="1">
      <text>
        <r>
          <rPr>
            <sz val="9"/>
            <color indexed="81"/>
            <rFont val="Tahoma"/>
            <family val="2"/>
          </rPr>
          <t>Rest of World</t>
        </r>
      </text>
    </comment>
    <comment ref="V72" authorId="1">
      <text>
        <r>
          <rPr>
            <sz val="9"/>
            <color indexed="81"/>
            <rFont val="Tahoma"/>
            <family val="2"/>
          </rPr>
          <t>Rest of World</t>
        </r>
      </text>
    </comment>
    <comment ref="W72" authorId="1">
      <text>
        <r>
          <rPr>
            <sz val="9"/>
            <color indexed="81"/>
            <rFont val="Tahoma"/>
            <family val="2"/>
          </rPr>
          <t>Rest of World</t>
        </r>
      </text>
    </comment>
    <comment ref="Y72" authorId="1">
      <text>
        <r>
          <rPr>
            <sz val="9"/>
            <color indexed="81"/>
            <rFont val="Tahoma"/>
            <family val="2"/>
          </rPr>
          <t>Includes Mazda: $41mn</t>
        </r>
      </text>
    </comment>
    <comment ref="Z72" authorId="1">
      <text>
        <r>
          <rPr>
            <sz val="9"/>
            <color indexed="81"/>
            <rFont val="Tahoma"/>
            <family val="2"/>
          </rPr>
          <t>Includes Mazda: $45mn</t>
        </r>
      </text>
    </comment>
    <comment ref="AA72" authorId="1">
      <text>
        <r>
          <rPr>
            <sz val="9"/>
            <color indexed="81"/>
            <rFont val="Tahoma"/>
            <family val="2"/>
          </rPr>
          <t>Includes Mazda: $5mn</t>
        </r>
      </text>
    </comment>
    <comment ref="AB72" authorId="1">
      <text>
        <r>
          <rPr>
            <sz val="9"/>
            <color indexed="81"/>
            <rFont val="Tahoma"/>
            <family val="2"/>
          </rPr>
          <t>Includes Mazda: $69mn</t>
        </r>
      </text>
    </comment>
    <comment ref="AD72" authorId="1">
      <text>
        <r>
          <rPr>
            <sz val="9"/>
            <color indexed="81"/>
            <rFont val="Tahoma"/>
            <family val="2"/>
          </rPr>
          <t>Includes Mazda: $54mn</t>
        </r>
      </text>
    </comment>
    <comment ref="AE72" authorId="1">
      <text>
        <r>
          <rPr>
            <sz val="9"/>
            <color indexed="81"/>
            <rFont val="Tahoma"/>
            <family val="2"/>
          </rPr>
          <t>Includes Mazda: $60mn</t>
        </r>
      </text>
    </comment>
    <comment ref="AF72" authorId="1">
      <text>
        <r>
          <rPr>
            <sz val="9"/>
            <color indexed="81"/>
            <rFont val="Tahoma"/>
            <family val="2"/>
          </rPr>
          <t>Includes Mazda: $13mn</t>
        </r>
      </text>
    </comment>
    <comment ref="AG72" authorId="1">
      <text>
        <r>
          <rPr>
            <sz val="9"/>
            <color indexed="81"/>
            <rFont val="Tahoma"/>
            <family val="2"/>
          </rPr>
          <t>Includes Mazda: $118mn</t>
        </r>
      </text>
    </comment>
    <comment ref="AI72" authorId="1">
      <text>
        <r>
          <rPr>
            <sz val="9"/>
            <color indexed="81"/>
            <rFont val="Tahoma"/>
            <family val="2"/>
          </rPr>
          <t>Includes Mazda</t>
        </r>
      </text>
    </comment>
    <comment ref="AJ72" authorId="1">
      <text>
        <r>
          <rPr>
            <sz val="9"/>
            <color indexed="81"/>
            <rFont val="Tahoma"/>
            <family val="2"/>
          </rPr>
          <t>Includes Mazda</t>
        </r>
      </text>
    </comment>
    <comment ref="AK72" authorId="1">
      <text>
        <r>
          <rPr>
            <sz val="9"/>
            <color indexed="81"/>
            <rFont val="Tahoma"/>
            <family val="2"/>
          </rPr>
          <t>Includes Mazda</t>
        </r>
      </text>
    </comment>
    <comment ref="AL72" authorId="1">
      <text>
        <r>
          <rPr>
            <sz val="9"/>
            <color indexed="81"/>
            <rFont val="Tahoma"/>
            <family val="2"/>
          </rPr>
          <t>Includes Mazda</t>
        </r>
      </text>
    </comment>
    <comment ref="AN72" authorId="1">
      <text>
        <r>
          <rPr>
            <sz val="9"/>
            <color indexed="81"/>
            <rFont val="Tahoma"/>
            <family val="2"/>
          </rPr>
          <t>Includes Mazda</t>
        </r>
      </text>
    </comment>
    <comment ref="AO72" authorId="1">
      <text>
        <r>
          <rPr>
            <sz val="9"/>
            <color indexed="81"/>
            <rFont val="Tahoma"/>
            <family val="2"/>
          </rPr>
          <t>Includes Mazda</t>
        </r>
      </text>
    </comment>
    <comment ref="AP72" authorId="1">
      <text>
        <r>
          <rPr>
            <sz val="9"/>
            <color indexed="81"/>
            <rFont val="Tahoma"/>
            <family val="2"/>
          </rPr>
          <t>Includes Mazda</t>
        </r>
      </text>
    </comment>
    <comment ref="AQ72" authorId="1">
      <text>
        <r>
          <rPr>
            <sz val="9"/>
            <color indexed="81"/>
            <rFont val="Tahoma"/>
            <family val="2"/>
          </rPr>
          <t>Includes Mazda</t>
        </r>
      </text>
    </comment>
    <comment ref="AS72" authorId="1">
      <text>
        <r>
          <rPr>
            <sz val="9"/>
            <color indexed="81"/>
            <rFont val="Tahoma"/>
            <family val="2"/>
          </rPr>
          <t>Includes Mazda</t>
        </r>
      </text>
    </comment>
    <comment ref="AT72" authorId="1">
      <text>
        <r>
          <rPr>
            <sz val="9"/>
            <color indexed="81"/>
            <rFont val="Tahoma"/>
            <family val="2"/>
          </rPr>
          <t>Includes Mazda</t>
        </r>
      </text>
    </comment>
    <comment ref="AU72" authorId="1">
      <text>
        <r>
          <rPr>
            <sz val="9"/>
            <color indexed="81"/>
            <rFont val="Tahoma"/>
            <family val="2"/>
          </rPr>
          <t>Includes Mazda</t>
        </r>
      </text>
    </comment>
    <comment ref="AV72" authorId="1">
      <text>
        <r>
          <rPr>
            <sz val="9"/>
            <color indexed="81"/>
            <rFont val="Tahoma"/>
            <family val="2"/>
          </rPr>
          <t>Includes Mazda</t>
        </r>
      </text>
    </comment>
    <comment ref="AX72" authorId="1">
      <text>
        <r>
          <rPr>
            <sz val="9"/>
            <color indexed="81"/>
            <rFont val="Tahoma"/>
            <family val="2"/>
          </rPr>
          <t>Includes Mazda: $49mn</t>
        </r>
      </text>
    </comment>
    <comment ref="AY72" authorId="1">
      <text>
        <r>
          <rPr>
            <sz val="9"/>
            <color indexed="81"/>
            <rFont val="Tahoma"/>
            <family val="2"/>
          </rPr>
          <t>Includes Mazda: $111mn</t>
        </r>
      </text>
    </comment>
    <comment ref="AZ72" authorId="1">
      <text>
        <r>
          <rPr>
            <sz val="9"/>
            <color indexed="81"/>
            <rFont val="Tahoma"/>
            <family val="2"/>
          </rPr>
          <t>Includes Mazda: $1mn</t>
        </r>
      </text>
    </comment>
    <comment ref="BA72" authorId="1">
      <text>
        <r>
          <rPr>
            <sz val="9"/>
            <color indexed="81"/>
            <rFont val="Tahoma"/>
            <family val="2"/>
          </rPr>
          <t>Includes Mazda: $105mn</t>
        </r>
      </text>
    </comment>
    <comment ref="J100" authorId="1">
      <text>
        <r>
          <rPr>
            <sz val="9"/>
            <color indexed="81"/>
            <rFont val="Tahoma"/>
            <family val="2"/>
          </rPr>
          <t>Rest of World</t>
        </r>
      </text>
    </comment>
    <comment ref="K100" authorId="1">
      <text>
        <r>
          <rPr>
            <sz val="9"/>
            <color indexed="81"/>
            <rFont val="Tahoma"/>
            <family val="2"/>
          </rPr>
          <t>Rest of World</t>
        </r>
      </text>
    </comment>
    <comment ref="L100" authorId="1">
      <text>
        <r>
          <rPr>
            <sz val="9"/>
            <color indexed="81"/>
            <rFont val="Tahoma"/>
            <family val="2"/>
          </rPr>
          <t>Rest of World</t>
        </r>
      </text>
    </comment>
    <comment ref="M100" authorId="1">
      <text>
        <r>
          <rPr>
            <sz val="9"/>
            <color indexed="81"/>
            <rFont val="Tahoma"/>
            <family val="2"/>
          </rPr>
          <t>Rest of World</t>
        </r>
      </text>
    </comment>
    <comment ref="O100" authorId="1">
      <text>
        <r>
          <rPr>
            <sz val="9"/>
            <color indexed="81"/>
            <rFont val="Tahoma"/>
            <family val="2"/>
          </rPr>
          <t>Rest of World</t>
        </r>
      </text>
    </comment>
    <comment ref="P100" authorId="1">
      <text>
        <r>
          <rPr>
            <sz val="9"/>
            <color indexed="81"/>
            <rFont val="Tahoma"/>
            <family val="2"/>
          </rPr>
          <t>Rest of World</t>
        </r>
      </text>
    </comment>
    <comment ref="Q100" authorId="1">
      <text>
        <r>
          <rPr>
            <sz val="9"/>
            <color indexed="81"/>
            <rFont val="Tahoma"/>
            <family val="2"/>
          </rPr>
          <t>Rest of World</t>
        </r>
      </text>
    </comment>
    <comment ref="R100" authorId="1">
      <text>
        <r>
          <rPr>
            <sz val="9"/>
            <color indexed="81"/>
            <rFont val="Tahoma"/>
            <family val="2"/>
          </rPr>
          <t>Rest of World</t>
        </r>
      </text>
    </comment>
    <comment ref="T100" authorId="1">
      <text>
        <r>
          <rPr>
            <sz val="9"/>
            <color indexed="81"/>
            <rFont val="Tahoma"/>
            <family val="2"/>
          </rPr>
          <t>Rest of World</t>
        </r>
      </text>
    </comment>
    <comment ref="U100" authorId="1">
      <text>
        <r>
          <rPr>
            <sz val="9"/>
            <color indexed="81"/>
            <rFont val="Tahoma"/>
            <family val="2"/>
          </rPr>
          <t>Rest of World</t>
        </r>
      </text>
    </comment>
    <comment ref="V100" authorId="1">
      <text>
        <r>
          <rPr>
            <sz val="9"/>
            <color indexed="81"/>
            <rFont val="Tahoma"/>
            <family val="2"/>
          </rPr>
          <t>Rest of World</t>
        </r>
      </text>
    </comment>
    <comment ref="W100" authorId="1">
      <text>
        <r>
          <rPr>
            <sz val="9"/>
            <color indexed="81"/>
            <rFont val="Tahoma"/>
            <family val="2"/>
          </rPr>
          <t>Rest of World</t>
        </r>
      </text>
    </comment>
    <comment ref="Y100" authorId="1">
      <text>
        <r>
          <rPr>
            <sz val="9"/>
            <color indexed="81"/>
            <rFont val="Tahoma"/>
            <family val="2"/>
          </rPr>
          <t>Includes Mazda: $41mn</t>
        </r>
      </text>
    </comment>
    <comment ref="Z100" authorId="1">
      <text>
        <r>
          <rPr>
            <sz val="9"/>
            <color indexed="81"/>
            <rFont val="Tahoma"/>
            <family val="2"/>
          </rPr>
          <t>Includes Mazda: $45mn</t>
        </r>
      </text>
    </comment>
    <comment ref="AA100" authorId="1">
      <text>
        <r>
          <rPr>
            <sz val="9"/>
            <color indexed="81"/>
            <rFont val="Tahoma"/>
            <family val="2"/>
          </rPr>
          <t>Includes Mazda: $5mn</t>
        </r>
      </text>
    </comment>
    <comment ref="AB100" authorId="1">
      <text>
        <r>
          <rPr>
            <sz val="9"/>
            <color indexed="81"/>
            <rFont val="Tahoma"/>
            <family val="2"/>
          </rPr>
          <t>Includes Mazda: $69mn</t>
        </r>
      </text>
    </comment>
    <comment ref="AD100" authorId="1">
      <text>
        <r>
          <rPr>
            <sz val="9"/>
            <color indexed="81"/>
            <rFont val="Tahoma"/>
            <family val="2"/>
          </rPr>
          <t>Includes Mazda: $54mn</t>
        </r>
      </text>
    </comment>
    <comment ref="AE100" authorId="1">
      <text>
        <r>
          <rPr>
            <sz val="9"/>
            <color indexed="81"/>
            <rFont val="Tahoma"/>
            <family val="2"/>
          </rPr>
          <t>Includes Mazda: $60mn</t>
        </r>
      </text>
    </comment>
    <comment ref="AF100" authorId="1">
      <text>
        <r>
          <rPr>
            <sz val="9"/>
            <color indexed="81"/>
            <rFont val="Tahoma"/>
            <family val="2"/>
          </rPr>
          <t>Includes Mazda: $13mn</t>
        </r>
      </text>
    </comment>
    <comment ref="AG100" authorId="1">
      <text>
        <r>
          <rPr>
            <sz val="9"/>
            <color indexed="81"/>
            <rFont val="Tahoma"/>
            <family val="2"/>
          </rPr>
          <t>Includes Mazda: $118mn</t>
        </r>
      </text>
    </comment>
    <comment ref="AI100" authorId="1">
      <text>
        <r>
          <rPr>
            <sz val="9"/>
            <color indexed="81"/>
            <rFont val="Tahoma"/>
            <family val="2"/>
          </rPr>
          <t>Includes Mazda</t>
        </r>
      </text>
    </comment>
    <comment ref="AJ100" authorId="1">
      <text>
        <r>
          <rPr>
            <sz val="9"/>
            <color indexed="81"/>
            <rFont val="Tahoma"/>
            <family val="2"/>
          </rPr>
          <t>Includes Mazda</t>
        </r>
      </text>
    </comment>
    <comment ref="AK100" authorId="1">
      <text>
        <r>
          <rPr>
            <sz val="9"/>
            <color indexed="81"/>
            <rFont val="Tahoma"/>
            <family val="2"/>
          </rPr>
          <t>Includes Mazda</t>
        </r>
      </text>
    </comment>
    <comment ref="AL100" authorId="1">
      <text>
        <r>
          <rPr>
            <sz val="9"/>
            <color indexed="81"/>
            <rFont val="Tahoma"/>
            <family val="2"/>
          </rPr>
          <t>Includes Mazda</t>
        </r>
      </text>
    </comment>
    <comment ref="AN100" authorId="1">
      <text>
        <r>
          <rPr>
            <sz val="9"/>
            <color indexed="81"/>
            <rFont val="Tahoma"/>
            <family val="2"/>
          </rPr>
          <t>Includes Mazda</t>
        </r>
      </text>
    </comment>
    <comment ref="AO100" authorId="1">
      <text>
        <r>
          <rPr>
            <sz val="9"/>
            <color indexed="81"/>
            <rFont val="Tahoma"/>
            <family val="2"/>
          </rPr>
          <t>Includes Mazda</t>
        </r>
      </text>
    </comment>
    <comment ref="AP100" authorId="1">
      <text>
        <r>
          <rPr>
            <sz val="9"/>
            <color indexed="81"/>
            <rFont val="Tahoma"/>
            <family val="2"/>
          </rPr>
          <t>Includes Mazda</t>
        </r>
      </text>
    </comment>
    <comment ref="AQ100" authorId="1">
      <text>
        <r>
          <rPr>
            <sz val="9"/>
            <color indexed="81"/>
            <rFont val="Tahoma"/>
            <family val="2"/>
          </rPr>
          <t>Includes Mazda</t>
        </r>
      </text>
    </comment>
    <comment ref="AS100" authorId="1">
      <text>
        <r>
          <rPr>
            <sz val="9"/>
            <color indexed="81"/>
            <rFont val="Tahoma"/>
            <family val="2"/>
          </rPr>
          <t>Includes Mazda</t>
        </r>
      </text>
    </comment>
    <comment ref="AT100" authorId="1">
      <text>
        <r>
          <rPr>
            <sz val="9"/>
            <color indexed="81"/>
            <rFont val="Tahoma"/>
            <family val="2"/>
          </rPr>
          <t>Includes Mazda</t>
        </r>
      </text>
    </comment>
    <comment ref="AU100" authorId="1">
      <text>
        <r>
          <rPr>
            <sz val="9"/>
            <color indexed="81"/>
            <rFont val="Tahoma"/>
            <family val="2"/>
          </rPr>
          <t>Includes Mazda</t>
        </r>
      </text>
    </comment>
    <comment ref="AV100" authorId="1">
      <text>
        <r>
          <rPr>
            <sz val="9"/>
            <color indexed="81"/>
            <rFont val="Tahoma"/>
            <family val="2"/>
          </rPr>
          <t>Includes Mazda</t>
        </r>
      </text>
    </comment>
    <comment ref="AX100" authorId="1">
      <text>
        <r>
          <rPr>
            <sz val="9"/>
            <color indexed="81"/>
            <rFont val="Tahoma"/>
            <family val="2"/>
          </rPr>
          <t>Includes Mazda: $49mn</t>
        </r>
      </text>
    </comment>
    <comment ref="AY100" authorId="1">
      <text>
        <r>
          <rPr>
            <sz val="9"/>
            <color indexed="81"/>
            <rFont val="Tahoma"/>
            <family val="2"/>
          </rPr>
          <t>Includes Mazda: $111mn</t>
        </r>
      </text>
    </comment>
    <comment ref="AZ100" authorId="1">
      <text>
        <r>
          <rPr>
            <sz val="9"/>
            <color indexed="81"/>
            <rFont val="Tahoma"/>
            <family val="2"/>
          </rPr>
          <t>Includes Mazda: $1mn</t>
        </r>
      </text>
    </comment>
    <comment ref="BA100" authorId="1">
      <text>
        <r>
          <rPr>
            <sz val="9"/>
            <color indexed="81"/>
            <rFont val="Tahoma"/>
            <family val="2"/>
          </rPr>
          <t>Includes Mazda: $105mn</t>
        </r>
      </text>
    </comment>
    <comment ref="BC102" authorId="1">
      <text>
        <r>
          <rPr>
            <sz val="9"/>
            <color indexed="81"/>
            <rFont val="Tahoma"/>
            <family val="2"/>
          </rPr>
          <t xml:space="preserve">$2mn: Jaguar Land Rover
</t>
        </r>
      </text>
    </comment>
    <comment ref="BD102" authorId="1">
      <text>
        <r>
          <rPr>
            <sz val="9"/>
            <color indexed="81"/>
            <rFont val="Tahoma"/>
            <family val="2"/>
          </rPr>
          <t xml:space="preserve">$5mn: Jaguar Land Rover
</t>
        </r>
      </text>
    </comment>
    <comment ref="BF102" authorId="1">
      <text>
        <r>
          <rPr>
            <sz val="9"/>
            <color indexed="81"/>
            <rFont val="Tahoma"/>
            <family val="2"/>
          </rPr>
          <t xml:space="preserve">$3mn: Jaguar Land Rover
</t>
        </r>
      </text>
    </comment>
    <comment ref="BW122" authorId="3">
      <text>
        <r>
          <rPr>
            <b/>
            <sz val="8"/>
            <color indexed="81"/>
            <rFont val="Tahoma"/>
            <family val="2"/>
          </rPr>
          <t>Yejay Ying:</t>
        </r>
        <r>
          <rPr>
            <sz val="8"/>
            <color indexed="81"/>
            <rFont val="Tahoma"/>
            <family val="2"/>
          </rPr>
          <t xml:space="preserve">
US Industry +$300mm
US Share +$300mm
Stocks +$300mm</t>
        </r>
      </text>
    </comment>
    <comment ref="BX122" authorId="3">
      <text>
        <r>
          <rPr>
            <b/>
            <sz val="8"/>
            <color indexed="81"/>
            <rFont val="Tahoma"/>
            <family val="2"/>
          </rPr>
          <t>Yejay Ying:</t>
        </r>
        <r>
          <rPr>
            <sz val="8"/>
            <color indexed="81"/>
            <rFont val="Tahoma"/>
            <family val="2"/>
          </rPr>
          <t xml:space="preserve">
US Industry +$500mm
US Share +$400mm
Stocks +$100mm</t>
        </r>
      </text>
    </comment>
    <comment ref="BY122" authorId="3">
      <text>
        <r>
          <rPr>
            <b/>
            <sz val="8"/>
            <color indexed="81"/>
            <rFont val="Tahoma"/>
            <family val="2"/>
          </rPr>
          <t>Yejay Ying:</t>
        </r>
        <r>
          <rPr>
            <sz val="8"/>
            <color indexed="81"/>
            <rFont val="Tahoma"/>
            <family val="2"/>
          </rPr>
          <t xml:space="preserve">
US Industry +$500mm
US Share +$100mm
Stocks +$300mm</t>
        </r>
      </text>
    </comment>
    <comment ref="BZ122" authorId="3">
      <text>
        <r>
          <rPr>
            <b/>
            <sz val="8"/>
            <color indexed="81"/>
            <rFont val="Tahoma"/>
            <family val="2"/>
          </rPr>
          <t>Yejay Ying:</t>
        </r>
        <r>
          <rPr>
            <sz val="8"/>
            <color indexed="81"/>
            <rFont val="Tahoma"/>
            <family val="2"/>
          </rPr>
          <t xml:space="preserve">
US Industry +$300mm
US Share +$100mm
Stocks -$100mm</t>
        </r>
      </text>
    </comment>
    <comment ref="CA122" authorId="4">
      <text>
        <r>
          <rPr>
            <b/>
            <sz val="8"/>
            <color indexed="81"/>
            <rFont val="Tahoma"/>
            <family val="2"/>
          </rPr>
          <t>jonasa:</t>
        </r>
        <r>
          <rPr>
            <sz val="8"/>
            <color indexed="81"/>
            <rFont val="Tahoma"/>
            <family val="2"/>
          </rPr>
          <t xml:space="preserve">
ford expects +++ tailwinds.</t>
        </r>
      </text>
    </comment>
    <comment ref="CG122" authorId="5">
      <text>
        <r>
          <rPr>
            <b/>
            <sz val="9"/>
            <color indexed="81"/>
            <rFont val="Tahoma"/>
            <family val="2"/>
          </rPr>
          <t>Mehta, Neel (Research):</t>
        </r>
        <r>
          <rPr>
            <sz val="9"/>
            <color indexed="81"/>
            <rFont val="Tahoma"/>
            <family val="2"/>
          </rPr>
          <t xml:space="preserve">
F-150/Edge launches</t>
        </r>
      </text>
    </comment>
    <comment ref="BW123" authorId="4">
      <text>
        <r>
          <rPr>
            <b/>
            <sz val="8"/>
            <color indexed="81"/>
            <rFont val="Tahoma"/>
            <family val="2"/>
          </rPr>
          <t>jonasa:</t>
        </r>
        <r>
          <rPr>
            <sz val="8"/>
            <color indexed="81"/>
            <rFont val="Tahoma"/>
            <family val="2"/>
          </rPr>
          <t xml:space="preserve">
Mix / Other -$200mm
</t>
        </r>
      </text>
    </comment>
    <comment ref="BX123" authorId="4">
      <text>
        <r>
          <rPr>
            <b/>
            <sz val="8"/>
            <color indexed="81"/>
            <rFont val="Tahoma"/>
            <family val="2"/>
          </rPr>
          <t>jonasa:</t>
        </r>
        <r>
          <rPr>
            <sz val="8"/>
            <color indexed="81"/>
            <rFont val="Tahoma"/>
            <family val="2"/>
          </rPr>
          <t xml:space="preserve">
Mix / Other -$300mm
</t>
        </r>
      </text>
    </comment>
    <comment ref="BY123" authorId="4">
      <text>
        <r>
          <rPr>
            <b/>
            <sz val="8"/>
            <color indexed="81"/>
            <rFont val="Tahoma"/>
            <family val="2"/>
          </rPr>
          <t>jonasa:</t>
        </r>
        <r>
          <rPr>
            <sz val="8"/>
            <color indexed="81"/>
            <rFont val="Tahoma"/>
            <family val="2"/>
          </rPr>
          <t xml:space="preserve">
Mix / Other -$400mm
</t>
        </r>
      </text>
    </comment>
    <comment ref="BZ123" authorId="4">
      <text>
        <r>
          <rPr>
            <b/>
            <sz val="8"/>
            <color indexed="81"/>
            <rFont val="Tahoma"/>
            <family val="2"/>
          </rPr>
          <t>jonasa:</t>
        </r>
        <r>
          <rPr>
            <sz val="8"/>
            <color indexed="81"/>
            <rFont val="Tahoma"/>
            <family val="2"/>
          </rPr>
          <t xml:space="preserve">
Mix / Other -$100mm
</t>
        </r>
      </text>
    </comment>
    <comment ref="CA123" authorId="4">
      <text>
        <r>
          <rPr>
            <b/>
            <sz val="8"/>
            <color indexed="81"/>
            <rFont val="Tahoma"/>
            <family val="2"/>
          </rPr>
          <t>jonasa:</t>
        </r>
        <r>
          <rPr>
            <sz val="8"/>
            <color indexed="81"/>
            <rFont val="Tahoma"/>
            <family val="2"/>
          </rPr>
          <t xml:space="preserve">
Ford targets modest negative on higher sales of small/medium vehicles.</t>
        </r>
      </text>
    </comment>
    <comment ref="BW124" authorId="3">
      <text>
        <r>
          <rPr>
            <b/>
            <sz val="8"/>
            <color indexed="81"/>
            <rFont val="Tahoma"/>
            <family val="2"/>
          </rPr>
          <t>Yejay Ying:</t>
        </r>
        <r>
          <rPr>
            <sz val="8"/>
            <color indexed="81"/>
            <rFont val="Tahoma"/>
            <family val="2"/>
          </rPr>
          <t xml:space="preserve">
Pricing +$600mm
Incentives -$300mm</t>
        </r>
      </text>
    </comment>
    <comment ref="BX124" authorId="3">
      <text>
        <r>
          <rPr>
            <b/>
            <sz val="8"/>
            <color indexed="81"/>
            <rFont val="Tahoma"/>
            <family val="2"/>
          </rPr>
          <t>Yejay Ying:</t>
        </r>
        <r>
          <rPr>
            <sz val="8"/>
            <color indexed="81"/>
            <rFont val="Tahoma"/>
            <family val="2"/>
          </rPr>
          <t xml:space="preserve">
Net pricing: +$100mm</t>
        </r>
      </text>
    </comment>
    <comment ref="BY124" authorId="3">
      <text>
        <r>
          <rPr>
            <b/>
            <sz val="8"/>
            <color indexed="81"/>
            <rFont val="Tahoma"/>
            <family val="2"/>
          </rPr>
          <t>Yejay Ying:</t>
        </r>
        <r>
          <rPr>
            <sz val="8"/>
            <color indexed="81"/>
            <rFont val="Tahoma"/>
            <family val="2"/>
          </rPr>
          <t xml:space="preserve">
Net Pricing +$100mm</t>
        </r>
      </text>
    </comment>
    <comment ref="BZ124" authorId="3">
      <text>
        <r>
          <rPr>
            <b/>
            <sz val="8"/>
            <color indexed="81"/>
            <rFont val="Tahoma"/>
            <family val="2"/>
          </rPr>
          <t>Yejay Ying:</t>
        </r>
        <r>
          <rPr>
            <sz val="8"/>
            <color indexed="81"/>
            <rFont val="Tahoma"/>
            <family val="2"/>
          </rPr>
          <t xml:space="preserve">
Net pricing: +$100mm</t>
        </r>
      </text>
    </comment>
    <comment ref="CA124" authorId="4">
      <text>
        <r>
          <rPr>
            <b/>
            <sz val="8"/>
            <color indexed="81"/>
            <rFont val="Tahoma"/>
            <family val="2"/>
          </rPr>
          <t>jonasa:</t>
        </r>
        <r>
          <rPr>
            <sz val="8"/>
            <color indexed="81"/>
            <rFont val="Tahoma"/>
            <family val="2"/>
          </rPr>
          <t xml:space="preserve">
Ford targeting positive pricing.</t>
        </r>
      </text>
    </comment>
    <comment ref="BW125" authorId="3">
      <text>
        <r>
          <rPr>
            <b/>
            <sz val="8"/>
            <color indexed="81"/>
            <rFont val="Tahoma"/>
            <family val="2"/>
          </rPr>
          <t>Yejay Ying:</t>
        </r>
        <r>
          <rPr>
            <sz val="8"/>
            <color indexed="81"/>
            <rFont val="Tahoma"/>
            <family val="2"/>
          </rPr>
          <t xml:space="preserve">
Mfg. / Engineering 
-$300mm
Advert. &amp; Sales Promo 
-$100mm</t>
        </r>
      </text>
    </comment>
    <comment ref="BX125" authorId="3">
      <text>
        <r>
          <rPr>
            <b/>
            <sz val="8"/>
            <color indexed="81"/>
            <rFont val="Tahoma"/>
            <family val="2"/>
          </rPr>
          <t>Yejay Ying:</t>
        </r>
        <r>
          <rPr>
            <sz val="8"/>
            <color indexed="81"/>
            <rFont val="Tahoma"/>
            <family val="2"/>
          </rPr>
          <t xml:space="preserve">
Mfg. / Engineering 
-$100mm</t>
        </r>
      </text>
    </comment>
    <comment ref="BY125" authorId="3">
      <text>
        <r>
          <rPr>
            <b/>
            <sz val="8"/>
            <color indexed="81"/>
            <rFont val="Tahoma"/>
            <family val="2"/>
          </rPr>
          <t>Yejay Ying:</t>
        </r>
        <r>
          <rPr>
            <sz val="8"/>
            <color indexed="81"/>
            <rFont val="Tahoma"/>
            <family val="2"/>
          </rPr>
          <t xml:space="preserve">
Mfg. / Engineering 
-$200mm
Contribution Cost 
-$100mm</t>
        </r>
      </text>
    </comment>
    <comment ref="BZ125" authorId="3">
      <text>
        <r>
          <rPr>
            <b/>
            <sz val="8"/>
            <color indexed="81"/>
            <rFont val="Tahoma"/>
            <family val="2"/>
          </rPr>
          <t>Yejay Ying:</t>
        </r>
        <r>
          <rPr>
            <sz val="8"/>
            <color indexed="81"/>
            <rFont val="Tahoma"/>
            <family val="2"/>
          </rPr>
          <t xml:space="preserve">
Mfg. / Engineering 
-$100mm
Admin. &amp; Selling / Other 
-$100mm</t>
        </r>
      </text>
    </comment>
    <comment ref="CA125" authorId="4">
      <text>
        <r>
          <rPr>
            <b/>
            <sz val="8"/>
            <color indexed="81"/>
            <rFont val="Tahoma"/>
            <family val="2"/>
          </rPr>
          <t>jonasa:</t>
        </r>
        <r>
          <rPr>
            <sz val="8"/>
            <color indexed="81"/>
            <rFont val="Tahoma"/>
            <family val="2"/>
          </rPr>
          <t xml:space="preserve">
Ford targeting higher structural costs.</t>
        </r>
      </text>
    </comment>
    <comment ref="CC125" authorId="4">
      <text>
        <r>
          <rPr>
            <b/>
            <sz val="8"/>
            <color indexed="81"/>
            <rFont val="Tahoma"/>
            <family val="2"/>
          </rPr>
          <t>jonasa:</t>
        </r>
        <r>
          <rPr>
            <sz val="8"/>
            <color indexed="81"/>
            <rFont val="Tahoma"/>
            <family val="2"/>
          </rPr>
          <t xml:space="preserve">
added disruption for F-150</t>
        </r>
      </text>
    </comment>
    <comment ref="CG125" authorId="5">
      <text>
        <r>
          <rPr>
            <b/>
            <sz val="9"/>
            <color indexed="81"/>
            <rFont val="Tahoma"/>
            <family val="2"/>
          </rPr>
          <t>Mehta, Neel (Research):</t>
        </r>
        <r>
          <rPr>
            <sz val="9"/>
            <color indexed="81"/>
            <rFont val="Tahoma"/>
            <family val="2"/>
          </rPr>
          <t xml:space="preserve">
</t>
        </r>
      </text>
    </comment>
    <comment ref="CI125" authorId="5">
      <text>
        <r>
          <rPr>
            <b/>
            <sz val="9"/>
            <color indexed="81"/>
            <rFont val="Tahoma"/>
            <family val="2"/>
          </rPr>
          <t>Mehta, Neel (Research):</t>
        </r>
        <r>
          <rPr>
            <sz val="9"/>
            <color indexed="81"/>
            <rFont val="Tahoma"/>
            <family val="2"/>
          </rPr>
          <t xml:space="preserve">
Structural Cost</t>
        </r>
      </text>
    </comment>
    <comment ref="CQ125" authorId="6">
      <text>
        <r>
          <rPr>
            <b/>
            <sz val="9"/>
            <color indexed="81"/>
            <rFont val="Tahoma"/>
            <family val="2"/>
          </rPr>
          <t>Gupte, Vaibhav (Research):</t>
        </r>
        <r>
          <rPr>
            <sz val="9"/>
            <color indexed="81"/>
            <rFont val="Tahoma"/>
            <family val="2"/>
          </rPr>
          <t xml:space="preserve">
Structural cost and Warrenty and freight</t>
        </r>
      </text>
    </comment>
    <comment ref="BW126" authorId="3">
      <text>
        <r>
          <rPr>
            <b/>
            <sz val="8"/>
            <color indexed="81"/>
            <rFont val="Tahoma"/>
            <family val="2"/>
          </rPr>
          <t>Yejay Ying:</t>
        </r>
        <r>
          <rPr>
            <sz val="8"/>
            <color indexed="81"/>
            <rFont val="Tahoma"/>
            <family val="2"/>
          </rPr>
          <t xml:space="preserve">
Commodities incl. hedge
-$200mm
</t>
        </r>
      </text>
    </comment>
    <comment ref="BX126" authorId="3">
      <text>
        <r>
          <rPr>
            <b/>
            <sz val="8"/>
            <color indexed="81"/>
            <rFont val="Tahoma"/>
            <family val="2"/>
          </rPr>
          <t>Yejay Ying:</t>
        </r>
        <r>
          <rPr>
            <sz val="8"/>
            <color indexed="81"/>
            <rFont val="Tahoma"/>
            <family val="2"/>
          </rPr>
          <t xml:space="preserve">
Commodities incl. hedge
-$100mm
</t>
        </r>
      </text>
    </comment>
    <comment ref="BZ126" authorId="3">
      <text>
        <r>
          <rPr>
            <b/>
            <sz val="8"/>
            <color indexed="81"/>
            <rFont val="Tahoma"/>
            <family val="2"/>
          </rPr>
          <t>Yejay Ying:</t>
        </r>
        <r>
          <rPr>
            <sz val="8"/>
            <color indexed="81"/>
            <rFont val="Tahoma"/>
            <family val="2"/>
          </rPr>
          <t xml:space="preserve">
Commodities incl. hedge
+$100mm
Material Excl. Commod
+$200mm</t>
        </r>
      </text>
    </comment>
    <comment ref="CA126" authorId="4">
      <text>
        <r>
          <rPr>
            <b/>
            <sz val="8"/>
            <color indexed="81"/>
            <rFont val="Tahoma"/>
            <family val="2"/>
          </rPr>
          <t>jonasa:</t>
        </r>
        <r>
          <rPr>
            <sz val="8"/>
            <color indexed="81"/>
            <rFont val="Tahoma"/>
            <family val="2"/>
          </rPr>
          <t xml:space="preserve">
Ford targeting flat YoY</t>
        </r>
      </text>
    </comment>
    <comment ref="CG126" authorId="5">
      <text>
        <r>
          <rPr>
            <b/>
            <sz val="9"/>
            <color indexed="81"/>
            <rFont val="Tahoma"/>
            <family val="2"/>
          </rPr>
          <t>Mehta, Neel (Research):</t>
        </r>
        <r>
          <rPr>
            <sz val="9"/>
            <color indexed="81"/>
            <rFont val="Tahoma"/>
            <family val="2"/>
          </rPr>
          <t xml:space="preserve">
Materials -$630mm, commodities +$31mm
</t>
        </r>
      </text>
    </comment>
    <comment ref="CH126" authorId="5">
      <text>
        <r>
          <rPr>
            <b/>
            <sz val="9"/>
            <color indexed="81"/>
            <rFont val="Tahoma"/>
            <family val="2"/>
          </rPr>
          <t>Mehta, Neel (Research):</t>
        </r>
        <r>
          <rPr>
            <sz val="9"/>
            <color indexed="81"/>
            <rFont val="Tahoma"/>
            <family val="2"/>
          </rPr>
          <t xml:space="preserve">
Mostly material headwinds, offset by $109mm in commodities</t>
        </r>
      </text>
    </comment>
    <comment ref="CI126" authorId="5">
      <text>
        <r>
          <rPr>
            <b/>
            <sz val="9"/>
            <color indexed="81"/>
            <rFont val="Tahoma"/>
            <family val="2"/>
          </rPr>
          <t>Mehta, Neel (Research):</t>
        </r>
        <r>
          <rPr>
            <sz val="9"/>
            <color indexed="81"/>
            <rFont val="Tahoma"/>
            <family val="2"/>
          </rPr>
          <t xml:space="preserve">
Contribution cost</t>
        </r>
      </text>
    </comment>
    <comment ref="CJ126" authorId="5">
      <text>
        <r>
          <rPr>
            <b/>
            <sz val="9"/>
            <color indexed="81"/>
            <rFont val="Tahoma"/>
            <family val="2"/>
          </rPr>
          <t>Mehta, Neel (Research):</t>
        </r>
        <r>
          <rPr>
            <sz val="9"/>
            <color indexed="81"/>
            <rFont val="Tahoma"/>
            <family val="2"/>
          </rPr>
          <t xml:space="preserve">
Materials 936mm unfavorable, commodities $383mm favorable.</t>
        </r>
      </text>
    </comment>
    <comment ref="CU127" authorId="5">
      <text>
        <r>
          <rPr>
            <b/>
            <sz val="9"/>
            <color indexed="81"/>
            <rFont val="Tahoma"/>
            <family val="2"/>
          </rPr>
          <t>Mehta, Neel (Research):</t>
        </r>
        <r>
          <rPr>
            <sz val="9"/>
            <color indexed="81"/>
            <rFont val="Tahoma"/>
            <family val="2"/>
          </rPr>
          <t xml:space="preserve">
CAD/MXN</t>
        </r>
      </text>
    </comment>
    <comment ref="BW128" authorId="3">
      <text>
        <r>
          <rPr>
            <b/>
            <sz val="8"/>
            <color indexed="81"/>
            <rFont val="Tahoma"/>
            <family val="2"/>
          </rPr>
          <t>Yejay Ying:</t>
        </r>
        <r>
          <rPr>
            <sz val="8"/>
            <color indexed="81"/>
            <rFont val="Tahoma"/>
            <family val="2"/>
          </rPr>
          <t xml:space="preserve">
All other -$100mm
Other +$100mm
Pension / OPEB / Other -$100mm</t>
        </r>
      </text>
    </comment>
    <comment ref="BX128" authorId="3">
      <text>
        <r>
          <rPr>
            <b/>
            <sz val="8"/>
            <color indexed="81"/>
            <rFont val="Tahoma"/>
            <family val="2"/>
          </rPr>
          <t>Yejay Ying:</t>
        </r>
        <r>
          <rPr>
            <sz val="8"/>
            <color indexed="81"/>
            <rFont val="Tahoma"/>
            <family val="2"/>
          </rPr>
          <t xml:space="preserve">
Other -$100mm
Pension / OPEB / Other -$100mm
Warranty / Freight -$100mm</t>
        </r>
      </text>
    </comment>
    <comment ref="BY128" authorId="3">
      <text>
        <r>
          <rPr>
            <b/>
            <sz val="8"/>
            <color indexed="81"/>
            <rFont val="Tahoma"/>
            <family val="2"/>
          </rPr>
          <t>Yejay Ying:</t>
        </r>
        <r>
          <rPr>
            <sz val="8"/>
            <color indexed="81"/>
            <rFont val="Tahoma"/>
            <family val="2"/>
          </rPr>
          <t xml:space="preserve">
All other -$200mm
Pension / OPEB / Other -$100mm</t>
        </r>
      </text>
    </comment>
    <comment ref="BZ128" authorId="3">
      <text>
        <r>
          <rPr>
            <b/>
            <sz val="8"/>
            <color indexed="81"/>
            <rFont val="Tahoma"/>
            <family val="2"/>
          </rPr>
          <t>Yejay Ying:</t>
        </r>
        <r>
          <rPr>
            <sz val="8"/>
            <color indexed="81"/>
            <rFont val="Tahoma"/>
            <family val="2"/>
          </rPr>
          <t xml:space="preserve">
All Other -$100mm
Warranty / Freight -$300mm</t>
        </r>
      </text>
    </comment>
    <comment ref="CA128" authorId="4">
      <text>
        <r>
          <rPr>
            <b/>
            <sz val="8"/>
            <color indexed="81"/>
            <rFont val="Tahoma"/>
            <family val="2"/>
          </rPr>
          <t>jonasa:</t>
        </r>
        <r>
          <rPr>
            <sz val="8"/>
            <color indexed="81"/>
            <rFont val="Tahoma"/>
            <family val="2"/>
          </rPr>
          <t xml:space="preserve">
Ford targets higher OPEB, pension and depreciation creep. </t>
        </r>
      </text>
    </comment>
    <comment ref="CF128" authorId="4">
      <text>
        <r>
          <rPr>
            <b/>
            <sz val="8"/>
            <color indexed="81"/>
            <rFont val="Tahoma"/>
            <family val="2"/>
          </rPr>
          <t>jonasa:</t>
        </r>
        <r>
          <rPr>
            <sz val="8"/>
            <color indexed="81"/>
            <rFont val="Tahoma"/>
            <family val="2"/>
          </rPr>
          <t xml:space="preserve">
costs for EPA</t>
        </r>
      </text>
    </comment>
    <comment ref="CJ128" authorId="5">
      <text>
        <r>
          <rPr>
            <b/>
            <sz val="9"/>
            <color indexed="81"/>
            <rFont val="Tahoma"/>
            <family val="2"/>
          </rPr>
          <t>Mehta, Neel (Research):</t>
        </r>
        <r>
          <rPr>
            <sz val="9"/>
            <color indexed="81"/>
            <rFont val="Tahoma"/>
            <family val="2"/>
          </rPr>
          <t xml:space="preserve">
Ratification bonus of 452mm</t>
        </r>
      </text>
    </comment>
    <comment ref="BW129" authorId="4">
      <text>
        <r>
          <rPr>
            <b/>
            <sz val="8"/>
            <color indexed="81"/>
            <rFont val="Tahoma"/>
            <family val="2"/>
          </rPr>
          <t>jonasa:</t>
        </r>
        <r>
          <rPr>
            <sz val="8"/>
            <color indexed="81"/>
            <rFont val="Tahoma"/>
            <family val="2"/>
          </rPr>
          <t xml:space="preserve">
Ford expects continued strong results for 1Q.</t>
        </r>
      </text>
    </comment>
    <comment ref="BX129" authorId="4">
      <text>
        <r>
          <rPr>
            <b/>
            <sz val="8"/>
            <color indexed="81"/>
            <rFont val="Tahoma"/>
            <family val="2"/>
          </rPr>
          <t>jonasa:</t>
        </r>
        <r>
          <rPr>
            <sz val="8"/>
            <color indexed="81"/>
            <rFont val="Tahoma"/>
            <family val="2"/>
          </rPr>
          <t xml:space="preserve">
Ford expects continued strong results for 1Q.</t>
        </r>
      </text>
    </comment>
    <comment ref="BY129" authorId="4">
      <text>
        <r>
          <rPr>
            <b/>
            <sz val="8"/>
            <color indexed="81"/>
            <rFont val="Tahoma"/>
            <family val="2"/>
          </rPr>
          <t>jonasa:</t>
        </r>
        <r>
          <rPr>
            <sz val="8"/>
            <color indexed="81"/>
            <rFont val="Tahoma"/>
            <family val="2"/>
          </rPr>
          <t xml:space="preserve">
Ford expects continued strong results for 1Q.</t>
        </r>
      </text>
    </comment>
    <comment ref="BZ129" authorId="4">
      <text>
        <r>
          <rPr>
            <b/>
            <sz val="8"/>
            <color indexed="81"/>
            <rFont val="Tahoma"/>
            <family val="2"/>
          </rPr>
          <t>jonasa:</t>
        </r>
        <r>
          <rPr>
            <sz val="8"/>
            <color indexed="81"/>
            <rFont val="Tahoma"/>
            <family val="2"/>
          </rPr>
          <t xml:space="preserve">
Ford expects continued strong results for 1Q.</t>
        </r>
      </text>
    </comment>
    <comment ref="CA129" authorId="4">
      <text>
        <r>
          <rPr>
            <b/>
            <sz val="8"/>
            <color indexed="81"/>
            <rFont val="Tahoma"/>
            <family val="2"/>
          </rPr>
          <t>jonasa:</t>
        </r>
        <r>
          <rPr>
            <sz val="8"/>
            <color indexed="81"/>
            <rFont val="Tahoma"/>
            <family val="2"/>
          </rPr>
          <t xml:space="preserve">
guide for higher profit 10% margin.</t>
        </r>
      </text>
    </comment>
    <comment ref="CF129" authorId="4">
      <text>
        <r>
          <rPr>
            <b/>
            <sz val="8"/>
            <color indexed="81"/>
            <rFont val="Tahoma"/>
            <family val="2"/>
          </rPr>
          <t>jonasa:</t>
        </r>
        <r>
          <rPr>
            <sz val="8"/>
            <color indexed="81"/>
            <rFont val="Tahoma"/>
            <family val="2"/>
          </rPr>
          <t xml:space="preserve">
target is lower profit but 8 to 9% margin.  2H margins lower than 1H.</t>
        </r>
      </text>
    </comment>
    <comment ref="CU129" authorId="0">
      <text>
        <r>
          <rPr>
            <b/>
            <sz val="9"/>
            <color indexed="81"/>
            <rFont val="Tahoma"/>
            <family val="2"/>
          </rPr>
          <t>Jonas, Adam (Research):</t>
        </r>
        <r>
          <rPr>
            <sz val="9"/>
            <color indexed="81"/>
            <rFont val="Tahoma"/>
            <family val="2"/>
          </rPr>
          <t xml:space="preserve">
target &lt;$9bn</t>
        </r>
      </text>
    </comment>
    <comment ref="BW138" authorId="3">
      <text>
        <r>
          <rPr>
            <b/>
            <sz val="8"/>
            <color indexed="81"/>
            <rFont val="Tahoma"/>
            <family val="2"/>
          </rPr>
          <t>Yejay Ying:</t>
        </r>
        <r>
          <rPr>
            <sz val="8"/>
            <color indexed="81"/>
            <rFont val="Tahoma"/>
            <family val="2"/>
          </rPr>
          <t xml:space="preserve">
Industry -$18mm
Share -$26mm
Stock -$16mm</t>
        </r>
      </text>
    </comment>
    <comment ref="BX138" authorId="3">
      <text>
        <r>
          <rPr>
            <b/>
            <sz val="8"/>
            <color indexed="81"/>
            <rFont val="Tahoma"/>
            <family val="2"/>
          </rPr>
          <t>Yejay Ying:</t>
        </r>
        <r>
          <rPr>
            <sz val="8"/>
            <color indexed="81"/>
            <rFont val="Tahoma"/>
            <family val="2"/>
          </rPr>
          <t xml:space="preserve">
Industry +$27mm
Share -$30mm
Stock +$45mm</t>
        </r>
      </text>
    </comment>
    <comment ref="BY138" authorId="3">
      <text>
        <r>
          <rPr>
            <b/>
            <sz val="8"/>
            <color indexed="81"/>
            <rFont val="Tahoma"/>
            <family val="2"/>
          </rPr>
          <t>Yejay Ying:</t>
        </r>
        <r>
          <rPr>
            <sz val="8"/>
            <color indexed="81"/>
            <rFont val="Tahoma"/>
            <family val="2"/>
          </rPr>
          <t xml:space="preserve">
Industry -$30mm
Share +$41mm
Stock +$69mm</t>
        </r>
      </text>
    </comment>
    <comment ref="BZ138" authorId="3">
      <text>
        <r>
          <rPr>
            <b/>
            <sz val="8"/>
            <color indexed="81"/>
            <rFont val="Tahoma"/>
            <family val="2"/>
          </rPr>
          <t>Yejay Ying:</t>
        </r>
        <r>
          <rPr>
            <sz val="8"/>
            <color indexed="81"/>
            <rFont val="Tahoma"/>
            <family val="2"/>
          </rPr>
          <t xml:space="preserve">
Industry -$53mm
Share -$13mm
Stock -$59mm</t>
        </r>
      </text>
    </comment>
    <comment ref="CA138" authorId="4">
      <text>
        <r>
          <rPr>
            <b/>
            <sz val="8"/>
            <color indexed="81"/>
            <rFont val="Tahoma"/>
            <family val="2"/>
          </rPr>
          <t>jonasa:</t>
        </r>
        <r>
          <rPr>
            <sz val="8"/>
            <color indexed="81"/>
            <rFont val="Tahoma"/>
            <family val="2"/>
          </rPr>
          <t xml:space="preserve">
Ford target sig higher volume.</t>
        </r>
      </text>
    </comment>
    <comment ref="BW140" authorId="3">
      <text>
        <r>
          <rPr>
            <b/>
            <sz val="8"/>
            <color indexed="81"/>
            <rFont val="Tahoma"/>
            <family val="2"/>
          </rPr>
          <t>Yejay Ying:</t>
        </r>
        <r>
          <rPr>
            <sz val="8"/>
            <color indexed="81"/>
            <rFont val="Tahoma"/>
            <family val="2"/>
          </rPr>
          <t xml:space="preserve">
Net Pricing +$204</t>
        </r>
      </text>
    </comment>
    <comment ref="BX140" authorId="3">
      <text>
        <r>
          <rPr>
            <b/>
            <sz val="8"/>
            <color indexed="81"/>
            <rFont val="Tahoma"/>
            <family val="2"/>
          </rPr>
          <t>Yejay Ying:</t>
        </r>
        <r>
          <rPr>
            <sz val="8"/>
            <color indexed="81"/>
            <rFont val="Tahoma"/>
            <family val="2"/>
          </rPr>
          <t xml:space="preserve">
Pricing +$322
Incentives +$59mm</t>
        </r>
      </text>
    </comment>
    <comment ref="BY140" authorId="3">
      <text>
        <r>
          <rPr>
            <b/>
            <sz val="8"/>
            <color indexed="81"/>
            <rFont val="Tahoma"/>
            <family val="2"/>
          </rPr>
          <t>Yejay Ying:</t>
        </r>
        <r>
          <rPr>
            <sz val="8"/>
            <color indexed="81"/>
            <rFont val="Tahoma"/>
            <family val="2"/>
          </rPr>
          <t xml:space="preserve">
Pricing +$413
Incentives +$20</t>
        </r>
      </text>
    </comment>
    <comment ref="BZ140" authorId="3">
      <text>
        <r>
          <rPr>
            <b/>
            <sz val="8"/>
            <color indexed="81"/>
            <rFont val="Tahoma"/>
            <family val="2"/>
          </rPr>
          <t>Yejay Ying:</t>
        </r>
        <r>
          <rPr>
            <sz val="8"/>
            <color indexed="81"/>
            <rFont val="Tahoma"/>
            <family val="2"/>
          </rPr>
          <t xml:space="preserve">
Pricing +$355
Incentives -$4</t>
        </r>
      </text>
    </comment>
    <comment ref="BW141" authorId="3">
      <text>
        <r>
          <rPr>
            <b/>
            <sz val="8"/>
            <color indexed="81"/>
            <rFont val="Tahoma"/>
            <family val="2"/>
          </rPr>
          <t>Yejay Ying:</t>
        </r>
        <r>
          <rPr>
            <sz val="8"/>
            <color indexed="81"/>
            <rFont val="Tahoma"/>
            <family val="2"/>
          </rPr>
          <t xml:space="preserve">
Other Cost -$91mm</t>
        </r>
      </text>
    </comment>
    <comment ref="BX141" authorId="3">
      <text>
        <r>
          <rPr>
            <b/>
            <sz val="8"/>
            <color indexed="81"/>
            <rFont val="Tahoma"/>
            <family val="2"/>
          </rPr>
          <t>Yejay Ying:</t>
        </r>
        <r>
          <rPr>
            <sz val="8"/>
            <color indexed="81"/>
            <rFont val="Tahoma"/>
            <family val="2"/>
          </rPr>
          <t xml:space="preserve">
Other Cost -$87mm</t>
        </r>
      </text>
    </comment>
    <comment ref="BY141" authorId="3">
      <text>
        <r>
          <rPr>
            <b/>
            <sz val="8"/>
            <color indexed="81"/>
            <rFont val="Tahoma"/>
            <family val="2"/>
          </rPr>
          <t>Yejay Ying:</t>
        </r>
        <r>
          <rPr>
            <sz val="8"/>
            <color indexed="81"/>
            <rFont val="Tahoma"/>
            <family val="2"/>
          </rPr>
          <t xml:space="preserve">
Warranty/Freight -$25mm</t>
        </r>
      </text>
    </comment>
    <comment ref="BZ141" authorId="3">
      <text>
        <r>
          <rPr>
            <b/>
            <sz val="8"/>
            <color indexed="81"/>
            <rFont val="Tahoma"/>
            <family val="2"/>
          </rPr>
          <t>Yejay Ying:</t>
        </r>
        <r>
          <rPr>
            <sz val="8"/>
            <color indexed="81"/>
            <rFont val="Tahoma"/>
            <family val="2"/>
          </rPr>
          <t xml:space="preserve">
Contribution cost -$156mm</t>
        </r>
      </text>
    </comment>
    <comment ref="CA141" authorId="4">
      <text>
        <r>
          <rPr>
            <b/>
            <sz val="8"/>
            <color indexed="81"/>
            <rFont val="Tahoma"/>
            <family val="2"/>
          </rPr>
          <t>jonasa:</t>
        </r>
        <r>
          <rPr>
            <sz val="8"/>
            <color indexed="81"/>
            <rFont val="Tahoma"/>
            <family val="2"/>
          </rPr>
          <t xml:space="preserve">
target higher costs for labor inflation, product costs.  </t>
        </r>
      </text>
    </comment>
    <comment ref="BW142" authorId="3">
      <text>
        <r>
          <rPr>
            <b/>
            <sz val="8"/>
            <color indexed="81"/>
            <rFont val="Tahoma"/>
            <family val="2"/>
          </rPr>
          <t>Yejay Ying:</t>
        </r>
        <r>
          <rPr>
            <sz val="8"/>
            <color indexed="81"/>
            <rFont val="Tahoma"/>
            <family val="2"/>
          </rPr>
          <t xml:space="preserve">
Materials incl. commodities -$119mm</t>
        </r>
      </text>
    </comment>
    <comment ref="BX142" authorId="3">
      <text>
        <r>
          <rPr>
            <b/>
            <sz val="8"/>
            <color indexed="81"/>
            <rFont val="Tahoma"/>
            <family val="2"/>
          </rPr>
          <t>Yejay Ying:</t>
        </r>
        <r>
          <rPr>
            <sz val="8"/>
            <color indexed="81"/>
            <rFont val="Tahoma"/>
            <family val="2"/>
          </rPr>
          <t xml:space="preserve">
Materials incl. commodities -$207mm</t>
        </r>
      </text>
    </comment>
    <comment ref="BY142" authorId="3">
      <text>
        <r>
          <rPr>
            <b/>
            <sz val="8"/>
            <color indexed="81"/>
            <rFont val="Tahoma"/>
            <family val="2"/>
          </rPr>
          <t>Yejay Ying:</t>
        </r>
        <r>
          <rPr>
            <sz val="8"/>
            <color indexed="81"/>
            <rFont val="Tahoma"/>
            <family val="2"/>
          </rPr>
          <t xml:space="preserve">
Materials incl. commodities -$217mm</t>
        </r>
      </text>
    </comment>
    <comment ref="CA142" authorId="4">
      <text>
        <r>
          <rPr>
            <b/>
            <sz val="8"/>
            <color indexed="81"/>
            <rFont val="Tahoma"/>
            <family val="2"/>
          </rPr>
          <t>jonasa:</t>
        </r>
        <r>
          <rPr>
            <sz val="8"/>
            <color indexed="81"/>
            <rFont val="Tahoma"/>
            <family val="2"/>
          </rPr>
          <t xml:space="preserve">
Ford targets headwinds</t>
        </r>
      </text>
    </comment>
    <comment ref="CA143" authorId="4">
      <text>
        <r>
          <rPr>
            <b/>
            <sz val="8"/>
            <color indexed="81"/>
            <rFont val="Tahoma"/>
            <family val="2"/>
          </rPr>
          <t>jonasa:</t>
        </r>
        <r>
          <rPr>
            <sz val="8"/>
            <color indexed="81"/>
            <rFont val="Tahoma"/>
            <family val="2"/>
          </rPr>
          <t xml:space="preserve">
does not include an Argentinean deval.</t>
        </r>
      </text>
    </comment>
    <comment ref="CB143" authorId="4">
      <text>
        <r>
          <rPr>
            <b/>
            <sz val="8"/>
            <color indexed="81"/>
            <rFont val="Tahoma"/>
            <family val="2"/>
          </rPr>
          <t>jonasa:a $350m FX impact vs. prior year with similar amount.  Confimred in 8k.</t>
        </r>
      </text>
    </comment>
    <comment ref="CC143" authorId="4">
      <text>
        <r>
          <rPr>
            <b/>
            <sz val="8"/>
            <color indexed="81"/>
            <rFont val="Tahoma"/>
            <family val="2"/>
          </rPr>
          <t>jonasa:</t>
        </r>
        <r>
          <rPr>
            <sz val="8"/>
            <color indexed="81"/>
            <rFont val="Tahoma"/>
            <family val="2"/>
          </rPr>
          <t xml:space="preserve">
more FX on top of $350m 1Q</t>
        </r>
      </text>
    </comment>
    <comment ref="BW144" authorId="3">
      <text>
        <r>
          <rPr>
            <b/>
            <sz val="8"/>
            <color indexed="81"/>
            <rFont val="Tahoma"/>
            <family val="2"/>
          </rPr>
          <t>Yejay Ying:</t>
        </r>
        <r>
          <rPr>
            <sz val="8"/>
            <color indexed="81"/>
            <rFont val="Tahoma"/>
            <family val="2"/>
          </rPr>
          <t xml:space="preserve">
Other +$81mm
Warranty / Freight -$14mm
</t>
        </r>
      </text>
    </comment>
    <comment ref="BX144" authorId="3">
      <text>
        <r>
          <rPr>
            <b/>
            <sz val="8"/>
            <color indexed="81"/>
            <rFont val="Tahoma"/>
            <family val="2"/>
          </rPr>
          <t>Yejay Ying:</t>
        </r>
        <r>
          <rPr>
            <sz val="8"/>
            <color indexed="81"/>
            <rFont val="Tahoma"/>
            <family val="2"/>
          </rPr>
          <t xml:space="preserve">
Other +$-37mm
Warranty / Freight -$-53mm
</t>
        </r>
      </text>
    </comment>
    <comment ref="BY144" authorId="3">
      <text>
        <r>
          <rPr>
            <b/>
            <sz val="8"/>
            <color indexed="81"/>
            <rFont val="Tahoma"/>
            <family val="2"/>
          </rPr>
          <t>Yejay Ying:</t>
        </r>
        <r>
          <rPr>
            <sz val="8"/>
            <color indexed="81"/>
            <rFont val="Tahoma"/>
            <family val="2"/>
          </rPr>
          <t xml:space="preserve">
Other +$19mm
Other Cost -$127mm
</t>
        </r>
      </text>
    </comment>
    <comment ref="BZ144" authorId="3">
      <text>
        <r>
          <rPr>
            <b/>
            <sz val="8"/>
            <color indexed="81"/>
            <rFont val="Tahoma"/>
            <family val="2"/>
          </rPr>
          <t>Yejay Ying:</t>
        </r>
        <r>
          <rPr>
            <sz val="8"/>
            <color indexed="81"/>
            <rFont val="Tahoma"/>
            <family val="2"/>
          </rPr>
          <t xml:space="preserve">
Other +$37mm
Other Cost -$108mm
</t>
        </r>
      </text>
    </comment>
    <comment ref="CF144" authorId="4">
      <text>
        <r>
          <rPr>
            <b/>
            <sz val="8"/>
            <color indexed="81"/>
            <rFont val="Tahoma"/>
            <family val="2"/>
          </rPr>
          <t>jonasa:</t>
        </r>
        <r>
          <rPr>
            <sz val="8"/>
            <color indexed="81"/>
            <rFont val="Tahoma"/>
            <family val="2"/>
          </rPr>
          <t xml:space="preserve">
Bolivar, etc.</t>
        </r>
      </text>
    </comment>
    <comment ref="CA145" authorId="4">
      <text>
        <r>
          <rPr>
            <b/>
            <sz val="8"/>
            <color indexed="81"/>
            <rFont val="Tahoma"/>
            <family val="2"/>
          </rPr>
          <t>jonasa:</t>
        </r>
        <r>
          <rPr>
            <sz val="8"/>
            <color indexed="81"/>
            <rFont val="Tahoma"/>
            <family val="2"/>
          </rPr>
          <t xml:space="preserve">
guide for b-even to small profit.</t>
        </r>
      </text>
    </comment>
    <comment ref="CD145" authorId="4">
      <text>
        <r>
          <rPr>
            <b/>
            <sz val="8"/>
            <color indexed="81"/>
            <rFont val="Tahoma"/>
            <family val="2"/>
          </rPr>
          <t>jonasa:</t>
        </r>
        <r>
          <rPr>
            <sz val="8"/>
            <color indexed="81"/>
            <rFont val="Tahoma"/>
            <family val="2"/>
          </rPr>
          <t xml:space="preserve">
expects 2H at b-even to a loss.</t>
        </r>
      </text>
    </comment>
    <comment ref="CF145" authorId="4">
      <text>
        <r>
          <rPr>
            <b/>
            <sz val="8"/>
            <color indexed="81"/>
            <rFont val="Tahoma"/>
            <family val="2"/>
          </rPr>
          <t>jonasa:</t>
        </r>
        <r>
          <rPr>
            <sz val="8"/>
            <color indexed="81"/>
            <rFont val="Tahoma"/>
            <family val="2"/>
          </rPr>
          <t xml:space="preserve">
target is for a full year loss with 2Q to 4Q break-even or small loss.</t>
        </r>
      </text>
    </comment>
    <comment ref="CK145" authorId="0">
      <text>
        <r>
          <rPr>
            <b/>
            <sz val="9"/>
            <color indexed="81"/>
            <rFont val="Tahoma"/>
            <family val="2"/>
          </rPr>
          <t>Jonas, Adam (Research):</t>
        </r>
        <r>
          <rPr>
            <sz val="9"/>
            <color indexed="81"/>
            <rFont val="Tahoma"/>
            <family val="2"/>
          </rPr>
          <t xml:space="preserve">
substantial improvement.</t>
        </r>
      </text>
    </comment>
    <comment ref="BW154" authorId="3">
      <text>
        <r>
          <rPr>
            <b/>
            <sz val="8"/>
            <color indexed="81"/>
            <rFont val="Tahoma"/>
            <family val="2"/>
          </rPr>
          <t>Yejay Ying:</t>
        </r>
        <r>
          <rPr>
            <sz val="8"/>
            <color indexed="81"/>
            <rFont val="Tahoma"/>
            <family val="2"/>
          </rPr>
          <t xml:space="preserve">
Industry -$107mm
Share -$126mm
Stocks +$180mm</t>
        </r>
      </text>
    </comment>
    <comment ref="BX154" authorId="3">
      <text>
        <r>
          <rPr>
            <b/>
            <sz val="8"/>
            <color indexed="81"/>
            <rFont val="Tahoma"/>
            <family val="2"/>
          </rPr>
          <t>Yejay Ying:</t>
        </r>
        <r>
          <rPr>
            <sz val="8"/>
            <color indexed="81"/>
            <rFont val="Tahoma"/>
            <family val="2"/>
          </rPr>
          <t xml:space="preserve">
Industry -$14mm
Share +$34mm
Stocks +$148mm</t>
        </r>
      </text>
    </comment>
    <comment ref="BY154" authorId="3">
      <text>
        <r>
          <rPr>
            <b/>
            <sz val="8"/>
            <color indexed="81"/>
            <rFont val="Tahoma"/>
            <family val="2"/>
          </rPr>
          <t>Yejay Ying:</t>
        </r>
        <r>
          <rPr>
            <sz val="8"/>
            <color indexed="81"/>
            <rFont val="Tahoma"/>
            <family val="2"/>
          </rPr>
          <t xml:space="preserve">
Industry +$60mm
Share +$59mm
Stocks -$17mm</t>
        </r>
      </text>
    </comment>
    <comment ref="BZ154" authorId="3">
      <text>
        <r>
          <rPr>
            <b/>
            <sz val="8"/>
            <color indexed="81"/>
            <rFont val="Tahoma"/>
            <family val="2"/>
          </rPr>
          <t>Yejay Ying:</t>
        </r>
        <r>
          <rPr>
            <sz val="8"/>
            <color indexed="81"/>
            <rFont val="Tahoma"/>
            <family val="2"/>
          </rPr>
          <t xml:space="preserve">
Industry +$88mm
Share -$32mm
Stocks -$35mm</t>
        </r>
      </text>
    </comment>
    <comment ref="BW156" authorId="3">
      <text>
        <r>
          <rPr>
            <b/>
            <sz val="8"/>
            <color indexed="81"/>
            <rFont val="Tahoma"/>
            <family val="2"/>
          </rPr>
          <t>Yejay Ying:</t>
        </r>
        <r>
          <rPr>
            <sz val="8"/>
            <color indexed="81"/>
            <rFont val="Tahoma"/>
            <family val="2"/>
          </rPr>
          <t xml:space="preserve">
Net pricing -$26mm</t>
        </r>
      </text>
    </comment>
    <comment ref="BX156" authorId="3">
      <text>
        <r>
          <rPr>
            <b/>
            <sz val="8"/>
            <color indexed="81"/>
            <rFont val="Tahoma"/>
            <family val="2"/>
          </rPr>
          <t>Yejay Ying:</t>
        </r>
        <r>
          <rPr>
            <sz val="8"/>
            <color indexed="81"/>
            <rFont val="Tahoma"/>
            <family val="2"/>
          </rPr>
          <t xml:space="preserve">
Net pricing -$86mm</t>
        </r>
      </text>
    </comment>
    <comment ref="BY156" authorId="3">
      <text>
        <r>
          <rPr>
            <b/>
            <sz val="8"/>
            <color indexed="81"/>
            <rFont val="Tahoma"/>
            <family val="2"/>
          </rPr>
          <t>Yejay Ying:</t>
        </r>
        <r>
          <rPr>
            <sz val="8"/>
            <color indexed="81"/>
            <rFont val="Tahoma"/>
            <family val="2"/>
          </rPr>
          <t xml:space="preserve">
Net pricing +$28mm</t>
        </r>
      </text>
    </comment>
    <comment ref="BW157" authorId="3">
      <text>
        <r>
          <rPr>
            <b/>
            <sz val="8"/>
            <color indexed="81"/>
            <rFont val="Tahoma"/>
            <family val="2"/>
          </rPr>
          <t>Yejay Ying:</t>
        </r>
        <r>
          <rPr>
            <sz val="8"/>
            <color indexed="81"/>
            <rFont val="Tahoma"/>
            <family val="2"/>
          </rPr>
          <t xml:space="preserve">
Mfg. / Engineering -$18mm
Spending Related -$85mm
Advert. &amp; Sales Promo. -$54mm</t>
        </r>
      </text>
    </comment>
    <comment ref="BX157" authorId="3">
      <text>
        <r>
          <rPr>
            <b/>
            <sz val="8"/>
            <color indexed="81"/>
            <rFont val="Tahoma"/>
            <family val="2"/>
          </rPr>
          <t>Yejay Ying:</t>
        </r>
        <r>
          <rPr>
            <sz val="8"/>
            <color indexed="81"/>
            <rFont val="Tahoma"/>
            <family val="2"/>
          </rPr>
          <t xml:space="preserve">
Mfg. / Engineering -$25mm
Spending Related -$86mm</t>
        </r>
      </text>
    </comment>
    <comment ref="BY157" authorId="3">
      <text>
        <r>
          <rPr>
            <b/>
            <sz val="8"/>
            <color indexed="81"/>
            <rFont val="Tahoma"/>
            <family val="2"/>
          </rPr>
          <t>Yejay Ying:</t>
        </r>
        <r>
          <rPr>
            <sz val="8"/>
            <color indexed="81"/>
            <rFont val="Tahoma"/>
            <family val="2"/>
          </rPr>
          <t xml:space="preserve">
Contribution costs +$72mm</t>
        </r>
      </text>
    </comment>
    <comment ref="BZ157" authorId="3">
      <text>
        <r>
          <rPr>
            <b/>
            <sz val="8"/>
            <color indexed="81"/>
            <rFont val="Tahoma"/>
            <family val="2"/>
          </rPr>
          <t>Yejay Ying:</t>
        </r>
        <r>
          <rPr>
            <sz val="8"/>
            <color indexed="81"/>
            <rFont val="Tahoma"/>
            <family val="2"/>
          </rPr>
          <t xml:space="preserve">
Mfg. / Engineering -$136mm
Pension -$45mm
Admin &amp; Selling / other +$51mm
Contribution cost +$101mm</t>
        </r>
      </text>
    </comment>
    <comment ref="BW158" authorId="3">
      <text>
        <r>
          <rPr>
            <b/>
            <sz val="8"/>
            <color indexed="81"/>
            <rFont val="Tahoma"/>
            <family val="2"/>
          </rPr>
          <t>Yejay Ying:</t>
        </r>
        <r>
          <rPr>
            <sz val="8"/>
            <color indexed="81"/>
            <rFont val="Tahoma"/>
            <family val="2"/>
          </rPr>
          <t xml:space="preserve">
Material incl. commod. +$70mm</t>
        </r>
      </text>
    </comment>
    <comment ref="BX158" authorId="3">
      <text>
        <r>
          <rPr>
            <b/>
            <sz val="8"/>
            <color indexed="81"/>
            <rFont val="Tahoma"/>
            <family val="2"/>
          </rPr>
          <t>Yejay Ying:</t>
        </r>
        <r>
          <rPr>
            <sz val="8"/>
            <color indexed="81"/>
            <rFont val="Tahoma"/>
            <family val="2"/>
          </rPr>
          <t xml:space="preserve">
Material incl. commod. +$101mm</t>
        </r>
      </text>
    </comment>
    <comment ref="BW160" authorId="3">
      <text>
        <r>
          <rPr>
            <b/>
            <sz val="8"/>
            <color indexed="81"/>
            <rFont val="Tahoma"/>
            <family val="2"/>
          </rPr>
          <t>Yejay Ying:</t>
        </r>
        <r>
          <rPr>
            <sz val="8"/>
            <color indexed="81"/>
            <rFont val="Tahoma"/>
            <family val="2"/>
          </rPr>
          <t xml:space="preserve">
Pension/OPEB/Other -$41mm
All other +$1mm
Other -$88mm
Warrantty / Freight +$61mm</t>
        </r>
      </text>
    </comment>
    <comment ref="BX160" authorId="3">
      <text>
        <r>
          <rPr>
            <b/>
            <sz val="8"/>
            <color indexed="81"/>
            <rFont val="Tahoma"/>
            <family val="2"/>
          </rPr>
          <t>Yejay Ying:</t>
        </r>
        <r>
          <rPr>
            <sz val="8"/>
            <color indexed="81"/>
            <rFont val="Tahoma"/>
            <family val="2"/>
          </rPr>
          <t xml:space="preserve">
Pension/OPEB/Other -$57mm
All other +$3mm
Other -$27mm
Warrantty / Freight +$19mm</t>
        </r>
      </text>
    </comment>
    <comment ref="BY160" authorId="3">
      <text>
        <r>
          <rPr>
            <b/>
            <sz val="8"/>
            <color indexed="81"/>
            <rFont val="Tahoma"/>
            <family val="2"/>
          </rPr>
          <t>Yejay Ying:</t>
        </r>
        <r>
          <rPr>
            <sz val="8"/>
            <color indexed="81"/>
            <rFont val="Tahoma"/>
            <family val="2"/>
          </rPr>
          <t xml:space="preserve">
Other +$50mm
Other cost -$41mm</t>
        </r>
      </text>
    </comment>
    <comment ref="BZ160" authorId="3">
      <text>
        <r>
          <rPr>
            <b/>
            <sz val="8"/>
            <color indexed="81"/>
            <rFont val="Tahoma"/>
            <family val="2"/>
          </rPr>
          <t>Yejay Ying:</t>
        </r>
        <r>
          <rPr>
            <sz val="8"/>
            <color indexed="81"/>
            <rFont val="Tahoma"/>
            <family val="2"/>
          </rPr>
          <t xml:space="preserve">
Other +$98mm
Other cost -$50mm
</t>
        </r>
      </text>
    </comment>
    <comment ref="CA160" authorId="4">
      <text>
        <r>
          <rPr>
            <b/>
            <sz val="8"/>
            <color indexed="81"/>
            <rFont val="Tahoma"/>
            <family val="2"/>
          </rPr>
          <t>jonasa:</t>
        </r>
        <r>
          <rPr>
            <sz val="8"/>
            <color indexed="81"/>
            <rFont val="Tahoma"/>
            <family val="2"/>
          </rPr>
          <t xml:space="preserve">
includes $300m extra acclerated depreciation and other items.</t>
        </r>
      </text>
    </comment>
    <comment ref="CD160" authorId="4">
      <text>
        <r>
          <rPr>
            <b/>
            <sz val="8"/>
            <color indexed="81"/>
            <rFont val="Tahoma"/>
            <family val="2"/>
          </rPr>
          <t>jonasa:</t>
        </r>
        <r>
          <rPr>
            <sz val="8"/>
            <color indexed="81"/>
            <rFont val="Tahoma"/>
            <family val="2"/>
          </rPr>
          <t xml:space="preserve">
Russia</t>
        </r>
      </text>
    </comment>
    <comment ref="CE160" authorId="4">
      <text>
        <r>
          <rPr>
            <b/>
            <sz val="8"/>
            <color indexed="81"/>
            <rFont val="Tahoma"/>
            <family val="2"/>
          </rPr>
          <t>jonasa:</t>
        </r>
        <r>
          <rPr>
            <sz val="8"/>
            <color indexed="81"/>
            <rFont val="Tahoma"/>
            <family val="2"/>
          </rPr>
          <t xml:space="preserve">
Russia</t>
        </r>
      </text>
    </comment>
    <comment ref="CF160" authorId="4">
      <text>
        <r>
          <rPr>
            <b/>
            <sz val="8"/>
            <color indexed="81"/>
            <rFont val="Tahoma"/>
            <family val="2"/>
          </rPr>
          <t>jonasa:</t>
        </r>
        <r>
          <rPr>
            <sz val="8"/>
            <color indexed="81"/>
            <rFont val="Tahoma"/>
            <family val="2"/>
          </rPr>
          <t xml:space="preserve">
assumes $100m slight tail-wind of non-repeat of accleerated D&amp;A.</t>
        </r>
      </text>
    </comment>
    <comment ref="CK160" authorId="4">
      <text>
        <r>
          <rPr>
            <b/>
            <sz val="8"/>
            <color indexed="81"/>
            <rFont val="Tahoma"/>
            <family val="2"/>
          </rPr>
          <t>jonasa:</t>
        </r>
        <r>
          <rPr>
            <sz val="8"/>
            <color indexed="81"/>
            <rFont val="Tahoma"/>
            <family val="2"/>
          </rPr>
          <t xml:space="preserve">
assumes no more accelerated D&amp;A for a tailwind of $300m YoY.</t>
        </r>
      </text>
    </comment>
    <comment ref="CA162" authorId="4">
      <text>
        <r>
          <rPr>
            <b/>
            <sz val="8"/>
            <color indexed="81"/>
            <rFont val="Tahoma"/>
            <family val="2"/>
          </rPr>
          <t>jonasa:</t>
        </r>
        <r>
          <rPr>
            <sz val="8"/>
            <color indexed="81"/>
            <rFont val="Tahoma"/>
            <family val="2"/>
          </rPr>
          <t xml:space="preserve">
guidance is for smaller loss.</t>
        </r>
      </text>
    </comment>
    <comment ref="CD162" authorId="4">
      <text>
        <r>
          <rPr>
            <b/>
            <sz val="8"/>
            <color indexed="81"/>
            <rFont val="Tahoma"/>
            <family val="2"/>
          </rPr>
          <t>jonasa:</t>
        </r>
        <r>
          <rPr>
            <sz val="8"/>
            <color indexed="81"/>
            <rFont val="Tahoma"/>
            <family val="2"/>
          </rPr>
          <t xml:space="preserve">
2H loss higher than 1H loss</t>
        </r>
      </text>
    </comment>
    <comment ref="CE162" authorId="5">
      <text>
        <r>
          <rPr>
            <b/>
            <sz val="9"/>
            <color indexed="81"/>
            <rFont val="Tahoma"/>
            <family val="2"/>
          </rPr>
          <t>Mehta, Neel (Research):</t>
        </r>
        <r>
          <rPr>
            <sz val="9"/>
            <color indexed="81"/>
            <rFont val="Tahoma"/>
            <family val="2"/>
          </rPr>
          <t xml:space="preserve">
72mm in favorable restructuring cost and -121 in unfavorable Russia included in bridge</t>
        </r>
      </text>
    </comment>
    <comment ref="CK162" authorId="4">
      <text>
        <r>
          <rPr>
            <b/>
            <sz val="8"/>
            <color indexed="81"/>
            <rFont val="Tahoma"/>
            <family val="2"/>
          </rPr>
          <t>jonasa:</t>
        </r>
        <r>
          <rPr>
            <sz val="8"/>
            <color indexed="81"/>
            <rFont val="Tahoma"/>
            <family val="2"/>
          </rPr>
          <t xml:space="preserve">
target improved losses but worse than $250mm.</t>
        </r>
      </text>
    </comment>
    <comment ref="CU162" authorId="0">
      <text>
        <r>
          <rPr>
            <b/>
            <sz val="9"/>
            <color indexed="81"/>
            <rFont val="Tahoma"/>
            <family val="2"/>
          </rPr>
          <t>Jonas, Adam (Research):</t>
        </r>
        <r>
          <rPr>
            <sz val="9"/>
            <color indexed="81"/>
            <rFont val="Tahoma"/>
            <family val="2"/>
          </rPr>
          <t xml:space="preserve">
targeting worse than $900mm</t>
        </r>
      </text>
    </comment>
    <comment ref="BW171" authorId="3">
      <text>
        <r>
          <rPr>
            <b/>
            <sz val="8"/>
            <color indexed="81"/>
            <rFont val="Tahoma"/>
            <family val="2"/>
          </rPr>
          <t>Yejay Ying:</t>
        </r>
        <r>
          <rPr>
            <sz val="8"/>
            <color indexed="81"/>
            <rFont val="Tahoma"/>
            <family val="2"/>
          </rPr>
          <t xml:space="preserve">
Industry +$34mm
Share +$53mm
Stocks -$31mm</t>
        </r>
      </text>
    </comment>
    <comment ref="BX171" authorId="3">
      <text>
        <r>
          <rPr>
            <b/>
            <sz val="8"/>
            <color indexed="81"/>
            <rFont val="Tahoma"/>
            <family val="2"/>
          </rPr>
          <t>Yejay Ying:</t>
        </r>
        <r>
          <rPr>
            <sz val="8"/>
            <color indexed="81"/>
            <rFont val="Tahoma"/>
            <family val="2"/>
          </rPr>
          <t xml:space="preserve">
Industry +$53mm
Share +$128mm
Stocks -$6mm</t>
        </r>
      </text>
    </comment>
    <comment ref="BY171" authorId="3">
      <text>
        <r>
          <rPr>
            <b/>
            <sz val="8"/>
            <color indexed="81"/>
            <rFont val="Tahoma"/>
            <family val="2"/>
          </rPr>
          <t>Yejay Ying:</t>
        </r>
        <r>
          <rPr>
            <sz val="8"/>
            <color indexed="81"/>
            <rFont val="Tahoma"/>
            <family val="2"/>
          </rPr>
          <t xml:space="preserve">
Industry +$64mm
Share +$79mm
Stocks -$10mm</t>
        </r>
      </text>
    </comment>
    <comment ref="BZ171" authorId="3">
      <text>
        <r>
          <rPr>
            <b/>
            <sz val="8"/>
            <color indexed="81"/>
            <rFont val="Tahoma"/>
            <family val="2"/>
          </rPr>
          <t>Yejay Ying:</t>
        </r>
        <r>
          <rPr>
            <sz val="8"/>
            <color indexed="81"/>
            <rFont val="Tahoma"/>
            <family val="2"/>
          </rPr>
          <t xml:space="preserve">
Industry +$72mm
Share +$95mm
Stocks +$38mm</t>
        </r>
      </text>
    </comment>
    <comment ref="CM171" authorId="5">
      <text>
        <r>
          <rPr>
            <b/>
            <sz val="9"/>
            <color indexed="81"/>
            <rFont val="Tahoma"/>
            <family val="2"/>
          </rPr>
          <t>Mehta, Neel (Research):</t>
        </r>
        <r>
          <rPr>
            <sz val="9"/>
            <color indexed="81"/>
            <rFont val="Tahoma"/>
            <family val="2"/>
          </rPr>
          <t xml:space="preserve">
Production expected to be down. </t>
        </r>
      </text>
    </comment>
    <comment ref="BW173" authorId="3">
      <text>
        <r>
          <rPr>
            <b/>
            <sz val="8"/>
            <color indexed="81"/>
            <rFont val="Tahoma"/>
            <family val="2"/>
          </rPr>
          <t>Yejay Ying:</t>
        </r>
        <r>
          <rPr>
            <sz val="8"/>
            <color indexed="81"/>
            <rFont val="Tahoma"/>
            <family val="2"/>
          </rPr>
          <t xml:space="preserve">
Net Pricing +$23mm</t>
        </r>
      </text>
    </comment>
    <comment ref="BX173" authorId="3">
      <text>
        <r>
          <rPr>
            <b/>
            <sz val="8"/>
            <color indexed="81"/>
            <rFont val="Tahoma"/>
            <family val="2"/>
          </rPr>
          <t>Yejay Ying:</t>
        </r>
        <r>
          <rPr>
            <sz val="8"/>
            <color indexed="81"/>
            <rFont val="Tahoma"/>
            <family val="2"/>
          </rPr>
          <t xml:space="preserve">
Net Pricing +$27mm</t>
        </r>
      </text>
    </comment>
    <comment ref="BY173" authorId="3">
      <text>
        <r>
          <rPr>
            <b/>
            <sz val="8"/>
            <color indexed="81"/>
            <rFont val="Tahoma"/>
            <family val="2"/>
          </rPr>
          <t>Yejay Ying:</t>
        </r>
        <r>
          <rPr>
            <sz val="8"/>
            <color indexed="81"/>
            <rFont val="Tahoma"/>
            <family val="2"/>
          </rPr>
          <t xml:space="preserve">
Net Pricing +$83mm</t>
        </r>
      </text>
    </comment>
    <comment ref="BZ173" authorId="3">
      <text>
        <r>
          <rPr>
            <b/>
            <sz val="8"/>
            <color indexed="81"/>
            <rFont val="Tahoma"/>
            <family val="2"/>
          </rPr>
          <t>Yejay Ying:</t>
        </r>
        <r>
          <rPr>
            <sz val="8"/>
            <color indexed="81"/>
            <rFont val="Tahoma"/>
            <family val="2"/>
          </rPr>
          <t xml:space="preserve">
Net Pricing +$37mm</t>
        </r>
      </text>
    </comment>
    <comment ref="BW174" authorId="3">
      <text>
        <r>
          <rPr>
            <b/>
            <sz val="8"/>
            <color indexed="81"/>
            <rFont val="Tahoma"/>
            <family val="2"/>
          </rPr>
          <t>Yejay Ying:</t>
        </r>
        <r>
          <rPr>
            <sz val="8"/>
            <color indexed="81"/>
            <rFont val="Tahoma"/>
            <family val="2"/>
          </rPr>
          <t xml:space="preserve">
Contribution cost $18mm</t>
        </r>
      </text>
    </comment>
    <comment ref="BX174" authorId="3">
      <text>
        <r>
          <rPr>
            <b/>
            <sz val="8"/>
            <color indexed="81"/>
            <rFont val="Tahoma"/>
            <family val="2"/>
          </rPr>
          <t>Yejay Ying:</t>
        </r>
        <r>
          <rPr>
            <sz val="8"/>
            <color indexed="81"/>
            <rFont val="Tahoma"/>
            <family val="2"/>
          </rPr>
          <t xml:space="preserve">
Contribution cost $28mm
Mfg. / engineering -$77mm
Advert. &amp; Sales Promo -$50mm
Admin. / Other -$38mm</t>
        </r>
      </text>
    </comment>
    <comment ref="BY174" authorId="3">
      <text>
        <r>
          <rPr>
            <b/>
            <sz val="8"/>
            <color indexed="81"/>
            <rFont val="Tahoma"/>
            <family val="2"/>
          </rPr>
          <t>Yejay Ying:</t>
        </r>
        <r>
          <rPr>
            <sz val="8"/>
            <color indexed="81"/>
            <rFont val="Tahoma"/>
            <family val="2"/>
          </rPr>
          <t xml:space="preserve">
Contribution cost $28mm
Mfg. / engineering -$75mm
Advert. &amp; Sales Promo -$17mm
Admin. / Other -$33mm</t>
        </r>
      </text>
    </comment>
    <comment ref="BZ174" authorId="3">
      <text>
        <r>
          <rPr>
            <b/>
            <sz val="8"/>
            <color indexed="81"/>
            <rFont val="Tahoma"/>
            <family val="2"/>
          </rPr>
          <t>Yejay Ying:</t>
        </r>
        <r>
          <rPr>
            <sz val="8"/>
            <color indexed="81"/>
            <rFont val="Tahoma"/>
            <family val="2"/>
          </rPr>
          <t xml:space="preserve">
Contribution cost $20mm
Mfg. / engineering -$145mm
Advert. &amp; Sales Promo -$64mm
Spending Related -$19mm
Admin. / Other -$49mm</t>
        </r>
      </text>
    </comment>
    <comment ref="CO174" authorId="5">
      <text>
        <r>
          <rPr>
            <b/>
            <sz val="9"/>
            <color indexed="81"/>
            <rFont val="Tahoma"/>
            <family val="2"/>
          </rPr>
          <t>Mehta, Neel (Research):</t>
        </r>
        <r>
          <rPr>
            <sz val="9"/>
            <color indexed="81"/>
            <rFont val="Tahoma"/>
            <family val="2"/>
          </rPr>
          <t xml:space="preserve">
Non repeat of product launches</t>
        </r>
      </text>
    </comment>
    <comment ref="BW175" authorId="3">
      <text>
        <r>
          <rPr>
            <b/>
            <sz val="8"/>
            <color indexed="81"/>
            <rFont val="Tahoma"/>
            <family val="2"/>
          </rPr>
          <t>Yejay Ying:</t>
        </r>
        <r>
          <rPr>
            <sz val="8"/>
            <color indexed="81"/>
            <rFont val="Tahoma"/>
            <family val="2"/>
          </rPr>
          <t xml:space="preserve">
Contribution cost -$91mm</t>
        </r>
      </text>
    </comment>
    <comment ref="BW176" authorId="3">
      <text>
        <r>
          <rPr>
            <b/>
            <sz val="8"/>
            <color indexed="81"/>
            <rFont val="Tahoma"/>
            <family val="2"/>
          </rPr>
          <t>Yejay Ying:</t>
        </r>
        <r>
          <rPr>
            <sz val="8"/>
            <color indexed="81"/>
            <rFont val="Tahoma"/>
            <family val="2"/>
          </rPr>
          <t xml:space="preserve">
</t>
        </r>
      </text>
    </comment>
    <comment ref="D177" authorId="0">
      <text>
        <r>
          <rPr>
            <b/>
            <sz val="9"/>
            <color indexed="81"/>
            <rFont val="Tahoma"/>
            <family val="2"/>
          </rPr>
          <t>Jonas, Adam (Research):</t>
        </r>
        <r>
          <rPr>
            <sz val="9"/>
            <color indexed="81"/>
            <rFont val="Tahoma"/>
            <family val="2"/>
          </rPr>
          <t xml:space="preserve">
change in equity income</t>
        </r>
      </text>
    </comment>
    <comment ref="BW177" authorId="3">
      <text>
        <r>
          <rPr>
            <b/>
            <sz val="8"/>
            <color indexed="81"/>
            <rFont val="Tahoma"/>
            <family val="2"/>
          </rPr>
          <t>Yejay Ying:</t>
        </r>
        <r>
          <rPr>
            <sz val="8"/>
            <color indexed="81"/>
            <rFont val="Tahoma"/>
            <family val="2"/>
          </rPr>
          <t xml:space="preserve">
Other cost -$101mm
Royalties and subs +$63mm
Parts &amp; Accessories +$11mm
Other +$41mm</t>
        </r>
      </text>
    </comment>
    <comment ref="BX177" authorId="3">
      <text>
        <r>
          <rPr>
            <b/>
            <sz val="8"/>
            <color indexed="81"/>
            <rFont val="Tahoma"/>
            <family val="2"/>
          </rPr>
          <t>Yejay Ying:</t>
        </r>
        <r>
          <rPr>
            <sz val="8"/>
            <color indexed="81"/>
            <rFont val="Tahoma"/>
            <family val="2"/>
          </rPr>
          <t xml:space="preserve">
Royalties and subs +$36mm
Parts &amp; Accessories +$13mm
Other +$54mm
All Other -$3mm</t>
        </r>
      </text>
    </comment>
    <comment ref="BY177" authorId="3">
      <text>
        <r>
          <rPr>
            <b/>
            <sz val="8"/>
            <color indexed="81"/>
            <rFont val="Tahoma"/>
            <family val="2"/>
          </rPr>
          <t>Yejay Ying:</t>
        </r>
        <r>
          <rPr>
            <sz val="8"/>
            <color indexed="81"/>
            <rFont val="Tahoma"/>
            <family val="2"/>
          </rPr>
          <t xml:space="preserve">
Other +$28mm
All Other -$1mm</t>
        </r>
      </text>
    </comment>
    <comment ref="BZ177" authorId="3">
      <text>
        <r>
          <rPr>
            <b/>
            <sz val="8"/>
            <color indexed="81"/>
            <rFont val="Tahoma"/>
            <family val="2"/>
          </rPr>
          <t>Yejay Ying:</t>
        </r>
        <r>
          <rPr>
            <sz val="8"/>
            <color indexed="81"/>
            <rFont val="Tahoma"/>
            <family val="2"/>
          </rPr>
          <t xml:space="preserve">
Other +$98mm
All Other -$9mm</t>
        </r>
      </text>
    </comment>
    <comment ref="CF177" authorId="4">
      <text>
        <r>
          <rPr>
            <b/>
            <sz val="8"/>
            <color indexed="81"/>
            <rFont val="Tahoma"/>
            <family val="2"/>
          </rPr>
          <t>jonasa:</t>
        </r>
        <r>
          <rPr>
            <sz val="8"/>
            <color indexed="81"/>
            <rFont val="Tahoma"/>
            <family val="2"/>
          </rPr>
          <t xml:space="preserve">
JV profit improvement</t>
        </r>
      </text>
    </comment>
    <comment ref="CA178" authorId="4">
      <text>
        <r>
          <rPr>
            <b/>
            <sz val="8"/>
            <color indexed="81"/>
            <rFont val="Tahoma"/>
            <family val="2"/>
          </rPr>
          <t>jonasa:</t>
        </r>
        <r>
          <rPr>
            <sz val="8"/>
            <color indexed="81"/>
            <rFont val="Tahoma"/>
            <family val="2"/>
          </rPr>
          <t xml:space="preserve">
guide for breakeven.
We think they beat it on China royalties and spare parts sales into China.</t>
        </r>
      </text>
    </comment>
    <comment ref="CD178" authorId="4">
      <text>
        <r>
          <rPr>
            <b/>
            <sz val="8"/>
            <color indexed="81"/>
            <rFont val="Tahoma"/>
            <family val="2"/>
          </rPr>
          <t>jonasa:3Q and 4Q results lower than 2Q</t>
        </r>
      </text>
    </comment>
    <comment ref="CF178" authorId="4">
      <text>
        <r>
          <rPr>
            <b/>
            <sz val="8"/>
            <color indexed="81"/>
            <rFont val="Tahoma"/>
            <family val="2"/>
          </rPr>
          <t>jonasa:</t>
        </r>
        <r>
          <rPr>
            <sz val="8"/>
            <color indexed="81"/>
            <rFont val="Tahoma"/>
            <family val="2"/>
          </rPr>
          <t xml:space="preserve">
targeting higher profit YoY</t>
        </r>
      </text>
    </comment>
    <comment ref="CK178" authorId="0">
      <text>
        <r>
          <rPr>
            <b/>
            <sz val="9"/>
            <color indexed="81"/>
            <rFont val="Tahoma"/>
            <family val="2"/>
          </rPr>
          <t>Jonas, Adam (Research):</t>
        </r>
        <r>
          <rPr>
            <sz val="9"/>
            <color indexed="81"/>
            <rFont val="Tahoma"/>
            <family val="2"/>
          </rPr>
          <t xml:space="preserve">
expect FY pretax profit higher YoY</t>
        </r>
      </text>
    </comment>
    <comment ref="CU178" authorId="0">
      <text>
        <r>
          <rPr>
            <b/>
            <sz val="9"/>
            <color indexed="81"/>
            <rFont val="Tahoma"/>
            <family val="2"/>
          </rPr>
          <t>Jonas, Adam (Research):</t>
        </r>
        <r>
          <rPr>
            <sz val="9"/>
            <color indexed="81"/>
            <rFont val="Tahoma"/>
            <family val="2"/>
          </rPr>
          <t xml:space="preserve">
targeting improvement vs. $627mm</t>
        </r>
      </text>
    </comment>
    <comment ref="BX191" authorId="3">
      <text>
        <r>
          <rPr>
            <sz val="8"/>
            <color indexed="81"/>
            <rFont val="Tahoma"/>
            <family val="2"/>
          </rPr>
          <t xml:space="preserve">Includes other ford credit and other items
</t>
        </r>
      </text>
    </comment>
    <comment ref="BY191" authorId="3">
      <text>
        <r>
          <rPr>
            <b/>
            <sz val="8"/>
            <color indexed="81"/>
            <rFont val="Tahoma"/>
            <family val="2"/>
          </rPr>
          <t>Yejay Ying:</t>
        </r>
        <r>
          <rPr>
            <sz val="8"/>
            <color indexed="81"/>
            <rFont val="Tahoma"/>
            <family val="2"/>
          </rPr>
          <t xml:space="preserve">
includes "other ford credit", which was down $59mm y/y</t>
        </r>
      </text>
    </comment>
    <comment ref="BZ191" authorId="3">
      <text>
        <r>
          <rPr>
            <b/>
            <sz val="8"/>
            <color indexed="81"/>
            <rFont val="Tahoma"/>
            <family val="2"/>
          </rPr>
          <t>Yejay Ying:</t>
        </r>
        <r>
          <rPr>
            <sz val="8"/>
            <color indexed="81"/>
            <rFont val="Tahoma"/>
            <family val="2"/>
          </rPr>
          <t xml:space="preserve">
includes "other ford credit"</t>
        </r>
      </text>
    </comment>
    <comment ref="CP191" authorId="7">
      <text>
        <r>
          <rPr>
            <sz val="9"/>
            <color indexed="81"/>
            <rFont val="Tahoma"/>
            <family val="2"/>
          </rPr>
          <t xml:space="preserve">Changed formula to match with the original file
</t>
        </r>
      </text>
    </comment>
    <comment ref="CA192" authorId="4">
      <text>
        <r>
          <rPr>
            <b/>
            <sz val="8"/>
            <color indexed="81"/>
            <rFont val="Tahoma"/>
            <family val="2"/>
          </rPr>
          <t>jonasa:</t>
        </r>
        <r>
          <rPr>
            <sz val="8"/>
            <color indexed="81"/>
            <rFont val="Tahoma"/>
            <family val="2"/>
          </rPr>
          <t xml:space="preserve">
guide for flat PTX at finco.</t>
        </r>
      </text>
    </comment>
    <comment ref="CF192" authorId="4">
      <text>
        <r>
          <rPr>
            <b/>
            <sz val="8"/>
            <color indexed="81"/>
            <rFont val="Tahoma"/>
            <family val="2"/>
          </rPr>
          <t>jonasa:</t>
        </r>
        <r>
          <rPr>
            <sz val="8"/>
            <color indexed="81"/>
            <rFont val="Tahoma"/>
            <family val="2"/>
          </rPr>
          <t xml:space="preserve">
target is higher finco profit</t>
        </r>
      </text>
    </comment>
    <comment ref="CK192" authorId="0">
      <text>
        <r>
          <rPr>
            <b/>
            <sz val="9"/>
            <color indexed="81"/>
            <rFont val="Tahoma"/>
            <family val="2"/>
          </rPr>
          <t>Jonas, Adam (Research):</t>
        </r>
        <r>
          <rPr>
            <sz val="9"/>
            <color indexed="81"/>
            <rFont val="Tahoma"/>
            <family val="2"/>
          </rPr>
          <t xml:space="preserve">
equal or higher profit</t>
        </r>
      </text>
    </comment>
    <comment ref="CM192" authorId="7">
      <text>
        <r>
          <rPr>
            <sz val="9"/>
            <color indexed="81"/>
            <rFont val="Tahoma"/>
            <family val="2"/>
          </rPr>
          <t xml:space="preserve">Changed formula to match with the original file
</t>
        </r>
      </text>
    </comment>
    <comment ref="CP192" authorId="0">
      <text>
        <r>
          <rPr>
            <b/>
            <sz val="9"/>
            <color indexed="81"/>
            <rFont val="Tahoma"/>
            <family val="2"/>
          </rPr>
          <t>Jonas, Adam (Research):</t>
        </r>
        <r>
          <rPr>
            <sz val="9"/>
            <color indexed="81"/>
            <rFont val="Tahoma"/>
            <family val="2"/>
          </rPr>
          <t xml:space="preserve">
targeting lower profit of $1.8bn</t>
        </r>
      </text>
    </comment>
  </commentList>
</comments>
</file>

<file path=xl/comments4.xml><?xml version="1.0" encoding="utf-8"?>
<comments xmlns="http://schemas.openxmlformats.org/spreadsheetml/2006/main">
  <authors>
    <author>Yejay Ying</author>
  </authors>
  <commentList>
    <comment ref="A1" authorId="0">
      <text>
        <r>
          <rPr>
            <b/>
            <sz val="8"/>
            <color indexed="81"/>
            <rFont val="Tahoma"/>
            <family val="2"/>
          </rPr>
          <t>卟䙄_x0001_＀＀鮎䭩(呃幂元䍟䵏卟午䍟䱁彃䕄卐㌨㠳㠷㌬㤳㤶䌬⥑_x0018_＀＀_x0018_＀＀_x0008_＀＀_x0001_＀＀_x0001_＀＀豀碵꼝쐕鮎䭩_x001C_呃幂彐剐䍉彅噁⡇㠳㜰ⰸ㠳㘱⤸_x0018_＀＀_x0018_＀＀_x0008_＀＀_x0001_＀＀_x0001_＀＀﫬묅譡䀵忆䰚_x001C_䝍幁彐剐䍉彅噁⡇㜳㜰ⰳ㜳㘱⤴_x0018_＀＀_x0018_＀＀_x0008_＀＀_x0001_＀＀_x0001_＀＀먋꒽許䁊韤䮏N呃幂䅃偟久当乕䕒佃⡇㈱㈯〰ⰴⰬ唬䑓䀩南偟久䥓乏啟剎䍅卟剅彖佃呓ㄨ⼲〲㐰ⰬⰬ单⥄_x0018_＀＀_x0018_＀＀_x0008_＀＀_x0001_＀＀_x0001_＀＀盉龾会쀲흕䰠_x001C_䕌幁彐剐䍉彅噁⡇㤳㠰ⰳ㤳㜱⤲_x0018_＀＀_x0018_＀＀_x0008_＀＀_x0001_＀＀_x0001_＀＀豀碵꼝쐕韤䮏(呃幂南偟久䥓乏䅟卓呅当呌ㄨ⼲〲㔰ⰬⰬ单⥄_x0018_＀＀_x0018_＀＀_x0008_＀＀_x0001_＀＀_x0001_＀＀豀碵꼝쐕忆䰚_x001C_䝍幁彐剐䍉彅噁⡇㘳㤸ⰲ㘳㠹⤱_x0018_＀＀_x0018_＀＀_x0008_＀＀_x0001_＀＀_x0001_＀＀_xDC1F_떝훛䁃鮜䭩_x001F_呃幂䝆䕟䥂䑔彁⡑㌳㜸ⰸ㌳㘹ⰹ元착_x0018_＀＀_x0018_＀＀_x0008_＀＀_x0001_＀＀_x0001_＀＀浌莩쒼䁎鮎䭩(呃幂元䍟䵏卟午䍟䱁彃䕄卐㌨㜳㘸㌬㠳㜷䌬⥑_x0018_＀＀_x0018_＀＀_x0008_＀＀_x0001_＀＀_x0001_＀＀豀碵꼝쐕韥䮏'呃幂䅃偟协剔呅䉟久偟䥁⡄㈱㈯〰ⰲⰬ唬䑓착_x0018_＀＀_x0018_＀＀_x0008_＀＀_x0001_＀＀_x0001_＀＀＀＀＀＀＀＀＀＀鸓䮏;呃幂南偟久䥓乏䅟卓呅当剐偏ㄨ⼲〲㠰䀩䅃偟久当䍐彔䕒ㄨ⼲〲㠰착_x0018_＀＀_x0018_＀＀_x0008_＀＀_x0001_＀＀_x0001_＀＀＀＀＀＀＀＀＀＀韥䮏,呃幂䅃偟协剔呅䕟偍䍟乏剔䉉䍟ㄨ⼲〲㠰ⰬⰬ单⥄_x0018_＀＀_x0018_＀＀_x0008_＀＀_x0001_＀＀_x0001_＀＀＀＀＀＀＀＀＀＀忆䰚_x001C_䝍幁彐剐䍉彅噁⡇㠳ㄷⰸ㠳〸⤷_x0018_＀＀_x0018_＀＀_x0008_＀＀_x0001_＀＀_x0001_＀＀롑唞䁒흕䰠_x001C_䕌幁彐剐䍉彅噁⡇㠳㜰ⰸ㠳㘱⤸_x0018_＀＀_x0018_＀＀_x0008_＀＀_x0001_＀＀_x0001_＀＀豀碵꼝쐕鮜䭩_x001F_呃幂䝆䕟䥂䑔彁⡑㌳㠷ⰶ㌳㜸ⰷ元착_x0018_＀＀_x0018_＀＀_x0008_＀＀_x0001_＀＀_x0001_＀＀ቯ삃⇊䁍琍䭱_x001C_呃幂彐剐䍉彅噁⡇㈳㘹ⰴ㌳㔰⤴_x0018_＀＀_x0018_＀＀_x0008_＀＀_x0001_＀＀_x0001_＀＀ⴆ怤䅴䀣忆䰚_x001C_䝍幁彐剐䍉彅噁⡇㤳㤹ⰵ〴㠰⤶_x0018_＀＀_x0018_＀＀_x0008_＀＀_x0001_＀＀_x0001_＀＀_xDA52_簛虡䁆忆䰚_x001C_䝍幁彐剐䍉彅噁⡇㤳㌶ⰰ㤳㈷⤱_x0018_＀＀_x0018_＀＀_x0008_＀＀_x0001_＀＀_x0001_＀＀笡﮽᧣䁍鮎䭩_x001C_呃幂彐剐䍉彅噁⡇㔳㤷ⰶ㔳㠸⤵_x0018_＀＀_x0018_＀＀_x0008_＀＀_x0001_＀＀_x0001_＀＀＀＀＀＀က䀸鰮䲜'䕌幁南偟久偟协彔䕒彔䕂⡎㈱㈯〰ⰹⰬ唬䑓착_x0018_＀＀_x0018_＀＀_x0008_＀＀_x0001_＀＀_x0001_＀＀豀碵꼝쐕韤䮏%呃幂䅃偟久当啃归䥌䉁⡓㈱㈯〰ⰶⰬ唬䑓착_x0018_＀＀_x0018_＀＀_x0008_＀＀_x0001_＀＀_x0001_＀＀＀＀＀＀＀＀＀＀䭻_x001C_呃幂彐剐䍉彅噁⡇㜳㔲ⰷ㜳㈶⤱_x0018_＀＀_x0018_＀＀_x0008_＀＀_x0001_＀＀_x0001_＀＀畺Ǝ诙䀲韤䮏'呃幂南偟久䥓乏也呅䱟䅉⡂㈱㈯〰ⰴⰬ唬䑓착_x0018_＀＀_x0018_＀＀_x0008_＀＀_x0001_＀＀_x0001_＀＀豀碵꼝쐕흕䰠_x001C_䕌幁彐剐䍉彅噁⡇㜳㘱ⰵ㜳㔲⤶_x0018_＀＀_x0018_＀＀_x0008_＀＀_x0001_＀＀_x0001_＀＀豀碵꼝쐕韤䮏$呃幂䅃偟久当呌䱟䅉卂ㄨ⼲〲㘰ⰬⰬ单⥄_x0018_＀＀_x0018_＀＀_x0008_＀＀_x0001_＀＀_x0001_＀＀ﯨ角䁡忆䰚_x001C_䝍幁彐剐䍉彅噁⡇㘳ㄶⰷ㘳〷⤷_x0018_＀＀_x0018_＀＀_x0008_＀＀_x0001_＀＀_x0001_＀＀ꊲ팆䁄䫻_x001C_剔幗䝆偟彅奆⠲㈭䄰ⱙⰰ奆㤬⤰°＀＀_x0018_＀＀ ＀＀_x0014_＀＀_x0001_＀＀豀碵꼝쐕豀碵꼝쐕豀碵꼝쐕豀碵꼝쐕豀碵꼝쐕豀碵꼝쐕豀碵꼝쐕豀碵꼝쐕豀碵꼝쐕豀碵꼝쐕豀碵꼝쐕豀碵꼝쐕豀碵꼝쐕豀碵꼝쐕豀碵꼝쐕痢苽惝䀦끓_xD9C6_ᑴ䀮ొ⬂캇䀧륖縷᫗䀡豀碵꼝쐕韤䮏;呃幂南偟久䥓乏䅟卓呅当呏⡈㈱㈯〰⤳䍀彁䕐华偟呃佟䡔ㄨ⼲〲㌰착_x0018_＀＀_x0018_＀＀_x0008_＀＀_x0001_＀＀_x0001_＀＀＀＀＀＀＀＀䀀韥䮏'呃幂䅃偟协剔呅䉟久偟䥁⡄㈱㈯〰ⰸⰬ唬䑓착_x0018_＀＀_x0018_＀＀_x0008_＀＀_x0001_＀＀_x0001_＀＀＀＀＀＀＀＀＀＀鮎䭩_x001C_呃幂彐剐䍉彅噁⡇㠳㌵ⰴ㠳㈶⤵_x0018_＀＀_x0018_＀＀_x0008_＀＀_x0001_＀＀_x0001_＀＀鋌ꔀ䀱韤䮏M呃幂䅃偟协剔呅卟噒䍟协⡔㈱㈯〰ⰲⰬ唬䑓䀩南䡟呌䍈剁彅䕓噒䍟协⡔㈱㈯〰ⰲⰬ唬䑓착_x0018_＀＀_x0018_＀＀_x0008_＀＀_x0001_＀＀_x0001_＀＀⋑率䀘흕䰠_x001C_䕌幁彐剐䍉彅噁⡇㔳㤷ⰶ㔳㠸⤵_x0018_＀＀_x0018_＀＀_x0008_＀＀_x0001_＀＀_x0001_＀＀豀碵꼝쐕鮎䭩_x001C_呃幂彐剐䍉彅噁⡇㌳㤶ⰵ㌳㠷⤵_x0018_＀＀_x0018_＀＀_x0008_＀＀_x0001_＀＀_x0001_＀＀븢ᬓ䀹鸓䮏&lt;呃幂南偟久䥓乏䅟卓呅当佂䑎⡓㈱㈯〰⤸䍀彁䕐华偟呃䙟⡉㈱㈯〰⤸_x0018_＀＀_x0018_＀＀_x0008_＀＀_x0001_＀＀_x0001_＀＀尩슏죵䁀韤䮏;呃幂南偟久䥓乏䅟卓呅当剐偏ㄨ⼲〲㌰䀩䅃偟久当䍐彔䕒ㄨ⼲〲㌰착_x0018_＀＀_x0018_＀＀_x0008_＀＀_x0001_＀＀_x0001_＀＀＀＀＀＀＀＀＀＀䰠_x001C_䕌幁彐剐䍉彅噁⡇㜳㔲ⰷ㜳㈶⤱_x0018_＀＀_x0018_＀＀_x0008_＀＀_x0001_＀＀_x0001_＀＀豀碵꼝쐕忆䰚_x001C_䝍幁彐剐䍉彅噁⡇㐳ㄵⰶ㐳〶⤷_x0018_＀＀_x0018_＀＀_x0008_＀＀_x0001_＀＀_x0001_＀＀ꟛ㇣䁀鮎䭩_x001C_呃幂彐剐䍉彅噁⡇㌳㜸ⰸ㌳㘹⤹_x0018_＀＀_x0018_＀＀_x0008_＀＀_x0001_＀＀_x0001_＀＀㥮說䀿鮎䭩_x001C_呃幂元卟䱁卅㌨㐳〲㌬㔳ㄱ䌬⥑_x0018_＀＀_x0018_＀＀_x0008_＀＀_x0001_＀＀_x0001_＀＀휊炣฽䁲韤䮏;呃幂南偟久䥓乏䅟卓呅当充䥕ㄨ⼲〲㐰䀩䅃偟久当䍐彔充ㄨ⼲〲㐰착_x0018_＀＀_x0018_＀＀_x0008_＀＀_x0001_＀＀_x0001_＀＀＀＀＀＀䀀䁑韤䮏 呃幂南䕟䍘彈䅒䕔ㄨ⼲〲㐰ⰬⰬ单⥄_x0018_＀＀_x0018_＀＀_x0008_＀＀_x0001_＀＀_x0001_＀＀＀＀＀＀＀＀㿰鮎䭩_x001C_呃幂彐剐䍉彅噁⡇㠳㤹ⰱ㤳㠰⤲_x0018_＀＀_x0018_＀＀_x0008_＀＀_x0001_＀＀_x0001_＀＀幆쓖꼂䀨韤䮏N呃幂䅃偟久当乕䕒佃⡇㈱㈯〰ⰳⰬ唬䑓䀩南偟久䥓乏啟剎䍅卟剅彖佃呓ㄨ⼲〲㌰ⰬⰬ单⥄_x0018_＀＀_x0018_＀＀_x0008_＀＀_x0001_＀＀_x0001_＀＀멞౉쀴흕䰠_x001C_䕌幁彐剐䍉彅噁⡇㠳㌵ⰴ㠳㈶⤵_x0018_＀＀_x0018_＀＀_x0008_＀＀_x0001_＀＀_x0001_＀＀豀碵꼝쐕韥䮏P呃幂䅃偟协剔呅偟䅌彎十彔久⡄㈱㈯〰ⰷⰬ唬䑓䀩南䡟呌䍈剁彅噆䅟卓呅ㄨ⼲〲㜰ⰬⰬ单⥄_x0018_＀＀_x0018_＀＀_x0008_＀＀_x0001_＀＀_x0001_＀＀＀＀＀＀＀＀＀＀鮎䭩(呃幂元䍟䵏卟午䍟䱁彃䕄卐㌨ㄵ㘵㌬㈵㘴䌬⥑_x0018_＀＀_x0018_＀＀_x0008_＀＀_x0001_＀＀_x0001_＀＀豀碵꼝쐕忆䰚_x001C_䝍幁彐剐䍉彅噁⡇㐳㜹ⰳ㔳㘰⤴_x0018_＀＀_x0018_＀＀_x0008_＀＀_x0001_＀＀_x0001_＀＀㮤鶈쀩䁂韥䮏)呃幂䅃偟协剔呅佟䡔䑁彊䉎⡁㈱㈯〰ⰶⰬ唬䑓착_x0018_＀＀_x0018_＀＀_x0008_＀＀_x0001_＀＀_x0001_＀＀豀碵꼝쐕忆䰚_x001C_䝍幁彐剐䍉彅噁⡇㠳㘲ⰱ㠳㔳⤲_x0018_＀＀_x0018_＀＀_x0008_＀＀_x0001_＀＀_x0001_＀＀ࢅ萸✪䁓韤䮏&lt;呃幂南偟久䥓乏䅟卓呅当佂䑎⡓㈱㈯〰⤳䍀彁䕐华偟呃䙟⡉㈱㈯〰⤳_x0018_＀＀_x0018_＀＀_x0008_＀＀_x0001_＀＀_x0001_＀＀＀＀＀＀＀＀䁀흕䰠_x001C_䕌幁彐剐䍉彅噁⡇㠳㤹ⰱ㤳㠰⤲_x0018_＀＀_x0018_＀＀_x0008_＀＀_x0001_＀＀_x0001_＀＀豀碵꼝쐕鮜䭩_x001F_呃幂䝆䕟䥂䑔彁⡑㔳㔱ⰶ㔳㐲ⰶ元착_x0018_＀＀_x0018_＀＀_x0008_＀＀_x0001_＀＀_x0001_＀＀_xDB23_绹籪䁍韤䮏G呃幂䅃偟久当䕎彔佃呓ㄨ⼲〲㈰ⰬⰬ单⥄址当䕐华佉彎偎彐塅⡐㈱㈯〰ⰲⰬ唬䑓착_x0018_＀＀_x0018_＀＀_x0008_＀＀_x0001_＀＀_x0001_＀＀눭蚧䁀韤䮏F呃幂䅃偟协剔呅剟䅏ㄨ⼲〲㠰ⰬⰬ单⥄址当䱈䡔䅃䕒䕟偘剟䅏ㄨ⼲〲㠰ⰬⰬ单⥄_x0018_＀＀_x0018_＀＀_x0008_＀＀_x0001_＀＀_x0001_＀＀＀＀＀＀＀＀＀＀鰮䲜)䕌幁䅃偟久当䵅彐佃呎䥒彂⡃㈱㈯〰ⰹⰬ唬䑓착_x0018_＀＀_x0018_＀＀_x0008_＀＀_x0001_＀＀_x0001_＀＀㌴㌳㌳䁔鮎䭩(呃幂元䍟䵏卟午䍟䱁彃䕄卐㌨㠶㈹㌬㤶ㄸ䌬⥑_x0018_＀＀_x0018_＀＀_x0008_＀＀_x0001_＀＀_x0001_＀＀桳❼䁒韤䮏G呃幂䅃偟久当䕎彔佃呓ㄨ⼲〲㔰ⰬⰬ单⥄址当䕐华佉彎偎彐塅⡐㈱㈯〰ⰵⰬ唬䑓착_x0018_＀＀_x0018_＀＀_x0008_＀＀_x0001_＀＀_x0001_＀＀竡긔䅇䀶韤䮏%呃幂䅃偟久当呌䅟卓呅⡓㈱㈯〰ⰵⰬ唬䑓착_x0018_＀＀_x0018_＀＀_x0008_＀＀_x0001_＀＀_x0001_＀＀豀碵꼝쐕鮎䭩_x001C_呃幂彐剐䍉彅噁⡇㌳㜹ⰰ㐳㔰⤹_x0018_＀＀_x0018_＀＀_x0008_＀＀_x0001_＀＀_x0001_＀＀酩糭蔿䁁韤䮏&amp;呃幂䅃偟久当十彔义䅔䝎ㄨ⼲〲㘰ⰬⰬ单⥄_x0018_＀＀_x0018_＀＀_x0008_＀＀_x0001_＀＀_x0001_＀＀豀碵꼝쐕鰳䲜"䕌幁䅃偟久当偐彄䕂彎佃呓〨ⰬⰬ单⥄_x0018_＀＀_x0018_＀＀_x0008_＀＀_x0001_＀＀_x0001_＀＀豀碵꼝쐕鮎䭩_x001C_呃幂彐剐䍉彅噁⡇㜳㘱ⰵ㜳㔲⤶_x0018_＀＀_x0018_＀＀_x0008_＀＀_x0001_＀＀_x0001_＀＀溰㮼츲䀬鮎䭩(呃幂元䍟䵏卟午䍟䱁彃䕄卐㌨㠷㌰㌬㠷㐹䌬⥑_x0018_＀＀_x0018_＀＀_x0008_＀＀_x0001_＀＀_x0001_＀＀溘茒鋀䁒鮜䭩_x001F_呃幂䝆䕟䥂䑔彁⡑㘳㤸ⰲ㘳㠹ⰱ元착_x0018_＀＀_x0018_＀＀_x0008_＀＀_x0001_＀＀_x0001_＀＀尩슏⣵䁔忆䰚_x001C_䝍幁彐剐䍉彅噁⡇㜳㈶ⰲ㜳ㄷ⤱_x0018_＀＀_x0018_＀＀_x0008_＀＀_x0001_＀＀_x0001_＀＀▙樁䁈韤䮏%呃幂䅃偟久当佃偍剟呁⡅㈱㈯〰ⰴⰬ唬䑓착_x0018_＀＀_x0018_＀＀_x0008_＀＀_x0001_＀＀_x0001_＀＀炤਽ꏗ䀌鮎䭩_x001C_呃幂彐剐䍉彅噁⡇㤳㘲ⰴ㤳㔳⤵_x0018_＀＀_x0018_＀＀_x0008_＀＀_x0001_＀＀_x0001_＀＀績퍯薟䀸韤䮏(呃幂䅃偟久当偐彄䕂彎佃呓ㄨ⼲〲㜰ⰬⰬ单⥄_x0018_＀＀_x0018_＀＀_x0008_＀＀_x0001_＀＀_x0001_＀＀豀碵꼝쐕忆䰚_x001C_䝍幁彐剐䍉彅噁⡇㔳〷ⰴ㔳㤷⤵_x0018_＀＀_x0018_＀＀_x0008_＀＀_x0001_＀＀_x0001_＀＀㶛ૐ攌䁌鰳䲜"䕌幁南偟久䥓乏䅟卓呅当呌〨ⰬⰬ单⥄_x0018_＀＀_x0018_＀＀_x0008_＀＀_x0001_＀＀_x0001_＀＀豀碵꼝쐕韥䮏E呃幂䅃偟协剔呅䉟久佟⡂㈱㈯〰ⰲⰬ唬䑓䀩南䡟呌䍈剁彅䉐⡏㈱㈯〰ⰲⰬ唬䑓착_x0018_＀＀_x0018_＀＀_x0008_＀＀_x0001_＀＀_x0001_＀＀ꧻ烱䁳鰮䲜'䕌幁南偟久䥓乏也呅䱟䅉⡂㈱㈯〰ⰹⰬ唬䑓착_x0018_＀＀_x0018_＀＀_x0008_＀＀_x0001_＀＀_x0001_＀＀豀碵꼝쐕鮎䭩(呃幂元䍟䵏卟午䍟䱁彃䕄卐㌨㔶㘲㌬㘶㘱䌬⥑_x0018_＀＀_x0018_＀＀_x0008_＀＀_x0001_＀＀_x0001_＀＀_xDF3C_赏䁒韤䮏M呃幂䅃偟协剔呅卟噒䍟协⡔㈱㈯〰ⰵⰬ唬䑓䀩南䡟呌䍈剁彅䕓噒䍟协⡔㈱㈯〰ⰵⰬ唬䑓착_x0018_＀＀_x0018_＀＀_x0008_＀＀_x0001_＀＀_x0001_＀＀࠱Წ䀕鰮䲜$䕌幁䅃偟久当䕂彎䅐䑉ㄨ⼲〲㤰ⰬⰬ单⥄_x0018_＀＀_x0018_＀＀_x0008_＀＀_x0001_＀＀_x0001_＀＀㌴㌳댳䁉䭻_x001C_呃幂彐剐䍉彅噁⡇㈳㜸ⰴ㌳㌲⤸_x0018_＀＀_x0018_＀＀_x0008_＀＀_x0001_＀＀_x0001_＀＀㦣Ë䀡鮎䭩_x001C_呃幂彐剐䍉彅噁⡇㤳㈷ⰲ㤳ㄸ⤳_x0018_＀＀_x0018_＀＀_x0008_＀＀_x0001_＀＀_x0001_＀＀뿧ἇ䀘忆䰚_x001C_䝍幁彐剐䍉彅噁⡇㜳㠹ⰷ㠳㜰⤷_x0018_＀＀_x0018_＀＀_x0008_＀＀_x0001_＀＀_x0001_＀＀ᕢ摯䁓忆䰚_x001C_䝍幁彐剐䍉彅噁⡇㔳㈵ⰱ㔳ㄶ⤱_x0018_＀＀_x0018_＀＀_x0008_＀＀_x0001_＀＀_x0001_＀＀쩘쐲䊱䁇鮎䭩_x001C_呃幂彐剐䍉彅噁⡇〴㔴ⰲ〴㐵⤳_x0018_＀＀_x0018_＀＀_x0008_＀＀_x0001_＀＀_x0001_＀＀豀碵꼝쐕韤䮏J呃幂䅃偟久当䱐乁䅟呓ㄨ⼲〲㔰ⰬⰬ单⥄址当䕐华佉彎䅖彌十䕓協ㄨ⼲〲㔰ⰬⰬ单⥄_x0018_＀＀_x0018_＀＀_x0008_＀＀_x0001_＀＀_x0001_＀＀갈娜㥤䂋흕䰠_x001C_䕌幁彐剐䍉彅噁⡇㤳㘲ⰴ㤳㔳⤵_x0018_＀＀_x0018_＀＀_x0008_＀＀_x0001_＀＀_x0001_＀＀豀碵꼝쐕饙䭩_x001C_呃幂䝆䕟卐兟㌨ㄵ㘵㌬㈵㘴䌬⥑_x0018_＀＀_x0018_＀＀_x0008_＀＀_x0001_＀＀_x0001_＀＀㌳㌳㌳㿓韢䮏_x000F_呃幂南䥟体䍟䑏책_x0014_＀＀_x0018_＀＀_x0004_＀＀_x0001_＀＀_x0008_＀＀单D韥䮏+呃幂䅃偟协剔呅偟剁彔佃呎䥒⡂㈱㈯〰ⰴⰬ唬䑓착_x0018_＀＀_x0018_＀＀_x0008_＀＀_x0001_＀＀_x0001_＀＀＀＀＀＀＀＀＀＀鮜䭩_x001F_呃幂䝆䕟䥂䑔彁⡑㘳㈵ⰶ㘳ㄶⰶ元착_x0018_＀＀_x0018_＀＀_x0008_＀＀_x0001_＀＀_x0001_＀＀ొ⬂ﺇ䁞韤䮏＀Ｏ呃幂南䡟呌䍈剁彅䵁剏彔䕓噒䍟协⡔㈱㈯〰ⰴⰬ唬䑓착_x0018_＀＀_x0018_＀＀_x0008_＀＀_x0001_＀＀_x0001_＀＀갈娜㭤뾿鮎䭩_x001C_呃幂彐剐䍉彅噁⡇㐳〶ⰸ㐳㤶⤹_x0018_＀＀_x0018_＀＀_x0008_＀＀_x0001_＀＀_x0001_＀＀鹙輇䀷鰮䲜I䕌幁䅃偟久当剓彖佃呓ㄨ⼲〲㤰ⰬⰬ单⥄址当䕐华佉彎䕓噒䍟协⡔㈱㈯〰ⰹⰬ唬䑓착_x0018_＀＀_x0018_＀＀_x0008_＀＀_x0001_＀＀_x0001_＀＀晧晦晦䀢鮎䭩(呃幂元䍟䵏卟午䍟䱁彃䕄卐㌨㤶㈸㌬〷㈷䌬⥑_x0018_＀＀_x0018_＀＀_x0008_＀＀_x0001_＀＀_x0001_＀＀ⴎ鶲⟯䁒鮎䭩(呃幂元䍟䵏卟午䍟䱁彃䕄卐㌨㤳〷㌬〴㤵䌬⥑_x0018_＀＀_x0018_＀＀_x0008_＀＀_x0001_＀＀_x0001_＀＀豀碵꼝쐕鮎䭩(呃幂元䍟䵏卟午䍟䱁彃䕄卐㌨㠷㔹㌬㤷㘸䌬⥑_x0018_＀＀_x0018_＀＀_x0008_＀＀_x0001_＀＀_x0001_＀＀㽽帵놺䁒鮎䭩(呃幂元䍟䵏卟午䍟䱁彃䕄卐㌨㔵ㄲ㌬㘵ㄱ䌬⥑_x0018_＀＀_x0018_＀＀_x0008_＀＀_x0001_＀＀_x0001_＀＀豀碵꼝쐕韤䮏L呃幂䅃偟协剔呅䥟呎䍟协⡔㈱㈯〰ⰴⰬ唬䑓䀩南䡟呌䍈剁彅义彔佃呓ㄨ⼲〲㐰ⰬⰬ单⥄_x0018_＀＀_x0018_＀＀_x0008_＀＀_x0001_＀＀_x0001_＀＀삃ꇊ㙅䀮韥䮏#呃幂䅃偟协剔呅䱟䅉⡂㈱㈯〰ⰵⰬ唬䑓착_x0018_＀＀_x0018_＀＀_x0008_＀＀_x0001_＀＀_x0001_＀＀ﯨ헒쁨흖䰠_x001C_䕌幁彐剐䍉彅噁⡇㤳㈷ⰲ㤳ㄸ⤳_x0018_＀＀_x0018_＀＀_x0008_＀＀_x0001_＀＀_x0001_＀＀豀碵꼝쐕鮎䭩_x001C_呃幂彐剐䍉彅噁⡇㐳㈴ⰵ㐳ㄵ⤵_x0018_＀＀_x0018_＀＀_x0008_＀＀_x0001_＀＀_x0001_＀＀敖ᗟ꿁䀹鰳䲜_x001F_䕌幁䅃偟久当呌䅟卓呅⡓ⰰⰬ唬䑓착_x0018_＀＀_x0018_＀＀_x0008_＀＀_x0001_＀＀_x0001_＀＀晧晦晦䁆鮜䭩_x001F_呃幂䝆䕟䥂䑔彁⡑㘳㠹ⰲ㜳㜰ⰲ元착_x0018_＀＀_x0018_＀＀_x0008_＀＀_x0001_＀＀_x0001_＀＀尨誏䁛琍䭱_x001C_呃幂彐剐䍉彅噁⡇㈳㠷ⰲ㈳㜸⤳_x0018_＀＀_x0018_＀＀_x0008_＀＀_x0001_＀＀_x0001_＀＀ꔖ悄鵕䀡鮜䭩_x001F_呃幂䝆䕟䥂䑔彁⡑㔳㈵ⰱ㔳ㄶⰱ元착_x0018_＀＀_x0018_＀＀_x0008_＀＀_x0001_＀＀_x0001_＀＀傜肈ꍃ䁓鮜䭩_x001F_呃幂䝆䕟䥂䑔彁⡑㌳㜹ⰰ㐳㔰ⰹ元착_x0018_＀＀_x0018_＀＀_x0008_＀＀_x0001_＀＀_x0001_＀＀螇縰会䁊韤䮏'呃幂䅃偟久当商䑎卟䅔啔⡓㈱㈯〰ⰲⰬ唬䑓착_x0018_＀＀_x0018_＀＀_x0008_＀＀_x0001_＀＀_x0001_＀＀俟鞍쉮쁠흕䰠_x001C_䕌幁彐剐䍉彅噁⡇㐳〶ⰸ㐳㤶⤹_x0018_＀＀_x0018_＀＀_x0008_＀＀_x0001_＀＀_x0001_＀＀豀碵꼝쐕饙䭩_x001F_呃幂兆也呅䑟䉅⡔㔳㔱ⰶ㔳㐲ⰶ元착_x0018_＀＀_x0018_＀＀_x0008_＀＀_x0001_＀＀_x0001_＀＀豀碵꼝쐕鸓䮏&lt;呃幂䅃偟久当䥄䍓剟呁⡅㈱㈯〰⤸址当䕐华佉彎䥄䍓剟呁⡅㈱㈯〰⤸_x0018_＀＀_x0018_＀＀_x0008_＀＀_x0001_＀＀_x0001_＀＀ᑻ䞮竡䀘韤䮏J呃幂䅃偟久当䥄䍓剟呁⡅㈱㈯〰ⰳⰬ唬䑓䀩南偟久䥓乏䑟卉彃䅒䕔ㄨ⼲〲㌰ⰬⰬ单⥄_x0018_＀＀_x0018_＀＀_x0008_＀＀_x0001_＀＀_x0001_＀＀轜尨䀙韤䮏)呃幂䅃偟久当䵅彐佃呎䥒彂⡃㈱㈯〰ⰳⰬ唬䑓착_x0018_＀＀_x0018_＀＀_x0008_＀＀_x0001_＀＀_x0001_＀＀삃ꇊ噅䁍韤䮏 呃幂南䕟䍘彈䅒䕔䥟䍎䍟⡆㈱㈯〰⤲_x0018_＀＀_x0018_＀＀_x0008_＀＀_x0001_＀＀_x0001_＀＀豀碵꼝쐕韤䮏G呃幂䅃偟协剔呅䍟协⡔㈱㈯〰ⰶⰬ唬䑓䀩南䡟呌䍈剁彅偎彐塅⡐㈱㈯〰ⰶⰬ唬䑓착_x0018_＀＀_x0018_＀＀_x0008_＀＀_x0001_＀＀_x0001_＀＀閁譃蝬䀸흕䰠_x001C_䕌幁彐剐䍉彅噁⡇㐳㈴ⰵ㐳ㄵ⤵_x0018_＀＀_x0018_＀＀_x0008_＀＀_x0001_＀＀_x0001_＀＀豀碵꼝쐕䰠_x001C_䕌幁彐剐䍉彅噁⡇㤳ㄸⰴ〴㜱⤸_x0018_＀＀_x0018_＀＀_x0008_＀＀_x0001_＀＀_x0001_＀＀쥜趎♀䁐忆䰚_x001C_䝍幁彐剐䍉彅噁⡇㔳㘰ⰵ㔳㔱⤵_x0018_＀＀_x0018_＀＀_x0008_＀＀_x0001_＀＀_x0001_＀＀릍५ࣹ䁂韥䮏(呃幂南䡟呌䍈剁彅乕彆䕂⡎㈱㈯〰ⰸⰬ唬䑓⤩＀＀＀＀韥䮏,呃幂䅃偟协剔呅䕟偍䍟乏剔䉉䍟ㄨ⼲〲㌰ⰬⰬ单⥄_x0018_＀＀_x0018_＀＀_x0008_＀＀_x0001_＀＀_x0001_＀＀＀＀＀＀＀＀＀＀흕䰠_x001C_䕌幁彐剐䍉彅噁⡇㐳㠸ⰱ㐳㜹⤲_x0018_＀＀_x0018_＀＀_x0008_＀＀_x0001_＀＀_x0001_＀＀豀碵꼝쐕鮎䭩(呃幂元䍟䵏卟午䍟䱁彃䕄卐㐨㈰㤶㐬㌰㤵䌬⥑_x0018_＀＀_x0018_＀＀_x0008_＀＀_x0001_＀＀_x0001_＀＀豀碵꼝쐕韤䮏I呃幂䅃偟久当剓彖佃呓ㄨ⼲〲㜰ⰬⰬ单⥄址当䕐华佉彎䕓噒䍟协⡔㈱㈯〰ⰷⰬ唬䑓착_x0018_＀＀_x0018_＀＀_x0008_＀＀_x0001_＀＀_x0001_＀＀嘄ⴎﶲ䀵惮䰚_x001C_䝍幁彐剐䍉彅噁⡇㐳〷ⰰ㔳㘰⤴_x0018_＀＀_x0018_＀＀_x0008_＀＀_x0001_＀＀_x0001_＀＀팇簰걄䁁鸔䮏'呃幂䅃偟久当商䑎卟䅔啔⡓㈱㈯〰ⰸⰬ唬䑓착_x0018_＀＀_x0018_＀＀_x0008_＀＀_x0001_＀＀_x0001_＀＀璽ᢓ쨄쁰韤䮏(呃幂䅃偟久当䅐呒䍟乏剔䉉ㄨ⼲〲㘰ⰬⰬ单⥄_x0018_＀＀_x0018_＀＀_x0008_＀＀_x0001_＀＀_x0001_＀＀ㄦ갈䀂忆䰚_x001C_䝍幁彐剐䍉彅噁⡇㜳㐳ⰷ㜳㌴⤷_x0018_＀＀_x0018_＀＀_x0008_＀＀_x0001_＀＀_x0001_＀＀▆倞ꤶ䁏鮎䭩_x001C_呃幂彐剐䍉彅噁⡇㔳㌳ⰹ㔳㌴⤰_x0018_＀＀_x0018_＀＀_x0008_＀＀_x0001_＀＀_x0001_＀＀斕授呝䀴鸓䮏G呃幂䅃偟久当䕎彔佃呓ㄨ⼲〲㠰ⰬⰬ单⥄址当䕐华佉彎偎彐塅⡐㈱㈯〰ⰸⰬ唬䑓착_x0018_＀＀_x0018_＀＀_x0008_＀＀_x0001_＀＀_x0001_＀＀嘄ⴎ嶲䀰韤䮏F呃幂䅃偟协剔呅剟䅏ㄨ⼲〲㜰ⰬⰬ单⥄址当䱈䡔䅃䕒䕟偘剟䅏ㄨ⼲〲㜰ⰬⰬ单⥄_x0018_＀＀_x0018_＀＀_x0008_＀＀_x0001_＀＀_x0001_＀＀＀＀＀＀＀＀＀＀鸓䮏C呃幂䅃偟久当剐䩏佟䱂ㄨ⼲〲㠰ⰬⰬ单⥄址当䕐华佉彎䉐⡏㈱㈯〰ⰸⰬ唬䑓착_x0018_＀＀_x0018_＀＀_x0008_＀＀_x0001_＀＀_x0001_＀＀酩糭ᐿ䂏韤䮏J呃幂䅃偟久当佒彁䅒䕔ㄨ⼲〲㌰ⰬⰬ单⥄址当䕐华佉彎塅彐呌剟䅏ㄨ⼲〲㌰ⰬⰬ单⥄_x0018_＀＀_x0018_＀＀_x0008_＀＀_x0001_＀＀_x0001_＀＀ᑻ䞮﫡䀡韤䮏$呃幂䅃偟久当䕂彎䅐䑉ㄨ⼲〲㐰ⰬⰬ单⥄_x0018_＀＀_x0018_＀＀_x0008_＀＀_x0001_＀＀_x0001_＀＀⋑率橾䁋忆䰚_x001C_䝍幁彐剐䍉彅噁⡇㤳〹ⰴ㤳㤹⤴_x0018_＀＀_x0018_＀＀_x0008_＀＀_x0001_＀＀_x0001_＀＀画돥霼䁁忆䰚_x001C_䝍幁彐剐䍉彅噁⡇㘳㔲ⰱ㘳㐳⤱_x0018_＀＀_x0018_＀＀_x0008_＀＀_x0001_＀＀_x0001_＀＀җꦨ_xDF65_䁉뀸䲌_x000E_䕌幁彐剐䍉⡅⤰_x0018_＀＀_x0018_＀＀_x0008_＀＀_x0001_＀＀_x0001_＀＀炤਽䁑韥䮏'呃幂䅃偟协剔呅䉟久偟䥁⡄㈱㈯〰ⰳⰬ唬䑓착_x0018_＀＀_x0018_＀＀_x0008_＀＀_x0001_＀＀_x0001_＀＀＀＀＀＀＀＀＀＀忆䰚_x001C_䝍幁彐剐䍉彅噁⡇㘳㌴ⰴ㘳㈵⤵_x0018_＀＀_x0018_＀＀_x0008_＀＀_x0001_＀＀_x0001_＀＀鋷棆ᴝ䁃鮎䭩(呃幂元䍟䵏卟午䍟䱁彃䕄卐㌨㤷㜸㌬〸㜷䌬⥑_x0018_＀＀_x0018_＀＀_x0008_＀＀_x0001_＀＀_x0001_＀＀鮦⃄슰䁒鸓䮏J呃幂䅃偟久当䱐乁䅟呓ㄨ⼲〲㠰ⰬⰬ单⥄址当䕐华佉彎䅖彌十䕓協ㄨ⼲〲㠰ⰬⰬ单⥄_x0018_＀＀_x0018_＀＀_x0008_＀＀_x0001_＀＀_x0001_＀＀휊炣꼽䂆韤䮏-呃幂䅃偟协剔呅啟归剔佟彂䵁剏⡔㈱㈯〰ⰴⰬ唬䑓착_x0018_＀＀_x0018_＀＀_x0008_＀＀_x0001_＀＀_x0001_＀＀＀＀＀＀＀＀＀＀흕䰠_x001C_䕌幁彐剐䍉彅噁⡇㔳㌳ⰹ㔳㌴⤰_x0018_＀＀_x0018_＀＀_x0008_＀＀_x0001_＀＀_x0001_＀＀豀碵꼝쐕鮎䭩_x001C_呃幂彐剐䍉彅噁⡇㠳〸ⰸ㠳㤸⤸_x0018_＀＀_x0018_＀＀_x0008_＀＀_x0001_＀＀_x0001_＀＀稭ʧ৮䀨鮎䭩(呃幂元䍟䵏卟午䍟䱁彃䕄卐㌨㌷㜴㌬㐷㜳䌬⥑_x0018_＀＀_x0018_＀＀_x0008_＀＀_x0001_＀＀_x0001_＀＀휊炣ꈽ䁒忆䰚_x001C_䝍幁彐剐䍉彅噁⡇㜳〸ⰳ㜳㤸⤴_x0018_＀＀_x0018_＀＀_x0008_＀＀_x0001_＀＀_x0001_＀＀ꆌ梜䥗䁑鮎䭩_x001C_呃幂彐剐䍉彅噁⡇㘳㈵ⰶ㘳ㄶ⤶_x0018_＀＀_x0018_＀＀_x0008_＀＀_x0001_＀＀_x0001_＀＀툛삨웉䀨韤䮏N呃幂䅃偟久当乕䕒佃⡇㈱㈯〰ⰲⰬ唬䑓䀩南偟久䥓乏啟剎䍅卟剅彖佃呓ㄨ⼲〲㈰ⰬⰬ单⥄_x0018_＀＀_x0018_＀＀_x0008_＀＀_x0001_＀＀_x0001_＀＀ﷴ磔쀵韤䮏'呃幂南偟久偟协彔䕒彔䕂⡎㈱㈯〰ⰵⰬ唬䑓착_x0018_＀＀_x0018_＀＀_x0008_＀＀_x0001_＀＀_x0001_＀＀틲才䁴韤䮏"呃幂南偟久䥓乏偟佂ㄨ⼲〲㐰ⰬⰬ单⥄_x0018_＀＀_x0018_＀＀_x0008_＀＀_x0001_＀＀_x0001_＀＀Წ摚씻䂌韤䮏%呃幂䅃偟久当啃归䥌䉁⡓㈱㈯〰ⰷⰬ唬䑓착_x0018_＀＀_x0018_＀＀_x0008_＀＀_x0001_＀＀_x0001_＀＀＀＀＀＀＀＀＀＀韤䮏'呃幂南偟久䥓乏也呅䱟䅉⡂㈱㈯〰ⰵⰬ唬䑓착_x0018_＀＀_x0018_＀＀_x0008_＀＀_x0001_＀＀_x0001_＀＀豀碵꼝쐕鞰䮏＀Ｏ坞当䕐华佉彎十䕓協䉟乏卄丨⥁䍀彁䕐华偟呃䙟⡉䅎착_x0018_＀＀_x0018_＀＀_x0008_＀＀_x0001_＀＀_x0001_＀＀豀碵꼝쐕韤䮏$呃幂䅃偟久当呌䱟䅉卂ㄨ⼲〲㜰ⰬⰬ单⥄_x0018_＀＀_x0018_＀＀_x0008_＀＀_x0001_＀＀_x0001_＀＀嘄ⴎ춲䁋䫻 剔幗䝆䕟䅖彌䉅呉⡄㈭䄰ⱙⰰ奆㤬⤰°＀＀_x0018_＀＀ ＀＀_x0014_＀＀_x0001_＀＀豀碵꼝쐕豀碵꼝쐕豀碵꼝쐕豀碵꼝쐕豀碵꼝쐕豀碵꼝쐕豀碵꼝쐕豀碵꼝쐕豀碵꼝쐕豀碵꼝쐕豀碵꼝쐕豀碵꼝쐕豀碵꼝쐕豀碵꼝쐕豀碵꼝쐕򝘅㤤䀑檩ꢂû䀒盞릡͎䀑踙㏧溠䀑ࡰ橕惶䀄䭻_x001C_呃幂彐剐䍉彅噁⡇㐳㌳ⰵ㐳㤶⤹_x0018_＀＀_x0018_＀＀_x0008_＀＀_x0001_＀＀_x0001_＀＀઒ୣف䀹鮎䭩_x001C_呃幂䝆䕟卐兟㌨㔳㈱㌬㘳㌰䌬⥑_x0018_＀＀_x0018_＀＀_x0008_＀＀_x0001_＀＀_x0001_＀＀ꏗ㵰휊㿓鞰䮏_x000C_坞当啃剒久奃_x0014_＀＀_x0018_＀＀_x0004_＀＀_x0001_＀＀_x0008_＀＀乀A韤䮏)呃幂南䡟呌䍈剁彅䥄䍓剟呁⡅㈱㈯〰ⰶⰬ唬䑓착_x0018_＀＀_x0018_＀＀_x0008_＀＀_x0001_＀＀_x0001_＀＀＀＀＀＀＀＀䀗흕䰠_x001C_䕌幁彐剐䍉彅噁⡇㠳〸ⰸ㠳㤸⤸_x0018_＀＀_x0018_＀＀_x0008_＀＀_x0001_＀＀_x0001_＀＀豀碵꼝쐕䭻_x001C_呃幂彐剐䍉彅噁⡇㤳ㄸⰴ〴㜱⤸_x0018_＀＀_x0018_＀＀_x0008_＀＀_x0001_＀＀_x0001_＀＀৕≨ᡬ䀧흕䰠_x001C_䕌幁彐剐䍉彅噁⡇㘳㈵ⰶ㘳ㄶ⤶_x0018_＀＀_x0018_＀＀_x0008_＀＀_x0001_＀＀_x0001_＀＀豀碵꼝쐕韥䮏*呃幂南䡟呌䍈剁彅塅彐呌剟䅏ㄨ⼲〲㜰ⰬⰬ单⥄_x0018_＀＀_x0018_＀＀_x0008_＀＀_x0001_＀＀_x0001_＀＀豀碵꼝쐕鮎䭩_x001C_呃幂彐剐䍉彅噁⡇㜳ㄷⰲ㜳〸⤲_x0018_＀＀_x0018_＀＀_x0008_＀＀_x0001_＀＀_x0001_＀＀枇㈉䈂䀮韤䮏;呃幂南偟久䥓乏䅟卓呅当呏⡈㈱㈯〰⤶䍀彁䕐华偟呃佟䡔ㄨ⼲〲㘰착_x0018_＀＀_x0018_＀＀_x0008_＀＀_x0001_＀＀_x0001_＀＀＀＀＀＀＀＀＀＀韤䮏)呃幂南偟久䥓乏噟䱁䅟卓呅⡓㈱㈯〰ⰳⰬ唬䑓착_x0018_＀＀_x0018_＀＀_x0008_＀＀_x0001_＀＀_x0001_＀＀䆉ῐ䂊鮎䭩_x001C_呃幂彐剐䍉彅噁⡇㐳㠸ⰱ㐳㜹⤲_x0018_＀＀_x0018_＀＀_x0008_＀＀_x0001_＀＀_x0001_＀＀箊紬狨䀹鮎䭩(呃幂元䍟䵏卟午䍟䱁彃䕄卐㌨㈸ㄶ㌬㌸㈵䌬⥑_x0018_＀＀_x0018_＀＀_x0008_＀＀_x0001_＀＀_x0001_＀＀_xDB23_绹鑪䁒琍䭱_x001C_呃幂彐剐䍉彅噁⡇㌳ㄵⰲ㌳〶⤳_x0018_＀＀_x0018_＀＀_x0008_＀＀_x0001_＀＀_x0001_＀＀폙缎♍䀴韥䮏T呃幂䅃偟协剔呅偟䥒剏卟噒ㄨ⼲〲㌰ⰬⰬ单⥄址当䱈䡔䅃䕒啟剎䍅卟剅彖佃呓ㄨ⼲〲㌰ⰬⰬ单⥄_x0018_＀＀_x0018_＀＀_x0008_＀＀_x0001_＀＀_x0001_＀＀Ẹ롑㾾䰠_x001C_䕌幁彐剐䍉彅噁⡇㐳㌳ⰵ㐳㤶⤹_x0018_＀＀_x0018_＀＀_x0008_＀＀_x0001_＀＀_x0001_＀＀豀碵꼝쐕鮎䭩_x001C_呃幂彐剐䍉彅噁⡇㘳㘰ⰹ㘳㘱⤰_x0018_＀＀_x0018_＀＀_x0008_＀＀_x0001_＀＀_x0001_＀＀佢ﰻ䀱韤䮏 呃幂南䕟䍘彈䅒䕔ㄨ⼲〲㔰ⰬⰬ单⥄_x0018_＀＀_x0018_＀＀_x0008_＀＀_x0001_＀＀_x0001_＀＀＀＀＀＀＀＀㿰韤䮏 呃幂南䕟䍘彈䅒䕔䥟䍎䍟⡆㈱㈯〰⤳_x0018_＀＀_x0018_＀＀_x0008_＀＀_x0001_＀＀_x0001_＀＀豀碵꼝쐕忆䰚_x001C_䝍幁彐剐䍉彅噁⡇㤳㐴ⰸ㤳㌵⤸_x0018_＀＀_x0018_＀＀_x0008_＀＀_x0001_＀＀_x0001_＀＀Ə럝䁒鮎䭩(呃幂元䍟䵏卟午䍟䱁彃䕄卐㌨㤴㌷㌬〵㐶䌬⥑_x0018_＀＀_x0018_＀＀_x0008_＀＀_x0001_＀＀_x0001_＀＀豀碵꼝쐕鮎䭩_x001F_呃幂兆也呅䑟䉅⡔㌳ㄵⰲ㌳〶ⰳ元착_x0018_＀＀_x0018_＀＀_x0008_＀＀_x0001_＀＀_x0001_＀＀豀碵꼝쐕흕䰠_x001C_䕌幁彐剐䍉彅噁⡇㜳ㄷⰲ㜳〸⤲_x0018_＀＀_x0018_＀＀_x0008_＀＀_x0001_＀＀_x0001_＀＀豀碵꼝쐕鮎䭩(呃幂元䍟䵏卟午䍟䱁彃䕄卐㌨㔳㈱㌬㘳㌰䌬⥑_x0018_＀＀_x0018_＀＀_x0008_＀＀_x0001_＀＀_x0001_＀＀豀碵꼝쐕韤䮏G呃幂䅃偟协剔呅䍟协⡔㈱㈯〰ⰵⰬ唬䑓䀩南䡟呌䍈剁彅偎彐塅⡐㈱㈯〰ⰵⰬ唬䑓착_x0018_＀＀_x0018_＀＀_x0008_＀＀_x0001_＀＀_x0001_＀＀尨ꊏ䀸韤䮏Q呃幂䅃偟久当䍁啃彍佃偍䥒䍎ㄨ⼲〲㐰ⰬⰬ单⥄址当佃偍归义彃䕐华䱟䅉⡂㈱㈯〰ⰴⰬ唬䑓착_x0018_＀＀_x0018_＀＀_x0008_＀＀_x0001_＀＀_x0001_＀＀＀＀＀＀＀＀＀＀鮜䭩_x001F_呃幂䝆䕟䥂䑔彁⡑㐳㜹ⰳ㔳㘰ⰴ元착_x0018_＀＀_x0018_＀＀_x0008_＀＀_x0001_＀＀_x0001_＀＀砘㷮❜䁑韤䮏J呃幂䅃偟久当佒彁䅒䕔ㄨ⼲〲㘰ⰬⰬ单⥄址当䕐华佉彎塅彐呌剟䅏ㄨ⼲〲㘰ⰬⰬ单⥄_x0018_＀＀_x0018_＀＀_x0008_＀＀_x0001_＀＀_x0001_＀＀ਾꏗ㵰䀡鮎䭩(呃幂元䍟䵏卟午䍟䱁彃䕄卐㌨㐳〲㌬㔳ㄱ䌬⥑_x0018_＀＀_x0018_＀＀_x0008_＀＀_x0001_＀＀_x0001_＀＀豀碵꼝쐕鮜䭩_x001F_呃幂䝆䕟䥂䑔彁⡑㌳ㄵⰲ㌳〶ⰳ元착_x0018_＀＀_x0018_＀＀_x0008_＀＀_x0001_＀＀_x0001_＀＀_xDD2F_ؤ햁䁇흕䰠_x001C_䕌幁彐剐䍉彅噁⡇㘳㘰ⰹ㘳㘱⤰_x0018_＀＀_x0018_＀＀_x0008_＀＀_x0001_＀＀_x0001_＀＀豀碵꼝쐕饙䭩_x001C_呃幂元卟䱁卅㌨〵㔶㌬ㄵ㔵䌬⥑_x0018_＀＀_x0018_＀＀_x0008_＀＀_x0001_＀＀_x0001_＀＀司ꗣ킛䁷韥䮏P呃幂䅃偟协剔呅偟䅌彎十彔久⡄㈱㈯〰ⰶⰬ唬䑓䀩南䡟呌䍈剁彅噆䅟卓呅ㄨ⼲〲㘰ⰬⰬ单⥄_x0018_＀＀_x0018_＀＀_x0008_＀＀_x0001_＀＀_x0001_＀＀＀＀＀＀＀＀＀＀鰮䲜;䕌幁南偟久䥓乏䅟卓呅当呏⡈㈱㈯〰⤹䍀彁䕐华偟呃佟䡔ㄨ⼲〲㤰착_x0018_＀＀_x0018_＀＀_x0008_＀＀_x0001_＀＀_x0001_＀＀쳍쳌쳌䀠鮎䭩(呃幂元䍟䵏卟午䍟䱁彃䕄卐㌨㜷㈱㌬㠷㈰䌬⥑_x0018_＀＀_x0018_＀＀_x0008_＀＀_x0001_＀＀_x0001_＀＀赐溗笒䁒韤䮏(呃幂南偟久䥓乏䅟卓呅当呌ㄨ⼲〲㘰ⰬⰬ单⥄_x0018_＀＀_x0018_＀＀_x0008_＀＀_x0001_＀＀_x0001_＀＀豀碵꼝쐕鰾䲜"䕌幁南䡟呌䍈剁彅䥄䍓剟呁⡅ⰬⰬ单⥄_x0018_＀＀_x0018_＀＀_x0008_＀＀_x0001_＀＀_x0001_＀＀＀＀＀＀＀＀䀘鮎䭩(呃幂元䍟䵏卟午䍟䱁彃䕄卐㌨㌴㔳㌬㐴㐲䌬⥑_x0018_＀＀_x0018_＀＀_x0008_＀＀_x0001_＀＀_x0001_＀＀豀碵꼝쐕鮎䭩_x001F_呃幂䝆䕟䥂䑔彁⡑㌳㈴ⰰ㌳ㄵⰱ元착_x0018_＀＀_x0018_＀＀_x0008_＀＀_x0001_＀＀_x0001_＀＀빷᪟䁅凄䪹_x0019_坂幁䝆偟䭂⴨〲奁〬䘬ⱙ〹착°＀＀_x0018_＀＀ ＀＀_x0014_＀＀_x0001_＀＀豀碵꼝쐕豀碵꼝쐕豀碵꼝쐕豀碵꼝쐕캎_xFFFF_ﾖ_xDAD2_㿨랹빬㿳㪕礒⇜㿶땔瞓ោ㿸⎀䴦䤨㿿⊾ఉ誣㿼뮥뎐㿰Ꭶ彤㿮龯浙奙㿳ᰌ᥵画㿵Ⰺ⦀꜃㿿ⲙ㿮촲䀀奓벹˞䀁Ⅼ䇈㿼텾ꇔ皉䀄툨鳽ᲂ㿲镘䮎＀Ｏ䍞彁䕐华䑟卉彃䅒䕔丨⥁址当䕐华佉彎䥄䍓剟呁⡅䅎착_x0018_＀＀_x0018_＀＀_x0008_＀＀_x0001_＀＀_x0001_＀＀豀碵꼝쐕鰮䲜M䕌幁䅃偟久当剐佉归剓⡖㈱㈯〰ⰹⰬ唬䑓䀩南偟久䥓乏偟归䕓噒䍟协⡔㈱㈯〰ⰹⰬ唬䑓착_x0018_＀＀_x0018_＀＀_x0008_＀＀_x0001_＀＀_x0001_＀＀豀碵꼝쐕韤䮏&amp;呃幂䅃偟久当十彔义䅔䝎ㄨ⼲〲㜰ⰬⰬ单⥄_x0018_＀＀_x0018_＀＀_x0008_＀＀_x0001_＀＀_x0001_＀＀豀碵꼝쐕韤䮏M呃幂䅃偟协剔呅卟噒䍟协⡔㈱㈯〰ⰸⰬ唬䑓䀩南䡟呌䍈剁彅䕓噒䍟协⡔㈱㈯〰ⰸⰬ唬䑓착_x0018_＀＀_x0018_＀＀_x0008_＀＀_x0001_＀＀_x0001_＀＀㝌䆉䀓鰮䲜N䕌幁䅃偟久当乕䕒佃⡇㈱㈯〰ⰹⰬ唬䑓䀩南偟久䥓乏啟剎䍅卟剅彖佃呓ㄨ⼲〲㤰ⰬⰬ单⥄_x0018_＀＀_x0018_＀＀_x0008_＀＀_x0001_＀＀_x0001_＀＀＀＀＀＀＀＀＀＀惮䰚_x001C_䝍幁彐剐䍉彅噁⡇㘳㈵ⰶ㘳㤸⤱_x0018_＀＀_x0018_＀＀_x0008_＀＀_x0001_＀＀_x0001_＀＀绐袤꼌䁃鮎䭩(呃幂元䍟䵏卟午䍟䱁彃䕄卐㌨ㄶㄶ㌬㈶〵䌬⥑_x0018_＀＀_x0018_＀＀_x0008_＀＀_x0001_＀＀_x0001_＀＀ꗣ쒛䁒鮜䭩_x001F_呃幂䝆䕟䥂䑔彁⡑㐳㌳ⰵ㐳㈴ⰴ元착_x0018_＀＀_x0018_＀＀_x0008_＀＀_x0001_＀＀_x0001_＀＀䯇褷ꁁ䁌鸓䮏C呃幂䅃偟久当剐䩏佟䱂ㄨ⼲〲㜰ⰬⰬ单⥄址当䕐华佉彎䉐⡏㈱㈯〰ⰷⰬ唬䑓착_x0018_＀＀_x0018_＀＀_x0008_＀＀_x0001_＀＀_x0001_＀＀ⴎ鶲⭯䂑惮䰚_x001C_䝍幁彐剐䍉彅噁⡇㔳㌴ⰱ㔳㤷⤵_x0018_＀＀_x0018_＀＀_x0008_＀＀_x0001_＀＀_x0001_＀＀麄꫍췏䁉鮜䭩_x001F_呃幂䝆䕟䥂䑔彁⡑㘳㘱ⰱ㘳㔲ⰰ元착_x0018_＀＀_x0018_＀＀_x0008_＀＀_x0001_＀＀_x0001_＀＀_xD917_쭓䁓鮎䭩_x001C_呃幂彐剐䍉彅噁⡇㜳㤸ⰵ㜳㠹⤶_x0018_＀＀_x0018_＀＀_x0008_＀＀_x0001_＀＀_x0001_＀＀壎鴴쒝䀳忆䰚_x001C_䝍幁彐剐䍉彅噁⡇㐳〷ⰰ㐳㠷⤹_x0018_＀＀_x0018_＀＀_x0008_＀＀_x0001_＀＀_x0001_＀＀䳘_xD9BE_㋦䁀鮎䭩(呃幂元䍟䵏卟午䍟䱁彃䕄卐㌨ㄹ㌷㌬㈹㌶䌬⥑_x0018_＀＀_x0018_＀＀_x0008_＀＀_x0001_＀＀_x0001_＀＀龿⼚瓝䁏韤䮏C呃幂䅃偟久当剐䩏佟䱂ㄨ⼲〲㘰ⰬⰬ单⥄址当䕐华佉彎䉐⡏㈱㈯〰ⰶⰬ唬䑓착_x0018_＀＀_x0018_＀＀_x0008_＀＀_x0001_＀＀_x0001_＀＀㽼㦵䂑韣䮏9呃幂䅃偟久当䕎彔佃呓ㄨ⼲〲㠰䀩南偟久䥓乏也偐䕟偘ㄨ⼲〲㠰착_x0018_＀＀_x0018_＀＀_x0008_＀＀_x0001_＀＀_x0001_＀＀嘄ⴎ嶲䀰䭻_x001C_呃幂彐剐䍉彅噁⡇㠳ㄷⰸ㤳㠰⤲_x0018_＀＀_x0018_＀＀_x0008_＀＀_x0001_＀＀_x0001_＀＀뿊垖龮䀨흕䰠_x001C_䕌幁彐剐䍉彅噁⡇㜳㤸ⰵ㜳㠹⤶_x0018_＀＀_x0018_＀＀_x0008_＀＀_x0001_＀＀_x0001_＀＀豀碵꼝쐕鮎䭩(呃幂元䍟䵏卟午䍟䱁彃䕄卐㌨㤹㔹㐬〰㘸䌬⥑_x0018_＀＀_x0018_＀＀_x0008_＀＀_x0001_＀＀_x0001_＀＀晧晦虦䁎韥䮏+呃幂䅃偟协剔呅偟剁彔佃呎䥒⡂㈱㈯〰ⰵⰬ唬䑓착_x0018_＀＀_x0018_＀＀_x0008_＀＀_x0001_＀＀_x0001_＀＀＀＀＀＀＀＀＀＀韤䮏＀Ｏ呃幂南䡟呌䍈剁彅䵁剏彔䕓噒䍟协⡔㈱㈯〰ⰵⰬ唬䑓착_x0018_＀＀_x0018_＀＀_x0008_＀＀_x0001_＀＀_x0001_＀＀磕⛩࠱뿌鮎䭩_x001C_呃幂䝆䕟卐兟㌨㐳〲㌬㔳ㄱ䌬⥑_x0018_＀＀_x0018_＀＀_x0008_＀＀_x0001_＀＀_x0001_＀＀⣶轜㿐韤䮏;呃幂南偟久䥓乏䅟卓呅当剐偏ㄨ⼲〲㐰䀩䅃偟久当䍐彔䕒ㄨ⼲〲㐰착_x0018_＀＀_x0018_＀＀_x0008_＀＀_x0001_＀＀_x0001_＀＀＀＀＀＀＀＀＀＀韤䮏B呃幂䅃偟久当佒⡁㈱㈯〰ⰲⰬ唬䑓䀩南偟久䥓乏䕟偘剟䅏ㄨ⼲〲㈰ⰬⰬ单⥄_x0018_＀＀_x0018_＀＀_x0008_＀＀_x0001_＀＀_x0001_＀＀＀＀＀＀蠀쁐䰠_x001C_䕌幁彐剐䍉彅噁⡇㠳ㄷⰸ㤳㠰⤲_x0018_＀＀_x0018_＀＀_x0008_＀＀_x0001_＀＀_x0001_＀＀豀碵꼝쐕韤䮏 呃幂南䕟䍘彈䅒䕔䥟䍎䍟⡆㈱㈯〰⤴_x0018_＀＀_x0018_＀＀_x0008_＀＀_x0001_＀＀_x0001_＀＀豀碵꼝쐕韥䮏E呃幂䅃偟协剔呅䉟久佟⡂㈱㈯〰ⰳⰬ唬䑓䀩南䡟呌䍈剁彅䉐⡏㈱㈯〰ⰳⰬ唬䑓착_x0018_＀＀_x0018_＀＀_x0008_＀＀_x0001_＀＀_x0001_＀＀쫁䖡쎶䁵韤䮏B呃幂䅃偟久当佒⡁㈱㈯〰ⰵⰬ唬䑓䀩南偟久䥓乏䕟偘剟䅏ㄨ⼲〲㔰ⰬⰬ单⥄_x0018_＀＀_x0018_＀＀_x0008_＀＀_x0001_＀＀_x0001_＀＀扎堐쁐韤䮏F呃幂䅃偟久当佒彁䍁⡔㈱㈯〰ⰳⰬ唬䑓䀩南偟久䥓乏䅟呃剟䅏ㄨ⼲〲㌰ⰬⰬ单⥄_x0018_＀＀_x0018_＀＀_x0008_＀＀_x0001_＀＀_x0001_＀＀뙆ﷳე䁛韤䮏'呃幂䅃偟久当商䑎卟䅔啔⡓㈱㈯〰ⰳⰬ唬䑓착_x0018_＀＀_x0018_＀＀_x0008_＀＀_x0001_＀＀_x0001_＀＀㭤俟ᎍ쁡韤䮏;呃幂南偟久䥓乏䅟卓呅当充䥕ㄨ⼲〲㔰䀩䅃偟久当䍐彔充ㄨ⼲〲㔰착_x0018_＀＀_x0018_＀＀_x0008_＀＀_x0001_＀＀_x0001_＀＀＀＀＀＀耀䁑韤䮏L呃幂䅃偟协剔呅䥟呎䍟协⡔㈱㈯〰ⰳⰬ唬䑓䀩南䡟呌䍈剁彅义彔佃呓ㄨ⼲〲㌰ⰬⰬ单⥄_x0018_＀＀_x0018_＀＀_x0008_＀＀_x0001_＀＀_x0001_＀＀퓾넦䀴鮎䭩_x001F_呃幂兆也呅䑟䉅⡔㌳㈴ⰰ㌳ㄵⰱ元착_x0018_＀＀_x0018_＀＀_x0008_＀＀_x0001_＀＀_x0001_＀＀豀碵꼝쐕鸓䮏M呃幂䅃偟久当剐佉归剓⡖㈱㈯〰ⰸⰬ唬䑓䀩南偟久䥓乏偟归䕓噒䍟协⡔㈱㈯〰ⰸⰬ唬䑓착_x0018_＀＀_x0018_＀＀_x0008_＀＀_x0001_＀＀_x0001_＀＀퓽㿞韤䮏F呃幂䅃偟久当佒彁䍁⡔㈱㈯〰ⰶⰬ唬䑓䀩南偟久䥓乏䅟呃剟䅏ㄨ⼲〲㘰ⰬⰬ单⥄_x0018_＀＀_x0018_＀＀_x0008_＀＀_x0001_＀＀_x0001_＀＀帵䦺㈌䁖韤䮏)呃幂䅃偟久当䵅彐佃呎䥒彂⡃㈱㈯〰ⰴⰬ唬䑓착_x0018_＀＀_x0018_＀＀_x0008_＀＀_x0001_＀＀_x0001_＀＀ਾꏗ쵰䁜韥䮏)呃幂䅃偟协剔呅佟䡔䑁彊䉎⡁㈱㈯〰ⰷⰬ唬䑓착_x0018_＀＀_x0018_＀＀_x0008_＀＀_x0001_＀＀_x0001_＀＀豀碵꼝쐕韤䮏G呃幂䅃偟协剔呅䍟协⡔㈱㈯〰ⰴⰬ唬䑓䀩南䡟呌䍈剁彅偎彐塅⡐㈱㈯〰ⰴⰬ唬䑓착_x0018_＀＀_x0018_＀＀_x0008_＀＀_x0001_＀＀_x0001_＀＀扎堐ᐹ䀷鮎䭩(呃幂元䍟䵏卟午䍟䱁彃䕄卐㌨㘴㠰㌬㘴㤹䌬⥑_x0018_＀＀_x0018_＀＀_x0008_＀＀_x0001_＀＀_x0001_＀＀豀碵꼝쐕韤䮏(呃幂䅃偟久当偐彄䕂彎佃呓ㄨ⼲〲㈰ⰬⰬ单⥄_x0018_＀＀_x0018_＀＀_x0008_＀＀_x0001_＀＀_x0001_＀＀豀碵꼝쐕鰮䲜%䕌幁䅃偟久当啃归䥌䉁⡓㈱㈯〰ⰹⰬ唬䑓착_x0018_＀＀_x0018_＀＀_x0008_＀＀_x0001_＀＀_x0001_＀＀馚香香䀤韥䮏,呃幂䅃偟协剔呅䕟偍䍟乏剔䉉䍟ㄨ⼲〲㐰ⰬⰬ单⥄_x0018_＀＀_x0018_＀＀_x0008_＀＀_x0001_＀＀_x0001_＀＀＀＀＀＀＀＀＀＀韤䮏J呃幂䅃偟久当䥄䍓剟呁⡅㈱㈯〰ⰲⰬ唬䑓䀩南偟久䥓乏䑟卉彃䅒䕔ㄨ⼲〲㈰ⰬⰬ单⥄_x0018_＀＀_x0018_＀＀_x0008_＀＀_x0001_＀＀_x0001_＀＀尩슏⣵䀛韤䮏J呃幂䅃偟久当䱐乁䅟呓ㄨ⼲〲㄰ⰬⰬ单⥄址当䕐华佉彎䅖彌十䕓協ㄨ⼲〲㄰ⰬⰬ单⥄_x0018_＀＀_x0018_＀＀_x0008_＀＀_x0001_＀＀_x0001_＀＀Წ摚ᔻ䂆韤䮏&lt;呃幂南偟久䥓乏䅟卓呅当佂䑎⡓㈱㈯〰⤴䍀彁䕐华偟呃䙟⡉㈱㈯〰⤴_x0018_＀＀_x0018_＀＀_x0008_＀＀_x0001_＀＀_x0001_＀＀＀＀＀＀＀＀䀾鮜䭩_x001F_呃幂䝆䕟䥂䑔彁⡑㐳〶ⰸ㐳㤶ⰹ元착_x0018_＀＀_x0018_＀＀_x0008_＀＀_x0001_＀＀_x0001_＀＀ㄦ䰈䁓韤䮏%呃幂䅃偟久当呌䅟卓呅⡓㈱㈯〰ⰶⰬ唬䑓착_x0018_＀＀_x0018_＀＀_x0008_＀＀_x0001_＀＀_x0001_＀＀＀＀＀＀＀＀＀＀韤䮏F呃幂䅃偟协剔呅剟䅏ㄨ⼲〲㘰ⰬⰬ单⥄址当䱈䡔䅃䕒䕟偘剟䅏ㄨ⼲〲㘰ⰬⰬ单⥄_x0018_＀＀_x0018_＀＀_x0008_＀＀_x0001_＀＀_x0001_＀＀＀＀＀＀＀＀＀＀䫻_x001C_剔幗䝆偟彅奆⠱㈭䄰ⱙⰰ奆㤬⤰°＀＀_x0018_＀＀ ＀＀_x0014_＀＀_x0001_＀＀豀碵꼝쐕豀碵꼝쐕豀碵꼝쐕豀碵꼝쐕豀碵꼝쐕豀碵꼝쐕豀碵꼝쐕豀碵꼝쐕豀碵꼝쐕豀碵꼝쐕豀碵꼝쐕豀碵꼝쐕豀碵꼝쐕豀碵꼝쐕豀碵꼝쐕茛ࡎᰝ䀨ㅷ瓍㎯䀯ꭥ⧋ꄁ䀪훘_xFFFF_ｏ썙䀢煗䋴䡋䀖鮎䭩_x001C_呃幂彐剐䍉彅噁⡇㐳㌳ⰵ㐳㈴⤴_x0018_＀＀_x0018_＀＀_x0008_＀＀_x0001_＀＀_x0001_＀＀膚臷䀺鮎䭩(呃幂元䍟䵏卟午䍟䱁彃䕄卐㌨㘸㘲㌬㜸㜱䌬⥑_x0018_＀＀_x0018_＀＀_x0008_＀＀_x0001_＀＀_x0001_＀＀橿璼ꢓ䁎韤䮏(呃幂䅃偟久当䅐呒䍟乏剔䉉ㄨ⼲〲㜰ⰬⰬ单⥄_x0018_＀＀_x0018_＀＀_x0008_＀＀_x0001_＀＀_x0001_＀＀㕀멞౉䀂韥䮏(呃幂南䡟呌䍈剁彅乕彆䕂⡎㈱㈯〰ⰴⰬ唬䑓⤩＀＀＀＀鮎䭩(呃幂元䍟䵏卟午䍟䱁彃䕄卐㌨㠸㠰㌬㠸㠹䌬⥑_x0018_＀＀_x0018_＀＀_x0008_＀＀_x0001_＀＀_x0001_＀＀恂탥ꬢ䁎韤䮏$呃幂䅃偟久当䕂彎䅐䑉ㄨ⼲〲㔰ⰬⰬ单⥄_x0018_＀＀_x0018_＀＀_x0008_＀＀_x0001_＀＀_x0001_＀＀ꧻ⋱䁈韤䮏%呃幂䅃偟久当啃归䥌䉁⡓㈱㈯〰ⰲⰬ唬䑓착_x0018_＀＀_x0018_＀＀_x0008_＀＀_x0001_＀＀_x0001_＀＀豀碵꼝쐕惮䰚_x001C_䝍幁彐剐䍉彅噁⡇㘳㘱ⰱ㘳㈵⤵_x0018_＀＀_x0018_＀＀_x0008_＀＀_x0001_＀＀_x0001_＀＀⽅墣兮䁇韤䮏%呃幂䅃偟久当佃偍剟呁⡅㈱㈯〰ⰵⰬ唬䑓착_x0018_＀＀_x0018_＀＀_x0008_＀＀_x0001_＀＀_x0001_＀＀롑蔞䀋鮎䭩(呃幂元䍟䵏卟午䍟䱁彃䕄卐㌨㔸㐳㌬㘸㔲䌬⥑_x0018_＀＀_x0018_＀＀_x0008_＀＀_x0001_＀＀_x0001_＀＀㝌䆉ꕠ䁎韤䮏I呃幂䅃偟久当剓彖佃呓ㄨ⼲〲㘰ⰬⰬ单⥄址当䕐华佉彎䕓噒䍟协⡔㈱㈯〰ⰶⰬ唬䑓착_x0018_＀＀_x0018_＀＀_x0008_＀＀_x0001_＀＀_x0001_＀＀ꧻ틱䀶韤䮏(呃幂䅃偟久当偐彄䕂彎佃呓ㄨ⼲〲㠰ⰬⰬ单⥄_x0018_＀＀_x0018_＀＀_x0008_＀＀_x0001_＀＀_x0001_＀＀豀碵꼝쐕흕䰠_x001C_䕌幁彐剐䍉彅噁⡇㐳㌳ⰵ㐳㈴⤴_x0018_＀＀_x0018_＀＀_x0008_＀＀_x0001_＀＀_x0001_＀＀豀碵꼝쐕韤䮏-呃幂䅃偟协剔呅啟归剔佟彂䵁剏⡔㈱㈯〰ⰵⰬ唬䑓착_x0018_＀＀_x0018_＀＀_x0008_＀＀_x0001_＀＀_x0001_＀＀＀＀＀＀＀＀＀＀韤䮏*呃幂南䡟呌䍈剁彅塅彐呌剟䅏ㄨ⼲〲㈰ⰬⰬ单⥄_x0018_＀＀_x0018_＀＀_x0008_＀＀_x0001_＀＀_x0001_＀＀豀碵꼝쐕䭻_x001C_呃幂彐剐䍉彅噁⡇㈳〵ⰹ㈳㜸⤳_x0018_＀＀_x0018_＀＀_x0008_＀＀_x0001_＀＀_x0001_＀＀Ꝑ먼嘑䀞韤䮏'呃幂南偟久偟协彔䕒彔䕂⡎㈱㈯〰ⰶⰬ唬䑓착_x0018_＀＀_x0018_＀＀_x0008_＀＀_x0001_＀＀_x0001_＀＀Й๖䁸䭻_x001C_呃幂彐剐䍉彅噁⡇㜳㈶ⰲ㜳㠹⤶_x0018_＀＀_x0018_＀＀_x0008_＀＀_x0001_＀＀_x0001_＀＀늫諯鿠䀰凄䪹 坂幁䝆䕟䅖彌䉅呉⡄㈭䄰ⱙⰰ奆㤬⤰°＀＀_x0018_＀＀ ＀＀_x0014_＀＀_x0001_＀＀豀碵꼝쐕豀碵꼝쐕豀碵꼝쐕豀碵꼝쐕_xDB7B_蕌푸䀘嬡꾖ニ䀖鬁綽䀒긶흿乧䀖쀒髅䀤ֺꅜ荙䀙ፙ슰藒䀖妷齡_xD8A5_䀕楦⍲䀙좂䴢玼䀜ɦ4萊䀞㶸扁뎻䀠州ﳂ魰䀟Ǎ耧댇䀜䧭獠츎䀧趣᳈쩰䀑䫻_x0019_剔幗䝆偟䭂⴨〲奁〬䘬ⱙ〹착°＀＀_x0018_＀＀ ＀＀_x0014_＀＀_x0001_＀＀豀碵꼝쐕豀碵꼝쐕豀碵꼝쐕豀碵꼝쐕豀碵꼝쐕豀碵꼝쐕豀碵꼝쐕豀碵꼝쐕豀碵꼝쐕豀碵꼝쐕豀碵꼝쐕豀碵꼝쐕豀碵꼝쐕豀碵꼝쐕豀碵꼝쐕ࠋ螭㌯㿾抄栫쉚䀀鼉쩒氐㿼鶢B㿪楖ᛅ唆㾼韤䮏C呃幂䅃偟久当剐䩏佟䱂ㄨ⼲〲㔰ⰬⰬ单⥄址当䕐华佉彎䉐⡏㈱㈯〰ⰵⰬ唬䑓착_x0018_＀＀_x0018_＀＀_x0008_＀＀_x0001_＀＀_x0001_＀＀ቯ삃飊䂏忆䰚_x001C_䝍幁彐剐䍉彅噁⡇㜳㔲ⰷ㜳㐳⤶_x0018_＀＀_x0018_＀＀_x0008_＀＀_x0001_＀＀_x0001_＀＀马鱷羢䁍忆䰚_x001C_䝍幁彐剐䍉彅噁⡇㔳㜹ⰷ㘳㘰⤸_x0018_＀＀_x0018_＀＀_x0008_＀＀_x0001_＀＀_x0001_＀＀噭깽䪶䁌韥䮏T呃幂䅃偟协剔呅偟䥒剏卟噒ㄨ⼲〲㔰ⰬⰬ单⥄址当䱈䡔䅃䕒啟剎䍅卟剅彖佃呓ㄨ⼲〲㔰ⰬⰬ单⥄_x0018_＀＀_x0018_＀＀_x0008_＀＀_x0001_＀＀_x0001_＀＀ᚇ컙号쀌韤䮏)呃幂南䡟呌䍈剁彅䥄䍓剟呁⡅㈱㈯〰ⰷⰬ唬䑓착_x0018_＀＀_x0018_＀＀_x0008_＀＀_x0001_＀＀_x0001_＀＀＀＀＀＀＀＀䀗韥䮏#呃幂䅃偟协剔呅䱟䅉⡂㈱㈯〰ⰶⰬ唬䑓착_x0018_＀＀_x0018_＀＀_x0008_＀＀_x0001_＀＀_x0001_＀＀帵䦺㈌쁱鰮䲜C䕌幁䅃偟久当剐䩏佟䱂ㄨ⼲〲㤰ⰬⰬ单⥄址当䕐华佉彎䉐⡏㈱㈯〰ⰹⰬ唬䑓착_x0018_＀＀_x0018_＀＀_x0008_＀＀_x0001_＀＀_x0001_＀＀晧晦試䂉韤䮏C呃幂䅃偟久当剐䩏佟䱂ㄨ⼲〲㐰ⰬⰬ单⥄址当䕐华佉彎䉐⡏㈱㈯〰ⰴⰬ唬䑓착_x0018_＀＀_x0018_＀＀_x0008_＀＀_x0001_＀＀_x0001_＀＀Წ摚씻䂌韥䮏*呃幂南䡟呌䍈剁彅塅彐呌剟䅏ㄨ⼲〲㠰ⰬⰬ单⥄_x0018_＀＀_x0018_＀＀_x0008_＀＀_x0001_＀＀_x0001_＀＀豀碵꼝쐕䰠_x001C_䕌幁彐剐䍉彅噁⡇㜳㈶ⰲ㜳㠹⤶_x0018_＀＀_x0018_＀＀_x0008_＀＀_x0001_＀＀_x0001_＀＀豀碵꼝쐕韤䮏M呃幂䅃偟久当剐佉归剓⡖㈱㈯〰ⰶⰬ唬䑓䀩南偟久䥓乏偟归䕓噒䍟协⡔㈱㈯〰ⰶⰬ唬䑓착_x0018_＀＀_x0018_＀＀_x0008_＀＀_x0001_＀＀_x0001_＀＀쒜뀠桲㿭韤䮏 呃幂南䕟䍘彈䅒䕔䥟䍎䍟⡆㈱㈯〰⤵_x0018_＀＀_x0018_＀＀_x0008_＀＀_x0001_＀＀_x0001_＀＀豀碵꼝쐕鰮䲜_x001E_䕌幁䅃偟久当佃偍剟呁⡅㈱㈯〰⤹_x0018_＀＀_x0018_＀＀_x0008_＀＀_x0001_＀＀_x0001_＀＀䞮竡긔䀍韤䮏M呃幂䅃偟久当剐佉归剓⡖㈱㈯〰ⰷⰬ唬䑓䀩南偟久䥓乏偟归䕓噒䍟协⡔㈱㈯〰ⰷⰬ唬䑓착_x0018_＀＀_x0018_＀＀_x0008_＀＀_x0001_＀＀_x0001_＀＀Ȍ蜫_xD916_㿦忆䰚_x001C_䝍幁彐剐䍉彅噁⡇㔳㔱ⰶ㔳㐲⤶_x0018_＀＀_x0018_＀＀_x0008_＀＀_x0001_＀＀_x0001_＀＀哊ꣁ䊤䁄鮎䭩_x001C_呃幂彐剐䍉彅噁⡇〴㠰ⰷ〴㜱⤸_x0018_＀＀_x0018_＀＀_x0008_＀＀_x0001_＀＀_x0001_＀＀奵汌☾䀲鞰䮏_x0014_坞当奆⡃⤰䍀彁奆⡃⤰_x0014_＀＀_x0018_＀＀_x0004_＀＀_x0001_＀＀_x0008_＀＀乀A鸓䮏B呃幂䅃偟久当佒⡁㈱㈯〰ⰸⰬ唬䑓䀩南偟久䥓乏䕟偘剟䅏ㄨ⼲〲㠰ⰬⰬ单⥄_x0018_＀＀_x0018_＀＀_x0008_＀＀_x0001_＀＀_x0001_＀＀탥_xDB22_廹쁔忆䰚_x001C_䝍幁彐剐䍉彅噁⡇㔳㌴ⰱ㔳㈵⤰_x0018_＀＀_x0018_＀＀_x0008_＀＀_x0001_＀＀_x0001_＀＀溭鳵᫴䁇鮎䭩_x001C_呃幂彐剐䍉彅噁⡇㜳㜰ⰳ㜳㘱⤴_x0018_＀＀_x0018_＀＀_x0008_＀＀_x0001_＀＀_x0001_＀＀憡㍚䀯鮎䭩_x001C_呃幂彐剐䍉彅噁⡇㘳㤸ⰲ㘳㠹⤱_x0018_＀＀_x0018_＀＀_x0008_＀＀_x0001_＀＀_x0001_＀＀朊隷색䀩韤䮏G呃幂䅃偟协剔呅䍟协⡔㈱㈯〰ⰳⰬ唬䑓䀩南䡟呌䍈剁彅偎彐塅⡐㈱㈯〰ⰳⰬ唬䑓착_x0018_＀＀_x0018_＀＀_x0008_＀＀_x0001_＀＀_x0001_＀＀䯇褷䁁䁀䭻_x001C_呃幂彐剐䍉彅噁⡇〴㜱ⰹ〴㐵⤳_x0018_＀＀_x0018_＀＀_x0008_＀＀_x0001_＀＀_x0001_＀＀ᡪ∾䀲흖䰠_x001C_䕌幁彐剐䍉彅噁⡇〴㠰ⰷ〴㜱⤸_x0018_＀＀_x0018_＀＀_x0008_＀＀_x0001_＀＀_x0001_＀＀쥜趎♀䁐忆䰚_x001C_䝍幁彐剐䍉彅噁⡇㘳〷ⰸ㘳㤷⤹_x0018_＀＀_x0018_＀＀_x0008_＀＀_x0001_＀＀_x0001_＀＀đ傇⚥䁅흕䰠_x001C_䕌幁彐剐䍉彅噁⡇㠳㘲ⰱ㠳㔳⤲_x0018_＀＀_x0018_＀＀_x0008_＀＀_x0001_＀＀_x0001_＀＀豀碵꼝쐕鮎䭩_x001C_呃幂彐剐䍉彅噁⡇㠳ㄷⰸ㠳〸⤷_x0018_＀＀_x0018_＀＀_x0008_＀＀_x0001_＀＀_x0001_＀＀垎稠♒䀮鮎䭩(呃幂元䍟䵏卟午䍟䱁彃䕄卐㌨㠹㐱㌬㤹㌰䌬⥑_x0018_＀＀_x0018_＀＀_x0008_＀＀_x0001_＀＀_x0001_＀＀쒜뀠硲䁍흕䰠_x001C_䕌幁彐剐䍉彅噁⡇㜳㜰ⰳ㜳㘱⤴_x0018_＀＀_x0018_＀＀_x0008_＀＀_x0001_＀＀_x0001_＀＀豀碵꼝쐕韤䮏Q呃幂䅃偟久当䍁啃彍佃偍䥒䍎ㄨ⼲〲㈰ⰬⰬ单⥄址当佃偍归义彃䕐华䱟䅉⡂㈱㈯〰ⰲⰬ唬䑓착_x0018_＀＀_x0018_＀＀_x0008_＀＀_x0001_＀＀_x0001_＀＀豀碵꼝쐕韤䮏F呃幂䅃偟协剔呅剟䅏ㄨ⼲〲㔰ⰬⰬ单⥄址当䱈䡔䅃䕒䕟偘剟䅏ㄨ⼲〲㔰ⰬⰬ单⥄_x0018_＀＀_x0018_＀＀_x0008_＀＀_x0001_＀＀_x0001_＀＀＀＀＀＀＀＀＀＀韤䮏(呃幂南偟久䥓乏䅟卓呅当呌ㄨ⼲〲㜰ⰬⰬ单⥄_x0018_＀＀_x0018_＀＀_x0008_＀＀_x0001_＀＀_x0001_＀＀豀碵꼝쐕鮎䭩_x001C_呃幂彐剐䍉彅噁⡇㤳㤹ⰵ〴㠰⤶_x0018_＀＀_x0018_＀＀_x0008_＀＀_x0001_＀＀_x0001_＀＀_xDDAC_䥶䀬鮎䭩_x001C_呃幂彐剐䍉彅噁⡇㤳㌶ⰰ㤳㈷⤱_x0018_＀＀_x0018_＀＀_x0008_＀＀_x0001_＀＀_x0001_＀＀㷻亱ផ䀣鮎䭩(呃幂元䍟䵏卟午䍟䱁彃䕄卐㌨ㄸ㤶㌬㈸〶䌬⥑_x0018_＀＀_x0018_＀＀_x0008_＀＀_x0001_＀＀_x0001_＀＀炤਽ﯗ䁒鞬䮏,䍞彁䕐华也呅䍟协⡔䅎䀩南偟久䥓乏也偐䕟偘丨⥁_x0018_＀＀_x0018_＀＀_x0008_＀＀_x0001_＀＀_x0001_＀＀豀碵꼝쐕韤䮏$呃幂䅃偟久当呌䱟䅉卂ㄨ⼲〲㈰ⰬⰬ单⥄_x0018_＀＀_x0018_＀＀_x0008_＀＀_x0001_＀＀_x0001_＀＀豀碵꼝쐕흕䰠_x001C_䕌幁彐剐䍉彅噁⡇㘳㤸ⰲ㘳㠹⤱_x0018_＀＀_x0018_＀＀_x0008_＀＀_x0001_＀＀_x0001_＀＀豀碵꼝쐕韥䮏'呃幂䅃偟协剔呅䉟久偟䥁⡄㈱㈯〰ⰴⰬ唬䑓착_x0018_＀＀_x0018_＀＀_x0008_＀＀_x0001_＀＀_x0001_＀＀＀＀＀＀＀＀＀＀鮎䭩_x001C_呃幂元卟䱁卅㌨㈳㤳㌬㌳㠲䌬⥑_x0018_＀＀_x0018_＀＀_x0008_＀＀_x0001_＀＀_x0001_＀＀扎堐ﰹ䁩韥䮏E呃幂䅃偟协剔呅䉟久佟⡂㈱㈯〰ⰴⰬ唬䑓䀩南䡟呌䍈剁彅䉐⡏㈱㈯〰ⰴⰬ唬䑓착_x0018_＀＀_x0018_＀＀_x0008_＀＀_x0001_＀＀_x0001_＀＀퓽赸䁰韥䮏P呃幂䅃偟协剔呅偟䅌彎十彔久⡄㈱㈯〰ⰵⰬ唬䑓䀩南䡟呌䍈剁彅噆䅟卓呅ㄨ⼲〲㔰ⰬⰬ单⥄_x0018_＀＀_x0018_＀＀_x0008_＀＀_x0001_＀＀_x0001_＀＀＀＀＀＀＀＀＀＀흕䰠_x001C_䕌幁彐剐䍉彅噁⡇㠳ㄷⰸ㠳〸⤷_x0018_＀＀_x0018_＀＀_x0008_＀＀_x0001_＀＀_x0001_＀＀豀碵꼝쐕鮎䭩_x001C_呃幂彐剐䍉彅噁⡇㘳ㄶⰷ㘳〷⤷_x0018_＀＀_x0018_＀＀_x0008_＀＀_x0001_＀＀_x0001_＀＀阔䁸쓙䀩鮎䭩(呃幂元䍟䵏卟午䍟䱁彃䕄卐㌨〵㔶㌬ㄵ㔵䌬⥑_x0018_＀＀_x0018_＀＀_x0008_＀＀_x0001_＀＀_x0001_＀＀豀碵꼝쐕鸓䮏H呃幂䅃偟久当义彔佃呓ㄨ⼲〲㠰ⰬⰬ单⥄址当䕐华佉彎义彔佃呓ㄨ⼲〲㠰ⰬⰬ单⥄_x0018_＀＀_x0018_＀＀_x0008_＀＀_x0001_＀＀_x0001_＀＀赐溗䁏忆䰚_x001C_䝍幁彐剐䍉彅噁⡇㘳㠹ⰲ㜳㜰⤲_x0018_＀＀_x0018_＀＀_x0008_＀＀_x0001_＀＀_x0001_＀＀ℙ_xDA3C_訸䁈䭻_x001C_呃幂彐剐䍉彅噁⡇㌳㌲ⰹ㌳〶⤳_x0018_＀＀_x0018_＀＀_x0008_＀＀_x0001_＀＀_x0001_＀＀꺒粙䀭鮎䭩_x001C_呃幂彐剐䍉彅噁⡇㌳㠷ⰶ㌳㜸⤷_x0018_＀＀_x0018_＀＀_x0008_＀＀_x0001_＀＀_x0001_＀＀鹙꼇䀺흖䰠_x001C_䕌幁彐剐䍉彅噁⡇㤳㌶ⰰ㤳㈷⤱_x0018_＀＀_x0018_＀＀_x0008_＀＀_x0001_＀＀_x0001_＀＀豀碵꼝쐕흖䰠_x001C_䕌幁彐剐䍉彅噁⡇㤳㤹ⰵ〴㠰⤶_x0018_＀＀_x0018_＀＀_x0008_＀＀_x0001_＀＀_x0001_＀＀豀碵꼝쐕鮜䭩_x001F_呃幂䝆䕟䥂䑔彁⡑㔳㘰ⰵ㔳㔱ⰵ元착_x0018_＀＀_x0018_＀＀_x0008_＀＀_x0001_＀＀_x0001_＀＀≆舴瞍䁋琍䭱_x001C_呃幂彐剐䍉彅噁⡇㈳㤶ⰰ㈳㠷⤱_x0018_＀＀_x0018_＀＀_x0008_＀＀_x0001_＀＀_x0001_＀＀뿧䀠鸔䮏%呃幂䅃偟久当啃归䥌䉁⡓㈱㈯〰ⰸⰬ唬䑓착_x0018_＀＀_x0018_＀＀_x0008_＀＀_x0001_＀＀_x0001_＀＀＀＀＀＀＀＀＀＀韤䮏"呃幂南偟久䥓乏偟佂ㄨ⼲〲㔰ⰬⰬ单⥄_x0018_＀＀_x0018_＀＀_x0008_＀＀_x0001_＀＀_x0001_＀＀ቯ삃飊䂏鮎䭩(呃幂元䍟䵏卟午䍟䱁彃䕄卐㌨㜵㘹㌬㠵㔸䌬⥑_x0018_＀＀_x0018_＀＀_x0008_＀＀_x0001_＀＀_x0001_＀＀豀碵꼝쐕韤䮏'呃幂南偟久䥓乏也呅䱟䅉⡂㈱㈯〰ⰶⰬ唬䑓착_x0018_＀＀_x0018_＀＀_x0008_＀＀_x0001_＀＀_x0001_＀＀豀碵꼝쐕饙䭩_x001C_呃幂元卟䱁卅㌨㌵㤳㌬㐵〳䌬⥑_x0018_＀＀_x0018_＀＀_x0008_＀＀_x0001_＀＀_x0001_＀＀俟鞍Ѯ䁺镘䮎_x0016_䍞彁䕐华䍟䵏彐䅒䕔丨⥁_x0018_＀＀_x0018_＀＀_x0008_＀＀_x0001_＀＀_x0001_＀＀豀碵꼝쐕鸔䮏$呃幂䅃偟久当呌䱟䅉卂ㄨ⼲〲㠰ⰬⰬ单⥄_x0018_＀＀_x0018_＀＀_x0008_＀＀_x0001_＀＀_x0001_＀＀糮㔿챞䁰흕䰠_x001C_䕌幁彐剐䍉彅噁⡇㘳ㄶⰷ㘳〷⤷_x0018_＀＀_x0018_＀＀_x0008_＀＀_x0001_＀＀_x0001_＀＀豀碵꼝쐕鮎䭩_x001C_呃幂彐剐䍉彅噁⡇㐳ㄵⰶ㐳〶⤷_x0018_＀＀_x0018_＀＀_x0008_＀＀_x0001_＀＀_x0001_＀＀Ⱘ胱妲䀸鮎䭩(呃幂元䍟䵏卟午䍟䱁彃䕄卐㌨〴〶㌬ㄴ〵䌬⥑_x0018_＀＀_x0018_＀＀_x0008_＀＀_x0001_＀＀_x0001_＀＀豀碵꼝쐕韤䮏M呃幂䅃偟久当剐佉归剓⡖㈱㈯〰ⰴⰬ唬䑓䀩南偟久䥓乏偟归䕓噒䍟协⡔㈱㈯〰ⰴⰬ唬䑓착_x0018_＀＀_x0018_＀＀_x0008_＀＀_x0001_＀＀_x0001_＀＀扎堐됹䀃韤䮏;呃幂南偟久䥓乏䅟卓呅当呏⡈㈱㈯〰⤴䍀彁䕐华偟呃佟䡔ㄨ⼲〲㐰착_x0018_＀＀_x0018_＀＀_x0008_＀＀_x0001_＀＀_x0001_＀＀＀＀＀＀＀＀㿰忆䰚_x001C_䝍幁彐剐䍉彅噁⡇㘳㘱ⰱ㘳㔲⤰_x0018_＀＀_x0018_＀＀_x0008_＀＀_x0001_＀＀_x0001_＀＀瓒㉶踸䁉흕䰠_x001C_䕌幁彐剐䍉彅噁⡇㜳㠹ⰷ㠳㜰⤷_x0018_＀＀_x0018_＀＀_x0008_＀＀_x0001_＀＀_x0001_＀＀豀碵꼝쐕鮜䭩_x001F_呃幂䝆䕟䥂䑔彁⡑㔳㤷ⰶ㔳㠸ⰵ元착_x0018_＀＀_x0018_＀＀_x0008_＀＀_x0001_＀＀_x0001_＀＀_xDC6E_繢驮䁑韤䮏M呃幂䅃偟久当剐佉归剓⡖㈱㈯〰ⰵⰬ唬䑓䀩南偟久䥓乏偟归䕓噒䍟协⡔㈱㈯〰ⰵⰬ唬䑓착_x0018_＀＀_x0018_＀＀_x0008_＀＀_x0001_＀＀_x0001_＀＀蔟凫Ẹ㿷鰮䲜(䕌幁䅃偟久当䅐呒䍟乏剔䉉ㄨ⼲〲㤰ⰬⰬ单⥄_x0018_＀＀_x0018_＀＀_x0008_＀＀_x0001_＀＀_x0001_＀＀＀＀＀＀＀＀＀＀鮜䭩_x001F_呃幂䝆䕟䥂䑔彁⡑㐳㘰ⰰ㐳㔱ⰰ元착_x0018_＀＀_x0018_＀＀_x0008_＀＀_x0001_＀＀_x0001_＀＀룜ﳅ㓜䁉韤䮏J呃幂䅃偟久当䥄䍓剟呁⡅㈱㈯〰ⰸⰬ唬䑓䀩南偟久䥓乏䑟卉彃䅒䕔ㄨ⼲〲㠰ⰬⰬ单⥄_x0018_＀＀_x0018_＀＀_x0008_＀＀_x0001_＀＀_x0001_＀＀ᑻ䞮竡䀘韥䮏)呃幂䅃偟协剔呅佟䡔䑁彊䉎⡁㈱㈯〰ⰲⰬ唬䑓착_x0018_＀＀_x0018_＀＀_x0008_＀＀_x0001_＀＀_x0001_＀＀豀碵꼝쐕韤䮏 呃幂南䕟䍘彈䅒䕔䥟䍎䍟⡆㈱㈯〰⤶_x0018_＀＀_x0018_＀＀_x0008_＀＀_x0001_＀＀_x0001_＀＀豀碵꼝쐕鰮䲜(䕌幁南偟久䥓乏䅟卓呅当呌ㄨ⼲〲㤰ⰬⰬ单⥄_x0018_＀＀_x0018_＀＀_x0008_＀＀_x0001_＀＀_x0001_＀＀豀碵꼝쐕韤䮏)呃幂南偟久䥓乏噟䱁䅟卓呅⡓㈱㈯〰ⰴⰬ唬䑓착_x0018_＀＀_x0018_＀＀_x0008_＀＀_x0001_＀＀_x0001_＀＀俟鞍顮䂉忆䰚_x001C_䝍幁彐剐䍉彅噁⡇㤳㌵ⰹ㤳㈶⤹_x0018_＀＀_x0018_＀＀_x0008_＀＀_x0001_＀＀_x0001_＀＀䧺侵߇䁒鮎䭩_x001C_呃幂彐剐䍉彅噁⡇㐳㜹ⰳ㔳㘰⤴_x0018_＀＀_x0018_＀＀_x0008_＀＀_x0001_＀＀_x0001_＀＀숼셩ﺋ䀷흕䰠_x001C_䕌幁彐剐䍉彅噁⡇㐳ㄵⰶ㐳〶⤷_x0018_＀＀_x0018_＀＀_x0008_＀＀_x0001_＀＀_x0001_＀＀豀碵꼝쐕鮎䭩_x001C_呃幂彐剐䍉彅噁⡇㠳㘲ⰱ㠳㔳⤲_x0018_＀＀_x0018_＀＀_x0008_＀＀_x0001_＀＀_x0001_＀＀騘㓫櫒䀴鰳䲜C䕌幁䅃偟久当剐䩏佟䱂ㄨ⼲〲㠰ⰬⰬ单⥄址当䕐华佉彎䉐⡏㈱㈯〰ⰸⰬ唬䑓착_x0018_＀＀_x0018_＀＀_x0008_＀＀_x0001_＀＀_x0001_＀＀＀＀＀＀吀䂈忆䰚_x001C_䝍幁彐剐䍉彅噁⡇㤳ㄸⰴ㤳〹⤳_x0018_＀＀_x0018_＀＀_x0008_＀＀_x0001_＀＀_x0001_＀＀ꏗ㵰윊䀻韤䮏C呃幂䅃偟久当剐䩏佟䱂ㄨ⼲〲㌰ⰬⰬ单⥄址当䕐华佉彎䉐⡏㈱㈯〰ⰳⰬ唬䑓착_x0018_＀＀_x0018_＀＀_x0008_＀＀_x0001_＀＀_x0001_＀＀ㄦㆈ䂐韤䮏 呃幂南䕟䍘彈䅒䕔ㄨ⼲〲㘰ⰬⰬ单⥄_x0018_＀＀_x0018_＀＀_x0008_＀＀_x0001_＀＀_x0001_＀＀＀＀＀＀＀＀㿰饙䭩_x001C_呃幂元卟䱁卅㌨㈵㜴㌬㌵㠳䌬⥑_x0018_＀＀_x0018_＀＀_x0008_＀＀_x0001_＀＀_x0001_＀＀溘茒狀䁺韤䮏J呃幂䅃偟久当䱐乁䅟呓ㄨ⼲〲㐰ⰬⰬ单⥄址当䕐华佉彎䅖彌十䕓協ㄨ⼲〲㐰ⰬⰬ单⥄_x0018_＀＀_x0018_＀＀_x0008_＀＀_x0001_＀＀_x0001_＀＀俟鞍顮䂉鰮䲜J䕌幁䅃偟久当䱐乁䅟呓ㄨ⼲〲㤰ⰬⰬ单⥄址当䕐华佉彎䅖彌十䕓協ㄨ⼲〲㤰ⰬⰬ单⥄_x0018_＀＀_x0018_＀＀_x0008_＀＀_x0001_＀＀_x0001_＀＀＀＀＀＀瀀䂅韤䮏&amp;呃幂䅃偟久当十彔义䅔䝎ㄨ⼲〲㈰ⰬⰬ单⥄_x0018_＀＀_x0018_＀＀_x0008_＀＀_x0001_＀＀_x0001_＀＀豀碵꼝쐕鸓䮏_x001A_呃幂南䕟䍘彈䅒䕔䥟䍎䍟⡆⤰_x0018_＀＀_x0018_＀＀_x0008_＀＀_x0001_＀＀_x0001_＀＀豀碵꼝쐕韥䮏J呃幂䅃偟协剔呅剟䅏䅟呃ㄨ⼲〲㠰ⰬⰬ单⥄址当䱈䡔䅃䕒䅟呃剟䅏ㄨ⼲〲㠰ⰬⰬ单⥄_x0018_＀＀_x0018_＀＀_x0008_＀＀_x0001_＀＀_x0001_＀＀＀＀＀＀＀＀＀＀韤䮏 呃幂南䕟䍘彈䅒䕔䉟䱁卟⡈㈱㈯〰⤲_x0018_＀＀_x0018_＀＀_x0008_＀＀_x0001_＀＀_x0001_＀＀豀碵꼝쐕鰳䲜_x0017_䕌幁南䙟䍙〨䀩䅃䙟䍙〨착_x0018_＀＀_x0018_＀＀_x0008_＀＀_x0001_＀＀_x0008_＀＀㈱㈯〰9饙䭩_x001C_呃幂䝆䕟卐兟㌨〵㔶㌬ㄵ㔵䌬⥑_x0018_＀＀_x0018_＀＀_x0008_＀＀_x0001_＀＀_x0001_＀＀凬Ẹ㿑흕䰠_x001C_䕌幁彐剐䍉彅噁⡇㐳㜹ⰳ㔳㘰⤴_x0018_＀＀_x0018_＀＀_x0008_＀＀_x0001_＀＀_x0001_＀＀豀碵꼝쐕忆䰚_x001C_䝍幁彐剐䍉彅噁⡇㜳㌴ⰸ㜳㈵⤹_x0018_＀＀_x0018_＀＀_x0008_＀＀_x0001_＀＀_x0001_＀＀_xDC34_쾀쬏䁊忆䰚_x001C_䝍幁彐剐䍉彅噁⡇㘳〸ⰰ㘳㤸⤱_x0018_＀＀_x0018_＀＀_x0008_＀＀_x0001_＀＀_x0001_＀＀䎖沋鯧䁂韤䮏C呃幂䅃偟久当剐䩏佟䱂ㄨ⼲〲㈰ⰬⰬ单⥄址当䕐华佉彎䉐⡏㈱㈯〰ⰲⰬ唬䑓착_x0018_＀＀_x0018_＀＀_x0008_＀＀_x0001_＀＀_x0001_＀＀酩糭憎䂋韥䮏)呃幂䅃偟协剔呅佟䡔䑁彊䉎⡁㈱㈯〰ⰸⰬ唬䑓착_x0018_＀＀_x0018_＀＀_x0008_＀＀_x0001_＀＀_x0001_＀＀豀碵꼝쐕鮎䭩(呃幂元䍟䵏卟午䍟䱁彃䕄卐㌨㐴㔲㌬㔴㔱䌬⥑_x0018_＀＀_x0018_＀＀_x0008_＀＀_x0001_＀＀_x0001_＀＀豀碵꼝쐕흕䰠_x001C_䕌幁彐剐䍉彅噁⡇㔳㘰ⰵ㔳㔱⤵_x0018_＀＀_x0018_＀＀_x0008_＀＀_x0001_＀＀_x0001_＀＀豀碵꼝쐕鸔䮏"呃幂南偟久䥓乏䅟卓呅当呌〨ⰬⰬ单⥄_x0018_＀＀_x0018_＀＀_x0008_＀＀_x0001_＀＀_x0001_＀＀豀碵꼝쐕韤䮏(呃幂䅃偟久当偐彄䕂彎佃呓ㄨ⼲〲㌰ⰬⰬ单⥄_x0018_＀＀_x0018_＀＀_x0008_＀＀_x0001_＀＀_x0001_＀＀뙆ﷳ䁕韤䮏G呃幂䅃偟协剔呅䍟协⡔㈱㈯〰ⰲⰬ唬䑓䀩南䡟呌䍈剁彅偎彐塅⡐㈱㈯〰ⰲⰬ唬䑓착_x0018_＀＀_x0018_＀＀_x0008_＀＀_x0001_＀＀_x0001_＀＀ⴎ鶲䁀鮎䭩_x001C_呃幂彐剐䍉彅噁⡇㜳㈶ⰲ㜳ㄷ⤱_x0018_＀＀_x0018_＀＀_x0008_＀＀_x0001_＀＀_x0001_＀＀ꭇ퉚晑䀬韤䮏L呃幂䅃偟协剔呅䥟呎䍟协⡔㈱㈯〰ⰲⰬ唬䑓䀩南䡟呌䍈剁彅义彔佃呓ㄨ⼲〲㈰ⰬⰬ单⥄_x0018_＀＀_x0018_＀＀_x0008_＀＀_x0001_＀＀_x0001_＀＀갈娜᭤䀶鮜䭩_x001F_呃幂䝆䕟䥂䑔彁⡑㐳㈴ⰵ㐳ㄵⰵ元착_x0018_＀＀_x0018_＀＀_x0008_＀＀_x0001_＀＀_x0001_＀＀馚香릙䁍琍䭱_x001C_呃幂彐剐䍉彅噁⡇㌳㐱ⰷ㌳㌲⤸_x0018_＀＀_x0018_＀＀_x0008_＀＀_x0001_＀＀_x0001_＀＀䯨罯郞䀟鮎䭩_x001C_呃幂彐剐䍉彅噁⡇〴㘳ⰰ〴㔴⤱_x0018_＀＀_x0018_＀＀_x0008_＀＀_x0001_＀＀_x0001_＀＀豀碵꼝쐕韤䮏%呃幂䅃偟久当呌䅟卓呅⡓㈱㈯〰ⰷⰬ唬䑓착_x0018_＀＀_x0018_＀＀_x0008_＀＀_x0001_＀＀_x0001_＀＀＀＀＀＀＀＀䀪鮎䭩_x001C_呃幂彐剐䍉彅噁⡇㔳〷ⰴ㔳㤷⤵_x0018_＀＀_x0018_＀＀_x0008_＀＀_x0001_＀＀_x0001_＀＀숼셩隋䀷鸓䮏&amp;呃幂䅃偟久当十彔义䅔䝎ㄨ⼲〲㠰ⰬⰬ单⥄_x0018_＀＀_x0018_＀＀_x0008_＀＀_x0001_＀＀_x0001_＀＀豀碵꼝쐕韤䮏Q呃幂䅃偟久当䍁啃彍佃偍䥒䍎ㄨ⼲〲㜰ⰬⰬ单⥄址当佃偍归义彃䕐华䱟䅉⡂㈱㈯〰ⰷⰬ唬䑓착_x0018_＀＀_x0018_＀＀_x0008_＀＀_x0001_＀＀_x0001_＀＀閁譃筬쁭韤䮏F呃幂䅃偟协剔呅剟䅏ㄨ⼲〲㐰ⰬⰬ单⥄址当䱈䡔䅃䕒䕟偘剟䅏ㄨ⼲〲㐰ⰬⰬ单⥄_x0018_＀＀_x0018_＀＀_x0008_＀＀_x0001_＀＀_x0001_＀＀＀＀＀＀＀＀＀＀韥䮏(呃幂南䡟呌䍈剁彅乕彆䕂⡎㈱㈯〰ⰷⰬ唬䑓⤩＀＀＀＀흕䰠_x001C_䕌幁彐剐䍉彅噁⡇㜳㐳ⰷ㜳㌴⤷_x0018_＀＀_x0018_＀＀_x0008_＀＀_x0001_＀＀_x0001_＀＀豀碵꼝쐕饙䭩_x001F_呃幂兆也呅䑟䉅⡔㔳㘰ⰵ㔳㔱ⰵ元착_x0018_＀＀_x0018_＀＀_x0008_＀＀_x0001_＀＀_x0001_＀＀豀碵꼝쐕忆䰚_x001C_䝍幁彐剐䍉彅噁⡇㔳ㄶⰲ㔳〷⤳_x0018_＀＀_x0018_＀＀_x0008_＀＀_x0001_＀＀_x0001_＀＀쮓䡿喿䁌흕䰠_x001C_䕌幁彐剐䍉彅噁⡇㜳㈶ⰲ㜳ㄷ⤱_x0018_＀＀_x0018_＀＀_x0008_＀＀_x0001_＀＀_x0001_＀＀豀碵꼝쐕忆䰚_x001C_䝍幁彐剐䍉彅噁⡇㠳㘱ⰹ㠳㘲⤰_x0018_＀＀_x0018_＀＀_x0008_＀＀_x0001_＀＀_x0001_＀＀͜╛屘䁓鮎䭩(呃幂元䍟䵏卟午䍟䱁彃䕄卐㌨㠴ㄸ㌬㤴㈷䌬⥑_x0018_＀＀_x0018_＀＀_x0008_＀＀_x0001_＀＀_x0001_＀＀豀碵꼝쐕鮎䭩_x001C_呃幂彐剐䍉彅噁⡇㜳㠹ⰷ㠳㜰⤷_x0018_＀＀_x0018_＀＀_x0008_＀＀_x0001_＀＀_x0001_＀＀㯣壅䀴鮎䭩_x001C_呃幂彐剐䍉彅噁⡇㔳㈵ⰱ㔳ㄶ⤱_x0018_＀＀_x0018_＀＀_x0008_＀＀_x0001_＀＀_x0001_＀＀繨ܵ师䀵韤䮏%呃幂䅃偟久当佃偍剟呁⡅㈱㈯〰ⰶⰬ唬䑓착_x0018_＀＀_x0018_＀＀_x0008_＀＀_x0001_＀＀_x0001_＀＀⣶轜䀊韤䮏G呃幂䅃偟久当䕎彔佃呓ㄨ⼲〲㐰ⰬⰬ单⥄址当䕐华佉彎偎彐塅⡐㈱㈯〰ⰴⰬ唬䑓착_x0018_＀＀_x0018_＀＀_x0008_＀＀_x0001_＀＀_x0001_＀＀嘄ⴎ㶲䀿鞰䮏_x0017_坞当塅䡃剟呁彅义彃䙃〨착_x0018_＀＀_x0018_＀＀_x0008_＀＀_x0001_＀＀_x0001_＀＀豀碵꼝쐕韤䮏M呃幂䅃偟久当剐佉归剓⡖㈱㈯〰ⰲⰬ唬䑓䀩南偟久䥓乏偟归䕓噒䍟协⡔㈱㈯〰ⰲⰬ唬䑓착_x0018_＀＀_x0018_＀＀_x0008_＀＀_x0001_＀＀_x0001_＀＀炤਽ꏗ䀇鰮䲜Q䕌幁䅃偟久当䍁啃彍佃偍䥒䍎ㄨ⼲〲㤰ⰬⰬ单⥄址当佃偍归义彃䕐华䱟䅉⡂㈱㈯〰ⰹⰬ唬䑓착_x0018_＀＀_x0018_＀＀_x0008_＀＀_x0001_＀＀_x0001_＀＀豀碵꼝쐕韤䮏H呃幂䅃偟久当义彔佃呓ㄨ⼲〲㜰ⰬⰬ单⥄址当䕐华佉彎义彔佃呓ㄨ⼲〲㜰ⰬⰬ单⥄_x0018_＀＀_x0018_＀＀_x0008_＀＀_x0001_＀＀_x0001_＀＀욨㝋Ɖ䁏韤䮏)呃幂南䡟呌䍈剁彅䥄䍓剟呁⡅㈱㈯〰ⰲⰬ唬䑓착_x0018_＀＀_x0018_＀＀_x0008_＀＀_x0001_＀＀_x0001_＀＀＀＀＀＀＀＀䀛흕䰠_x001C_䕌幁彐剐䍉彅噁⡇㔳〷ⰴ㔳㤷⤵_x0018_＀＀_x0018_＀＀_x0008_＀＀_x0001_＀＀_x0001_＀＀豀碵꼝쐕鮜䭩_x001F_呃幂䝆䕟䥂䑔彁⡑㐳㠸ⰱ㐳㜹ⰲ元착_x0018_＀＀_x0018_＀＀_x0008_＀＀_x0001_＀＀_x0001_＀＀盉龾缚䁍韤䮏M呃幂䅃偟久当剐佉归剓⡖㈱㈯〰ⰳⰬ唬䑓䀩南偟久䥓乏偟归䕓噒䍟协⡔㈱㈯〰ⰳⰬ唬䑓착_x0018_＀＀_x0018_＀＀_x0008_＀＀_x0001_＀＀_x0001_＀＀ㄦ갈䀌韤䮏G呃幂䅃偟久当䕎彔佃呓ㄨ⼲〲㜰ⰬⰬ单⥄址当䕐华佉彎偎彐塅⡐㈱㈯〰ⰷⰬ唬䑓착_x0018_＀＀_x0018_＀＀_x0008_＀＀_x0001_＀＀_x0001_＀＀率橾ᒼ䀶韥䮏T呃幂䅃偟协剔呅偟䥒剏卟噒ㄨ⼲〲㜰ⰬⰬ单⥄址当䱈䡔䅃䕒啟剎䍅卟剅彖佃呓ㄨ⼲〲㜰ⰬⰬ单⥄_x0018_＀＀_x0018_＀＀_x0008_＀＀_x0001_＀＀_x0001_＀＀豀碵꼝쐕韤䮏I呃幂䅃偟久当剓彖佃呓ㄨ⼲〲㔰ⰬⰬ单⥄址当䕐华佉彎䕓噒䍟协⡔㈱㈯〰ⰵⰬ唬䑓착_x0018_＀＀_x0018_＀＀_x0008_＀＀_x0001_＀＀_x0001_＀＀司ꗣ꒛䀴惮䰚_x001C_䝍幁彐剐䍉彅噁⡇㘳㤸ⰲ㜳㔲⤶_x0018_＀＀_x0018_＀＀_x0008_＀＀_x0001_＀＀_x0001_＀＀㡈砭⯑䁈韤䮏J呃幂䅃偟久当佒彁䅒䕔ㄨ⼲〲㈰ⰬⰬ单⥄址当䕐华佉彎塅彐呌剟䅏ㄨ⼲〲㈰ⰬⰬ单⥄_x0018_＀＀_x0018_＀＀_x0008_＀＀_x0001_＀＀_x0001_＀＀긕鑺䀢흕䰠_x001C_䕌幁彐剐䍉彅噁⡇㔳㈵ⰱ㔳ㄶ⤱_x0018_＀＀_x0018_＀＀_x0008_＀＀_x0001_＀＀_x0001_＀＀豀碵꼝쐕琍䭱_x001C_呃幂彐剐䍉彅噁⡇㌳㈴ⰰ㌳ㄵ⤱_x0018_＀＀_x0018_＀＀_x0008_＀＀_x0001_＀＀_x0001_＀＀ợὋズ䀰韥䮏+呃幂䅃偟协剔呅偟剁彔佃呎䥒⡂㈱㈯〰ⰶⰬ唬䑓착_x0018_＀＀_x0018_＀＀_x0008_＀＀_x0001_＀＀_x0001_＀＀＀＀＀＀＀＀＀＀韥䮏P呃幂䅃偟协剔呅偟䅌彎十彔久⡄㈱㈯〰ⰴⰬ唬䑓䀩南䡟呌䍈剁彅噆䅟卓呅ㄨ⼲〲㐰ⰬⰬ单⥄_x0018_＀＀_x0018_＀＀_x0008_＀＀_x0001_＀＀_x0001_＀＀＀＀＀＀＀＀＀＀韤䮏＀Ｏ呃幂南䡟呌䍈剁彅䵁剏彔䕓噒䍟协⡔㈱㈯〰ⰶⰬ唬䑓착_x0018_＀＀_x0018_＀＀_x0008_＀＀_x0001_＀＀_x0001_＀＀삃ꇊ뙅뿓韤䮏 呃幂南䕟䍘彈䅒䕔䥟䍎䍟⡆㈱㈯〰⤷_x0018_＀＀_x0018_＀＀_x0008_＀＀_x0001_＀＀_x0001_＀＀豀碵꼝쐕鸓䮏J呃幂䅃偟久当䱐乁䅟呓ㄨ⼲〲㜰ⰬⰬ单⥄址当䕐华佉彎䅖彌十䕓協ㄨ⼲〲㜰ⰬⰬ单⥄_x0018_＀＀_x0018_＀＀_x0008_＀＀_x0001_＀＀_x0001_＀＀멞౉脂䂐韤䮏M呃幂䅃偟协剔呅卟噒䍟协⡔㈱㈯〰ⰴⰬ唬䑓䀩南䡟呌䍈剁彅䕓噒䍟协⡔㈱㈯〰ⰴⰬ唬䑓착_x0018_＀＀_x0018_＀＀_x0008_＀＀_x0001_＀＀_x0001_＀＀퓾ㄦ䀔韥䮏#呃幂䅃偟协剔呅䱟䅉⡂㈱㈯〰ⰷⰬ唬䑓착_x0018_＀＀_x0018_＀＀_x0008_＀＀_x0001_＀＀_x0001_＀＀Ẹ剑쁰忆䰚_x001C_䝍幁彐剐䍉彅噁⡇㠳㐴ⰳ㠳㌵⤳_x0018_＀＀_x0018_＀＀_x0008_＀＀_x0001_＀＀_x0001_＀＀㘧휟袆䁐鮎䭩_x001C_呃幂彐剐䍉彅噁⡇㔳㘰ⰵ㔳㔱⤵_x0018_＀＀_x0018_＀＀_x0008_＀＀_x0001_＀＀_x0001_＀＀ຩ䀸鸔䮏"呃幂䅃偟久当偐彄䕂彎佃呓〨ⰬⰬ单⥄_x0018_＀＀_x0018_＀＀_x0008_＀＀_x0001_＀＀_x0001_＀＀豀碵꼝쐕鞰䮏_x0018_坞当塅䡃剟呁彅䅂彌䡓丨⥁_x0018_＀＀_x0018_＀＀_x0008_＀＀_x0001_＀＀_x0001_＀＀豀碵꼝쐕韤䮏;呃幂南偟久䥓乏䅟卓呅当剐偏ㄨ⼲〲㔰䀩䅃偟久当䍐彔䕒ㄨ⼲〲㔰착_x0018_＀＀_x0018_＀＀_x0008_＀＀_x0001_＀＀_x0001_＀＀＀＀＀＀＀＀＀＀韤䮏(呃幂䅃偟久当䅐呒䍟乏剔䉉ㄨ⼲〲㈰ⰬⰬ单⥄_x0018_＀＀_x0018_＀＀_x0008_＀＀_x0001_＀＀_x0001_＀＀إ閁譃䀁韤䮏'呃幂䅃偟久当商䑎卟䅔啔⡓㈱㈯〰ⰴⰬ唬䑓착_x0018_＀＀_x0018_＀＀_x0008_＀＀_x0001_＀＀_x0001_＀＀꟰䯆褷䀗忆䰚_x001C_䝍幁彐剐䍉彅噁⡇㠳㈶ⰶ㠳ㄷ⤷_x0018_＀＀_x0018_＀＀_x0008_＀＀_x0001_＀＀_x0001_＀＀撄ጁ䞸䁑韤䮏 呃幂南䕟䍘彈䅒䕔䉟䱁卟⡈㈱㈯〰⤳_x0018_＀＀_x0018_＀＀_x0008_＀＀_x0001_＀＀_x0001_＀＀豀碵꼝쐕忆䰚_x001C_䝍幁彐剐䍉彅噁⡇㜳㌵ⰰ㜳㈶⤱_x0018_＀＀_x0018_＀＀_x0008_＀＀_x0001_＀＀_x0001_＀＀ᥑ㻿﫣䁇䭻_x001C_呃幂彐剐䍉彅噁⡇㐳〷ⰰ㔳㘰⤴_x0018_＀＀_x0018_＀＀_x0008_＀＀_x0001_＀＀_x0001_＀＀㺬字澱䀹韤䮏)呃幂䅃偟久当䵅彐佃呎䥒彂⡃㈱㈯〰ⰵⰬ唬䑓착_x0018_＀＀_x0018_＀＀_x0008_＀＀_x0001_＀＀_x0001_＀＀䎖沋㯧䀿韤䮏;呃幂南偟久䥓乏䅟卓呅当充䥕ㄨ⼲〲㘰䀩䅃偟久当䍐彔充ㄨ⼲〲㘰착_x0018_＀＀_x0018_＀＀_x0008_＀＀_x0001_＀＀_x0001_＀＀＀＀＀＀䀀䁑鮎䭩_x001C_呃幂彐剐䍉彅噁⡇㜳㐳ⰷ㜳㌴⤷_x0018_＀＀_x0018_＀＀_x0008_＀＀_x0001_＀＀_x0001_＀＀늀輩䀶韥䮏J呃幂䅃偟协剔呅剟䅏䅟呃ㄨ⼲〲㜰ⰬⰬ单⥄址当䱈䡔䅃䕒䅟呃剟䅏ㄨ⼲〲㜰ⰬⰬ单⥄_x0018_＀＀_x0018_＀＀_x0008_＀＀_x0001_＀＀_x0001_＀＀＀＀＀＀＀＀＀＀흖䰠_x001C_䕌幁彐剐䍉彅噁⡇㤳㐴ⰸ㤳㌵⤸_x0018_＀＀_x0018_＀＀_x0008_＀＀_x0001_＀＀_x0001_＀＀豀碵꼝쐕忆䰚_x001C_䝍幁彐剐䍉彅噁⡇㘳㐳ⰲ㘳㌴⤳_x0018_＀＀_x0018_＀＀_x0008_＀＀_x0001_＀＀_x0001_＀＀뛙댨홁䁆鰳䲜_x001A_䕌幁南䕟䍘彈䅒䕔䥟䍎䍟⡆⤰_x0018_＀＀_x0018_＀＀_x0008_＀＀_x0001_＀＀_x0001_＀＀豀碵꼝쐕䭻_x001C_呃幂彐剐䍉彅噁⡇㌳㜹ⰰ㐳㌳⤴_x0018_＀＀_x0018_＀＀_x0008_＀＀_x0001_＀＀_x0001_＀＀䋄榭맞䀼鮎䭩_x001C_呃幂彐剐䍉彅噁⡇㤳〹ⰴ㤳㤹⤴_x0018_＀＀_x0018_＀＀_x0008_＀＀_x0001_＀＀_x0001_＀＀㰘בֿ뛦䀡鮎䭩_x001C_呃幂彐剐䍉彅噁⡇㘳㔲ⰱ㘳㐳⤱_x0018_＀＀_x0018_＀＀_x0008_＀＀_x0001_＀＀_x0001_＀＀놛㩨섻䀶鮎䭩(呃幂元䍟䵏卟午䍟䱁彃䕄卐㌨㈶ㄵ㌬㌶ㄴ䌬⥑_x0018_＀＀_x0018_＀＀_x0008_＀＀_x0001_＀＀_x0001_＀＀俟鞍﩮䁒韥䮏,呃幂䅃偟协剔呅䕟偍䍟乏剔䉉䍟ㄨ⼲〲㔰ⰬⰬ单⥄_x0018_＀＀_x0018_＀＀_x0008_＀＀_x0001_＀＀_x0001_＀＀＀＀＀＀＀＀＀＀韤䮏C呃幂䅃偟久当剐䩏佟䱂ㄨ⼲〲㄰ⰬⰬ单⥄址当䕐华佉彎䉐⡏㈱㈯〰ⰱⰬ唬䑓착_x0018_＀＀_x0018_＀＀_x0008_＀＀_x0001_＀＀_x0001_＀＀갈娜칤䂈鮎䭩_x001C_呃幂彐剐䍉彅噁⡇㘳㌴ⰴ㘳㈵⤵_x0018_＀＀_x0018_＀＀_x0008_＀＀_x0001_＀＀_x0001_＀＀듶心춓䀯䰠_x001C_䕌幁彐剐䍉彅噁⡇㐳〷ⰰ㔳㘰⤴_x0018_＀＀_x0018_＀＀_x0008_＀＀_x0001_＀＀_x0001_＀＀豀碵꼝쐕鮜䭩_x001F_呃幂䝆䕟䥂䑔彁⡑㘳㔲ⰱ㘳㐳ⰱ元착_x0018_＀＀_x0018_＀＀_x0008_＀＀_x0001_＀＀_x0001_＀＀_xDC9C_僯縔䁖鸓䮏(呃幂䅃偟久当䅐呒䍟乏剔䉉ㄨ⼲〲㠰ⰬⰬ单⥄_x0018_＀＀_x0018_＀＀_x0008_＀＀_x0001_＀＀_x0001_＀＀䷒ၢ䀂韤䮏&lt;呃幂南偟久䥓乏䅟卓呅当佂䑎⡓㈱㈯〰⤵䍀彁䕐华偟呃䙟⡉㈱㈯〰⤵_x0018_＀＀_x0018_＀＀_x0008_＀＀_x0001_＀＀_x0001_＀＀＀＀＀＀＀＀䀼韤䮏$呃幂䅃偟久当䕂彎䅐䑉ㄨ⼲〲㘰ⰬⰬ单⥄_x0018_＀＀_x0018_＀＀_x0008_＀＀_x0001_＀＀_x0001_＀＀틲才ࠐ䁊韤䮏%呃幂䅃偟久当啃归䥌䉁⡓㈱㈯〰ⰳⰬ唬䑓착_x0018_＀＀_x0018_＀＀_x0008_＀＀_x0001_＀＀_x0001_＀＀豀碵꼝쐕흕䰠_x001C_䕌幁彐剐䍉彅噁⡇㘳㔲ⰱ㘳㐳⤱_x0018_＀＀_x0018_＀＀_x0008_＀＀_x0001_＀＀_x0001_＀＀豀碵꼝쐕흖䰠_x001C_䕌幁彐剐䍉彅噁⡇㤳〹ⰴ㤳㤹⤴_x0018_＀＀_x0018_＀＀_x0008_＀＀_x0001_＀＀_x0001_＀＀豀碵꼝쐕鮎䭩_x001C_呃幂彐剐䍉彅噁⡇㜳〸ⰳ㜳㤸⤴_x0018_＀＀_x0018_＀＀_x0008_＀＀_x0001_＀＀_x0001_＀＀忙佶丞䀱镘䮎_x0016_坞当奆⡃ㄭ䀩䅃䙟䍙⴨⤱_x0014_＀＀_x0018_＀＀_x0004_＀＀_x0001_＀＀_x0008_＀＀乀A韤䮏F呃幂䅃偟协剔呅剟䅏ㄨ⼲〲㌰ⰬⰬ单⥄址当䱈䡔䅃䕒䕟偘剟䅏ㄨ⼲〲㌰ⰬⰬ单⥄_x0018_＀＀_x0018_＀＀_x0008_＀＀_x0001_＀＀_x0001_＀＀＀＀＀＀＀＀＀＀韤䮏$呃幂䅃偟久当呌䱟䅉卂ㄨ⼲〲㌰ⰬⰬ单⥄_x0018_＀＀_x0018_＀＀_x0008_＀＀_x0001_＀＀_x0001_＀＀豀碵꼝쐕鰮䲜F䕌幁䅃偟久当佒彁䍁⡔㈱㈯〰ⰹⰬ唬䑓䀩南偟久䥓乏䅟呃剟䅏ㄨ⼲〲㤰ⰬⰬ单⥄_x0018_＀＀_x0018_＀＀_x0008_＀＀_x0001_＀＀_x0001_＀＀㌴㌳㌳䁕韥䮏'呃幂䅃偟协剔呅䉟久偟䥁⡄㈱㈯〰ⰵⰬ唬䑓착_x0018_＀＀_x0018_＀＀_x0008_＀＀_x0001_＀＀_x0001_＀＀＀＀＀＀＀＀＀＀흕䰠_x001C_䕌幁彐剐䍉彅噁⡇㘳㌴ⰴ㘳㈵⤵_x0018_＀＀_x0018_＀＀_x0008_＀＀_x0001_＀＀_x0001_＀＀豀碵꼝쐕惮䰚_x001C_䝍幁彐剐䍉彅噁⡇㜳㠹ⰷ㠳㔳⤲_x0018_＀＀_x0018_＀＀_x0008_＀＀_x0001_＀＀_x0001_＀＀餱ᠪ겕䁓韤䮏-呃幂䅃偟协剔呅啟归剔佟彂䵁剏⡔㈱㈯〰ⰶⰬ唬䑓착_x0018_＀＀_x0018_＀＀_x0008_＀＀_x0001_＀＀_x0001_＀＀＀＀＀＀＀＀＀＀韤䮏*呃幂南䡟呌䍈剁彅塅彐呌剟䅏ㄨ⼲〲㌰ⰬⰬ单⥄_x0018_＀＀_x0018_＀＀_x0008_＀＀_x0001_＀＀_x0001_＀＀豀碵꼝쐕䰠_x001C_䕌幁彐剐䍉彅噁⡇㔳㌴ⰱ㔳㤷⤵_x0018_＀＀_x0018_＀＀_x0008_＀＀_x0001_＀＀_x0001_＀＀豀碵꼝쐕鰮䲜B䕌幁䅃偟久当佒⡁㈱㈯〰ⰹⰬ唬䑓䀩南偟久䥓乏䕟偘剟䅏ㄨ⼲〲㤰ⰬⰬ单⥄_x0018_＀＀_x0018_＀＀_x0008_＀＀_x0001_＀＀_x0001_＀＀晧晦♦쁅忆䰚_x001C_䝍幁彐剐䍉彅噁⡇㤳㜱ⰳ㤳㘲⤳_x0018_＀＀_x0018_＀＀_x0008_＀＀_x0001_＀＀_x0001_＀＀갞珿ﶘ䁔韤䮏H呃幂䅃偟久当义彔佃呓ㄨ⼲〲㘰ⰬⰬ单⥄址当䕐华佉彎义彔佃呓ㄨ⼲〲㘰ⰬⰬ单⥄_x0018_＀＀_x0018_＀＀_x0008_＀＀_x0001_＀＀_x0001_＀＀ꗣ쒛쀠䁌흕䰠_x001C_䕌幁彐剐䍉彅噁⡇㜳〸ⰳ㜳㤸⤴_x0018_＀＀_x0018_＀＀_x0008_＀＀_x0001_＀＀_x0001_＀＀豀碵꼝쐕韤䮏'呃幂南偟久偟协彔䕒彔䕂⡎㈱㈯〰ⰷⰬ唬䑓착_x0018_＀＀_x0018_＀＀_x0008_＀＀_x0001_＀＀_x0001_＀＀뀡桲솑䁲鮎䭩(呃幂元䍟䵏卟午䍟䱁彃䕄卐㌨㈳㤳㌬㌳㠲䌬⥑_x0018_＀＀_x0018_＀＀_x0008_＀＀_x0001_＀＀_x0001_＀＀豀碵꼝쐕韤䮏"呃幂南偟久䥓乏偟佂ㄨ⼲〲㘰ⰬⰬ单⥄_x0018_＀＀_x0018_＀＀_x0008_＀＀_x0001_＀＀_x0001_＀＀㽼㦵䂑忆䰚_x001C_䝍幁彐剐䍉彅噁⡇㤳㔳ⰶ㤳㐴⤷_x0018_＀＀_x0018_＀＀_x0008_＀＀_x0001_＀＀_x0001_＀＀ᑦⷋ䁕韤䮏'呃幂南偟久䥓乏也呅䱟䅉⡂㈱㈯〰ⰷⰬ唬䑓착_x0018_＀＀_x0018_＀＀_x0008_＀＀_x0001_＀＀_x0001_＀＀豀碵꼝쐕韤䮏M呃幂䅃偟协剔呅卟噒䍟协⡔㈱㈯〰ⰷⰬ唬䑓䀩南䡟呌䍈剁彅䕓噒䍟协⡔㈱㈯〰ⰷⰬ唬䑓착_x0018_＀＀_x0018_＀＀_x0008_＀＀_x0001_＀＀_x0001_＀＀ᑺ䞮䀖韤䮏 呃幂南䕟䍘彈䅒䕔䥟䍎䍟⡆㈱㈯〰⤸_x0018_＀＀_x0018_＀＀_x0008_＀＀_x0001_＀＀_x0001_＀＀豀碵꼝쐕鮎䭩_x001F_呃幂䝆䕟䥂䑔彁⡑㌳㌲ⰹ㌳㈳ⰸ元착_x0018_＀＀_x0018_＀＀_x0008_＀＀_x0001_＀＀_x0001_＀＀Й๖툭䀼韤䮏)呃幂南䡟呌䍈剁彅䥄䍓剟呁⡅㈱㈯〰ⰸⰬ唬䑓착_x0018_＀＀_x0018_＀＀_x0008_＀＀_x0001_＀＀_x0001_＀＀＀＀＀＀＀＀䀘鮎䭩_x001C_呃幂彐剐䍉彅噁⡇㤳㐴ⰸ㤳㌵⤸_x0018_＀＀_x0018_＀＀_x0008_＀＀_x0001_＀＀_x0001_＀＀_xDD1B_셌䀰韤䮏L呃幂䅃偟协剔呅䥟呎䍟协⡔㈱㈯〰ⰸⰬ唬䑓䀩南䡟呌䍈剁彅义彔佃呓ㄨ⼲〲㠰ⰬⰬ单⥄_x0018_＀＀_x0018_＀＀_x0008_＀＀_x0001_＀＀_x0001_＀＀䎖沋ﯧ䀮韥䮏E呃幂䅃偟协剔呅䉟久佟⡂㈱㈯〰ⰵⰬ唬䑓䀩南䡟呌䍈剁彅䉐⡏㈱㈯〰ⰵⰬ唬䑓착_x0018_＀＀_x0018_＀＀_x0008_＀＀_x0001_＀＀_x0001_＀＀㝌䆉ᥠ䁱鰮䲜%䕌幁䅃偟久当呌䅟卓呅⡓㈱㈯〰ⰹⰬ唬䑓착_x0018_＀＀_x0018_＀＀_x0008_＀＀_x0001_＀＀_x0001_＀＀晧晦晦䁆鮎䭩(呃幂元䍟䵏卟午䍟䱁彃䕄卐㐨〰㜸㐬㄰㠷䌬⥑_x0018_＀＀_x0018_＀＀_x0008_＀＀_x0001_＀＀_x0001_＀＀晧晦虦䁎惮䰚_x001C_䝍幁彐剐䍉彅噁⡇㔳㘰ⰵ㔳㌴⤰_x0018_＀＀_x0018_＀＀_x0008_＀＀_x0001_＀＀_x0001_＀＀㲊멉⹦䁄韤䮏)呃幂南偟久䥓乏噟䱁䅟卓呅⡓㈱㈯〰ⰵⰬ唬䑓착_x0018_＀＀_x0018_＀＀_x0008_＀＀_x0001_＀＀_x0001_＀＀갈娜㥤䂋鰮䲜'䕌幁䅃偟久当商䑎卟䅔啔⡓㈱㈯〰ⰹⰬ唬䑓착_x0018_＀＀_x0018_＀＀_x0008_＀＀_x0001_＀＀_x0001_＀＀馚香榙쁠鮎䭩(呃幂元䍟䵏卟午䍟䱁彃䕄卐㌨㘳㔹㌬㜳㔸䌬⥑_x0018_＀＀_x0018_＀＀_x0008_＀＀_x0001_＀＀_x0001_＀＀豀碵꼝쐕韤䮏(呃幂南偟久䥓乏䅟卓呅当呌ㄨ⼲〲㈰ⰬⰬ单⥄_x0018_＀＀_x0018_＀＀_x0008_＀＀_x0001_＀＀_x0001_＀＀豀碵꼝쐕韤䮏 呃幂南䕟䍘彈䅒䕔䉟䱁卟⡈㈱㈯〰⤴_x0018_＀＀_x0018_＀＀_x0008_＀＀_x0001_＀＀_x0001_＀＀豀碵꼝쐕惮䰚_x001C_䝍幁彐剐䍉彅噁⡇㠳㔳ⰳ㠳ㄷ⤷_x0018_＀＀_x0018_＀＀_x0008_＀＀_x0001_＀＀_x0001_＀＀ꆡ艿잋䁑韤䮏J呃幂䅃偟久当䥄䍓剟呁⡅㈱㈯〰ⰷⰬ唬䑓䀩南偟久䥓乏䑟卉彃䅒䕔ㄨ⼲〲㜰ⰬⰬ单⥄_x0018_＀＀_x0018_＀＀_x0008_＀＀_x0001_＀＀_x0001_＀＀竡긔䀗韤䮏 呃幂南䕟䍘彈䅒䕔ㄨ⼲〲㜰ⰬⰬ单⥄_x0018_＀＀_x0018_＀＀_x0008_＀＀_x0001_＀＀_x0001_＀＀＀＀＀＀＀＀㿰忆䰚_x001C_䝍幁彐剐䍉彅噁⡇㔳㠸ⰶ㔳㜹⤶_x0018_＀＀_x0018_＀＀_x0008_＀＀_x0001_＀＀_x0001_＀＀졌㴇⦛䁏鮜䭩_x001F_呃幂䝆䕟䥂䑔彁⡑㌳㤶ⰵ㌳㠷ⰵ元착_x0018_＀＀_x0018_＀＀_x0008_＀＀_x0001_＀＀_x0001_＀＀椅ꋆ蛩䁉韤䮏&amp;呃幂䅃偟久当十彔义䅔䝎ㄨ⼲〲㌰ⰬⰬ单⥄_x0018_＀＀_x0018_＀＀_x0008_＀＀_x0001_＀＀_x0001_＀＀＀＀＀＀＀＀＀＀忆䰚_x001C_䝍幁彐剐䍉彅噁⡇㐳㤷ⰰ㐳㠸⤰_x0018_＀＀_x0018_＀＀_x0008_＀＀_x0001_＀＀_x0001_＀＀埒暐ᘬ䁀韥䮏J呃幂䅃偟协剔呅剟䅏䅟呃ㄨ⼲〲㘰ⰬⰬ单⥄址当䱈䡔䅃䕒䅟呃剟䅏ㄨ⼲〲㘰ⰬⰬ单⥄_x0018_＀＀_x0018_＀＀_x0008_＀＀_x0001_＀＀_x0001_＀＀＀＀＀＀＀＀＀＀䭻_x001C_呃幂彐剐䍉彅噁⡇㘳㈵ⰶ㘳㤸⤱_x0018_＀＀_x0018_＀＀_x0008_＀＀_x0001_＀＀_x0001_＀＀폱㞸妿䀧鮎䭩(呃幂元䍟䵏卟午䍟䱁彃䕄卐㌨ㄷ㔶㌬㈷㘵䌬⥑_x0018_＀＀_x0018_＀＀_x0008_＀＀_x0001_＀＀_x0001_＀＀ꏗ㵰㜊䁒鮎䭩(呃幂元䍟䵏卟午䍟䱁彃䕄卐㌨㈵㜴㌬㌵㠳䌬⥑_x0018_＀＀_x0018_＀＀_x0008_＀＀_x0001_＀＀_x0001_＀＀豀碵꼝쐕䭻_x001C_呃幂彐剐䍉彅噁⡇㔳㌴ⰱ㔳㤷⤵_x0018_＀＀_x0018_＀＀_x0008_＀＀_x0001_＀＀_x0001_＀＀릷㴱楡䀶鮎䭩_x001C_呃幂䝆䕟卐兟㌨㈳㤳㌬㌳㠲䌬⥑_x0018_＀＀_x0018_＀＀_x0008_＀＀_x0001_＀＀_x0001_＀＀㌳㌳㌳㿃韤䮏F呃幂䅃偟久当佒彁䍁⡔㈱㈯〰ⰲⰬ唬䑓䀩南偟久䥓乏䅟呃剟䅏ㄨ⼲〲㈰ⰬⰬ单⥄_x0018_＀＀_x0018_＀＀_x0008_＀＀_x0001_＀＀_x0001_＀＀蜫_xD916_韎쁆鸓䮏(呃幂南偟久䥓乏䅟卓呅当呌ㄨ⼲〲㠰ⰬⰬ单⥄_x0018_＀＀_x0018_＀＀_x0008_＀＀_x0001_＀＀_x0001_＀＀豀碵꼝쐕鮜䭩_x001F_呃幂䝆䕟䥂䑔彁⡑㜳㘱ⰵ㜳㔲ⰶ元착_x0018_＀＀_x0018_＀＀_x0008_＀＀_x0001_＀＀_x0001_＀＀탥_xDB22_雹䁖鮎䭩(呃幂元䍟䵏卟午䍟䱁彃䕄卐㌨㔹㤳㌬㘹㤲䌬⥑_x0018_＀＀_x0018_＀＀_x0008_＀＀_x0001_＀＀_x0001_＀＀䆉狐䁍鮎䭩(呃幂元䍟䵏卟午䍟䱁彃䕄卐㌨〷㌷㌬ㄷ㐶䌬⥑_x0018_＀＀_x0018_＀＀_x0008_＀＀_x0001_＀＀_x0001_＀＀_xDF3B_赏㚗䁒凁䪹_x001C_坂幁䝆偟彅奆⠲㈭䄰ⱙⰰ奆㤬⤰°＀＀_x0018_＀＀ ＀＀_x0014_＀＀_x0001_＀＀豀碵꼝쐕豀碵꼝쐕豀碵꼝쐕豀碵꼝쐕豀碵꼝쐕豀碵꼝쐕豀碵꼝쐕豀碵꼝쐕䝯ⴸ㥸䀥㇏笠_xDBBD_䀦苋㾉䊊䀜⚦扦彟䀟륕ꅐ䀬䡫揜ϩ䀠⼸籎㎵䀨ꋤ䑚謔䀩뿤၀茠䀨鴊_xD8D7_먥䀩ⶀ岯靯䀰硧캳䀬鞰䮏.坞当䕐华佉彎十䕓協䕟啑⡉䅎䀩䅃偟久当䍐彔充丨⥁_x0018_＀＀_x0018_＀＀_x0008_＀＀_x0001_＀＀_x0001_＀＀豀碵꼝쐕鰮䲜&amp;䕌幁䅃偟久当十彔义䅔䝎ㄨ⼲〲㤰ⰬⰬ单⥄_x0018_＀＀_x0018_＀＀_x0008_＀＀_x0001_＀＀_x0001_＀＀豀碵꼝쐕鮎䭩_x001C_呃幂彐剐䍉彅噁⡇㐳〷ⰰ㐳㠷⤹_x0018_＀＀_x0018_＀＀_x0008_＀＀_x0001_＀＀_x0001_＀＀ᆝ붥⟁䀻鮜䭩_x001F_呃幂䝆䕟䥂䑔彁⡑㔳㐲ⰷ㔳㌳ⰸ元착_x0018_＀＀_x0018_＀＀_x0008_＀＀_x0001_＀＀_x0001_＀＀赐溗팒䁏鰳䲜&lt;䕌幁䅃偟久当䥄䍓剟呁⡅㈱㈯〰⤸址当䕐华佉彎䥄䍓剟呁⡅㈱㈯〰⤸_x0018_＀＀_x0018_＀＀_x0008_＀＀_x0001_＀＀_x0001_＀＀凬Ẹ䀖䰠_x001C_䕌幁彐剐䍉彅噁⡇㘳㈵ⰶ㘳㤸⤱_x0018_＀＀_x0018_＀＀_x0008_＀＀_x0001_＀＀_x0001_＀＀豀碵꼝쐕韤䮏J呃幂䅃偟久当佒彁䅒䕔ㄨ⼲〲㔰ⰬⰬ单⥄址当䕐华佉彎塅彐呌剟䅏ㄨ⼲〲㔰ⰬⰬ单⥄_x0018_＀＀_x0018_＀＀_x0008_＀＀_x0001_＀＀_x0001_＀＀ꏗ㵰휊䀡韤䮏F呃幂䅃偟协剔呅剟䅏ㄨ⼲〲㈰ⰬⰬ单⥄址当䱈䡔䅃䕒䕟偘剟䅏ㄨ⼲〲㈰ⰬⰬ单⥄_x0018_＀＀_x0018_＀＀_x0008_＀＀_x0001_＀＀_x0001_＀＀＀＀＀＀＀＀＀＀鮜䭩_x001F_呃幂䝆䕟䥂䑔彁⡑㜳㜰ⰳ㜳㘱ⰴ元착_x0018_＀＀_x0018_＀＀_x0008_＀＀_x0001_＀＀_x0001_＀＀볽䢩掅䁙鸓䮏_x001E_呃幂䅃偟久当佃偍剟呁⡅㈱㈯〰⤸_x0018_＀＀_x0018_＀＀_x0008_＀＀_x0001_＀＀_x0001_＀＀炤਽ꏗ䀊䰠_x001C_䕌幁彐剐䍉彅噁⡇㘳㘱ⰱ㘳㈵⤵_x0018_＀＀_x0018_＀＀_x0008_＀＀_x0001_＀＀_x0001_＀＀豀碵꼝쐕韤䮏Q呃幂䅃偟久当䍁啃彍佃偍䥒䍎ㄨ⼲〲㔰ⰬⰬ单⥄址当佃偍归义彃䕐华䱟䅉⡂㈱㈯〰ⰵⰬ唬䑓착_x0018_＀＀_x0018_＀＀_x0008_＀＀_x0001_＀＀_x0001_＀＀＀＀＀＀＀＀＀＀饙䭩_x001C_呃幂䝆䕟卐兟㌨㌵㤳㌬㐵〳䌬⥑_x0018_＀＀_x0018_＀＀_x0008_＀＀_x0001_＀＀_x0001_＀＀馚香香㿙鮎䭩_x001F_呃幂兆也呅䑟䉅⡔㌳㌲ⰹ㌳㈳ⰸ元착_x0018_＀＀_x0018_＀＀_x0008_＀＀_x0001_＀＀_x0001_＀＀豀碵꼝쐕韥䮏(呃幂南䡟呌䍈剁彅乕彆䕂⡎㈱㈯〰ⰳⰬ唬䑓⤩＀＀＀＀흕䰠_x001C_䕌幁彐剐䍉彅噁⡇㐳〷ⰰ㐳㠷⤹_x0018_＀＀_x0018_＀＀_x0008_＀＀_x0001_＀＀_x0001_＀＀豀碵꼝쐕鮎䭩(呃幂元䍟䵏卟午䍟䱁彃䕄卐㐨㐰㈵㐬㔰㌴䌬⥑_x0018_＀＀_x0018_＀＀_x0008_＀＀_x0001_＀＀_x0001_＀＀豀碵꼝쐕韤䮏H呃幂䅃偟久当义彔佃呓ㄨ⼲〲㔰ⰬⰬ单⥄址当䕐华佉彎义彔佃呓ㄨ⼲〲㔰ⰬⰬ单⥄_x0018_＀＀_x0018_＀＀_x0008_＀＀_x0001_＀＀_x0001_＀＀鍵И蹖䁋惮䰚_x001C_䝍幁彐剐䍉彅噁⡇㤳㠰ⰳ㤳㐴⤷_x0018_＀＀_x0018_＀＀_x0008_＀＀_x0001_＀＀_x0001_＀＀趹㈖䁕顄䮏_x0017_呃幂南䙟䍙〨䀩䅃䙟䍙〨착_x0018_＀＀_x0018_＀＀_x0008_＀＀_x0001_＀＀_x0008_＀＀㈱㈯〰8鮎䭩(呃幂元䍟䵏卟午䍟䱁彃䕄卐㐨㌰〶㐬㐰ㄵ䌬⥑_x0018_＀＀_x0018_＀＀_x0008_＀＀_x0001_＀＀_x0001_＀＀豀碵꼝쐕韥䮏+呃幂䅃偟协剔呅偟剁彔佃呎䥒⡂㈱㈯〰ⰷⰬ唬䑓착_x0018_＀＀_x0018_＀＀_x0008_＀＀_x0001_＀＀_x0001_＀＀＀＀＀＀＀＀＀＀韤䮏;呃幂南偟久䥓乏䅟卓呅当呏⡈㈱㈯〰⤷䍀彁䕐华偟呃佟䡔ㄨ⼲〲㜰착_x0018_＀＀_x0018_＀＀_x0008_＀＀_x0001_＀＀_x0001_＀＀롒蔞凫㿴韥䮏)呃幂䅃偟协剔呅佟䡔䑁彊䉎⡁㈱㈯〰ⰳⰬ唬䑓착_x0018_＀＀_x0018_＀＀_x0008_＀＀_x0001_＀＀_x0001_＀＀豀碵꼝쐕饙䭩_x001F_呃幂兆也呅䑟䉅⡔㔳㌳ⰹ㔳㌴ⰰ元착_x0018_＀＀_x0018_＀＀_x0008_＀＀_x0001_＀＀_x0001_＀＀豀碵꼝쐕韤䮏I呃幂䅃偟久当剓彖佃呓ㄨ⼲〲㐰ⰬⰬ单⥄址当䕐华佉彎䕓噒䍟协⡔㈱㈯〰ⰴⰬ唬䑓착_x0018_＀＀_x0018_＀＀_x0008_＀＀_x0001_＀＀_x0001_＀＀磕⛩젱䀴惮䰚_x001C_䝍幁彐剐䍉彅噁⡇㤳㐴ⰸ㤳ㄸ⤳_x0018_＀＀_x0018_＀＀_x0008_＀＀_x0001_＀＀_x0001_＀＀老魦茛䁍鮎䭩(呃幂元䍟䵏卟午䍟䱁彃䕄卐㌨㌵㤳㌬㐵〳䌬⥑_x0018_＀＀_x0018_＀＀_x0008_＀＀_x0001_＀＀_x0001_＀＀豀碵꼝쐕饙䭩_x001C_呃幂䝆䕟卐兟㌨㈵㜴㌬㌵㠳䌬⥑_x0018_＀＀_x0018_＀＀_x0008_＀＀_x0001_＀＀_x0001_＀＀ᑻ䞮竡㿔鮎䭩(呃幂元䍟䵏卟午䍟䱁彃䕄卐㌨㤸ㄹ㌬〹㈸䌬⥑_x0018_＀＀_x0018_＀＀_x0008_＀＀_x0001_＀＀_x0001_＀＀轜갨䁎韥䮏P呃幂䅃偟协剔呅偟䅌彎十彔久⡄㈱㈯〰ⰳⰬ唬䑓䀩南䡟呌䍈剁彅噆䅟卓呅ㄨ⼲〲㌰ⰬⰬ单⥄_x0018_＀＀_x0018_＀＀_x0008_＀＀_x0001_＀＀_x0001_＀＀＀＀＀＀＀＀＀＀鮎䭩(呃幂元䍟䵏卟午䍟䱁彃䕄卐㌨㔷〳㌬㘷ㄲ䌬⥑_x0018_＀＀_x0018_＀＀_x0008_＀＀_x0001_＀＀_x0001_＀＀⃅犰煨䁒韢䮏+呃幂南䍟問呎奒也䵁⡅⤰䍀彁佃䥟䍎剏彐呃奒〨착_x001E_＀＀_x0018_＀＀_x000E_＀＀_x0001_＀＀_x0008_＀＀湕瑩摥匠慴整s韤䮏 呃幂南䕟䍘彈䅒䕔䉟䱁卟⡈㈱㈯〰⤵_x0018_＀＀_x0018_＀＀_x0008_＀＀_x0001_＀＀_x0001_＀＀豀碵꼝쐕鮎䭩(呃幂元䍟䵏卟午䍟䱁彃䕄卐㌨㘵㈱㌬㜵㌰䌬⥑_x0018_＀＀_x0018_＀＀_x0008_＀＀_x0001_＀＀_x0001_＀＀豀碵꼝쐕鮜䭩_x001F_呃幂䝆䕟䥂䑔彁⡑㔳㌳ⰹ㔳㌴ⰰ元착_x0018_＀＀_x0018_＀＀_x0008_＀＀_x0001_＀＀_x0001_＀＀ၢ㥘䂴䁒韤䮏%呃幂䅃偟久当呌䅟卓呅⡓㈱㈯〰ⰲⰬ唬䑓착_x0018_＀＀_x0018_＀＀_x0008_＀＀_x0001_＀＀_x0001_＀＀豀碵꼝쐕鮎䭩(呃幂元䍟䵏卟午䍟䱁彃䕄卐㌨㜴〰㌬㜴㤸䌬⥑_x0018_＀＀_x0018_＀＀_x0008_＀＀_x0001_＀＀_x0001_＀＀豀碵꼝쐕韤䮏(呃幂䅃偟久当䅐呒䍟乏剔䉉ㄨ⼲〲㌰ⰬⰬ单⥄_x0018_＀＀_x0018_＀＀_x0008_＀＀_x0001_＀＀_x0001_＀＀ꧼ틱才䀁韤䮏'呃幂䅃偟久当商䑎卟䅔啔⡓㈱㈯〰ⰵⰬ唬䑓착_x0018_＀＀_x0018_＀＀_x0008_＀＀_x0001_＀＀_x0001_＀＀蜫_xD916_럎䀠鸓䮏_x001A_呃幂南䕟䍘彈䅒䕔〨ⰬⰬ单⥄_x0018_＀＀_x0018_＀＀_x0008_＀＀_x0001_＀＀_x0001_＀＀＀＀＀＀＀＀㿰韤䮏;呃幂南偟久䥓乏䅟卓呅当剐偏ㄨ⼲〲㘰䀩䅃偟久当䍐彔䕒ㄨ⼲〲㘰착_x0018_＀＀_x0018_＀＀_x0008_＀＀_x0001_＀＀_x0001_＀＀＀＀＀＀＀＀＀＀鮜䭩_x001F_呃幂䝆䕟䥂䑔彁⡑㔳ㄶⰲ㔳〷ⰳ元착_x0018_＀＀_x0018_＀＀_x0008_＀＀_x0001_＀＀_x0001_＀＀卥崮䁓鮜䭩_x001F_呃幂䝆䕟䥂䑔彁⡑㐳〷ⰰ㐳㠷ⰹ元착_x0018_＀＀_x0018_＀＀_x0008_＀＀_x0001_＀＀_x0001_＀＀䦺Ȍ䁍韤䮏)呃幂䅃偟久当䵅彐佃呎䥒彂⡃㈱㈯〰ⰶⰬ唬䑓착_x0018_＀＀_x0018_＀＀_x0008_＀＀_x0001_＀＀_x0001_＀＀ꗣ쒛ဠ䀵흕䰠_x001C_䕌幁彐剐䍉彅噁⡇㔳㌴ⰱ㔳㈵⤰_x0018_＀＀_x0018_＀＀_x0008_＀＀_x0001_＀＀_x0001_＀＀豀碵꼝쐕饙䭩_x001F_呃幂兆也呅䑟䉅⡔㔳㐲ⰷ㔳㌳ⰸ元착_x0018_＀＀_x0018_＀＀_x0008_＀＀_x0001_＀＀_x0001_＀＀豀碵꼝쐕鮎䭩(呃幂元䍟䵏卟午䍟䱁彃䕄卐㌨㌸㌵㌬㐸㈴䌬⥑_x0018_＀＀_x0018_＀＀_x0008_＀＀_x0001_＀＀_x0001_＀＀됹盈瞾䁑韤䮏(呃幂䅃偟久当偐彄䕂彎佃呓ㄨ⼲〲㐰ⰬⰬ单⥄_x0018_＀＀_x0018_＀＀_x0008_＀＀_x0001_＀＀_x0001_＀＀鮥Ⳅ䁣韥䮏J呃幂䅃偟协剔呅剟䅏䅟呃ㄨ⼲〲㔰ⰬⰬ单⥄址当䱈䡔䅃䕒䅟呃剟䅏ㄨ⼲〲㔰ⰬⰬ单⥄_x0018_＀＀_x0018_＀＀_x0008_＀＀_x0001_＀＀_x0001_＀＀＀＀＀＀＀＀＀＀䭻_x001C_呃幂彐剐䍉彅噁⡇㘳㘱ⰱ㘳㈵⤵_x0018_＀＀_x0018_＀＀_x0008_＀＀_x0001_＀＀_x0001_＀＀諛旽䀳鮎䭩_x001C_呃幂元卟䱁卅㌨㌳㤲㌬㐳㤱䌬⥑_x0018_＀＀_x0018_＀＀_x0008_＀＀_x0001_＀＀_x0001_＀＀㕀멞䡉䁯韤䮏B呃幂䅃偟久当佒⡁㈱㈯〰ⰴⰬ唬䑓䀩南偟久䥓乏䕟偘剟䅏ㄨ⼲〲㐰ⰬⰬ单⥄_x0018_＀＀_x0018_＀＀_x0008_＀＀_x0001_＀＀_x0001_＀＀ొ⬂㚇쁍韤䮏;呃幂南偟久䥓乏䅟卓呅当充䥕ㄨ⼲〲㜰䀩䅃偟久当䍐彔充ㄨ⼲〲㜰착_x0018_＀＀_x0018_＀＀_x0008_＀＀_x0001_＀＀_x0001_＀＀휊炣騽䁐惮䰚_x001C_䝍幁彐剐䍉彅噁⡇㔳㤷ⰶ㘳㘱⤰_x0018_＀＀_x0018_＀＀_x0008_＀＀_x0001_＀＀_x0001_＀＀䕹뿰炕䁌韥䮏,呃幂䅃偟协剔呅䕟偍䍟乏剔䉉䍟ㄨ⼲〲㘰ⰬⰬ单⥄_x0018_＀＀_x0018_＀＀_x0008_＀＀_x0001_＀＀_x0001_＀＀＀＀＀＀＀＀＀＀鮎䭩(呃幂元䍟䵏卟午䍟䱁彃䕄卐㌨㠶〰㌬㠶ㄹ䌬⥑_x0018_＀＀_x0018_＀＀_x0008_＀＀_x0001_＀＀_x0001_＀＀堐됹⛈䁒韤䮏J呃幂䅃偟久当佒彁䅒䕔ㄨ⼲〲㠰ⰬⰬ单⥄址当䕐华佉彎塅彐呌剟䅏ㄨ⼲〲㠰ⰬⰬ单⥄_x0018_＀＀_x0018_＀＀_x0008_＀＀_x0001_＀＀_x0001_＀＀＀＀＀＀耀䀠鸔䮏%呃幂䅃偟久当呌䅟卓呅⡓㈱㈯〰ⰸⰬ唬䑓착_x0018_＀＀_x0018_＀＀_x0008_＀＀_x0001_＀＀_x0001_＀＀褷恁탥㿂韤䮏B呃幂䅃偟久当佒⡁㈱㈯〰ⰷⰬ唬䑓䀩南偟久䥓乏䕟偘剟䅏ㄨ⼲〲㜰ⰬⰬ单⥄_x0018_＀＀_x0018_＀＀_x0008_＀＀_x0001_＀＀_x0001_＀＀퓾礦쁓韤䮏F呃幂䅃偟久当佒彁䍁⡔㈱㈯〰ⰵⰬ唬䑓䀩南偟久䥓乏䅟呃剟䅏ㄨ⼲〲㔰ⰬⰬ单⥄_x0018_＀＀_x0018_＀＀_x0008_＀＀_x0001_＀＀_x0001_＀＀ਾꏗ앰䁕忆䰚_x001C_䝍幁彐剐䍉彅噁⡇〴㜱ⰹ〴㘲⤸_x0018_＀＀_x0018_＀＀_x0008_＀＀_x0001_＀＀_x0001_＀＀릷㴱䁌䫻_x0018_剔幗䝆偟⡅㈭䄰ⱙⰰ奆㤬⤰°＀＀_x0018_＀＀ ＀＀_x0014_＀＀_x0001_＀＀豀碵꼝쐕豀碵꼝쐕豀碵꼝쐕豀碵꼝쐕豀碵꼝쐕豀碵꼝쐕豀碵꼝쐕豀碵꼝쐕豀碵꼝쐕豀碵꼝쐕豀碵꼝쐕豀碵꼝쐕豀碵꼝쐕豀碵꼝쐕豀碵꼝쐕되肐藑䀷Ⴟ_xDE72_矿䁀⹻鍓无䀪_xDED3_௠↓䁁掄㶖氉㿺韥䮏E呃幂䅃偟协剔呅䉟久佟⡂㈱㈯〰ⰶⰬ唬䑓䀩南䡟呌䍈剁彅䉐⡏㈱㈯〰ⰶⰬ唬䑓착_x0018_＀＀_x0018_＀＀_x0008_＀＀_x0001_＀＀_x0001_＀＀帵䦺㈌䁱忆䰚_x001C_䝍幁彐剐䍉彅噁⡇㠳㔳ⰳ㠳㐴⤲_x0018_＀＀_x0018_＀＀_x0008_＀＀_x0001_＀＀_x0001_＀＀Ⱨ캚鱎䁒韤䮏'呃幂南偟久偟协彔䕒彔䕂⡎㈱㈯〰ⰲⰬ唬䑓착_x0018_＀＀_x0018_＀＀_x0008_＀＀_x0001_＀＀_x0001_＀＀轜됨䁩鮜䭩_x001F_呃幂䝆䕟䥂䑔彁⡑㘳〸ⰰ㘳㤸ⰱ元착_x0018_＀＀_x0018_＀＀_x0008_＀＀_x0001_＀＀_x0001_＀＀㸃谿ࠐ䁝鸓䮏F呃幂䅃偟久当佒彁䍁⡔㈱㈯〰ⰸⰬ唬䑓䀩南偟久䥓乏䅟呃剟䅏ㄨ⼲〲㠰ⰬⰬ单⥄_x0018_＀＀_x0018_＀＀_x0008_＀＀_x0001_＀＀_x0001_＀＀욧Ὃ쁯韤䮏$呃幂䅃偟久当䕂彎䅐䑉ㄨ⼲〲㜰ⰬⰬ单⥄_x0018_＀＀_x0018_＀＀_x0008_＀＀_x0001_＀＀_x0001_＀＀㝌䆉ᵠ䁐韤䮏%呃幂䅃偟久当啃归䥌䉁⡓㈱㈯〰ⰴⰬ唬䑓착_x0018_＀＀_x0018_＀＀_x0008_＀＀_x0001_＀＀_x0001_＀＀豀碵꼝쐕鮎䭩(呃幂元䍟䵏卟午䍟䱁彃䕄卐㌨㠵㘸㌬㤵㘷䌬⥑_x0018_＀＀_x0018_＀＀_x0008_＀＀_x0001_＀＀_x0001_＀＀豀碵꼝쐕韤䮏%呃幂䅃偟久当佃偍剟呁⡅㈱㈯〰ⰷⰬ唬䑓착_x0018_＀＀_x0018_＀＀_x0008_＀＀_x0001_＀＀_x0001_＀＀䞮竡긔䀋韥䮏T呃幂䅃偟协剔呅偟䥒剏卟噒ㄨ⼲〲㈰ⰬⰬ单⥄址当䱈䡔䅃䕒啟剎䍅卟剅彖佃呓ㄨ⼲〲㈰ⰬⰬ单⥄_x0018_＀＀_x0018_＀＀_x0008_＀＀_x0001_＀＀_x0001_＀＀욧㝋㿳韢䮏_x000F_呃幂南䍟剕䕒䍎챙_x001C_＀＀_x0018_＀＀_x000C_＀＀_x0001_＀＀_x0008_＀＀⹕⹓䐠汯慬r鸓䮏N呃幂䅃偟久当乕䕒佃⡇㈱㈯〰ⰸⰬ唬䑓䀩南偟久䥓乏啟剎䍅卟剅彖佃呓ㄨ⼲〲㠰ⰬⰬ单⥄_x0018_＀＀_x0018_＀＀_x0008_＀＀_x0001_＀＀_x0001_＀＀鶲꟯ெ쀲韤䮏;呃幂南偟久䥓乏䅟卓呅当呏⡈㈱㈯〰⤲䍀彁䕐华偟呃佟䡔ㄨ⼲〲㈰착_x0018_＀＀_x0018_＀＀_x0008_＀＀_x0001_＀＀_x0001_＀＀豀碵꼝쐕韤䮏)呃幂南䡟呌䍈剁彅䥄䍓剟呁⡅㈱㈯〰ⰳⰬ唬䑓착_x0018_＀＀_x0018_＀＀_x0008_＀＀_x0001_＀＀_x0001_＀＀＀＀＀＀＀＀䀙韥䮏#呃幂䅃偟协剔呅䱟䅉⡂㈱㈯〰ⰲⰬ唬䑓착_x0018_＀＀_x0018_＀＀_x0008_＀＀_x0001_＀＀_x0001_＀＀좴빶늟쁬忆䰚_x001C_䝍幁彐剐䍉彅噁⡇㠳㤸ⰹ㠳㤹⤰_x0018_＀＀_x0018_＀＀_x0008_＀＀_x0001_＀＀_x0001_＀＀囖⿬ֻ䁒鮜䭩_x001F_呃幂䝆䕟䥂䑔彁⡑㔳㠸ⰶ㔳㜹ⰶ元착_x0018_＀＀_x0018_＀＀_x0008_＀＀_x0001_＀＀_x0001_＀＀率橾Ⲽ䁔鮎䭩_x001C_呃幂彐剐䍉彅噁⡇㜳㔲ⰷ㜳㐳⤶_x0018_＀＀_x0018_＀＀_x0008_＀＀_x0001_＀＀_x0001_＀＀휊炣쨽䀱鮎䭩_x001C_呃幂彐剐䍉彅噁⡇㔳㜹ⰷ㘳㘰⤸_x0018_＀＀_x0018_＀＀_x0008_＀＀_x0001_＀＀_x0001_＀＀岧巡騮䀲韤䮏;呃幂南偟久䥓乏䅟卓呅当充䥕ㄨ⼲〲㈰䀩䅃偟久当䍐彔充ㄨ⼲〲㈰착_x0018_＀＀_x0018_＀＀_x0008_＀＀_x0001_＀＀_x0001_＀＀豀碵꼝쐕韤䮏-呃幂䅃偟协剔呅啟归剔佟彂䵁剏⡔㈱㈯〰ⰷⰬ唬䑓착_x0018_＀＀_x0018_＀＀_x0008_＀＀_x0001_＀＀_x0001_＀＀＀＀＀＀＀＀＀＀韤䮏*呃幂南䡟呌䍈剁彅塅彐呌剟䅏ㄨ⼲〲㐰ⰬⰬ单⥄_x0018_＀＀_x0018_＀＀_x0008_＀＀_x0001_＀＀_x0001_＀＀豀碵꼝쐕흕䰠_x001C_䕌幁彐剐䍉彅噁⡇㘳㠹ⰲ㜳㜰⤲_x0018_＀＀_x0018_＀＀_x0008_＀＀_x0001_＀＀_x0001_＀＀豀碵꼝쐕鸔䮏'呃幂南偟久偟协彔䕒彔䕂⡎㈱㈯〰ⰸⰬ唬䑓착_x0018_＀＀_x0018_＀＀_x0008_＀＀_x0001_＀＀_x0001_＀＀鮥賄䁿韤䮏H呃幂䅃偟久当义彔佃呓ㄨ⼲〲㐰ⰬⰬ单⥄址当䕐华佉彎义彔佃呓ㄨ⼲〲㐰ⰬⰬ单⥄_x0018_＀＀_x0018_＀＀_x0008_＀＀_x0001_＀＀_x0001_＀＀빷᪟촯䁉鰮䲜$䕌幁䅃偟久当呌䱟䅉卂ㄨ⼲〲㤰ⰬⰬ单⥄_x0018_＀＀_x0018_＀＀_x0008_＀＀_x0001_＀＀_x0001_＀＀馚香릙䁤鮎䭩(呃幂元䍟䵏卟午䍟䱁彃䕄卐㌨㌹㘵㌬㐹㜴䌬⥑_x0018_＀＀_x0018_＀＀_x0008_＀＀_x0001_＀＀_x0001_＀＀욧㝋䁏鮎䭩(呃幂元䍟䵏卟午䍟䱁彃䕄卐㌨㐷㠳㌬㔷㤲䌬⥑_x0018_＀＀_x0018_＀＀_x0008_＀＀_x0001_＀＀_x0001_＀＀눭隧䁒鞰䮏_x000C_坞当卉彏佃䕄_x0014_＀＀_x0018_＀＀_x0004_＀＀_x0001_＀＀_x0008_＀＀乀A韤䮏＀Ｏ呃幂南䡟呌䍈剁彅䵁剏彔䕓噒䍟协⡔㈱㈯〰ⰷⰬ唬䑓착_x0018_＀＀_x0018_＀＀_x0008_＀＀_x0001_＀＀_x0001_＀＀삃ꇊ뙅뿓忆䰚_x001C_䝍幁彐剐䍉彅噁⡇㔳㐲ⰷ㔳㌳⤸_x0018_＀＀_x0018_＀＀_x0008_＀＀_x0001_＀＀_x0001_＀＀螾蹋䁃흕䰠_x001C_䕌幁彐剐䍉彅噁⡇㜳㔲ⰷ㜳㐳⤶_x0018_＀＀_x0018_＀＀_x0008_＀＀_x0001_＀＀_x0001_＀＀豀碵꼝쐕鮎䭩_x001C_呃幂彐剐䍉彅噁⡇㔳㔱ⰶ㔳㐲⤶_x0018_＀＀_x0018_＀＀_x0008_＀＀_x0001_＀＀_x0001_＀＀ᛱ偈惼䀸흕䰠_x001C_䕌幁彐剐䍉彅噁⡇㔳㜹ⰷ㘳㘰⤸_x0018_＀＀_x0018_＀＀_x0008_＀＀_x0001_＀＀_x0001_＀＀豀碵꼝쐕흕䰠_x001C_䕌幁彐剐䍉彅噁⡇㘳㘱ⰱ㘳㔲⤰_x0018_＀＀_x0018_＀＀_x0008_＀＀_x0001_＀＀_x0001_＀＀豀碵꼝쐕鮎䭩_x001C_呃幂彐剐䍉彅噁⡇㔳㌴ⰱ㔳㈵⤰_x0018_＀＀_x0018_＀＀_x0008_＀＀_x0001_＀＀_x0001_＀＀筠䥦᪀䀴韥䮏#呃幂䅃偟协剔呅䱟䅉⡂㈱㈯〰ⰸⰬ唬䑓착_x0018_＀＀_x0018_＀＀_x0008_＀＀_x0001_＀＀_x0001_＀＀㽽帵閺쁯鰮䲜&lt;䕌幁䅃偟久当佒彁䅒䕔ㄨ⼲〲㤰䀩南偟久䥓乏䕟偘䱟彔佒⡁㈱㈯〰⤹_x0018_＀＀_x0018_＀＀_x0008_＀＀_x0001_＀＀_x0001_＀＀＀＀＀＀耀䀠韤䮏 呃幂南䕟䍘彈䅒䕔䉟䱁卟⡈㈱㈯〰⤶_x0018_＀＀_x0018_＀＀_x0008_＀＀_x0001_＀＀_x0001_＀＀豀碵꼝쐕흕䰠_x001C_䕌幁彐剐䍉彅噁⡇㔳㔱ⰶ㔳㐲⤶_x0018_＀＀_x0018_＀＀_x0008_＀＀_x0001_＀＀_x0001_＀＀豀碵꼝쐕鮎䭩_x001C_呃幂彐剐䍉彅噁⡇㘳〷ⰸ㘳㤷⤹_x0018_＀＀_x0018_＀＀_x0008_＀＀_x0001_＀＀_x0001_＀＀_x0001_＀＀က䀧琍䭱_x001C_呃幂彐剐䍉彅噁⡇㌳㔰ⰵ㌳㐱⤶_x0018_＀＀_x0018_＀＀_x0008_＀＀_x0001_＀＀_x0001_＀＀䯨罯ꨮ䀟韤䮏L呃幂䅃偟协剔呅䥟呎䍟协⡔㈱㈯〰ⰷⰬ唬䑓䀩南䡟呌䍈剁彅义彔佃呓ㄨ⼲〲㜰ⰬⰬ单⥄_x0018_＀＀_x0018_＀＀_x0008_＀＀_x0001_＀＀_x0001_＀＀Ȍ蜫外䀯忆䰚_x001C_䝍幁彐剐䍉彅噁⡇㤳㠰ⰳ㤳㜱⤲_x0018_＀＀_x0018_＀＀_x0008_＀＀_x0001_＀＀_x0001_＀＀▅倞弶䁓鮎䭩(呃幂元䍟䵏卟午䍟䱁彃䕄卐㌨㜶㠰㌬㜶㤹䌬⥑_x0018_＀＀_x0018_＀＀_x0008_＀＀_x0001_＀＀_x0001_＀＀鍵И♖䁒韤䮏(呃幂南偟久䥓乏䅟卓呅当呌ㄨ⼲〲㌰ⰬⰬ单⥄_x0018_＀＀_x0018_＀＀_x0008_＀＀_x0001_＀＀_x0001_＀＀豀碵꼝쐕흖䰠_x001C_䕌幁彐剐䍉彅噁⡇㤳ㄸⰴ㤳〹⤳_x0018_＀＀_x0018_＀＀_x0008_＀＀_x0001_＀＀_x0001_＀＀豀碵꼝쐕琍䭱_x001C_呃幂彐剐䍉彅噁⡇㈳㜸ⰴ㈳㘹⤳_x0018_＀＀_x0018_＀＀_x0008_＀＀_x0001_＀＀_x0001_＀＀甄ꏊ亂䀠鰳䲜_x001A_䕌幁南䕟䍘彈䅒䕔〨ⰬⰬ单⥄_x0018_＀＀_x0018_＀＀_x0008_＀＀_x0001_＀＀_x0001_＀＀＀＀＀＀＀＀㿰鮜䭩_x001F_呃幂䝆䕟䥂䑔彁⡑㘳〷ⰸ㘳㤷ⰹ元착_x0018_＀＀_x0018_＀＀_x0008_＀＀_x0001_＀＀_x0001_＀＀柠㡜䁛忆䰚_x001C_䝍幁彐剐䍉彅噁⡇㠳㜰ⰸ㠳㘱⤸_x0018_＀＀_x0018_＀＀_x0008_＀＀_x0001_＀＀_x0001_＀＀쌸㫼䁔韤䮏J呃幂䅃偟久当䥄䍓剟呁⡅㈱㈯〰ⰶⰬ唬䑓䀩南偟久䥓乏䑟卉彃䅒䕔ㄨ⼲〲㘰ⰬⰬ单⥄_x0018_＀＀_x0018_＀＀_x0008_＀＀_x0001_＀＀_x0001_＀＀㵱휊炣䀖흕䰠_x001C_䕌幁彐剐䍉彅噁⡇㘳〷ⰸ㘳㤷⤹_x0018_＀＀_x0018_＀＀_x0008_＀＀_x0001_＀＀_x0001_＀＀豀碵꼝쐕鞰䮏.坞当䕐华佉彎十䕓協偟佒⡐䅎䀩䅃偟久当䍐彔䕒丨⥁_x0018_＀＀_x0018_＀＀_x0008_＀＀_x0001_＀＀_x0001_＀＀豀碵꼝쐕鮎䭩_x001C_呃幂彐剐䍉彅噁⡇㘳㠹ⰲ㜳㜰⤲_x0018_＀＀_x0018_＀＀_x0008_＀＀_x0001_＀＀_x0001_＀＀缛늢䀨韤䮏J呃幂䅃偟久当䱐乁䅟呓ㄨ⼲〲㌰ⰬⰬ单⥄址当䕐华佉彎䅖彌十䕓協ㄨ⼲〲㌰ⰬⰬ单⥄_x0018_＀＀_x0018_＀＀_x0008_＀＀_x0001_＀＀_x0001_＀＀䆉ῐ䂊鰳䲜J䕌幁䅃偟久当䱐乁䅟呓ㄨ⼲〲㠰ⰬⰬ单⥄址当䕐华佉彎䅖彌十䕓協ㄨ⼲〲㠰ⰬⰬ单⥄_x0018_＀＀_x0018_＀＀_x0008_＀＀_x0001_＀＀_x0001_＀＀晧晦幦䂀韤䮏'呃幂南偟久䥓乏也呅䱟䅉⡂㈱㈯〰ⰲⰬ唬䑓착_x0018_＀＀_x0018_＀＀_x0008_＀＀_x0001_＀＀_x0001_＀＀豀碵꼝쐕韤䮏&lt;呃幂南偟久䥓乏䅟卓呅当佂䑎⡓㈱㈯〰⤶䍀彁䕐华偟呃䙟⡉㈱㈯〰⤶_x0018_＀＀_x0018_＀＀_x0008_＀＀_x0001_＀＀_x0001_＀＀＀＀＀＀＀＀䀿韤䮏$呃幂䅃偟久当呌䱟䅉卂ㄨ⼲〲㐰ⰬⰬ单⥄_x0018_＀＀_x0018_＀＀_x0008_＀＀_x0001_＀＀_x0001_＀＀豀碵꼝쐕궞䲌_x0014_刣晥敲桳帣彐剐䍉⡅⤰_x0018_＀＀_x0018_＀＀_x0008_＀＀_x0001_＀＀_x0001_＀＀豀碵꼝쐕韥䮏'呃幂䅃偟协剔呅䉟久偟䥁⡄㈱㈯〰ⰶⰬ唬䑓착_x0018_＀＀_x0018_＀＀_x0008_＀＀_x0001_＀＀_x0001_＀＀＀＀＀＀＀＀＀＀흕䰠_x001C_䕌幁彐剐䍉彅噁⡇㔳ㄶⰲ㔳〷⤳_x0018_＀＀_x0018_＀＀_x0008_＀＀_x0001_＀＀_x0001_＀＀豀碵꼝쐕忆䰚_x001C_䝍幁彐剐䍉彅噁⡇㔳㤷ⰶ㔳㠸⤵_x0018_＀＀_x0018_＀＀_x0008_＀＀_x0001_＀＀_x0001_＀＀㞠ꤕ帰䁋鮎䭩_x001C_呃幂彐剐䍉彅噁⡇㘳㘱ⰱ㘳㔲⤰_x0018_＀＀_x0018_＀＀_x0008_＀＀_x0001_＀＀_x0001_＀＀ᨶ䏀䀴䭻_x001C_呃幂彐剐䍉彅噁⡇㌳〶ⰴ㌳㘹⤹_x0018_＀＀_x0018_＀＀_x0008_＀＀_x0001_＀＀_x0001_＀＀ᒐ憑ܕ䀻鮎䭩(呃幂元䍟䵏卟午䍟䱁彃䕄卐㌨㜸㠱㌬㠸㜰䌬⥑_x0018_＀＀_x0018_＀＀_x0008_＀＀_x0001_＀＀_x0001_＀＀휊炣꨽䁎惮䰚_x001C_䝍幁彐剐䍉彅噁⡇㜳㔲ⰷ㜳㈶⤱_x0018_＀＀_x0018_＀＀_x0008_＀＀_x0001_＀＀_x0001_＀＀롑䁋韥䮏(呃幂南䡟呌䍈剁彅乕彆䕂⡎㈱㈯〰ⰶⰬ唬䑓⤩＀＀＀＀韤䮏"呃幂南偟久䥓乏偟佂ㄨ⼲〲㜰ⰬⰬ单⥄_x0018_＀＀_x0018_＀＀_x0008_＀＀_x0001_＀＀_x0001_＀＀ⴎ鶲⭯䂑鸓䮏'呃幂南偟久䥓乏也呅䱟䅉⡂㈱㈯〰ⰸⰬ唬䑓착_x0018_＀＀_x0018_＀＀_x0008_＀＀_x0001_＀＀_x0001_＀＀豀碵꼝쐕韤䮏 呃幂南䕟䍘彈䅒䕔ㄨ⼲〲㈰ⰬⰬ单⥄_x0018_＀＀_x0018_＀＀_x0008_＀＀_x0001_＀＀_x0001_＀＀＀＀＀＀＀＀㿰鮎䭩_x001C_呃幂彐剐䍉彅噁⡇㤳㌵ⰹ㤳㈶⤹_x0018_＀＀_x0018_＀＀_x0008_＀＀_x0001_＀＀_x0001_＀＀练걏㕓䀨韤䮏H呃幂䅃偟久当义彔佃呓ㄨ⼲〲㌰ⰬⰬ单⥄址当䕐华佉彎义彔佃呓ㄨ⼲〲㌰ⰬⰬ单⥄_x0018_＀＀_x0018_＀＀_x0008_＀＀_x0001_＀＀_x0001_＀＀晧晦왦䁎忆䰚_x001C_䝍幁彐剐䍉彅噁⡇㠳㌵ⰴ㠳㈶⤵_x0018_＀＀_x0018_＀＀_x0008_＀＀_x0001_＀＀_x0001_＀＀뚚敿뎥䁒鮎䭩_x001C_呃幂彐剐䍉彅噁⡇〴㘲ⰹ〴㔳⤹_x0018_＀＀_x0018_＀＀_x0008_＀＀_x0001_＀＀_x0001_＀＀豀碵꼝쐕鮎䭩(呃幂元䍟䵏卟午䍟䱁彃䕄卐㌨㈹㐶㌬㌹㔵䌬⥑_x0018_＀＀_x0018_＀＀_x0008_＀＀_x0001_＀＀_x0001_＀＀俟鞍쉮䁏鮎䭩_x001C_呃幂彐剐䍉彅噁⡇㐳㘰ⰰ㐳㔱⤰_x0018_＀＀_x0018_＀＀_x0008_＀＀_x0001_＀＀_x0001_＀＀Ȣꄎ굊䀿鮎䭩_x001C_呃幂彐剐䍉彅噁⡇㤳ㄸⰴ㤳〹⤳_x0018_＀＀_x0018_＀＀_x0008_＀＀_x0001_＀＀_x0001_＀＀眥䓘⹦䀓韤䮏G呃幂䅃偟久当䕎彔佃呓ㄨ⼲〲㌰ⰬⰬ单⥄址当䕐华佉彎偎彐塅⡐㈱㈯〰ⰳⰬ唬䑓착_x0018_＀＀_x0018_＀＀_x0008_＀＀_x0001_＀＀_x0001_＀＀㝌䆉蕠䁇韤䮏 呃幂南䕟䍘彈䅒䕔䉟䱁卟⡈㈱㈯〰⤷_x0018_＀＀_x0018_＀＀_x0008_＀＀_x0001_＀＀_x0001_＀＀豀碵꼝쐕韥䮏)呃幂䅃偟协剔呅佟䡔䑁彊䉎⡁㈱㈯〰ⰴⰬ唬䑓착_x0018_＀＀_x0018_＀＀_x0008_＀＀_x0001_＀＀_x0001_＀＀탥_xDB22_⛹䁔鮎䭩_x001C_呃幂彐剐䍉彅噁⡇㐳㐲ⰳ㐳㌳⤴_x0018_＀＀_x0018_＀＀_x0008_＀＀_x0001_＀＀_x0001_＀＀㷅㺖셴䀶鮎䭩(呃幂元䍟䵏卟午䍟䱁彃䕄卐㌨㘳㐰㌬㘳㐹䌬⥑_x0018_＀＀_x0018_＀＀_x0008_＀＀_x0001_＀＀_x0001_＀＀豀碵꼝쐕韤䮏)呃幂南偟久䥓乏噟䱁䅟卓呅⡓㈱㈯〰ⰶⰬ唬䑓착_x0018_＀＀_x0018_＀＀_x0008_＀＀_x0001_＀＀_x0001_＀＀尩슏ჵ䂎흖䰠_x001C_䕌幁彐剐䍉彅噁⡇㤳㌵ⰹ㤳㈶⤹_x0018_＀＀_x0018_＀＀_x0008_＀＀_x0001_＀＀_x0001_＀＀豀碵꼝쐕忆䰚_x001C_䝍幁彐剐䍉彅噁⡇㠳㤹ⰱ㤳㠰⤲_x0018_＀＀_x0018_＀＀_x0008_＀＀_x0001_＀＀_x0001_＀＀丹켬ރ䁓鮎䭩_x001C_呃幂彐剐䍉彅噁⡇㜳㌴ⰸ㜳㈵⤹_x0018_＀＀_x0018_＀＀_x0008_＀＀_x0001_＀＀_x0001_＀＀T枌ꃐ䀳鮎䭩_x001C_呃幂彐剐䍉彅噁⡇㘳〸ⰰ㘳㤸⤱_x0018_＀＀_x0018_＀＀_x0008_＀＀_x0001_＀＀_x0001_＀＀ⴆ怤셴䀣鸓䮏&lt;呃幂䅃偟久当䥄䍓剟呁⡅㈱㈯〰⤷址当䕐华佉彎䥄䍓剟呁⡅㈱㈯〰⤷_x0018_＀＀_x0018_＀＀_x0008_＀＀_x0001_＀＀_x0001_＀＀竡긔䀗琍䭱_x001C_呃幂彐剐䍉彅噁⡇㈳㤵ⰹ㈳㠶⤹_x0018_＀＀_x0018_＀＀_x0008_＀＀_x0001_＀＀_x0001_＀＀À蟂䀛흕䰠_x001C_䕌幁彐剐䍉彅噁⡇㠳㐴ⰳ㠳㌵⤳_x0018_＀＀_x0018_＀＀_x0008_＀＀_x0001_＀＀_x0001_＀＀豀碵꼝쐕韤䮏 呃幂南䕟䍘彈䅒䕔ㄨ⼲〲㠰ⰬⰬ单⥄_x0018_＀＀_x0018_＀＀_x0008_＀＀_x0001_＀＀_x0001_＀＀＀＀＀＀＀＀㿰鮜䭩_x001F_呃幂䝆䕟䥂䑔彁⡑㌳〶ⰴ㌳㤶ⰴ元착_x0018_＀＀_x0018_＀＀_x0008_＀＀_x0001_＀＀_x0001_＀＀_xDC6E_繢鉮䁃韤䮏I呃幂䅃偟久当剓彖佃呓ㄨ⼲〲㌰ⰬⰬ单⥄址当䕐华佉彎䕓噒䍟协⡔㈱㈯〰ⰳⰬ唬䑓착_x0018_＀＀_x0018_＀＀_x0008_＀＀_x0001_＀＀_x0001_＀＀ⓝ脆䀺韤䮏%呃幂䅃偟久当呌䅟卓呅⡓㈱㈯〰ⰳⰬ唬䑓착_x0018_＀＀_x0018_＀＀_x0008_＀＀_x0001_＀＀_x0001_＀＀豀碵꼝쐕韤䮏&amp;呃幂䅃偟久当十彔义䅔䝎ㄨ⼲〲㐰ⰬⰬ单⥄_x0018_＀＀_x0018_＀＀_x0008_＀＀_x0001_＀＀_x0001_＀＀＀＀＀＀＀＀＀＀韤䮏N呃幂䅃偟久当乕䕒佃⡇㈱㈯〰ⰷⰬ唬䑓䀩南偟久䥓乏啟剎䍅卟剅彖佃呓ㄨ⼲〲㜰ⰬⰬ单⥄_x0018_＀＀_x0018_＀＀_x0008_＀＀_x0001_＀＀_x0001_＀＀㌳㌳錳쀱韥䮏P呃幂䅃偟协剔呅偟䅌彎十彔久⡄㈱㈯〰ⰲⰬ唬䑓䀩南䡟呌䍈剁彅噆䅟卓呅ㄨ⼲〲㈰ⰬⰬ单⥄_x0018_＀＀_x0018_＀＀_x0008_＀＀_x0001_＀＀_x0001_＀＀＀＀＀＀＀＀＀＀韥䮏J呃幂䅃偟协剔呅剟䅏䅟呃ㄨ⼲〲㐰ⰬⰬ单⥄址当䱈䡔䅃䕒䅟呃剟䅏ㄨ⼲〲㐰ⰬⰬ单⥄_x0018_＀＀_x0018_＀＀_x0008_＀＀_x0001_＀＀_x0001_＀＀＀＀＀＀＀＀＀＀흕䰠_x001C_䕌幁彐剐䍉彅噁⡇㘳〸ⰰ㘳㤸⤱_x0018_＀＀_x0018_＀＀_x0008_＀＀_x0001_＀＀_x0001_＀＀豀碵꼝쐕흕䰠_x001C_䕌幁彐剐䍉彅噁⡇㜳㌴ⰸ㜳㈵⤹_x0018_＀＀_x0018_＀＀_x0008_＀＀_x0001_＀＀_x0001_＀＀豀碵꼝쐕鰮䲜&lt;䕌幁南偟久䥓乏䅟卓呅当佂䑎⡓㈱㈯〰⤹䍀彁䕐华偟呃䙟⡉㈱㈯〰⤹_x0018_＀＀_x0018_＀＀_x0008_＀＀_x0001_＀＀_x0001_＀＀晦晦䁁韤䮏%呃幂䅃偟久当佃偍剟呁⡅㈱㈯〰ⰲⰬ唬䑓착_x0018_＀＀_x0018_＀＀_x0008_＀＀_x0001_＀＀_x0001_＀＀휊炣਽䀓韤䮏J呃幂䅃偟久当䱐乁䅟呓ㄨ⼲〲㘰ⰬⰬ单⥄址当䕐华佉彎䅖彌十䕓協ㄨ⼲〲㘰ⰬⰬ单⥄_x0018_＀＀_x0018_＀＀_x0008_＀＀_x0001_＀＀_x0001_＀＀尩슏ჵ䂎韤䮏M呃幂䅃偟协剔呅卟噒䍟协⡔㈱㈯〰ⰳⰬ唬䑓䀩南䡟呌䍈剁彅䕓噒䍟协⡔㈱㈯〰ⰳⰬ唬䑓착_x0018_＀＀_x0018_＀＀_x0008_＀＀_x0001_＀＀_x0001_＀＀ᢔ嘄괎䀜흕䰠_x001C_䕌幁彐剐䍉彅噁⡇㘳㐳ⰲ㘳㌴⤳_x0018_＀＀_x0018_＀＀_x0008_＀＀_x0001_＀＀_x0001_＀＀豀碵꼝쐕鮎䭩_x001C_呃幂彐剐䍉彅噁⡇㔳ㄶⰲ㔳〷⤳_x0018_＀＀_x0018_＀＀_x0008_＀＀_x0001_＀＀_x0001_＀＀む_xDCF0_聻䀸鞰䮏(坞当佃乕剔彙䅎䕍〨䀩䅃䍟彏义佃偒䍟剔⡙⤰_x0014_＀＀_x0018_＀＀_x0004_＀＀_x0001_＀＀_x0008_＀＀乀A韤䮏(呃幂䅃偟久当偐彄䕂彎佃呓ㄨ⼲〲㔰ⰬⰬ单⥄_x0018_＀＀_x0018_＀＀_x0008_＀＀_x0001_＀＀_x0001_＀＀龿⼚䁤鮎䭩_x001C_呃幂彐剐䍉彅噁⡇㠳㘱ⰹ㠳㘲⤰_x0018_＀＀_x0018_＀＀_x0008_＀＀_x0001_＀＀_x0001_＀＀빢¼㣻䀶韥䮏T呃幂䅃偟协剔呅偟䥒剏卟噒ㄨ⼲〲㐰ⰬⰬ单⥄址当䱈䡔䅃䕒啟剎䍅卟剅彖佃呓ㄨ⼲〲㐰ⰬⰬ单⥄_x0018_＀＀_x0018_＀＀_x0008_＀＀_x0001_＀＀_x0001_＀＀㵱휊炣쀃忆䰚_x001C_䝍幁彐剐䍉彅噁⡇㜳㘱ⰵ㜳㔲⤶_x0018_＀＀_x0018_＀＀_x0008_＀＀_x0001_＀＀_x0001_＀＀刁㢛꾹䁉韤䮏-呃幂䅃偟协剔呅啟归剔佟彂䵁剏⡔㈱㈯〰ⰲⰬ唬䑓착_x0018_＀＀_x0018_＀＀_x0008_＀＀_x0001_＀＀_x0001_＀＀＀＀＀＀＀＀＀＀韤䮏'呃幂南偟久偟协彔䕒彔䕂⡎㈱㈯〰ⰳⰬ唬䑓착_x0018_＀＀_x0018_＀＀_x0008_＀＀_x0001_＀＀_x0001_＀＀鮥壄䁻忆䰚_x001C_䝍幁彐剐䍉彅噁⡇㤳㘲ⰴ㤳㔳⤵_x0018_＀＀_x0018_＀＀_x0008_＀＀_x0001_＀＀_x0001_＀＀擬湰䁖韥䮏+呃幂䅃偟协剔呅偟剁彔佃呎䥒⡂㈱㈯〰ⰲⰬ唬䑓착_x0018_＀＀_x0018_＀＀_x0008_＀＀_x0001_＀＀_x0001_＀＀＀＀＀＀＀＀＀＀䭻_x001C_呃幂彐剐䍉彅噁⡇㘳㤸ⰲ㜳㔲⤶_x0018_＀＀_x0018_＀＀_x0008_＀＀_x0001_＀＀_x0001_＀＀쥨槣뇹䀫鮎䭩(呃幂元䍟䵏卟午䍟䱁彃䕄卐㌨㌳㤲㌬㐳㤱䌬⥑_x0018_＀＀_x0018_＀＀_x0008_＀＀_x0001_＀＀_x0001_＀＀豀碵꼝쐕韤䮏＀Ｏ呃幂南䡟呌䍈剁彅䵁剏彔䕓噒䍟协⡔㈱㈯〰ⰲⰬ唬䑓착_x0018_＀＀_x0018_＀＀_x0008_＀＀_x0001_＀＀_x0001_＀＀멞౉⬂㿵흕䰠_x001C_䕌幁彐剐䍉彅噁⡇㠳㘱ⰹ㠳㘲⤰_x0018_＀＀_x0018_＀＀_x0008_＀＀_x0001_＀＀_x0001_＀＀豀碵꼝쐕韤䮏%呃幂䅃偟久当佃偍剟呁⡅㈱㈯〰ⰸⰬ唬䑓착_x0018_＀＀_x0018_＀＀_x0008_＀＀_x0001_＀＀_x0001_＀＀炤਽ꏗ䀊净䪹_x0018_坂幁䝆偟⡅㈭䄰ⱙⰰ奆㤬⤰°＀＀_x0018_＀＀ ＀＀_x0014_＀＀_x0001_＀＀豀碵꼝쐕豀碵꼝쐕豀碵꼝쐕豀碵꼝쐕豀碵꼝쐕贕뾵톳䀱되肐䗑䀧ᓼ燇䀨踍垒惧䀽뿓锤䀩Ӊ᫼቉䀠쭃羺搬䀡첧㟍⎢䀳뙣啤宄䀨楞ꤙ쳷䀫꡶⒦士䀮格_xDD76_饛䀬귑 䀭尾_xDC72_ĩ䀶埖՗ﵪ䀵鮎䭩_x001F_呃幂䝆䕟䥂䑔彁⡑㌳㈳ⰹ㌳ㄴⰹ元착_x0018_＀＀_x0018_＀＀_x0008_＀＀_x0001_＀＀_x0001_＀＀褷恁僥䁄韥䮏#呃幂䅃偟协剔呅䱟䅉⡂㈱㈯〰ⰳⰬ唬䑓착_x0018_＀＀_x0018_＀＀_x0008_＀＀_x0001_＀＀_x0001_＀＀๖눭᎝쁮䰠_x001C_䕌幁彐剐䍉彅噁⡇㜳㠹ⰷ㠳㔳⤲_x0018_＀＀_x0018_＀＀_x0008_＀＀_x0001_＀＀_x0001_＀＀豀碵꼝쐕忆䰚_x001C_䝍幁彐剐䍉彅噁⡇㤳㈷ⰲ㤳ㄸ⤳_x0018_＀＀_x0018_＀＀_x0008_＀＀_x0001_＀＀_x0001_＀＀书얗囄䀿韤䮏Q呃幂䅃偟久当䍁啃彍佃偍䥒䍎ㄨ⼲〲㌰ⰬⰬ单⥄址当佃偍归义彃䕐华䱟䅉⡂㈱㈯〰ⰳⰬ唬䑓착_x0018_＀＀_x0018_＀＀_x0008_＀＀_x0001_＀＀_x0001_＀＀＀＀＀＀＀＀＀＀鰮䲜H䕌幁䅃偟久当义彔佃呓ㄨ⼲〲㤰ⰬⰬ单⥄址当䕐华佉彎义彔佃呓ㄨ⼲〲㤰ⰬⰬ单⥄_x0018_＀＀_x0018_＀＀_x0008_＀＀_x0001_＀＀_x0001_＀＀쳍쳌ೌ䁇韤䮏;呃幂南偟久䥓乏䅟卓呅当呏⡈㈱㈯〰⤵䍀彁䕐华偟呃佟䡔ㄨ⼲〲㔰착_x0018_＀＀_x0018_＀＀_x0008_＀＀_x0001_＀＀_x0001_＀＀＀＀＀＀＀＀䀀䰠_x001C_䕌幁彐剐䍉彅噁⡇㘳㤸ⰲ㜳㔲⤶_x0018_＀＀_x0018_＀＀_x0008_＀＀_x0001_＀＀_x0001_＀＀豀碵꼝쐕鮎䭩_x001C_呃幂彐剐䍉彅噁⡇㠳㐴ⰳ㠳㌵⤳_x0018_＀＀_x0018_＀＀_x0008_＀＀_x0001_＀＀_x0001_＀＀嬮诫暄䀲忆䰚_x001C_䝍幁彐剐䍉彅噁⡇㐳〶ⰸ㐳㤶⤹_x0018_＀＀_x0018_＀＀_x0008_＀＀_x0001_＀＀_x0001_＀＀孭_xD994_䌠䀾韥䮏E呃幂䅃偟协剔呅䉟久佟⡂㈱㈯〰ⰷⰬ唬䑓䀩南䡟呌䍈剁彅䉐⡏㈱㈯〰ⰷⰬ唬䑓착_x0018_＀＀_x0018_＀＀_x0008_＀＀_x0001_＀＀_x0001_＀＀Ẹ剑䁰韥䮏+呃幂䅃偟协剔呅偟剁彔佃呎䥒⡂㈱㈯〰ⰸⰬ唬䑓착_x0018_＀＀_x0018_＀＀_x0008_＀＀_x0001_＀＀_x0001_＀＀＀＀＀＀＀＀＀＀韤䮏G呃幂䅃偟久当䕎彔佃呓ㄨ⼲〲㘰ⰬⰬ单⥄址当䕐华佉彎偎彐塅⡐㈱㈯〰ⰶⰬ唬䑓착_x0018_＀＀_x0018_＀＀_x0008_＀＀_x0001_＀＀_x0001_＀＀脆䎕貋䀹韤䮏＀Ｏ呃幂南䡟呌䍈剁彅䵁剏彔䕓噒䍟协⡔㈱㈯〰ⰸⰬ唬䑓착_x0018_＀＀_x0018_＀＀_x0008_＀＀_x0001_＀＀_x0001_＀＀삃ꇊ뙅뿓鮎䭩_x001C_呃幂彐剐䍉彅噁⡇㠳㈶ⰶ㠳ㄷ⤷_x0018_＀＀_x0018_＀＀_x0008_＀＀_x0001_＀＀_x0001_＀＀鐠燷켴䀬韤䮏N呃幂䅃偟久当乕䕒佃⡇㈱㈯〰ⰶⰬ唬䑓䀩南偟久䥓乏啟剎䍅卟剅彖佃呓ㄨ⼲〲㘰ⰬⰬ单⥄_x0018_＀＀_x0018_＀＀_x0008_＀＀_x0001_＀＀_x0001_＀＀Й๖㈭쀱韤䮏 呃幂南䕟䍘彈䅒䕔䉟䱁卟⡈㈱㈯〰⤸_x0018_＀＀_x0018_＀＀_x0008_＀＀_x0001_＀＀_x0001_＀＀豀碵꼝쐕忆䰚_x001C_䝍幁彐剐䍉彅噁⡇㐳㈴ⰵ㐳ㄵ⤵_x0018_＀＀_x0018_＀＀_x0008_＀＀_x0001_＀＀_x0001_＀＀㾑鰘䁂鮎䭩(呃幂元䍟䵏卟午䍟䱁彃䕄卐㌨㈴㌴㌬㌴㐳䌬⥑_x0018_＀＀_x0018_＀＀_x0008_＀＀_x0001_＀＀_x0001_＀＀豀碵꼝쐕鮎䭩_x001C_呃幂彐剐䍉彅噁⡇㜳㌵ⰰ㜳㈶⤱_x0018_＀＀_x0018_＀＀_x0008_＀＀_x0001_＀＀_x0001_＀＀朚ᇓ緀䀬琍䭱_x001C_呃幂彐剐䍉彅噁⡇㌳〶ⰴ㌳㤶⤴_x0018_＀＀_x0018_＀＀_x0008_＀＀_x0001_＀＀_x0001_＀＀첍뜣䀸鮎䭩_x001C_呃幂彐剐䍉彅噁⡇㘳㐳ⰲ㘳㌴⤳_x0018_＀＀_x0018_＀＀_x0008_＀＀_x0001_＀＀_x0001_＀＀㲳똏䀴鮜䭩_x001F_呃幂䝆䕟䥂䑔彁⡑㐳㐲ⰳ㐳㌳ⰴ元착_x0018_＀＀_x0018_＀＀_x0008_＀＀_x0001_＀＀_x0001_＀＀ㄦᰈ䁌鮎䭩(呃幂元䍟䵏卟午䍟䱁彃䕄卐㌨㘶㜱㌬㜶㜰䌬⥑_x0018_＀＀_x0018_＀＀_x0008_＀＀_x0001_＀＀_x0001_＀＀퓽楸䁒凁䪹_x001C_坂幁䝆偟彅奆⠱㈭䄰ⱙⰰ奆㤬⤰°＀＀_x0018_＀＀ ＀＀_x0014_＀＀_x0001_＀＀豀碵꼝쐕豀碵꼝쐕豀碵꼝쐕豀碵꼝쐕豀碵꼝쐕豀碵꼝쐕豀碵꼝쐕豀碵꼝쐕ﴉ뵌䀧젝橺䀫쵆쥗ᛇ䀠楞ꤙ䀟_xDD44_ 禵䀰쎓鴧え䀢⠠䀪斌◺緢䀭⹦祰憬䀬뒷ሚ郷䀭㸘꘢깄䀳뗺폵칿䀥韤䮏(呃幂䅃偟久当䅐呒䍟乏剔䉉ㄨ⼲〲㐰ⰬⰬ单⥄_x0018_＀＀_x0018_＀＀_x0008_＀＀_x0001_＀＀_x0001_＀＀嘄ⴎ鶲䀂韤䮏'呃幂䅃偟久当商䑎卟䅔啔⡓㈱㈯〰ⰶⰬ唬䑓착_x0018_＀＀_x0018_＀＀_x0008_＀＀_x0001_＀＀_x0001_＀＀ﯨ角쁡흕䰠_x001C_䕌幁彐剐䍉彅噁⡇㠳㈶ⰶ㠳ㄷ⤷_x0018_＀＀_x0018_＀＀_x0008_＀＀_x0001_＀＀_x0001_＀＀豀碵꼝쐕䰠_x001C_䕌幁彐剐䍉彅噁⡇㔳㘰ⰵ㔳㌴⤰_x0018_＀＀_x0018_＀＀_x0008_＀＀_x0001_＀＀_x0001_＀＀豀碵꼝쐕琍䭱_x001C_呃幂彐剐䍉彅噁⡇㌳㈳ⰹ㌳ㄴ⤹_x0018_＀＀_x0018_＀＀_x0008_＀＀_x0001_＀＀_x0001_＀＀ﯖ皍ࣜ䀪鮎䭩(呃幂元䍟䵏卟午䍟䱁彃䕄卐㌨㐸㌴㌬㔸㌳䌬⥑_x0018_＀＀_x0018_＀＀_x0008_＀＀_x0001_＀＀_x0001_＀＀＀＀＀＀ 䁏韤䮏M呃幂䅃偟协剔呅卟噒䍟协⡔㈱㈯〰ⰶⰬ唬䑓䀩南䡟呌䍈剁彅䕓噒䍟协⡔㈱㈯〰ⰶⰬ唬䑓착_x0018_＀＀_x0018_＀＀_x0008_＀＀_x0001_＀＀_x0001_＀＀晧晦䀖鮜䭩_x001F_呃幂䝆䕟䥂䑔彁⡑㘳ㄶⰷ㘳〷ⰷ元착_x0018_＀＀_x0018_＀＀_x0008_＀＀_x0001_＀＀_x0001_＀＀鶲꟯ꯆ䁠鮎䭩_x001C_呃幂䝆䕟卐兟㌨㌳㤲㌬㐳㤱䌬⥑_x0018_＀＀_x0018_＀＀_x0008_＀＀_x0001_＀＀_x0001_＀＀긔ᑺ㿎韤䮏$呃幂䅃偟久当䕂彎䅐䑉ㄨ⼲〲㈰ⰬⰬ单⥄_x0018_＀＀_x0018_＀＀_x0008_＀＀_x0001_＀＀_x0001_＀＀ㄦ_xDC08_䁅흕䰠_x001C_䕌幁彐剐䍉彅噁⡇㜳㌵ⰰ㜳㈶⤱_x0018_＀＀_x0018_＀＀_x0008_＀＀_x0001_＀＀_x0001_＀＀豀碵꼝쐕鞰䮏.坞当䕐华佉彎十䕓協佟䡔丨⥁䍀彁䕐华偟呃佟䡔丨⥁_x0018_＀＀_x0018_＀＀_x0008_＀＀_x0001_＀＀_x0001_＀＀豀碵꼝쐕韤䮏)呃幂䅃偟久当䵅彐佃呎䥒彂⡃㈱㈯〰ⰷⰬ唬䑓착_x0018_＀＀_x0018_＀＀_x0008_＀＀_x0001_＀＀_x0001_＀＀㌳㌳錳䁐鸓䮏_x001A_呃幂南䕟䍘彈䅒䕔䉟䱁卟⡈⤰_x0018_＀＀_x0018_＀＀_x0008_＀＀_x0001_＀＀_x0001_＀＀豀碵꼝쐕韤䮏;呃幂南偟久䥓乏䅟卓呅当剐偏ㄨ⼲〲㜰䀩䅃偟久当䍐彔䕒ㄨ⼲〲㜰착_x0018_＀＀_x0018_＀＀_x0008_＀＀_x0001_＀＀_x0001_＀＀＀＀＀＀＀＀＀＀흕䰠_x001C_䕌幁彐剐䍉彅噁⡇㔳㠸ⰶ㔳㜹⤶_x0018_＀＀_x0018_＀＀_x0008_＀＀_x0001_＀＀_x0001_＀＀豀碵꼝쐕鸔䮏_x001F_呃幂䅃偟久当呌䅟卓呅⡓ⰰⰬ唬䑓착_x0018_＀＀_x0018_＀＀_x0008_＀＀_x0001_＀＀_x0001_＀＀褷恁탥㿂韥䮏J呃幂䅃偟协剔呅剟䅏䅟呃ㄨ⼲〲㌰ⰬⰬ单⥄址当䱈䡔䅃䕒䅟呃剟䅏ㄨ⼲〲㌰ⰬⰬ单⥄_x0018_＀＀_x0018_＀＀_x0008_＀＀_x0001_＀＀_x0001_＀＀＀＀＀＀＀＀＀＀韤䮏)呃幂䅃偟久当䵅彐佃呎䥒彂⡅㈱㈯〰ⰹⰬ唬䑓착_x0018_＀＀_x0018_＀＀_x0008_＀＀_x0001_＀＀_x0001_＀＀豀碵꼝쐕韤䮏L呃幂䅃偟协剔呅䥟呎䍟协⡔㈱㈯〰ⰶⰬ唬䑓䀩南䡟呌䍈剁彅义彔佃呓ㄨ⼲〲㘰ⰬⰬ单⥄_x0018_＀＀_x0018_＀＀_x0008_＀＀_x0001_＀＀_x0001_＀＀⣶轜㗂䀯韥䮏,呃幂䅃偟协剔呅䕟偍䍟乏剔䉉䍟ㄨ⼲〲㜰ⰬⰬ单⥄_x0018_＀＀_x0018_＀＀_x0008_＀＀_x0001_＀＀_x0001_＀＀＀＀＀＀＀＀＀＀鮎䭩(呃幂元䍟䵏卟午䍟䱁彃䕄卐㌨〸㠷㌬ㄸ㠶䌬⥑_x0018_＀＀_x0018_＀＀_x0008_＀＀_x0001_＀＀_x0001_＀＀_xDB23_绹_xDC6A_䁒忆䰚_x001C_䝍幁彐剐䍉彅噁⡇㔳㌳ⰹ㔳㌴⤰_x0018_＀＀_x0018_＀＀_x0008_＀＀_x0001_＀＀_x0001_＀＀籆昧粽䁆鸓䮏;呃幂南偟久䥓乏䅟卓呅当充䥕ㄨ⼲〲㠰䀩䅃偟久当䍐彔充ㄨ⼲〲㠰착_x0018_＀＀_x0018_＀＀_x0008_＀＀_x0001_＀＀_x0001_＀＀਽ꏗ浰䁐䭻_x001C_呃幂彐剐䍉彅噁⡇㜳㠹ⰷ㠳㔳⤲_x0018_＀＀_x0018_＀＀_x0008_＀＀_x0001_＀＀_x0001_＀＀ᾊ≚䀵鮎䭩_x001F_呃幂兆也呅䑟䉅⡔㌳㈳ⰹ㌳ㄴⰹ元착_x0018_＀＀_x0018_＀＀_x0008_＀＀_x0001_＀＀_x0001_＀＀豀碵꼝쐕鮎䭩_x001C_呃幂彐剐䍉彅噁⡇㤳㜱ⰳ㤳㘲⤳_x0018_＀＀_x0018_＀＀_x0008_＀＀_x0001_＀＀_x0001_＀＀箊紬⋨䀷鸓䮏$呃幂䅃偟久当䕂彎䅐䑉ㄨ⼲〲㠰ⰬⰬ单⥄_x0018_＀＀_x0018_＀＀_x0008_＀＀_x0001_＀＀_x0001_＀＀䖢擽䁍韤䮏"呃幂南偟久䥓乏偟佂ㄨ⼲〲㈰ⰬⰬ单⥄_x0018_＀＀_x0018_＀＀_x0008_＀＀_x0001_＀＀_x0001_＀＀⃅犰ݨ䂌韤䮏%呃幂䅃偟久当啃归䥌䉁⡓㈱㈯〰ⰵⰬ唬䑓착_x0018_＀＀_x0018_＀＀_x0008_＀＀_x0001_＀＀_x0001_＀＀豀碵꼝쐕韤䮏J呃幂䅃偟久当䥄䍓剟呁⡅㈱㈯〰ⰵⰬ唬䑓䀩南偟久䥓乏䑟卉彃䅒䕔ㄨ⼲〲㔰ⰬⰬ单⥄_x0018_＀＀_x0018_＀＀_x0008_＀＀_x0001_＀＀_x0001_＀＀Ẹ롑䀖韤䮏'呃幂南偟久䥓乏也呅䱟䅉⡂㈱㈯〰ⰳⰬ唬䑓착_x0018_＀＀_x0018_＀＀_x0008_＀＀_x0001_＀＀_x0001_＀＀豀碵꼝쐕韤䮏$呃幂䅃偟久当呌䱟䅉卂ㄨ⼲〲㔰ⰬⰬ单⥄_x0018_＀＀_x0018_＀＀_x0008_＀＀_x0001_＀＀_x0001_＀＀豀碵꼝쐕鮎䭩_x001C_呃幂彐剐䍉彅噁⡇㤳㔳ⰶ㤳㐴⤷_x0018_＀＀_x0018_＀＀_x0008_＀＀_x0001_＀＀_x0001_＀＀઼㼩캩䀲韤䮏;呃幂南偟久䥓乏䅟卓呅当剐偏ㄨ⼲〲㈰䀩䅃偟久当䍐彔䕒ㄨ⼲〲㈰착_x0018_＀＀_x0018_＀＀_x0008_＀＀_x0001_＀＀_x0001_＀＀豀碵꼝쐕韤䮏)呃幂南䡟呌䍈剁彅䥄䍓剟呁⡅㈱㈯〰ⰴⰬ唬䑓착_x0018_＀＀_x0018_＀＀_x0008_＀＀_x0001_＀＀_x0001_＀＀＀＀＀＀＀＀䀘鰮䲜G䕌幁䅃偟久当䕎彔佃呓ㄨ⼲〲㤰ⰬⰬ单⥄址当䕐华佉彎偎彐塅⡐㈱㈯〰ⰹⰬ唬䑓착_x0018_＀＀_x0018_＀＀_x0008_＀＀_x0001_＀＀_x0001_＀＀＀＀＀＀耀䁁忆䰚_x001C_䝍幁彐剐䍉彅噁⡇㠳〸ⰸ㠳㤸⤸_x0018_＀＀_x0018_＀＀_x0008_＀＀_x0001_＀＀_x0001_＀＀ఋ_xDD59_Ϫ䁓忆䰚_x001C_䝍幁彐剐䍉彅噁⡇㘳㈵ⰶ㘳ㄶ⤶_x0018_＀＀_x0018_＀＀_x0008_＀＀_x0001_＀＀_x0001_＀＀뷸ፍ䁂韤䮏-呃幂䅃偟协剔呅啟归剔佟彂䵁剏⡔㈱㈯〰ⰸⰬ唬䑓착_x0018_＀＀_x0018_＀＀_x0008_＀＀_x0001_＀＀_x0001_＀＀＀＀＀＀＀＀＀＀韤䮏</t>
        </r>
      </text>
    </comment>
    <comment ref="B1" authorId="0">
      <text>
        <r>
          <rPr>
            <b/>
            <sz val="8"/>
            <color indexed="81"/>
            <rFont val="Tahoma"/>
            <family val="2"/>
          </rPr>
          <t>38407</t>
        </r>
      </text>
    </comment>
    <comment ref="A2" authorId="0">
      <text>
        <r>
          <rPr>
            <b/>
            <sz val="8"/>
            <color indexed="81"/>
            <rFont val="Tahoma"/>
            <family val="2"/>
          </rPr>
          <t>*呃幂南䡟呌䍈剁彅塅彐呌剟䅏ㄨ⼲〲㔰ⰬⰬ单⥄_x0018_＀＀_x0018_＀＀_x0008_＀＀_x0001_＀＀_x0001_＀＀豀碵꼝쐕흕䰠_x001C_䕌幁彐剐䍉彅噁⡇㤳㜱ⰳ㤳㘲⤳_x0018_＀＀_x0018_＀＀_x0008_＀＀_x0001_＀＀_x0001_＀＀豀碵꼝쐕鸔䮏Q呃幂䅃偟久当䍁啃彍佃偍䥒䍎ㄨ⼲〲㠰ⰬⰬ单⥄址当佃偍归义彃䕐华䱟䅉⡂㈱㈯〰ⰸⰬ唬䑓착_x0018_＀＀_x0018_＀＀_x0008_＀＀_x0001_＀＀_x0001_＀＀䖢擽쁽韤䮏;呃幂南偟久䥓乏䅟卓呅当充䥕ㄨ⼲〲㌰䀩䅃偟久当䍐彔充ㄨ⼲〲㌰착_x0018_＀＀_x0018_＀＀_x0008_＀＀_x0001_＀＀_x0001_＀＀＀＀＀＀耀䁐鰮䲜;䕌幁南偟久䥓乏䅟卓呅当充䥕ㄨ⼲〲㤰䀩䅃偟久当䍐彔充ㄨ⼲〲㤰착_x0018_＀＀_x0018_＀＀_x0008_＀＀_x0001_＀＀_x0001_＀＀晦晦䁋韤䮏H呃幂䅃偟久当义彔佃呓ㄨ⼲〲㈰ⰬⰬ单⥄址当䕐华佉彎义彔佃呓ㄨ⼲〲㈰ⰬⰬ单⥄_x0018_＀＀_x0018_＀＀_x0008_＀＀_x0001_＀＀_x0001_＀＀๖눭뾝䁍흖䰠_x001C_䕌幁彐剐䍉彅噁⡇㤳㔳ⰶ㤳㐴⤷_x0018_＀＀_x0018_＀＀_x0008_＀＀_x0001_＀＀_x0001_＀＀豀碵꼝쐕惮䰚_x001C_䝍幁彐剐䍉彅噁⡇㐳㌳ⰵ㐳㤶⤹_x0018_＀＀_x0018_＀＀_x0008_＀＀_x0001_＀＀_x0001_＀＀쒜뀠ࡲ䁂䭻_x001C_呃幂彐剐䍉彅噁⡇㔳㘰ⰵ㔳㌴⤰_x0018_＀＀_x0018_＀＀_x0008_＀＀_x0001_＀＀_x0001_＀＀넲룹尶䀶韤䮏 呃幂南䕟䍘彈䅒䕔ㄨ⼲〲㌰ⰬⰬ单⥄_x0018_＀＀_x0018_＀＀_x0008_＀＀_x0001_＀＀_x0001_＀＀＀＀＀＀＀＀㿰惮䰚_x001C_䝍幁彐剐䍉彅噁⡇㤳ㄸⰴ〴㜱⤸_x0018_＀＀_x0018_＀＀_x0008_＀＀_x0001_＀＀_x0001_＀＀썡⯓煥䁃鮎䭩(呃幂元䍟䵏卟午䍟䱁彃䕄卐㌨㐹㠴㌬㔹㠳䌬⥑_x0018_＀＀_x0018_＀＀_x0008_＀＀_x0001_＀＀_x0001_＀＀⛪࠱㲬䁎韤䮏J呃幂䅃偟久当佒彁䅒䕔ㄨ⼲〲㐰ⰬⰬ单⥄址当䕐华佉彎塅彐呌剟䅏ㄨ⼲〲㐰ⰬⰬ单⥄_x0018_＀＀_x0018_＀＀_x0008_＀＀_x0001_＀＀_x0001_＀＀⣶轜䀡鮎䭩(呃幂元䍟䵏卟午䍟䱁彃䕄卐㌨㐵ㄳ㌬㔵〲䌬⥑_x0018_＀＀_x0018_＀＀_x0008_＀＀_x0001_＀＀_x0001_＀＀豀碵꼝쐕䭻_x001C_呃幂彐剐䍉彅噁⡇㠳㔳ⰳ㠳ㄷ⤷_x0018_＀＀_x0018_＀＀_x0008_＀＀_x0001_＀＀_x0001_＀＀凗ӕ꽑䀱韥䮏(呃幂南䡟呌䍈剁彅乕彆䕂⡎㈱㈯〰ⰲⰬ唬䑓⤩＀＀＀＀鮎䭩(呃幂元䍟䵏卟午䍟䱁彃䕄卐㌨ㄴㄵ㌬㈴㈴䌬⥑_x0018_＀＀_x0018_＀＀_x0008_＀＀_x0001_＀＀_x0001_＀＀豀碵꼝쐕鮎䭩_x001C_呃幂彐剐䍉彅噁⡇㔳㠸ⰶ㔳㜹⤶_x0018_＀＀_x0018_＀＀_x0008_＀＀_x0001_＀＀_x0001_＀＀ᵔ㍲補䀷忆䰚_x001C_䝍幁彐剐䍉彅噁⡇㐳㠸ⰱ㐳㜹⤲_x0018_＀＀_x0018_＀＀_x0008_＀＀_x0001_＀＀_x0001_＀＀㘧휟꺆䁃鮜䭩_x001F_呃幂䝆䕟䥂䑔彁⡑㔳㌴ⰱ㔳㈵ⰰ元착_x0018_＀＀_x0018_＀＀_x0008_＀＀_x0001_＀＀_x0001_＀＀ꇋ뙅귳䁏鮎䭩_x001C_呃幂彐剐䍉彅噁⡇㐳㤷ⰰ㐳㠸⤰_x0018_＀＀_x0018_＀＀_x0008_＀＀_x0001_＀＀_x0001_＀＀ợὋ⢺䀹䰠_x001C_䕌幁彐剐䍉彅噁⡇㤳㐴ⰸ㤳ㄸ⤳_x0018_＀＀_x0018_＀＀_x0008_＀＀_x0001_＀＀_x0001_＀＀豀碵꼝쐕忆䰚_x001C_䝍幁彐剐䍉彅噁⡇㘳㘰ⰹ㘳㘱⤰_x0018_＀＀_x0018_＀＀_x0008_＀＀_x0001_＀＀_x0001_＀＀⭕䁊韤䮏)呃幂南偟久䥓乏噟䱁䅟卓呅⡓㈱㈯〰ⰷⰬ唬䑓착_x0018_＀＀_x0018_＀＀_x0008_＀＀_x0001_＀＀_x0001_＀＀멞౉脂䂐鮜䭩_x001F_呃幂䝆䕟䥂䑔彁⡑㐳㔱ⰱ㐳㐲ⰲ元착_x0018_＀＀_x0018_＀＀_x0008_＀＀_x0001_＀＀_x0001_＀＀⣈볏_xDA1C_䁊韤䮏(呃幂南偟久䥓乏䅟卓呅当呌ㄨ⼲〲㐰ⰬⰬ单⥄_x0018_＀＀_x0018_＀＀_x0008_＀＀_x0001_＀＀_x0001_＀＀豀碵꼝쐕䰠_x001C_䕌幁彐剐䍉彅噁⡇㠳㔳ⰳ㠳ㄷ⤷_x0018_＀＀_x0018_＀＀_x0008_＀＀_x0001_＀＀_x0001_＀＀豀碵꼝쐕韥䮏T呃幂䅃偟协剔呅偟䥒剏卟噒ㄨ⼲〲㘰ⰬⰬ单⥄址当䱈䡔䅃䕒啟剎䍅卟剅彖佃呓ㄨ⼲〲㘰ⰬⰬ单⥄_x0018_＀＀_x0018_＀＀_x0008_＀＀_x0001_＀＀_x0001_＀＀豀碵꼝쐕韤䮏&amp;呃幂䅃偟久当十彔义䅔䝎ㄨ⼲〲㔰ⰬⰬ单⥄_x0018_＀＀_x0018_＀＀_x0008_＀＀_x0001_＀＀_x0001_＀＀＀＀＀＀＀＀＀＀흕䰠_x001C_䕌幁彐剐䍉彅噁⡇㐳㤷ⰰ㐳㠸⤰_x0018_＀＀_x0018_＀＀_x0008_＀＀_x0001_＀＀_x0001_＀＀豀碵꼝쐕韥䮏E呃幂䅃偟协剔呅䉟久佟⡂㈱㈯〰ⰸⰬ唬䑓䀩南䡟呌䍈剁彅䉐⡏㈱㈯〰ⰸⰬ唬䑓착_x0018_＀＀_x0018_＀＀_x0008_＀＀_x0001_＀＀_x0001_＀＀㽽帵閺䁯韤䮏I呃幂䅃偟久当剓彖佃呓ㄨ⼲〲㈰ⰬⰬ单⥄址当䕐华佉彎䕓噒䍟协⡔㈱㈯〰ⰲⰬ唬䑓착_x0018_＀＀_x0018_＀＀_x0008_＀＀_x0001_＀＀_x0001_＀＀࠱Წ쑚䀺韤䮏%呃幂䅃偟久当佃偍剟呁⡅㈱㈯〰ⰳⰬ唬䑓착_x0018_＀＀_x0018_＀＀_x0008_＀＀_x0001_＀＀_x0001_＀＀尩슏⣵䀌韥䮏J呃幂䅃偟协剔呅剟䅏䅟呃ㄨ⼲〲㈰ⰬⰬ单⥄址当䱈䡔䅃䕒䅟呃剟䅏ㄨ⼲〲㈰ⰬⰬ单⥄_x0018_＀＀_x0018_＀＀_x0008_＀＀_x0001_＀＀_x0001_＀＀＀＀＀＀＀＀＀＀鮎䭩(呃幂元䍟䵏卟午䍟䱁彃䕄卐㌨㐶㐳㌬㔶㔲䌬⥑_x0018_＀＀_x0018_＀＀_x0008_＀＀_x0001_＀＀_x0001_＀＀ᑺ䁒韥䮏P呃幂䅃偟协剔呅偟䅌彎十彔久⡄㈱㈯〰ⰱⰬ唬䑓䀩南䡟呌䍈剁彅噆䅟卓呅ㄨ⼲〲㄰ⰬⰬ单⥄_x0018_＀＀_x0018_＀＀_x0008_＀＀_x0001_＀＀_x0001_＀＀＀＀＀＀＀＀＀＀鮎䭩(呃幂元䍟䵏卟午䍟䱁彃䕄卐㌨㔴㘱㌬㘴㜰䌬⥑_x0018_＀＀_x0018_＀＀_x0008_＀＀_x0001_＀＀_x0001_＀＀豀碵꼝쐕韥䮏'呃幂䅃偟协剔呅䉟久偟䥁⡄㈱㈯〰ⰷⰬ唬䑓착_x0018_＀＀_x0018_＀＀_x0008_＀＀_x0001_＀＀_x0001_＀＀＀＀＀＀＀＀＀＀鮜䭩_x001F_呃幂䝆䕟䥂䑔彁⡑㘳㌴ⰴ㘳㈵ⰵ元착_x0018_＀＀_x0018_＀＀_x0008_＀＀_x0001_＀＀_x0001_＀＀ҫ쎋䁛韤䮏N呃幂䅃偟久当乕䕒佃⡇㈱㈯〰ⰵⰬ唬䑓䀩南偟久䥓乏啟剎䍅卟剅彖佃呓ㄨ⼲〲㔰ⰬⰬ单⥄_x0018_＀＀_x0018_＀＀_x0008_＀＀_x0001_＀＀_x0001_＀＀휊炣訽쀪韤䮏&lt;呃幂南偟久䥓乏䅟卓呅当佂䑎⡓㈱㈯〰⤷䍀彁䕐华偟呃䙟⡉㈱㈯〰⤷_x0018_＀＀_x0018_＀＀_x0008_＀＀_x0001_＀＀_x0001_＀＀尩슏⣵䁀鮜䭩_x001F_呃幂䝆䕟䥂䑔彁⡑㐳ㄵⰶ㐳〶ⰷ元착_x0018_＀＀_x0018_＀＀_x0008_＀＀_x0001_＀＀_x0001_＀＀书얗⃄䁒忆䰚_x001C_䝍幁彐剐䍉彅噁⡇㜳㤸ⰵ㜳㠹⤶_x0018_＀＀_x0018_＀＀_x0008_＀＀_x0001_＀＀_x0001_＀＀ꫣ邊䁓韤䮏B呃幂䅃偟久当佒⡁㈱㈯〰ⰳⰬ唬䑓䀩南偟久䥓乏䕟偘剟䅏ㄨ⼲〲㌰ⰬⰬ单⥄_x0018_＀＀_x0018_＀＀_x0008_＀＀_x0001_＀＀_x0001_＀＀ꗤ쒛怠쁏韥䮏+呃幂䅃偟协剔呅偟剁彔佃呎䥒⡂㈱㈯〰ⰳⰬ唬䑓착_x0018_＀＀_x0018_＀＀_x0008_＀＀_x0001_＀＀_x0001_＀＀＀＀＀＀＀＀＀＀䭻_x001C_呃幂彐剐䍉彅噁⡇㤳㠰ⰳ㤳㐴⤷_x0018_＀＀_x0018_＀＀_x0008_＀＀_x0001_＀＀_x0001_＀＀㵇ꍄ렻䀴鞰䮏_x0017_坞当塅䡃剟呁彅䅂彌䡓〨착_x0018_＀＀_x0018_＀＀_x0008_＀＀_x0001_＀＀_x0001_＀＀豀碵꼝쐕韤䮏＀Ｏ呃幂南䡟呌䍈剁彅䵁剏彔䕓噒䍟协⡔㈱㈯〰ⰳⰬ唬䑓착_x0018_＀＀_x0018_＀＀_x0008_＀＀_x0001_＀＀_x0001_＀＀鶲꟯䯆㿱琍䭱_x001C_呃幂彐剐䍉彅噁⡇㈳〵ⰹ㈳㤵⤸_x0018_＀＀_x0018_＀＀_x0008_＀＀_x0001_＀＀_x0001_＀＀뼦ꝅ䀘韤䮏F呃幂䅃偟久当佒彁䍁⡔㈱㈯〰ⰴⰬ唬䑓䀩南偟久䥓乏䅟呃剟䅏ㄨ⼲〲㐰ⰬⰬ单⥄_x0018_＀＀_x0018_＀＀_x0008_＀＀_x0001_＀＀_x0001_＀＀⛪࠱견䁖饙䭩_x001C_呃幂元卟䱁卅㌨ㄵ㘵㌬㈵㘴䌬⥑_x0018_＀＀_x0018_＀＀_x0008_＀＀_x0001_＀＀_x0001_＀＀㽽帵䁸韤䮏J呃幂䅃偟久当佒彁䅒䕔ㄨ⼲〲㜰ⰬⰬ单⥄址当䕐华佉彎塅彐呌剟䅏ㄨ⼲〲㜰ⰬⰬ单⥄_x0018_＀＀_x0018_＀＀_x0008_＀＀_x0001_＀＀_x0001_＀＀尩슏⣵䀡韥䮏P呃幂䅃偟协剔呅偟䅌彎十彔久⡄㈱㈯〰ⰸⰬ唬䑓䀩南䡟呌䍈剁彅噆䅟卓呅ㄨ⼲〲㠰ⰬⰬ单⥄_x0018_＀＀_x0018_＀＀_x0008_＀＀_x0001_＀＀_x0001_＀＀＀＀＀＀＀＀＀＀䭻_x001C_呃幂彐剐䍉彅噁⡇㤳㐴ⰸ㤳ㄸ⤳_x0018_＀＀_x0018_＀＀_x0008_＀＀_x0001_＀＀_x0001_＀＀㨝⫆䀦惮䰚_x001C_䝍幁彐剐䍉彅噁⡇㠳ㄷⰸ㤳㠰⤲_x0018_＀＀_x0018_＀＀_x0008_＀＀_x0001_＀＀_x0001_＀＀딵구騯䁒鮎䭩(呃幂元䍟䵏卟午䍟䱁彃䕄卐㌨㠸㤹㌬㤸〹䌬⥑_x0018_＀＀_x0018_＀＀_x0008_＀＀_x0001_＀＀_x0001_＀＀갈娜ꭤ䁎䰠_x001C_䕌幁彐剐䍉彅噁⡇㤳㠰ⰳ㤳㐴⤷_x0018_＀＀_x0018_＀＀_x0008_＀＀_x0001_＀＀_x0001_＀＀豀碵꼝쐕忆䰚_x001C_䝍幁彐剐䍉彅噁⡇㜳ㄷⰲ㜳〸⤲_x0018_＀＀_x0018_＀＀_x0008_＀＀_x0001_＀＀_x0001_＀＀裤ꐔ䁋鮎䭩(呃幂元䍟䵏卟午䍟䱁彃䕄卐㌨㜹㈲㌬㠹㌱䌬⥑_x0018_＀＀_x0018_＀＀_x0008_＀＀_x0001_＀＀_x0001_＀＀긕瑺䁍韤䮏&lt;呃幂南偟久䥓乏䅟卓呅当佂䑎⡓㈱㈯〰⤲䍀彁䕐华偟呃䙟⡉㈱㈯〰⤲_x0018_＀＀_x0018_＀＀_x0008_＀＀_x0001_＀＀_x0001_＀＀豀碵꼝쐕韤䮏G呃幂䅃偟协剔呅䍟协⡔㈱㈯〰ⰸⰬ唬䑓䀩南䡟呌䍈剁彅偎彐塅⡐㈱㈯〰ⰸⰬ唬䑓착_x0018_＀＀_x0018_＀＀_x0008_＀＀_x0001_＀＀_x0001_＀＀좴빶媟䀵韤䮏)呃幂䅃偟久当䵅彐佃呎䥒彂⡃㈱㈯〰ⰲⰬ唬䑓착_x0018_＀＀_x0018_＀＀_x0008_＀＀_x0001_＀＀_x0001_＀＀嘄ⴎ붲䁌韥䮏)呃幂䅃偟协剔呅佟䡔䑁彊䉎⡁㈱㈯〰ⰵⰬ唬䑓착_x0018_＀＀_x0018_＀＀_x0008_＀＀_x0001_＀＀_x0001_＀＀긕鱺䁓흕䰠_x001C_䕌幁彐剐䍉彅噁⡇㔳㐲ⰷ㔳㌳⤸_x0018_＀＀_x0018_＀＀_x0008_＀＀_x0001_＀＀_x0001_＀＀豀碵꼝쐕韥䮏,呃幂䅃偟协剔呅䕟偍䍟乏剔䉉䍟ㄨ⼲〲㈰ⰬⰬ单⥄_x0018_＀＀_x0018_＀＀_x0008_＀＀_x0001_＀＀_x0001_＀＀＀＀＀＀＀＀＀＀韤䮏%呃幂䅃偟久当呌䅟卓呅⡓㈱㈯〰ⰴⰬ唬䑓착_x0018_＀＀_x0018_＀＀_x0008_＀＀_x0001_＀＀_x0001_＀＀豀碵꼝쐕䭻_x001C_呃幂彐剐䍉彅噁⡇㔳㤷ⰶ㘳㘱⤰_x0018_＀＀_x0018_＀＀_x0008_＀＀_x0001_＀＀_x0001_＀＀ﴎ尓¬䀵鮎䭩(呃幂元䍟䵏卟午䍟䱁彃䕄卐㌨㜴〹㌬㠴〸䌬⥑_x0018_＀＀_x0018_＀＀_x0008_＀＀_x0001_＀＀_x0001_＀＀豀碵꼝쐕韤䮏(呃幂䅃偟久当䅐呒䍟乏剔䉉ㄨ⼲〲㔰ⰬⰬ单⥄_x0018_＀＀_x0018_＀＀_x0008_＀＀_x0001_＀＀_x0001_＀＀閁譃䀂韤䮏'呃幂䅃偟久当商䑎卟䅔啔⡓㈱㈯〰ⰷⰬ唬䑓착_x0018_＀＀_x0018_＀＀_x0008_＀＀_x0001_＀＀_x0001_＀＀嘄ⴎ䶲쁅鮎䭩_x001C_呃幂彐剐䍉彅噁⡇〴㜱ⰹ〴㘲⤸_x0018_＀＀_x0018_＀＀_x0008_＀＀_x0001_＀＀_x0001_＀＀ᑻ䞮ꫡ䀳韤䮏$呃幂䅃偟久当䕂彎䅐䑉ㄨ⼲〲㌰ⰬⰬ单⥄_x0018_＀＀_x0018_＀＀_x0008_＀＀_x0001_＀＀_x0001_＀＀绺뱪㍴䁉鰳䲜_x001A_䕌幁南䕟䍘彈䅒䕔䉟䱁卟⡈⤰_x0018_＀＀_x0018_＀＀_x0008_＀＀_x0001_＀＀_x0001_＀＀豀碵꼝쐕鮎䭩(呃幂元䍟䵏卟午䍟䱁彃䕄卐㐨㄰㤷㐬㈰㠶䌬⥑_x0018_＀＀_x0018_＀＀_x0008_＀＀_x0001_＀＀_x0001_＀＀晧晦虦䁎鮎䭩_x001C_呃幂彐剐䍉彅噁⡇㠳㔳ⰳ㠳㐴⤲_x0018_＀＀_x0018_＀＀_x0008_＀＀_x0001_＀＀_x0001_＀＀ܡ찥䶴䀴鸓䮏)呃幂䅃偟久当䵅彐佃呎䥒彂⡃㈱㈯〰ⰸⰬ唬䑓착_x0018_＀＀_x0018_＀＀_x0008_＀＀_x0001_＀＀_x0001_＀＀⃅犰䁃鮜䭩_x001F_呃幂䝆䕟䥂䑔彁⡑㐳㤷ⰰ㐳㠸ⰰ元착_x0018_＀＀_x0018_＀＀_x0008_＀＀_x0001_＀＀_x0001_＀＀ㄦ䁋韤䮏(呃幂䅃偟久当偐彄䕂彎佃呓ㄨ⼲〲㘰ⰬⰬ单⥄_x0018_＀＀_x0018_＀＀_x0008_＀＀_x0001_＀＀_x0001_＀＀豀碵꼝쐕鰮䲜&lt;䕌幁䅃偟久当䥄䍓剟呁⡅㈱㈯〰⤹址当䕐华佉彎䥄䍓剟呁⡅㈱㈯〰⤹_x0018_＀＀_x0018_＀＀_x0008_＀＀_x0001_＀＀_x0001_＀＀Ẹ롑䀗鮎䭩(呃幂元䍟䵏卟午䍟䱁彃䕄卐㌨〶㤶㌬ㄶ〶䌬⥑_x0018_＀＀_x0018_＀＀_x0008_＀＀_x0001_＀＀_x0001_＀＀豀碵꼝쐕鮎䭩(呃幂元䍟䵏卟午䍟䱁彃䕄卐㌨㤵㜷㌬〶㠶䌬⥑_x0018_＀＀_x0018_＀＀_x0008_＀＀_x0001_＀＀_x0001_＀＀豀碵꼝쐕䰠_x001C_䕌幁彐剐䍉彅噁⡇㔳㤷ⰶ㘳㘱⤰_x0018_＀＀_x0018_＀＀_x0008_＀＀_x0001_＀＀_x0001_＀＀豀碵꼝쐕鮎䭩(呃幂元䍟䵏卟午䍟䱁彃䕄卐㌨㘷㈲㌬㜷ㄱ䌬⥑_x0018_＀＀_x0018_＀＀_x0008_＀＀_x0001_＀＀_x0001_＀＀炤਽珗䁒忆䰚_x001C_䝍幁彐剐䍉彅噁⡇㐳㌳ⰵ㐳㈴⤴_x0018_＀＀_x0018_＀＀_x0008_＀＀_x0001_＀＀_x0001_＀＀繽℘縼䁅镘䮎＀Ｏ䍞彁䕐华剟䅏剟呁⡅䅎䀩南偟久䥓乏䕟偘䱟彔佒⡁䅎착_x0018_＀＀_x0018_＀＀_x0008_＀＀_x0001_＀＀_x0001_＀＀豀碵꼝쐕鞰䮏_x0018_坞当塅䡃剟呁彅义彃䙃丨⥁_x0018_＀＀_x0018_＀＀_x0008_＀＀_x0001_＀＀_x0001_＀＀豀碵꼝쐕韤䮏-呃幂䅃偟协剔呅啟归剔佟彂䵁剏⡔㈱㈯〰ⰳⰬ唬䑓착_x0018_＀＀_x0018_＀＀_x0008_＀＀_x0001_＀＀_x0001_＀＀＀＀＀＀＀＀＀＀흖䰠_x001C_䕌幁彐剐䍉彅噁⡇〴㜱ⰹ〴㘲⤸_x0018_＀＀_x0018_＀＀_x0008_＀＀_x0001_＀＀_x0001_＀＀㪨曤↸䁒鮜䭩_x001F_呃幂䝆䕟䥂䑔彁⡑㘳㘰ⰹ㘳㘱ⰰ元착_x0018_＀＀_x0018_＀＀_x0008_＀＀_x0001_＀＀_x0001_＀＀䦺Ȍ⼫䁖鮜䭩_x001F_呃幂䝆䕟䥂䑔彁⡑㔳㜹ⰷ㘳㘰ⰸ元착_x0018_＀＀_x0018_＀＀_x0008_＀＀_x0001_＀＀_x0001_＀＀䬊ꀼ_xDF6C_䁒鮎䭩_x001C_呃幂彐剐䍉彅噁⡇㠳㤸ⰹ㠳㤹⤰_x0018_＀＀_x0018_＀＀_x0008_＀＀_x0001_＀＀_x0001_＀＀_xDC83_顅钢䀣鮎䭩(呃幂元䍟䵏卟午䍟䱁彃䕄卐㌨㌶㈴㌬㐶㌳䌬⥑_x0018_＀＀_x0018_＀＀_x0008_＀＀_x0001_＀＀_x0001_＀＀竡긔磊䁒흕䰠_x001C_䕌幁彐剐䍉彅噁⡇㠳㔳ⰳ㠳㐴⤲_x0018_＀＀_x0018_＀＀_x0008_＀＀_x0001_＀＀_x0001_＀＀豀碵꼝쐕韤䮏'呃幂南偟久偟协彔䕒彔䕂⡎㈱㈯〰ⰴⰬ唬䑓착_x0018_＀＀_x0018_＀＀_x0008_＀＀_x0001_＀＀_x0001_＀＀⼛ⓝ夆䁳韤䮏L呃幂䅃偟协剔呅䥟呎䍟协⡔㈱㈯〰ⰵⰬ唬䑓䀩南䡟呌䍈剁彅义彔佃呓ㄨ⼲〲㔰ⰬⰬ单⥄_x0018_＀＀_x0018_＀＀_x0008_＀＀_x0001_＀＀_x0001_＀＀쒜뀠桲䀯韤䮏"呃幂南偟久䥓乏偟佂ㄨ⼲〲㌰ⰬⰬ单⥄_x0018_＀＀_x0018_＀＀_x0008_＀＀_x0001_＀＀_x0001_＀＀ㄦㆈ䂐鮜䭩_x001F_呃幂䝆䕟䥂䑔彁⡑㘳㐳ⰲ㘳㌴ⰳ元착_x0018_＀＀_x0018_＀＀_x0008_＀＀_x0001_＀＀_x0001_＀＀墣楮⸵䁕鮎䭩(呃幂元䍟䵏卟午䍟䱁彃䕄卐㌨㈷㜵㌬㌷㘴䌬⥑_x0018_＀＀_x0018_＀＀_x0008_＀＀_x0001_＀＀_x0001_＀＀盉龾圚䁒琍䭱_x001C_呃幂彐剐䍉彅噁⡇㌳㌲ⰹ㌳㈳⤸_x0018_＀＀_x0018_＀＀_x0008_＀＀_x0001_＀＀_x0001_＀＀嫄੼즀䀤韤䮏B呃幂䅃偟久当佒⡁㈱㈯〰ⰶⰬ唬䑓䀩南偟久䥓乏䕟偘剟䅏ㄨ⼲〲㘰ⰬⰬ单⥄_x0018_＀＀_x0018_＀＀_x0008_＀＀_x0001_＀＀_x0001_＀＀롒蔞쇫쁑鮎䭩(呃幂元䍟䵏卟午䍟䱁彃䕄卐㌨〹㌸㌬ㄹ㈷䌬⥑_x0018_＀＀_x0018_＀＀_x0008_＀＀_x0001_＀＀_x0001_＀＀_xDB23_绹ﱪ䁎鮎䭩(呃幂元䍟䵏卟午䍟䱁彃䕄卐㌨㜵㐰㌬㜵㔹䌬⥑_x0018_＀＀_x0018_＀＀_x0008_＀＀_x0001_＀＀_x0001_＀＀豀碵꼝쐕鮎䭩_x001C_呃幂彐剐䍉彅噁⡇㔳㐲ⰷ㔳㌳⤸_x0018_＀＀_x0018_＀＀_x0008_＀＀_x0001_＀＀_x0001_＀＀马鱷_xDBA2_䀳韤䮏)呃幂南䡟呌䍈剁彅䥄䍓剟呁⡅㈱㈯〰ⰵⰬ唬䑓착_x0018_＀＀_x0018_＀＀_x0008_＀＀_x0001_＀＀_x0001_＀＀＀＀＀＀＀＀䀗韥䮏#呃幂䅃偟协剔呅䱟䅉⡂㈱㈯〰ⰴⰬ唬䑓착_x0018_＀＀_x0018_＀＀_x0008_＀＀_x0001_＀＀_x0001_＀＀꟰䯆唷쁧흕䰠_x001C_䕌幁彐剐䍉彅噁⡇㠳㤸ⰹ㠳㤹⤰_x0018_＀＀_x0018_＀＀_x0008_＀＀_x0001_＀＀_x0001_＀＀豀碵꼝쐕韤䮏F呃幂䅃偟久当佒彁䍁⡔㈱㈯〰ⰷⰬ唬䑓䀩南偟久䥓乏䅟呃剟䅏ㄨ⼲〲㜰ⰬⰬ单⥄_x0018_＀＀_x0018_＀＀_x0008_＀＀_x0001_＀＀_x0001_＀＀蜫_xD916_翎䁕鮎䭩_x001C_呃幂彐剐䍉彅噁⡇㐳㔱ⰱ㐳㐲⤲_x0018_＀＀_x0018_＀＀_x0008_＀＀_x0001_＀＀_x0001_＀＀㥮ꪪ䀹韤䮏J呃幂䅃偟久当䥄䍓剟呁⡅㈱㈯〰ⰴⰬ唬䑓䀩南偟久䥓乏䑟卉彃䅒䕔ㄨ⼲〲㐰ⰬⰬ单⥄_x0018_＀＀_x0018_＀＀_x0008_＀＀_x0001_＀＀_x0001_＀＀롑蔞䀙韤䮏*呃幂南䡟呌䍈剁彅塅彐呌剟䅏ㄨ⼲〲㘰ⰬⰬ单⥄_x0018_＀＀_x0018_＀＀_x0008_＀＀_x0001_＀＀_x0001_＀＀豀碵꼝쐕惮䰚_x001C_䝍幁彐剐䍉彅噁⡇㜳㈶ⰲ㜳㠹⤶_x0018_＀＀_x0018_＀＀_x0008_＀＀_x0001_＀＀_x0001_＀＀ⷠꂐ臸䁏鰮䲜;䕌幁南偟久䥓乏䅟卓呅当剐偏ㄨ⼲〲㤰䀩䅃偟久当䍐彔䕒ㄨ⼲〲㤰착_x0018_＀＀_x0018_＀＀_x0008_＀＀_x0001_＀＀_x0001_＀＀＀＀＀＀＀＀＀＀鮜䭩_x001F_呃幂䝆䕟䥂䑔彁⡑㔳〷ⰴ㔳㤷ⰵ元착_x0018_＀＀_x0018_＀＀_x0008_＀＀_x0001_＀＀_x0001_＀＀ᑻ䞮拡䁕鮎䭩_x001C_呃幂元卟䱁卅㌨㔳㈱㌬㘳㌰䌬⥑_x0018_＀＀_x0018_＀＀_x0008_＀＀_x0001_＀＀_x0001_＀＀竡긔셇䁯韤䮏J呃幂䅃偟久当䱐乁䅟呓ㄨ⼲〲㈰ⰬⰬ单⥄址当䕐华佉彎䅖彌十䕓協ㄨ⼲〲㈰ⰬⰬ单⥄_x0018_＀＀_x0018_＀＀_x0008_＀＀_x0001_＀＀_x0001_＀＀_xDD2F_ؤ뎁䂅韤䮏)呃幂南偟久䥓乏噟䱁䅟卓呅⡓㈱㈯〰ⰲⰬ唬䑓착_x0018_＀＀_x0018_＀＀_x0008_＀＀_x0001_＀＀_x0001_＀＀酨糭㔿㿦鮎䭩(呃幂元䍟䵏卟午䍟䱁彃䕄卐㌨㤹㐰㌬㤹㐹䌬⥑_x0018_＀＀_x0018_＀＀_x0008_＀＀_x0001_＀＀_x0001_＀＀堑됹䁍鸓䮏;呃幂南偟久䥓乏䅟卓呅当呏⡈㈱㈯〰⤸䍀彁䕐华偟呃佟䡔ㄨ⼲〲㠰착_x0018_＀＀_x0018_＀＀_x0008_＀＀_x0001_＀＀_x0001_＀＀휊炣਽㿧鸓䮏I呃幂䅃偟久当剓彖佃呓ㄨ⼲〲㠰ⰬⰬ单⥄址当䕐华佉彎䕓噒䍟协⡔㈱㈯〰ⰸⰬ唬䑓착_x0018_＀＀_x0018_＀＀_x0008_＀＀_x0001_＀＀_x0001_＀＀＀＀＀＀䀵韤䮏Q呃幂䅃偟久当䍁啃彍佃偍䥒䍎ㄨ⼲〲㘰ⰬⰬ单⥄址当佃偍归义彃䕐华䱟䅉⡂㈱㈯〰ⰶⰬ唬䑓착_x0018_＀＀_x0018_＀＀_x0008_＀＀_x0001_＀＀_x0001_＀＀盉龾Ԛ쁳鮎䭩(呃幂元䍟䵏卟午䍟䱁彃䕄卐㌨㘹〳㌬㜹ㄲ䌬⥑_x0018_＀＀_x0018_＀＀_x0008_＀＀_x0001_＀＀_x0001_＀＀ⓝ脆玕䁍鮎䭩_x001C_呃幂彐剐䍉彅噁⡇㤳㠰ⰳ㤳㜱⤲_x0018_＀＀_x0018_＀＀_x0008_＀＀_x0001_＀＀_x0001_＀＀⸊푖橠䀰韤䮏G呃幂䅃偟协剔呅䍟协⡔㈱㈯〰ⰷⰬ唬䑓䀩南䡟呌䍈剁彅偎彐塅⡐㈱㈯〰ⰷⰬ唬䑓착_x0018_＀＀_x0018_＀＀_x0008_＀＀_x0001_＀＀_x0001_＀＀茓쫀얡䀷韥䮏(呃幂南䡟呌䍈剁彅乕彆䕂⡎㈱㈯〰ⰵⰬ唬䑓⤩＀＀＀＀韥䮏E呃幂䅃偟协剔呅䉟久佟⡂㈱㈯〰ⰱⰬ唬䑓䀩南䡟呌䍈剁彅䉐⡏㈱㈯〰ⰱⰬ唬䑓착_x0018_＀＀_x0018_＀＀_x0008_＀＀_x0001_＀＀_x0001_＀＀豀碵꼝쐕깕䲌_x000D_䅎偞偟䥒䕃〨착_x0018_＀＀_x0018_＀＀_x0008_＀＀_x0001_＀＀_x0001_＀＀豀碵꼝쐕鸓䮏&lt;呃幂䅃偟久当佒彁䅒䕔ㄨ⼲〲㠰䀩南偟久䥓乏䕟偘䱟彔佒⡁㈱㈯〰⤸_x0018_＀＀_x0018_＀＀_x0008_＀＀_x0001_＀＀_x0001_＀＀＀＀＀＀耀䀠韥䮏T呃幂䅃偟协剔呅偟䥒剏卟噒ㄨ⼲〲㠰ⰬⰬ单⥄址当䱈䡔䅃䕒啟剎䍅卟剅彖佃呓ㄨ⼲〲㠰ⰬⰬ单⥄_x0018_＀＀_x0018_＀＀_x0008_＀＀_x0001_＀＀_x0001_＀＀豀碵꼝쐕忆䰚_x001C_䝍幁彐剐䍉彅噁⡇〴㠰ⰷ〴㜱⤸_x0018_＀＀_x0018_＀＀_x0008_＀＀_x0001_＀＀_x0001_＀＀膮ክ鈬䁇</t>
        </r>
      </text>
    </comment>
  </commentList>
</comments>
</file>

<file path=xl/comments5.xml><?xml version="1.0" encoding="utf-8"?>
<comments xmlns="http://schemas.openxmlformats.org/spreadsheetml/2006/main">
  <authors>
    <author>Jonas, Adam (Research)</author>
  </authors>
  <commentList>
    <comment ref="H12" authorId="0">
      <text>
        <r>
          <rPr>
            <b/>
            <sz val="9"/>
            <color indexed="81"/>
            <rFont val="Tahoma"/>
            <family val="2"/>
          </rPr>
          <t>Jonas, Adam (Research):</t>
        </r>
        <r>
          <rPr>
            <sz val="9"/>
            <color indexed="81"/>
            <rFont val="Tahoma"/>
            <family val="2"/>
          </rPr>
          <t xml:space="preserve">
after tax</t>
        </r>
      </text>
    </comment>
  </commentList>
</comments>
</file>

<file path=xl/comments6.xml><?xml version="1.0" encoding="utf-8"?>
<comments xmlns="http://schemas.openxmlformats.org/spreadsheetml/2006/main">
  <authors>
    <author>Mehta, Neel (Research)</author>
    <author>harrist</author>
    <author>jccastro</author>
    <author>michaeli</author>
    <author>huhelm</author>
    <author>jonasa</author>
    <author>Yejay Ying</author>
    <author>pareshj</author>
    <author>Jonas, Adam (Research)</author>
    <author>Jane Xiao</author>
    <author>Carla Buffulin</author>
    <author>catheloh</author>
  </authors>
  <commentList>
    <comment ref="U3" authorId="0">
      <text>
        <r>
          <rPr>
            <b/>
            <sz val="9"/>
            <color indexed="81"/>
            <rFont val="Tahoma"/>
            <family val="2"/>
          </rPr>
          <t>Mehta, Neel (Research):</t>
        </r>
        <r>
          <rPr>
            <sz val="9"/>
            <color indexed="81"/>
            <rFont val="Tahoma"/>
            <family val="2"/>
          </rPr>
          <t xml:space="preserve">
Starting in 2014, we are adopting MTM in our model. </t>
        </r>
      </text>
    </comment>
    <comment ref="A4" authorId="1">
      <text>
        <r>
          <rPr>
            <sz val="8"/>
            <color indexed="81"/>
            <rFont val="Tahoma"/>
            <family val="2"/>
          </rPr>
          <t xml:space="preserve">The projection is based off an assumed salary growth rate, however this is a crude approximation and should be adjusted for any changes in the size of the work force receiving defined benefits.  It should also change with a change in the discount rate but the relationships are not precise, so should be reviewed if service cost is large.
</t>
        </r>
      </text>
    </comment>
    <comment ref="N5" authorId="2">
      <text>
        <r>
          <rPr>
            <b/>
            <sz val="8"/>
            <color indexed="81"/>
            <rFont val="Tahoma"/>
            <family val="2"/>
          </rPr>
          <t>jccastro:</t>
        </r>
        <r>
          <rPr>
            <sz val="8"/>
            <color indexed="81"/>
            <rFont val="Tahoma"/>
            <family val="2"/>
          </rPr>
          <t xml:space="preserve">
as per 10K page 66, "the amounts expected tobe recognized as part of pension expense for next year are 20 MM of gains and 270 millions on prior service cost</t>
        </r>
      </text>
    </comment>
    <comment ref="A6" authorId="1">
      <text>
        <r>
          <rPr>
            <sz val="8"/>
            <color indexed="81"/>
            <rFont val="Tahoma"/>
            <family val="2"/>
          </rPr>
          <t xml:space="preserve">This is usually forecast as the beginning balance of the obligation adjusted for benefits paid (time-weighted) * the discount rate
</t>
        </r>
      </text>
    </comment>
    <comment ref="A7" authorId="3">
      <text>
        <r>
          <rPr>
            <sz val="8"/>
            <color indexed="81"/>
            <rFont val="Tahoma"/>
            <family val="2"/>
          </rPr>
          <t>This can either be calculated as the expected return on plan assets x the market value of plan assets at the beginning of the year from Row 41.
or
The expected rate of return x the market related value of plan assets (MRVPA, Row 86).
The MRVPA is a smoothed asset value where actual gains and losses can be smoothed over a period of up to 5 years.
NOTE: If you are unsure which method the company has used try and recalculate the last few years reported expected returns using the companies assumed rate of return and the market value of plan assets at the begining of the year.  if you are close then you can use this in the forecasts, if not then you should look at using the MRVPA calculations in Row 86.</t>
        </r>
      </text>
    </comment>
    <comment ref="A8" authorId="4">
      <text>
        <r>
          <rPr>
            <sz val="8"/>
            <color indexed="81"/>
            <rFont val="Tahoma"/>
            <family val="2"/>
          </rPr>
          <t>If large enough, unrecognized actuarial gains (losses) could be recurring;</t>
        </r>
        <r>
          <rPr>
            <sz val="8"/>
            <color indexed="81"/>
            <rFont val="Tahoma"/>
            <family val="2"/>
          </rPr>
          <t xml:space="preserve">
</t>
        </r>
      </text>
    </comment>
    <comment ref="N8" authorId="2">
      <text>
        <r>
          <rPr>
            <b/>
            <sz val="8"/>
            <color indexed="81"/>
            <rFont val="Tahoma"/>
            <family val="2"/>
          </rPr>
          <t>jccastro:</t>
        </r>
        <r>
          <rPr>
            <sz val="8"/>
            <color indexed="81"/>
            <rFont val="Tahoma"/>
            <family val="2"/>
          </rPr>
          <t xml:space="preserve">
as per 10K page 66, "the amounts expected tobe recognized as part of pension expense for next year are 20 MM of gains and 270 millions on prior service cost</t>
        </r>
      </text>
    </comment>
    <comment ref="U8" authorId="0">
      <text>
        <r>
          <rPr>
            <b/>
            <sz val="9"/>
            <color indexed="81"/>
            <rFont val="Tahoma"/>
            <family val="2"/>
          </rPr>
          <t>Mehta, Neel (Research):</t>
        </r>
        <r>
          <rPr>
            <sz val="9"/>
            <color indexed="81"/>
            <rFont val="Tahoma"/>
            <family val="2"/>
          </rPr>
          <t xml:space="preserve">
Starting to adjust for MTM. This line item refers to net remeasurement (gain)/loss</t>
        </r>
      </text>
    </comment>
    <comment ref="A9" authorId="1">
      <text>
        <r>
          <rPr>
            <sz val="8"/>
            <color indexed="81"/>
            <rFont val="Tahoma"/>
            <family val="2"/>
          </rPr>
          <t xml:space="preserve">This is also known as "amortization of transition asset (obligation )"
This should be irrelevant in future except for a company that has moved to US GAAP recently
</t>
        </r>
      </text>
    </comment>
    <comment ref="A12" authorId="4">
      <text>
        <r>
          <rPr>
            <sz val="8"/>
            <color indexed="81"/>
            <rFont val="Tahoma"/>
            <family val="2"/>
          </rPr>
          <t>non-recurring pension items such as settlements and curtailments</t>
        </r>
      </text>
    </comment>
    <comment ref="M12" authorId="2">
      <text>
        <r>
          <rPr>
            <b/>
            <sz val="8"/>
            <color indexed="81"/>
            <rFont val="Tahoma"/>
            <family val="2"/>
          </rPr>
          <t>jccastro:</t>
        </r>
        <r>
          <rPr>
            <sz val="8"/>
            <color indexed="81"/>
            <rFont val="Tahoma"/>
            <family val="2"/>
          </rPr>
          <t xml:space="preserve">
these are one time</t>
        </r>
      </text>
    </comment>
    <comment ref="A17" authorId="3">
      <text>
        <r>
          <rPr>
            <sz val="8"/>
            <color indexed="81"/>
            <rFont val="Tahoma"/>
            <family val="2"/>
          </rPr>
          <t xml:space="preserve">If not disclosed equal to prior year.
</t>
        </r>
      </text>
    </comment>
    <comment ref="Q17" authorId="5">
      <text>
        <r>
          <rPr>
            <b/>
            <sz val="8"/>
            <color indexed="81"/>
            <rFont val="Tahoma"/>
            <family val="2"/>
          </rPr>
          <t>jonasa:</t>
        </r>
        <r>
          <rPr>
            <sz val="8"/>
            <color indexed="81"/>
            <rFont val="Tahoma"/>
            <family val="2"/>
          </rPr>
          <t xml:space="preserve">
NUMBER USED TO FIX FUNDED STATUS TO $6.7BN - AWAITING 10K.</t>
        </r>
      </text>
    </comment>
    <comment ref="Q18" authorId="5">
      <text>
        <r>
          <rPr>
            <b/>
            <sz val="8"/>
            <color indexed="81"/>
            <rFont val="Tahoma"/>
            <family val="2"/>
          </rPr>
          <t>jonasa:</t>
        </r>
        <r>
          <rPr>
            <sz val="8"/>
            <color indexed="81"/>
            <rFont val="Tahoma"/>
            <family val="2"/>
          </rPr>
          <t xml:space="preserve">
ACTUAL NUMBER.  subject to 60 to 75bp reduction?
100bps redux in discount rate sensitivity hits US funding by $4.95bn and raises US expense by $210m.</t>
        </r>
      </text>
    </comment>
    <comment ref="R18" authorId="5">
      <text>
        <r>
          <rPr>
            <b/>
            <sz val="8"/>
            <color indexed="81"/>
            <rFont val="Tahoma"/>
            <family val="2"/>
          </rPr>
          <t>jonasa:</t>
        </r>
        <r>
          <rPr>
            <sz val="8"/>
            <color indexed="81"/>
            <rFont val="Tahoma"/>
            <family val="2"/>
          </rPr>
          <t xml:space="preserve">
60bp cut</t>
        </r>
      </text>
    </comment>
    <comment ref="S18" authorId="6">
      <text>
        <r>
          <rPr>
            <b/>
            <sz val="8"/>
            <color indexed="81"/>
            <rFont val="Tahoma"/>
            <family val="2"/>
          </rPr>
          <t>Yejay Ying:</t>
        </r>
        <r>
          <rPr>
            <sz val="8"/>
            <color indexed="81"/>
            <rFont val="Tahoma"/>
            <family val="2"/>
          </rPr>
          <t xml:space="preserve">
80 bp cut</t>
        </r>
      </text>
    </comment>
    <comment ref="A20" authorId="3">
      <text>
        <r>
          <rPr>
            <sz val="8"/>
            <color indexed="81"/>
            <rFont val="Tahoma"/>
            <family val="2"/>
          </rPr>
          <t xml:space="preserve">Entered as zero if not disclosed.
</t>
        </r>
      </text>
    </comment>
    <comment ref="P30" authorId="7">
      <text>
        <r>
          <rPr>
            <b/>
            <sz val="8"/>
            <color indexed="81"/>
            <rFont val="Tahoma"/>
            <family val="2"/>
          </rPr>
          <t>pareshj:</t>
        </r>
        <r>
          <rPr>
            <sz val="8"/>
            <color indexed="81"/>
            <rFont val="Tahoma"/>
            <family val="2"/>
          </rPr>
          <t xml:space="preserve">
Different than service cost in the income statement above</t>
        </r>
      </text>
    </comment>
    <comment ref="Q30" authorId="7">
      <text>
        <r>
          <rPr>
            <b/>
            <sz val="8"/>
            <color indexed="81"/>
            <rFont val="Tahoma"/>
            <family val="2"/>
          </rPr>
          <t>pareshj:</t>
        </r>
        <r>
          <rPr>
            <sz val="8"/>
            <color indexed="81"/>
            <rFont val="Tahoma"/>
            <family val="2"/>
          </rPr>
          <t xml:space="preserve">
Different than service cost in the income statement above</t>
        </r>
      </text>
    </comment>
    <comment ref="Q31" authorId="7">
      <text>
        <r>
          <rPr>
            <b/>
            <sz val="8"/>
            <color indexed="81"/>
            <rFont val="Tahoma"/>
            <family val="2"/>
          </rPr>
          <t>pareshj:</t>
        </r>
        <r>
          <rPr>
            <sz val="8"/>
            <color indexed="81"/>
            <rFont val="Tahoma"/>
            <family val="2"/>
          </rPr>
          <t xml:space="preserve">
Different than service cost in the income statement above</t>
        </r>
      </text>
    </comment>
    <comment ref="A32" authorId="2">
      <text>
        <r>
          <rPr>
            <sz val="8"/>
            <color indexed="81"/>
            <rFont val="Tahoma"/>
            <family val="2"/>
          </rPr>
          <t>If the company provides information about the expected benefits paid enter here</t>
        </r>
      </text>
    </comment>
    <comment ref="A43" authorId="3">
      <text>
        <r>
          <rPr>
            <b/>
            <sz val="8"/>
            <color indexed="81"/>
            <rFont val="Tahoma"/>
            <family val="2"/>
          </rPr>
          <t>Factors to consider when forecasting company contributions</t>
        </r>
        <r>
          <rPr>
            <sz val="8"/>
            <color indexed="81"/>
            <rFont val="Tahoma"/>
            <family val="2"/>
          </rPr>
          <t xml:space="preserve">
1. company guidance.
2. review past contributions over at least the last five years and consider what the sustainable contribution level appears to be.
3. consider the funded status in forecast years, if the funded status becomes positive, i.e. the scheme is fully funded then company would be likely to cut contributions
4. try and determine if contributions have been dramatically increased over the last two or three years, these may be deficit reduction contributions that do not have to be sustained.
5. look at ERISA funding rules shown below, this may not help if many different schemes are operated by the company. (Row 100)
6. at a minimum set equal to service cost if scheme is fully funded unless you know that the company can take a contribution holiday</t>
        </r>
      </text>
    </comment>
    <comment ref="N43" authorId="2">
      <text>
        <r>
          <rPr>
            <b/>
            <sz val="8"/>
            <color indexed="81"/>
            <rFont val="Tahoma"/>
            <family val="2"/>
          </rPr>
          <t>As per 10K, page 166, company does not expect to have a legal requirement to fund the major US plan</t>
        </r>
        <r>
          <rPr>
            <sz val="8"/>
            <color indexed="81"/>
            <rFont val="Tahoma"/>
            <family val="2"/>
          </rPr>
          <t xml:space="preserve">
</t>
        </r>
      </text>
    </comment>
    <comment ref="Q52" authorId="5">
      <text>
        <r>
          <rPr>
            <b/>
            <sz val="8"/>
            <color indexed="81"/>
            <rFont val="Tahoma"/>
            <family val="2"/>
          </rPr>
          <t>jonasa:</t>
        </r>
        <r>
          <rPr>
            <sz val="8"/>
            <color indexed="81"/>
            <rFont val="Tahoma"/>
            <family val="2"/>
          </rPr>
          <t xml:space="preserve">
ACTUAL UNFUNDED WAS $6.7BN</t>
        </r>
      </text>
    </comment>
    <comment ref="X52" authorId="8">
      <text>
        <r>
          <rPr>
            <b/>
            <sz val="9"/>
            <color indexed="81"/>
            <rFont val="Tahoma"/>
            <family val="2"/>
          </rPr>
          <t>Jonas, Adam (Research):</t>
        </r>
        <r>
          <rPr>
            <sz val="9"/>
            <color indexed="81"/>
            <rFont val="Tahoma"/>
            <family val="2"/>
          </rPr>
          <t xml:space="preserve">
slide A14 in presentation. US unfunded is $2.2bn.</t>
        </r>
      </text>
    </comment>
    <comment ref="M74" authorId="3">
      <text>
        <r>
          <rPr>
            <sz val="8"/>
            <color indexed="81"/>
            <rFont val="Tahoma"/>
            <family val="2"/>
          </rPr>
          <t xml:space="preserve">If funding status improves dramatically this item could reverse against the pension accrual and intangible asset and/or prepaid pension asset below.  If this happens then reallocate as appropriate in forecast years.
</t>
        </r>
      </text>
    </comment>
    <comment ref="A80" authorId="3">
      <text>
        <r>
          <rPr>
            <sz val="8"/>
            <color indexed="81"/>
            <rFont val="Tahoma"/>
            <family val="2"/>
          </rPr>
          <t>this checks for net amount recognized through the income statement (line 72) plus amounts recognised directly against shareholders equity (row 74) to be equal to the sum of lines 76-79, the actual pension assets and liabilities included in the balance sheet.</t>
        </r>
      </text>
    </comment>
    <comment ref="A82" authorId="3">
      <text>
        <r>
          <rPr>
            <sz val="8"/>
            <color indexed="81"/>
            <rFont val="Tahoma"/>
            <family val="2"/>
          </rPr>
          <t xml:space="preserve">Look in the deferred tax note for the actual deferred tax asset/liabilities for historical years. 
Forecast in the same proportion to the amounts recognised on the balance sheet for the last reported year.
</t>
        </r>
        <r>
          <rPr>
            <b/>
            <sz val="8"/>
            <color indexed="81"/>
            <rFont val="Tahoma"/>
            <family val="2"/>
          </rPr>
          <t>If not disclosed</t>
        </r>
        <r>
          <rPr>
            <sz val="8"/>
            <color indexed="81"/>
            <rFont val="Tahoma"/>
            <family val="2"/>
          </rPr>
          <t xml:space="preserve"> use the statutory tax rate x the amounts recognised in the balance sheet (row 79).  If there is a net asset on the balance sheet then there will be a deferred tax liability.  And if there is a net liability on the balance sheet then this will be a deferred tax asset.</t>
        </r>
      </text>
    </comment>
    <comment ref="N82" authorId="9">
      <text>
        <r>
          <rPr>
            <b/>
            <sz val="8"/>
            <color indexed="81"/>
            <rFont val="Tahoma"/>
            <family val="2"/>
          </rPr>
          <t>Jane Xiao:</t>
        </r>
        <r>
          <rPr>
            <sz val="8"/>
            <color indexed="81"/>
            <rFont val="Tahoma"/>
            <family val="2"/>
          </rPr>
          <t xml:space="preserve">
This is deferred tax assets related to employee benefit plans. But all pension???</t>
        </r>
      </text>
    </comment>
    <comment ref="O82" authorId="9">
      <text>
        <r>
          <rPr>
            <b/>
            <sz val="8"/>
            <color indexed="81"/>
            <rFont val="Tahoma"/>
            <family val="2"/>
          </rPr>
          <t>Jane Xiao:</t>
        </r>
        <r>
          <rPr>
            <sz val="8"/>
            <color indexed="81"/>
            <rFont val="Tahoma"/>
            <family val="2"/>
          </rPr>
          <t xml:space="preserve">
This is deferred tax assets related to employee benefit plans. But all pension???</t>
        </r>
      </text>
    </comment>
    <comment ref="A83" authorId="10">
      <text>
        <r>
          <rPr>
            <sz val="8"/>
            <color indexed="81"/>
            <rFont val="Tahoma"/>
            <family val="2"/>
          </rPr>
          <t xml:space="preserve">Actual years: = to effective tax rate
Forecast years: = to </t>
        </r>
        <r>
          <rPr>
            <u/>
            <sz val="8"/>
            <color indexed="81"/>
            <rFont val="Tahoma"/>
            <family val="2"/>
          </rPr>
          <t>statutory tax rate as per analyst model</t>
        </r>
        <r>
          <rPr>
            <sz val="8"/>
            <color indexed="81"/>
            <rFont val="Tahoma"/>
            <family val="2"/>
          </rPr>
          <t xml:space="preserve">
</t>
        </r>
      </text>
    </comment>
    <comment ref="A87" authorId="3">
      <text>
        <r>
          <rPr>
            <sz val="8"/>
            <color indexed="81"/>
            <rFont val="Tahoma"/>
            <family val="2"/>
          </rPr>
          <t>The MRVPA is a smoothed asset value where actual gains and losses can be smoothed over a period of up to 5 years.
Companies can choose to use this value or the actual market value of plan assets forecast in Row 41 to calculate the expected return on plan assets.</t>
        </r>
      </text>
    </comment>
    <comment ref="M88" authorId="3">
      <text>
        <r>
          <rPr>
            <sz val="8"/>
            <color indexed="81"/>
            <rFont val="Tahoma"/>
            <family val="2"/>
          </rPr>
          <t xml:space="preserve">Market related value of plan assets for reported years is estimated using the reported expected return on plan assets (input in Row 7) divided by the expected rate of return.  
(This value is commonly used to calculate the expected return on plan assets, the company can also use the actual market value of plan assets at the beginning of the year from Row 41)
</t>
        </r>
      </text>
    </comment>
    <comment ref="A93" authorId="3">
      <text>
        <r>
          <rPr>
            <sz val="8"/>
            <color indexed="81"/>
            <rFont val="Tahoma"/>
            <family val="2"/>
          </rPr>
          <t>Estimate of smoothing of previous gains and (losses) on plan assets not yet taken into account in the calculation of the MRVPA.
According to FAS87 this can be calculated using any method as long as the gains and losses are not smoothed over a period longer than 5 years.
Companies guidance should be sought if this is likely to be material.</t>
        </r>
      </text>
    </comment>
    <comment ref="A102" authorId="4">
      <text>
        <r>
          <rPr>
            <sz val="8"/>
            <color indexed="81"/>
            <rFont val="Tahoma"/>
            <family val="2"/>
          </rPr>
          <t>Use Fair Value of plan assets for smoothing mechanism if applying IAS 19; Use MRVPA for SFAS 87</t>
        </r>
      </text>
    </comment>
    <comment ref="A107" authorId="3">
      <text>
        <r>
          <rPr>
            <sz val="8"/>
            <color indexed="81"/>
            <rFont val="Tahoma"/>
            <family val="2"/>
          </rPr>
          <t>Calculated as the extent to which unrecognized gains and losses exceed the corridor (&gt; of 10% PBO or MRVPA)</t>
        </r>
      </text>
    </comment>
    <comment ref="A108" authorId="4">
      <text>
        <r>
          <rPr>
            <sz val="8"/>
            <color indexed="81"/>
            <rFont val="Tahoma"/>
            <family val="2"/>
          </rPr>
          <t>assumes that beginning balance of unrecognized cumulative gains (losses) used as basis for estimating subsequent year's amortization calculation; 
Example: F2003 recognition amount based on year ending F2002 unrecognized amounts;</t>
        </r>
      </text>
    </comment>
    <comment ref="A140" authorId="4">
      <text>
        <r>
          <rPr>
            <sz val="8"/>
            <color indexed="81"/>
            <rFont val="Tahoma"/>
            <family val="2"/>
          </rPr>
          <t>These calculations estimate the additional cash contributions by companies to the pension plans.  Different funding rules apply for different regions - template assumes US rules.</t>
        </r>
      </text>
    </comment>
    <comment ref="A144" authorId="4">
      <text>
        <r>
          <rPr>
            <sz val="8"/>
            <color indexed="81"/>
            <rFont val="Tahoma"/>
            <family val="2"/>
          </rPr>
          <t xml:space="preserve">The percent contribution factor only works for US qualified plans.
For US pensions (qualified), ERISA mandated rules have been simplified to estimate potential additional cash contributions to underfunded pension plans.  For a lit of assumptions and other information, please refer to the "Pensions and the Cash Conundrum" July 2002 report; the formulas should be modified for different funding rules in different regions (e.g. MFR rules in the UK). </t>
        </r>
      </text>
    </comment>
    <comment ref="A145" authorId="4">
      <text>
        <r>
          <rPr>
            <sz val="8"/>
            <color indexed="81"/>
            <rFont val="Tahoma"/>
            <family val="2"/>
          </rPr>
          <t>The estimated amount contributed only works for US qualified plans under the ERISA rules.</t>
        </r>
      </text>
    </comment>
    <comment ref="A151" authorId="11">
      <text>
        <r>
          <rPr>
            <sz val="8"/>
            <color indexed="81"/>
            <rFont val="Tahoma"/>
            <family val="2"/>
          </rPr>
          <t>This adjustment method assumes analyst kept last reported pension expense flat when forecasting operating margins</t>
        </r>
      </text>
    </comment>
    <comment ref="A154" authorId="11">
      <text>
        <r>
          <rPr>
            <sz val="8"/>
            <color indexed="81"/>
            <rFont val="Tahoma"/>
            <family val="2"/>
          </rPr>
          <t>This should be added to total operating expense and tagged as "other operating expense"</t>
        </r>
      </text>
    </comment>
    <comment ref="A156" authorId="11">
      <text>
        <r>
          <rPr>
            <sz val="8"/>
            <color indexed="81"/>
            <rFont val="Tahoma"/>
            <family val="2"/>
          </rPr>
          <t>This adjustment method assumes analyst grew last reported pension expense by total operating expense growth rate</t>
        </r>
      </text>
    </comment>
    <comment ref="A161" authorId="11">
      <text>
        <r>
          <rPr>
            <sz val="8"/>
            <color indexed="81"/>
            <rFont val="Tahoma"/>
            <family val="2"/>
          </rPr>
          <t>This should be added to total operating expense and tagged as "other operating expense"</t>
        </r>
      </text>
    </comment>
  </commentList>
</comments>
</file>

<file path=xl/comments7.xml><?xml version="1.0" encoding="utf-8"?>
<comments xmlns="http://schemas.openxmlformats.org/spreadsheetml/2006/main">
  <authors>
    <author>harrist</author>
    <author>Jane Xiao</author>
    <author>jccastro</author>
    <author>michaeli</author>
    <author>huhelm</author>
    <author>Mehta, Neel (Research)</author>
    <author>jonasa</author>
    <author>Jonas, Adam (Research)</author>
    <author>parkjane</author>
    <author>Carla Buffulin</author>
    <author>catheloh</author>
  </authors>
  <commentList>
    <comment ref="A4" authorId="0">
      <text>
        <r>
          <rPr>
            <sz val="8"/>
            <color indexed="81"/>
            <rFont val="Tahoma"/>
            <family val="2"/>
          </rPr>
          <t xml:space="preserve">The projection is based off an assumed salary growth rate, however this is a crude approximation and should be adjusted for any changes in the size of the work force receiving defined benefits.  It should also change with a change in the discount rate but the relationships are not precise, so should be reviewed if service cost is large.
</t>
        </r>
      </text>
    </comment>
    <comment ref="N4" authorId="1">
      <text>
        <r>
          <rPr>
            <b/>
            <sz val="8"/>
            <color indexed="81"/>
            <rFont val="Tahoma"/>
            <family val="2"/>
          </rPr>
          <t>Jane Xiao:</t>
        </r>
        <r>
          <rPr>
            <sz val="8"/>
            <color indexed="81"/>
            <rFont val="Tahoma"/>
            <family val="2"/>
          </rPr>
          <t xml:space="preserve">
Includes Jaguar and Land Rover</t>
        </r>
      </text>
    </comment>
    <comment ref="O4" authorId="1">
      <text>
        <r>
          <rPr>
            <b/>
            <sz val="8"/>
            <color indexed="81"/>
            <rFont val="Tahoma"/>
            <family val="2"/>
          </rPr>
          <t>Jane Xiao:</t>
        </r>
        <r>
          <rPr>
            <sz val="8"/>
            <color indexed="81"/>
            <rFont val="Tahoma"/>
            <family val="2"/>
          </rPr>
          <t xml:space="preserve">
Includes Jaguar and Land Rover</t>
        </r>
      </text>
    </comment>
    <comment ref="N5" authorId="2">
      <text>
        <r>
          <rPr>
            <b/>
            <sz val="8"/>
            <color indexed="81"/>
            <rFont val="Tahoma"/>
            <family val="2"/>
          </rPr>
          <t>jccastro:</t>
        </r>
        <r>
          <rPr>
            <sz val="8"/>
            <color indexed="81"/>
            <rFont val="Tahoma"/>
            <family val="2"/>
          </rPr>
          <t xml:space="preserve">
company expects to have 100 MM of prior service cost running through I/S in 2007</t>
        </r>
      </text>
    </comment>
    <comment ref="A6" authorId="0">
      <text>
        <r>
          <rPr>
            <sz val="8"/>
            <color indexed="81"/>
            <rFont val="Tahoma"/>
            <family val="2"/>
          </rPr>
          <t xml:space="preserve">This is usually forecast as the beginning balance of the obligation adjusted for benefits paid (time-weighted) * the discount rate
</t>
        </r>
      </text>
    </comment>
    <comment ref="A7" authorId="3">
      <text>
        <r>
          <rPr>
            <sz val="8"/>
            <color indexed="81"/>
            <rFont val="Tahoma"/>
            <family val="2"/>
          </rPr>
          <t>This can either be calculated as the expected return on plan assets x the market value of plan assets at the beginning of the year from Row 41.
or
The expected rate of return x the market related value of plan assets (MRVPA, Row 86).
The MRVPA is a smoothed asset value where actual gains and losses can be smoothed over a period of up to 5 years.
NOTE: If you are unsure which method the company has used try and recalculate the last few years reported expected returns using the companies assumed rate of return and the market value of plan assets at the begining of the year.  if you are close then you can use this in the forecasts, if not then you should look at using the MRVPA calculations in Row 86.</t>
        </r>
      </text>
    </comment>
    <comment ref="A8" authorId="4">
      <text>
        <r>
          <rPr>
            <sz val="8"/>
            <color indexed="81"/>
            <rFont val="Tahoma"/>
            <family val="2"/>
          </rPr>
          <t>If large enough, unrecognized actuarial gains (losses) could be recurring;</t>
        </r>
        <r>
          <rPr>
            <sz val="8"/>
            <color indexed="81"/>
            <rFont val="Tahoma"/>
            <family val="2"/>
          </rPr>
          <t xml:space="preserve">
</t>
        </r>
      </text>
    </comment>
    <comment ref="N8" authorId="2">
      <text>
        <r>
          <rPr>
            <b/>
            <sz val="8"/>
            <color indexed="81"/>
            <rFont val="Tahoma"/>
            <family val="2"/>
          </rPr>
          <t>jccastro:</t>
        </r>
        <r>
          <rPr>
            <sz val="8"/>
            <color indexed="81"/>
            <rFont val="Tahoma"/>
            <family val="2"/>
          </rPr>
          <t xml:space="preserve">
company expects to have 1400 MM of actuarial gain (loss) running through I/S in 2007</t>
        </r>
      </text>
    </comment>
    <comment ref="U8" authorId="5">
      <text>
        <r>
          <rPr>
            <b/>
            <sz val="9"/>
            <color indexed="81"/>
            <rFont val="Tahoma"/>
            <family val="2"/>
          </rPr>
          <t>Mehta, Neel (Research):</t>
        </r>
        <r>
          <rPr>
            <sz val="9"/>
            <color indexed="81"/>
            <rFont val="Tahoma"/>
            <family val="2"/>
          </rPr>
          <t xml:space="preserve">
Mehta, Neel (Research):
Starting to adjust for MTM. This line item refers to net remeasurement (gain)/loss</t>
        </r>
      </text>
    </comment>
    <comment ref="V8" authorId="5">
      <text>
        <r>
          <rPr>
            <b/>
            <sz val="9"/>
            <color indexed="81"/>
            <rFont val="Tahoma"/>
            <family val="2"/>
          </rPr>
          <t>Mehta, Neel (Research):</t>
        </r>
        <r>
          <rPr>
            <sz val="9"/>
            <color indexed="81"/>
            <rFont val="Tahoma"/>
            <family val="2"/>
          </rPr>
          <t xml:space="preserve">
Mehta, Neel (Research):
Starting to adjust for MTM. This line item refers to net remeasurement (gain)/loss</t>
        </r>
      </text>
    </comment>
    <comment ref="A9" authorId="0">
      <text>
        <r>
          <rPr>
            <sz val="8"/>
            <color indexed="81"/>
            <rFont val="Tahoma"/>
            <family val="2"/>
          </rPr>
          <t xml:space="preserve">This is also known as "amortization of transition asset (obligation )"
This should be irrelevant in future except for a company that has moved to US GAAP recently
</t>
        </r>
      </text>
    </comment>
    <comment ref="A12" authorId="4">
      <text>
        <r>
          <rPr>
            <sz val="8"/>
            <color indexed="81"/>
            <rFont val="Tahoma"/>
            <family val="2"/>
          </rPr>
          <t>non-recurring pension items such as settlements and curtailments</t>
        </r>
      </text>
    </comment>
    <comment ref="A17" authorId="3">
      <text>
        <r>
          <rPr>
            <sz val="8"/>
            <color indexed="81"/>
            <rFont val="Tahoma"/>
            <family val="2"/>
          </rPr>
          <t xml:space="preserve">If not disclosed equal to prior year.
</t>
        </r>
      </text>
    </comment>
    <comment ref="Q18" authorId="6">
      <text>
        <r>
          <rPr>
            <b/>
            <sz val="8"/>
            <color indexed="81"/>
            <rFont val="Tahoma"/>
            <family val="2"/>
          </rPr>
          <t>jonasa:</t>
        </r>
        <r>
          <rPr>
            <sz val="8"/>
            <color indexed="81"/>
            <rFont val="Tahoma"/>
            <family val="2"/>
          </rPr>
          <t xml:space="preserve">
assumes 70bps redux.
100bps redux in discount rate raises non-US under funding status by $3.06bn and raises non-US expense by $180m.</t>
        </r>
      </text>
    </comment>
    <comment ref="A20" authorId="3">
      <text>
        <r>
          <rPr>
            <sz val="8"/>
            <color indexed="81"/>
            <rFont val="Tahoma"/>
            <family val="2"/>
          </rPr>
          <t xml:space="preserve">Entered as zero if not disclosed.
</t>
        </r>
      </text>
    </comment>
    <comment ref="A32" authorId="2">
      <text>
        <r>
          <rPr>
            <sz val="8"/>
            <color indexed="81"/>
            <rFont val="Tahoma"/>
            <family val="2"/>
          </rPr>
          <t>If the company provides information about the expected benefits paid enter here</t>
        </r>
      </text>
    </comment>
    <comment ref="N41" authorId="1">
      <text>
        <r>
          <rPr>
            <b/>
            <sz val="8"/>
            <color indexed="81"/>
            <rFont val="Tahoma"/>
            <family val="2"/>
          </rPr>
          <t>Jane Xiao:</t>
        </r>
        <r>
          <rPr>
            <sz val="8"/>
            <color indexed="81"/>
            <rFont val="Tahoma"/>
            <family val="2"/>
          </rPr>
          <t xml:space="preserve">
Excludes Jaguar and Land Rover</t>
        </r>
      </text>
    </comment>
    <comment ref="A43" authorId="3">
      <text>
        <r>
          <rPr>
            <b/>
            <sz val="8"/>
            <color indexed="81"/>
            <rFont val="Tahoma"/>
            <family val="2"/>
          </rPr>
          <t>Factors to consider when forecasting company contributions</t>
        </r>
        <r>
          <rPr>
            <sz val="8"/>
            <color indexed="81"/>
            <rFont val="Tahoma"/>
            <family val="2"/>
          </rPr>
          <t xml:space="preserve">
1. company guidance.
2. review past contributions over at least the last five years and consider what the sustainable contribution level appears to be.
3. consider the funded status in forecast years, if the funded status becomes positive, i.e. the scheme is fully funded then company would be likely to cut contributions
4. try and determine if contributions have been dramatically increased over the last two or three years, these may be deficit reduction contributions that do not have to be sustained.
5. look at ERISA funding rules shown below, this may not help if many different schemes are operated by the company. (Row 100)
6. at a minimum set equal to service cost if scheme is fully funded unless you know that the company can take a contribution holiday</t>
        </r>
      </text>
    </comment>
    <comment ref="N43" authorId="2">
      <text>
        <r>
          <rPr>
            <b/>
            <sz val="8"/>
            <color indexed="81"/>
            <rFont val="Tahoma"/>
            <family val="2"/>
          </rPr>
          <t>"During 2007 we expect to contribute from available automotive cash 2.2 BN to our worldwide pension plans"</t>
        </r>
        <r>
          <rPr>
            <sz val="8"/>
            <color indexed="81"/>
            <rFont val="Tahoma"/>
            <family val="2"/>
          </rPr>
          <t xml:space="preserve">
</t>
        </r>
      </text>
    </comment>
    <comment ref="W52" authorId="7">
      <text>
        <r>
          <rPr>
            <b/>
            <sz val="9"/>
            <color indexed="81"/>
            <rFont val="Tahoma"/>
            <family val="2"/>
          </rPr>
          <t>Jonas, Adam (Research):</t>
        </r>
        <r>
          <rPr>
            <sz val="9"/>
            <color indexed="81"/>
            <rFont val="Tahoma"/>
            <family val="2"/>
          </rPr>
          <t xml:space="preserve">
actual $5.1bn</t>
        </r>
      </text>
    </comment>
    <comment ref="X52" authorId="7">
      <text>
        <r>
          <rPr>
            <b/>
            <sz val="9"/>
            <color indexed="81"/>
            <rFont val="Tahoma"/>
            <family val="2"/>
          </rPr>
          <t>Jonas, Adam (Research):</t>
        </r>
        <r>
          <rPr>
            <sz val="9"/>
            <color indexed="81"/>
            <rFont val="Tahoma"/>
            <family val="2"/>
          </rPr>
          <t xml:space="preserve">
status is $4.4bn slide A14 in presentaiton.</t>
        </r>
      </text>
    </comment>
    <comment ref="M74" authorId="3">
      <text>
        <r>
          <rPr>
            <sz val="8"/>
            <color indexed="81"/>
            <rFont val="Tahoma"/>
            <family val="2"/>
          </rPr>
          <t xml:space="preserve">If funding status improves dramatically this item could reverse against the pension accrual and intangible asset and/or prepaid pension asset below.  If this happens then reallocate as appropriate in forecast years.
</t>
        </r>
      </text>
    </comment>
    <comment ref="A80" authorId="3">
      <text>
        <r>
          <rPr>
            <sz val="8"/>
            <color indexed="81"/>
            <rFont val="Tahoma"/>
            <family val="2"/>
          </rPr>
          <t>this checks for net amount recognized through the income statement (line 72) plus amounts recognised directly against shareholders equity (row 74) to be equal to the sum of lines 76-79, the actual pension assets and liabilities included in the balance sheet.</t>
        </r>
      </text>
    </comment>
    <comment ref="A82" authorId="3">
      <text>
        <r>
          <rPr>
            <sz val="8"/>
            <color indexed="81"/>
            <rFont val="Tahoma"/>
            <family val="2"/>
          </rPr>
          <t xml:space="preserve">Look in the deferred tax note for the actual deferred tax asset/liabilities for historical years. 
Forecast in the same proportion to the amounts recognised on the balance sheet for the last reported year.
</t>
        </r>
        <r>
          <rPr>
            <b/>
            <sz val="8"/>
            <color indexed="81"/>
            <rFont val="Tahoma"/>
            <family val="2"/>
          </rPr>
          <t>If not disclosed</t>
        </r>
        <r>
          <rPr>
            <sz val="8"/>
            <color indexed="81"/>
            <rFont val="Tahoma"/>
            <family val="2"/>
          </rPr>
          <t xml:space="preserve"> use the statutory tax rate x the amounts recognised in the balance sheet (row 79).  If there is a net asset on the balance sheet then there will be a deferred tax liability.  And if there is a net liability on the balance sheet then this will be a deferred tax asset.</t>
        </r>
      </text>
    </comment>
    <comment ref="J82" authorId="8">
      <text>
        <r>
          <rPr>
            <b/>
            <sz val="8"/>
            <color indexed="81"/>
            <rFont val="Tahoma"/>
            <family val="2"/>
          </rPr>
          <t>parkjane:</t>
        </r>
        <r>
          <rPr>
            <sz val="8"/>
            <color indexed="81"/>
            <rFont val="Tahoma"/>
            <family val="2"/>
          </rPr>
          <t xml:space="preserve">
Pg 146 under Note 18 Income Taxes in 2006K</t>
        </r>
      </text>
    </comment>
    <comment ref="K82" authorId="8">
      <text>
        <r>
          <rPr>
            <b/>
            <sz val="8"/>
            <color indexed="81"/>
            <rFont val="Tahoma"/>
            <family val="2"/>
          </rPr>
          <t>parkjane:</t>
        </r>
        <r>
          <rPr>
            <sz val="8"/>
            <color indexed="81"/>
            <rFont val="Tahoma"/>
            <family val="2"/>
          </rPr>
          <t xml:space="preserve">
Pg 146 under Note 18 Income Taxes in 2006K</t>
        </r>
      </text>
    </comment>
    <comment ref="L82" authorId="8">
      <text>
        <r>
          <rPr>
            <b/>
            <sz val="8"/>
            <color indexed="81"/>
            <rFont val="Tahoma"/>
            <family val="2"/>
          </rPr>
          <t>parkjane:</t>
        </r>
        <r>
          <rPr>
            <sz val="8"/>
            <color indexed="81"/>
            <rFont val="Tahoma"/>
            <family val="2"/>
          </rPr>
          <t xml:space="preserve">
Pg 146 under Note 18 Income Taxes in 2006K</t>
        </r>
      </text>
    </comment>
    <comment ref="M82" authorId="8">
      <text>
        <r>
          <rPr>
            <b/>
            <sz val="8"/>
            <color indexed="81"/>
            <rFont val="Tahoma"/>
            <family val="2"/>
          </rPr>
          <t>parkjane:</t>
        </r>
        <r>
          <rPr>
            <sz val="8"/>
            <color indexed="81"/>
            <rFont val="Tahoma"/>
            <family val="2"/>
          </rPr>
          <t xml:space="preserve">
Pg 146 under Note 18 Income Taxes in 2006K</t>
        </r>
      </text>
    </comment>
    <comment ref="A83" authorId="9">
      <text>
        <r>
          <rPr>
            <sz val="8"/>
            <color indexed="81"/>
            <rFont val="Tahoma"/>
            <family val="2"/>
          </rPr>
          <t xml:space="preserve">Actual years: = to effective tax rate
Forecast years: = to </t>
        </r>
        <r>
          <rPr>
            <u/>
            <sz val="8"/>
            <color indexed="81"/>
            <rFont val="Tahoma"/>
            <family val="2"/>
          </rPr>
          <t>statutory tax rate as per analyst model</t>
        </r>
        <r>
          <rPr>
            <sz val="8"/>
            <color indexed="81"/>
            <rFont val="Tahoma"/>
            <family val="2"/>
          </rPr>
          <t xml:space="preserve">
</t>
        </r>
      </text>
    </comment>
    <comment ref="A87" authorId="3">
      <text>
        <r>
          <rPr>
            <sz val="8"/>
            <color indexed="81"/>
            <rFont val="Tahoma"/>
            <family val="2"/>
          </rPr>
          <t>The MRVPA is a smoothed asset value where actual gains and losses can be smoothed over a period of up to 5 years.
Companies can choose to use this value or the actual market value of plan assets forecast in Row 41 to calculate the expected return on plan assets.</t>
        </r>
      </text>
    </comment>
    <comment ref="M88" authorId="3">
      <text>
        <r>
          <rPr>
            <sz val="8"/>
            <color indexed="81"/>
            <rFont val="Tahoma"/>
            <family val="2"/>
          </rPr>
          <t xml:space="preserve">Market related value of plan assets for reported years is estimated using the reported expected return on plan assets (input in Row 7) divided by the expected rate of return.  
(This value is commonly used to calculate the expected return on plan assets, the company can also use the actual market value of plan assets at the beginning of the year from Row 41)
</t>
        </r>
      </text>
    </comment>
    <comment ref="A93" authorId="3">
      <text>
        <r>
          <rPr>
            <sz val="8"/>
            <color indexed="81"/>
            <rFont val="Tahoma"/>
            <family val="2"/>
          </rPr>
          <t>Estimate of smoothing of previous gains and (losses) on plan assets not yet taken into account in the calculation of the MRVPA.
According to FAS87 this can be calculated using any method as long as the gains and losses are not smoothed over a period longer than 5 years.
Companies guidance should be sought if this is likely to be material.</t>
        </r>
      </text>
    </comment>
    <comment ref="A102" authorId="4">
      <text>
        <r>
          <rPr>
            <sz val="8"/>
            <color indexed="81"/>
            <rFont val="Tahoma"/>
            <family val="2"/>
          </rPr>
          <t>Use Fair Value of plan assets for smoothing mechanism if applying IAS 19; Use MRVPA for SFAS 87</t>
        </r>
      </text>
    </comment>
    <comment ref="A107" authorId="3">
      <text>
        <r>
          <rPr>
            <sz val="8"/>
            <color indexed="81"/>
            <rFont val="Tahoma"/>
            <family val="2"/>
          </rPr>
          <t>Calculated as the extent to which unrecognized gains and losses exceed the corridor (&gt; of 10% PBO or MRVPA)</t>
        </r>
      </text>
    </comment>
    <comment ref="A108" authorId="4">
      <text>
        <r>
          <rPr>
            <sz val="8"/>
            <color indexed="81"/>
            <rFont val="Tahoma"/>
            <family val="2"/>
          </rPr>
          <t>assumes that beginning balance of unrecognized cumulative gains (losses) used as basis for estimating subsequent year's amortization calculation; 
Example: F2003 recognition amount based on year ending F2002 unrecognized amounts;</t>
        </r>
      </text>
    </comment>
    <comment ref="A140" authorId="4">
      <text>
        <r>
          <rPr>
            <sz val="8"/>
            <color indexed="81"/>
            <rFont val="Tahoma"/>
            <family val="2"/>
          </rPr>
          <t>These calculations estimate the additional cash contributions by companies to the pension plans.  Different funding rules apply for different regions - template assumes US rules.</t>
        </r>
      </text>
    </comment>
    <comment ref="A144" authorId="4">
      <text>
        <r>
          <rPr>
            <sz val="8"/>
            <color indexed="81"/>
            <rFont val="Tahoma"/>
            <family val="2"/>
          </rPr>
          <t xml:space="preserve">The percent contribution factor only works for US qualified plans.
For US pensions (qualified), ERISA mandated rules have been simplified to estimate potential additional cash contributions to underfunded pension plans.  For a lit of assumptions and other information, please refer to the "Pensions and the Cash Conundrum" July 2002 report; the formulas should be modified for different funding rules in different regions (e.g. MFR rules in the UK). </t>
        </r>
      </text>
    </comment>
    <comment ref="A145" authorId="4">
      <text>
        <r>
          <rPr>
            <sz val="8"/>
            <color indexed="81"/>
            <rFont val="Tahoma"/>
            <family val="2"/>
          </rPr>
          <t>The estimated amount contributed only works for US qualified plans under the ERISA rules.</t>
        </r>
      </text>
    </comment>
    <comment ref="A151" authorId="10">
      <text>
        <r>
          <rPr>
            <sz val="8"/>
            <color indexed="81"/>
            <rFont val="Tahoma"/>
            <family val="2"/>
          </rPr>
          <t>This adjustment method assumes analyst kept last reported pension expense flat when forecasting operating margins</t>
        </r>
      </text>
    </comment>
    <comment ref="A154" authorId="10">
      <text>
        <r>
          <rPr>
            <sz val="8"/>
            <color indexed="81"/>
            <rFont val="Tahoma"/>
            <family val="2"/>
          </rPr>
          <t>This should be added to total operating expense and tagged as "other operating expense"</t>
        </r>
      </text>
    </comment>
    <comment ref="A156" authorId="10">
      <text>
        <r>
          <rPr>
            <sz val="8"/>
            <color indexed="81"/>
            <rFont val="Tahoma"/>
            <family val="2"/>
          </rPr>
          <t>This adjustment method assumes analyst grew last reported pension expense by total operating expense growth rate</t>
        </r>
      </text>
    </comment>
    <comment ref="A161" authorId="10">
      <text>
        <r>
          <rPr>
            <sz val="8"/>
            <color indexed="81"/>
            <rFont val="Tahoma"/>
            <family val="2"/>
          </rPr>
          <t>This should be added to total operating expense and tagged as "other operating expense"</t>
        </r>
      </text>
    </comment>
  </commentList>
</comments>
</file>

<file path=xl/comments8.xml><?xml version="1.0" encoding="utf-8"?>
<comments xmlns="http://schemas.openxmlformats.org/spreadsheetml/2006/main">
  <authors>
    <author>Mehta, Neel (Research)</author>
    <author>Jonas, Adam (Research)</author>
  </authors>
  <commentList>
    <comment ref="U9" authorId="0">
      <text>
        <r>
          <rPr>
            <b/>
            <sz val="9"/>
            <color indexed="81"/>
            <rFont val="Tahoma"/>
            <family val="2"/>
          </rPr>
          <t>Mehta, Neel (Research):</t>
        </r>
        <r>
          <rPr>
            <sz val="9"/>
            <color indexed="81"/>
            <rFont val="Tahoma"/>
            <family val="2"/>
          </rPr>
          <t xml:space="preserve">
Starting to adjust for MTM. This line item refers to net remeasurement (gain)/loss</t>
        </r>
      </text>
    </comment>
    <comment ref="U25" authorId="0">
      <text>
        <r>
          <rPr>
            <b/>
            <sz val="9"/>
            <color indexed="81"/>
            <rFont val="Tahoma"/>
            <family val="2"/>
          </rPr>
          <t>Mehta, Neel (Research):</t>
        </r>
        <r>
          <rPr>
            <sz val="9"/>
            <color indexed="81"/>
            <rFont val="Tahoma"/>
            <family val="2"/>
          </rPr>
          <t xml:space="preserve">
FX translation</t>
        </r>
      </text>
    </comment>
    <comment ref="V25" authorId="0">
      <text>
        <r>
          <rPr>
            <b/>
            <sz val="9"/>
            <color indexed="81"/>
            <rFont val="Tahoma"/>
            <family val="2"/>
          </rPr>
          <t>Mehta, Neel (Research):</t>
        </r>
        <r>
          <rPr>
            <sz val="9"/>
            <color indexed="81"/>
            <rFont val="Tahoma"/>
            <family val="2"/>
          </rPr>
          <t xml:space="preserve">
FX translation</t>
        </r>
      </text>
    </comment>
    <comment ref="X26" authorId="1">
      <text>
        <r>
          <rPr>
            <b/>
            <sz val="9"/>
            <color indexed="81"/>
            <rFont val="Tahoma"/>
            <family val="2"/>
          </rPr>
          <t>Jonas, Adam (Research):</t>
        </r>
        <r>
          <rPr>
            <sz val="9"/>
            <color indexed="81"/>
            <rFont val="Tahoma"/>
            <family val="2"/>
          </rPr>
          <t xml:space="preserve">
actual is $6.2bn as of slide 27 in presentatino end of 2017.</t>
        </r>
      </text>
    </comment>
  </commentList>
</comments>
</file>

<file path=xl/sharedStrings.xml><?xml version="1.0" encoding="utf-8"?>
<sst xmlns="http://schemas.openxmlformats.org/spreadsheetml/2006/main" count="1945" uniqueCount="1188">
  <si>
    <t>Diluted EPS Reported</t>
  </si>
  <si>
    <t>USD</t>
  </si>
  <si>
    <t>NA</t>
  </si>
  <si>
    <t>1Q07</t>
  </si>
  <si>
    <t>2Q07</t>
  </si>
  <si>
    <t>3Q07</t>
  </si>
  <si>
    <t>4Q04</t>
  </si>
  <si>
    <t>1Q04</t>
  </si>
  <si>
    <t>2Q04</t>
  </si>
  <si>
    <t>3Q04</t>
  </si>
  <si>
    <t>2Q05</t>
  </si>
  <si>
    <t>4Q05</t>
  </si>
  <si>
    <t>4Q12</t>
  </si>
  <si>
    <t>FY 2012</t>
  </si>
  <si>
    <t>Statutory Tax Rate</t>
  </si>
  <si>
    <t>4Q09</t>
  </si>
  <si>
    <t>EBITDA</t>
  </si>
  <si>
    <t>2004-Q1</t>
  </si>
  <si>
    <t>2004-Q2</t>
  </si>
  <si>
    <t>2004-Q3</t>
  </si>
  <si>
    <t>2004-Q4</t>
  </si>
  <si>
    <t>2007-Q1</t>
  </si>
  <si>
    <t>4Q13</t>
  </si>
  <si>
    <t>2007-Q2</t>
  </si>
  <si>
    <t>2007-Q3</t>
  </si>
  <si>
    <t>2007-Q4</t>
  </si>
  <si>
    <t>Other Assets</t>
  </si>
  <si>
    <t>Total Current Assets</t>
  </si>
  <si>
    <t>Stockholders Equity</t>
  </si>
  <si>
    <t>Total Liabilities &amp; Shareholders' Equity</t>
  </si>
  <si>
    <t>Net Cash From Operations</t>
  </si>
  <si>
    <t>Check</t>
  </si>
  <si>
    <t>2009-Q1</t>
  </si>
  <si>
    <t>2005-Q4</t>
  </si>
  <si>
    <t>2006-Q1</t>
  </si>
  <si>
    <t>2005-Q1</t>
  </si>
  <si>
    <t>Description</t>
  </si>
  <si>
    <t xml:space="preserve"> </t>
  </si>
  <si>
    <t>Total Current Liabilities</t>
  </si>
  <si>
    <t>Income Statement</t>
  </si>
  <si>
    <t>2005-Q2</t>
  </si>
  <si>
    <t>2011-Q1</t>
  </si>
  <si>
    <t>2011-Q2</t>
  </si>
  <si>
    <t>2011-Q3</t>
  </si>
  <si>
    <t>2011-Q4</t>
  </si>
  <si>
    <t>Income from Discontinued Operations</t>
  </si>
  <si>
    <t>Accounts Payable</t>
  </si>
  <si>
    <t>Fiscal Period</t>
  </si>
  <si>
    <t>2016-FY</t>
  </si>
  <si>
    <t>Consolidated Financials ($mm)</t>
  </si>
  <si>
    <t>ModelWare Period</t>
  </si>
  <si>
    <t>Period Ending</t>
  </si>
  <si>
    <t>Days in Period</t>
  </si>
  <si>
    <t>2017-FY</t>
  </si>
  <si>
    <t>FY 2017E</t>
  </si>
  <si>
    <t>FY 2011</t>
  </si>
  <si>
    <t>2012-Q1</t>
  </si>
  <si>
    <t>2012-Q2</t>
  </si>
  <si>
    <t>2012-Q3</t>
  </si>
  <si>
    <t>2012-Q4</t>
  </si>
  <si>
    <t>1Q13</t>
  </si>
  <si>
    <t>Reported Net Income (for MW)</t>
  </si>
  <si>
    <t>Adj Net Income from Cont Ops</t>
  </si>
  <si>
    <t>FY 1998</t>
  </si>
  <si>
    <t>FY 1997</t>
  </si>
  <si>
    <t>FY 1996</t>
  </si>
  <si>
    <t>FY 1995</t>
  </si>
  <si>
    <t>Retained Earnings</t>
  </si>
  <si>
    <t>1998-FY</t>
  </si>
  <si>
    <t>1997-FY</t>
  </si>
  <si>
    <t>1996-FY</t>
  </si>
  <si>
    <t>1995-FY</t>
  </si>
  <si>
    <t>Other</t>
  </si>
  <si>
    <t>Deferred Taxes</t>
  </si>
  <si>
    <t>Common Stock</t>
  </si>
  <si>
    <t>Additional Paid in Capital</t>
  </si>
  <si>
    <t>Treasury Stock</t>
  </si>
  <si>
    <t>Margin</t>
  </si>
  <si>
    <t>2Q10</t>
  </si>
  <si>
    <t>Interest rate - used to calculate interest expense</t>
  </si>
  <si>
    <t>Discount rate - End of period used for PBO</t>
  </si>
  <si>
    <t>Salary increases</t>
  </si>
  <si>
    <t>Increase in pensions</t>
  </si>
  <si>
    <t>Expected return on plan assets</t>
  </si>
  <si>
    <t>Actual return on plan assets</t>
  </si>
  <si>
    <t xml:space="preserve">Average remaining working life </t>
  </si>
  <si>
    <t>Percentage change in pension liabilities (PBO) for each 100 bp change in interest rate</t>
  </si>
  <si>
    <t>Service cost</t>
  </si>
  <si>
    <t>Interest cost</t>
  </si>
  <si>
    <t>Amendments</t>
  </si>
  <si>
    <t>Present value of pension liabilities - end of period</t>
  </si>
  <si>
    <t>Actual return</t>
  </si>
  <si>
    <t>Participant contributions</t>
  </si>
  <si>
    <t>Plan assets - end of period</t>
  </si>
  <si>
    <t>Funded status</t>
  </si>
  <si>
    <t>Funding Level (%)</t>
  </si>
  <si>
    <t>Calculation of Net Amount Recognized</t>
  </si>
  <si>
    <t>Validity Check</t>
  </si>
  <si>
    <t>Amounts Recognized Consist of:</t>
  </si>
  <si>
    <t>Deferred tax asset / (liability) on pension provisions recognized in balance sheet</t>
  </si>
  <si>
    <t xml:space="preserve"> Statutory tax rate</t>
  </si>
  <si>
    <t>How to Integrate Pension Template to the Main Model</t>
  </si>
  <si>
    <t>Pension Adjustments in the Balance Sheet</t>
  </si>
  <si>
    <t>Balance sheet accounts should change by the following amounts in forecast years</t>
  </si>
  <si>
    <t>B570P91</t>
  </si>
  <si>
    <t>Accruals, accounts payable &amp; other B/S pension liabilities</t>
  </si>
  <si>
    <t>Increase in Deferred Tax Assets / (Liabilities), Net</t>
  </si>
  <si>
    <t>Pension Adjustment in the Cash Flow Statement</t>
  </si>
  <si>
    <t>Pension Contributions, Net of Tax</t>
  </si>
  <si>
    <t>Reverse Pension Expense, Net of Tax</t>
  </si>
  <si>
    <t>Total</t>
  </si>
  <si>
    <t>LEA.N,mscalc:targetPrice</t>
  </si>
  <si>
    <t>LEA.N,mstag:statutoryTaxRate,2012FY,,FYR</t>
  </si>
  <si>
    <t>0.35</t>
  </si>
  <si>
    <t>LEA.N,mstag:statutoryTaxRate,2011FY,,FYR</t>
  </si>
  <si>
    <t>LEA.N,mstag:statutoryTaxRate,2014FY,,FYR</t>
  </si>
  <si>
    <t>LEA.N,mstag:revenueNet,2009FY,,FYR,,,IN-PROGRESS</t>
  </si>
  <si>
    <t>LEA.N,mstag:statutoryTaxRate,2005FY,,FYR</t>
  </si>
  <si>
    <t>LEA.N,mstag:statutoryTaxRate,2003FY,,FYR</t>
  </si>
  <si>
    <t>LEA.N,mstag:statutoryTaxRate,2004FY,,FYR</t>
  </si>
  <si>
    <t>LEA.N,mstag:statutoryTaxRate,2007FY,,FYR</t>
  </si>
  <si>
    <t>LEA.N,mstag:statutoryTaxRate,2016FY,,FYR</t>
  </si>
  <si>
    <t>LEA.N,mstag:statutoryTaxRate,2010FY,,FYR</t>
  </si>
  <si>
    <t>LEA.N,mstag:statutoryTaxRate,2006FY,,FYR</t>
  </si>
  <si>
    <t>LEA.N,mstag:statutoryTaxRate,2013FY,,FYR</t>
  </si>
  <si>
    <t>LEA.N,mstag:statutoryTaxRate,2009FY,,FYR</t>
  </si>
  <si>
    <t>LEA.N,mstag:statutoryTaxRate,2008FY,,FYR</t>
  </si>
  <si>
    <t>LEA.N,mstag:statutoryTaxRate,2015FY,,FYR</t>
  </si>
  <si>
    <t>3Q12</t>
  </si>
  <si>
    <t>Service Cost</t>
  </si>
  <si>
    <t>Prior Service Costs</t>
  </si>
  <si>
    <t>Interest Cost</t>
  </si>
  <si>
    <t>Expected Return on Plan Assets</t>
  </si>
  <si>
    <t>Net Actuarial Gain (Loss) Recognized:</t>
  </si>
  <si>
    <t>Discount Rate (Liability Rate)</t>
  </si>
  <si>
    <t>Discount Rate (Interest Rate Charge)</t>
  </si>
  <si>
    <t>Compensation Increases</t>
  </si>
  <si>
    <t>Long Term Expected Rate of Return</t>
  </si>
  <si>
    <t>Actual Rate of Return (as reported)</t>
  </si>
  <si>
    <t>Company Assumed Healthcare Cost Trend Rate</t>
  </si>
  <si>
    <t>Ultimate Trend Rate</t>
  </si>
  <si>
    <t>2Q11</t>
  </si>
  <si>
    <t>3Q11</t>
  </si>
  <si>
    <t>Years until Ultimate Rate is Reached</t>
  </si>
  <si>
    <t>PBOs - Beginning Period Balance</t>
  </si>
  <si>
    <t>Benefits Paid</t>
  </si>
  <si>
    <t>PBOs - Ending Period Balance</t>
  </si>
  <si>
    <t>Plan Assets - Beginning Period Balance</t>
  </si>
  <si>
    <t>Actual Return on Plan Assets</t>
  </si>
  <si>
    <t>Employer Contributions</t>
  </si>
  <si>
    <t>Participant Contributions</t>
  </si>
  <si>
    <t>Plan Assets - Ending Period Balance</t>
  </si>
  <si>
    <t>Funded Status (Surplus/(Deficit))</t>
  </si>
  <si>
    <t>Funding Ratio</t>
  </si>
  <si>
    <t>Unrecognized Prior Service Cost</t>
  </si>
  <si>
    <t>Unrecognized Net Actuarial Gain (loss)</t>
  </si>
  <si>
    <t>Ending Period Net Amounts Recognized</t>
  </si>
  <si>
    <t>Accrued Benefit Liability</t>
  </si>
  <si>
    <t>Prepaid Benefit Cost</t>
  </si>
  <si>
    <t>Total Net Assets / (Liabilities) Recognized in the Balance Sheet</t>
  </si>
  <si>
    <t xml:space="preserve">   Validity check</t>
  </si>
  <si>
    <t>How to Integrate OPEB Template to the Main Model</t>
  </si>
  <si>
    <t>OPEB Adjustments in the Balance Sheet</t>
  </si>
  <si>
    <t>Changes in Assets</t>
  </si>
  <si>
    <t>Deferred Tax Assets, Net</t>
  </si>
  <si>
    <t>Tax Benefit from OPEB Expense</t>
  </si>
  <si>
    <t>Less Reversal of DTA (Creation of DTL) from OPEB Funding</t>
  </si>
  <si>
    <t>Changes in Liabilities</t>
  </si>
  <si>
    <t>Accrued Benefit Liabilities</t>
  </si>
  <si>
    <t>OPEB Contributions, Net of Tax</t>
  </si>
  <si>
    <t>OPEB Expense, Net of Tax</t>
  </si>
  <si>
    <t>Currency</t>
  </si>
  <si>
    <t>2Q13</t>
  </si>
  <si>
    <t>Current Stock Price</t>
  </si>
  <si>
    <t>Count</t>
  </si>
  <si>
    <t>1Q12</t>
  </si>
  <si>
    <t>90</t>
  </si>
  <si>
    <t>LEA.N,mscalc:sedolCodeCalc</t>
  </si>
  <si>
    <t>LEA.N,mscalc:closePriceCurrencyCalc</t>
  </si>
  <si>
    <t>LEA.N,mscalc:targetPrice,,,,USD</t>
  </si>
  <si>
    <t>Equity</t>
  </si>
  <si>
    <t>Assets</t>
  </si>
  <si>
    <t>Liabilities</t>
  </si>
  <si>
    <t>2013-Q1</t>
  </si>
  <si>
    <t>2013-Q2</t>
  </si>
  <si>
    <t>2013-Q3</t>
  </si>
  <si>
    <t>2013-Q4</t>
  </si>
  <si>
    <t>Operating Cash Flows</t>
  </si>
  <si>
    <t>Financing Cash Flows</t>
  </si>
  <si>
    <t>Investing Cash Flows</t>
  </si>
  <si>
    <t>LTM COGS</t>
  </si>
  <si>
    <t>Other Financial Data</t>
  </si>
  <si>
    <t>Cash and Equivalents</t>
  </si>
  <si>
    <t>Corporate Net Debt / EBITDA</t>
  </si>
  <si>
    <t>2014-Q1</t>
  </si>
  <si>
    <t>2014-Q2</t>
  </si>
  <si>
    <t>2014-Q3</t>
  </si>
  <si>
    <t>2014-Q4</t>
  </si>
  <si>
    <t>Actual</t>
  </si>
  <si>
    <t>EBIT</t>
  </si>
  <si>
    <t>Inputs</t>
  </si>
  <si>
    <t>MSe</t>
  </si>
  <si>
    <t>LY</t>
  </si>
  <si>
    <t>vs. MSe</t>
  </si>
  <si>
    <t>LTM EBITDA</t>
  </si>
  <si>
    <t>Gross Debt</t>
  </si>
  <si>
    <t>Total Capital</t>
  </si>
  <si>
    <t>Debt / Capital</t>
  </si>
  <si>
    <t>Modelware Required Tags</t>
  </si>
  <si>
    <t>LTM Revenues</t>
  </si>
  <si>
    <t>1Q14</t>
  </si>
  <si>
    <t>1Q11</t>
  </si>
  <si>
    <t>3Q10</t>
  </si>
  <si>
    <t>Pricing</t>
  </si>
  <si>
    <t>4Q11</t>
  </si>
  <si>
    <t>2010-Q1</t>
  </si>
  <si>
    <t>2010-Q2</t>
  </si>
  <si>
    <t>2010-Q3</t>
  </si>
  <si>
    <t>2010-Q4</t>
  </si>
  <si>
    <t>2013-FY</t>
  </si>
  <si>
    <t>2014-FY</t>
  </si>
  <si>
    <t>2015-FY</t>
  </si>
  <si>
    <t>1Q02</t>
  </si>
  <si>
    <t>2Q02</t>
  </si>
  <si>
    <t>3Q02</t>
  </si>
  <si>
    <t>4Q02</t>
  </si>
  <si>
    <t>FY 2002</t>
  </si>
  <si>
    <t>1Q03</t>
  </si>
  <si>
    <t>2Q03</t>
  </si>
  <si>
    <t>3Q03</t>
  </si>
  <si>
    <t>4Q03</t>
  </si>
  <si>
    <t>FY 2003</t>
  </si>
  <si>
    <t>FY 2004</t>
  </si>
  <si>
    <t>1Q05</t>
  </si>
  <si>
    <t>3Q05</t>
  </si>
  <si>
    <t>FY 2005</t>
  </si>
  <si>
    <t>1Q06</t>
  </si>
  <si>
    <t>2Q06</t>
  </si>
  <si>
    <t>3Q06</t>
  </si>
  <si>
    <t>4Q06</t>
  </si>
  <si>
    <t>FY 2006</t>
  </si>
  <si>
    <t>FY 2007</t>
  </si>
  <si>
    <t>FY 2008</t>
  </si>
  <si>
    <t>Effective Tax Rate</t>
  </si>
  <si>
    <t>Period End Basic Shares O/S</t>
  </si>
  <si>
    <t>Wavg Basics Shares O/S</t>
  </si>
  <si>
    <t>Wavg Diluted Shares O/S</t>
  </si>
  <si>
    <t>Basic EPS</t>
  </si>
  <si>
    <t>Capex / Sales</t>
  </si>
  <si>
    <t>Assumptions</t>
  </si>
  <si>
    <t>2Q12</t>
  </si>
  <si>
    <t xml:space="preserve">Net Cash from Investing </t>
  </si>
  <si>
    <t>2015-Q1</t>
  </si>
  <si>
    <t>2015-Q2</t>
  </si>
  <si>
    <t>2015-Q3</t>
  </si>
  <si>
    <t>2015-Q4</t>
  </si>
  <si>
    <t>2016-Q1</t>
  </si>
  <si>
    <t>2016-Q2</t>
  </si>
  <si>
    <t>2016-Q3</t>
  </si>
  <si>
    <t>2016-Q4</t>
  </si>
  <si>
    <t>2017-Q1</t>
  </si>
  <si>
    <t>2017-Q2</t>
  </si>
  <si>
    <t>2017-Q3</t>
  </si>
  <si>
    <t>2017-Q4</t>
  </si>
  <si>
    <t>Change in Cash</t>
  </si>
  <si>
    <t>Effect of Exchange Rate on Cash</t>
  </si>
  <si>
    <t>Unrecorded Goodwill</t>
  </si>
  <si>
    <t>Net Debt</t>
  </si>
  <si>
    <t>Revenue</t>
  </si>
  <si>
    <t>4Q10</t>
  </si>
  <si>
    <t>FY 2010</t>
  </si>
  <si>
    <t>Growth</t>
  </si>
  <si>
    <t>2011-FY</t>
  </si>
  <si>
    <t>2012-FY</t>
  </si>
  <si>
    <t>2008-Q1</t>
  </si>
  <si>
    <t>2008-Q2</t>
  </si>
  <si>
    <t>2008-Q3</t>
  </si>
  <si>
    <t>2008-Q4</t>
  </si>
  <si>
    <t>2005-Q3</t>
  </si>
  <si>
    <t>2000-FY</t>
  </si>
  <si>
    <t>2001-FY</t>
  </si>
  <si>
    <t>2002-FY</t>
  </si>
  <si>
    <t>2003-FY</t>
  </si>
  <si>
    <t>3Q13</t>
  </si>
  <si>
    <t>1999-FY</t>
  </si>
  <si>
    <t>2002-Q1</t>
  </si>
  <si>
    <t>2002-Q2</t>
  </si>
  <si>
    <t>2002-Q3</t>
  </si>
  <si>
    <t>2002-Q4</t>
  </si>
  <si>
    <t>Year</t>
  </si>
  <si>
    <t>2003-Q1</t>
  </si>
  <si>
    <t>2003-Q2</t>
  </si>
  <si>
    <t>2003-Q3</t>
  </si>
  <si>
    <t>2003-Q4</t>
  </si>
  <si>
    <t>2001-Q2</t>
  </si>
  <si>
    <t>2001-Q3</t>
  </si>
  <si>
    <t>2001-Q4</t>
  </si>
  <si>
    <t>2001-Q1</t>
  </si>
  <si>
    <t>2000-Q2</t>
  </si>
  <si>
    <t>2000-Q3</t>
  </si>
  <si>
    <t>2000-Q4</t>
  </si>
  <si>
    <t>2000-Q1</t>
  </si>
  <si>
    <t>Non-controlling Interests</t>
  </si>
  <si>
    <t>Total Long-Term Liabilities</t>
  </si>
  <si>
    <t>Other Assets / Sales</t>
  </si>
  <si>
    <t>1Q10</t>
  </si>
  <si>
    <t>FY 2009</t>
  </si>
  <si>
    <t>1Q01</t>
  </si>
  <si>
    <t>2Q01</t>
  </si>
  <si>
    <t>3Q01</t>
  </si>
  <si>
    <t>4Q01</t>
  </si>
  <si>
    <t>FY 2001</t>
  </si>
  <si>
    <t>1Q00</t>
  </si>
  <si>
    <t>2Q00</t>
  </si>
  <si>
    <t>3Q00</t>
  </si>
  <si>
    <t>4Q00</t>
  </si>
  <si>
    <t>FY 2000</t>
  </si>
  <si>
    <t>FY 1999</t>
  </si>
  <si>
    <t>Cash at End of Period</t>
  </si>
  <si>
    <t>Drivers</t>
  </si>
  <si>
    <t>Net Cash from Financing</t>
  </si>
  <si>
    <t>This sheet contains Factset binary data for use with this workbook's =FDS codes.  Modifying the worksheet's contents may damage the workbook's =FDS functionality.</t>
  </si>
  <si>
    <t>vs. LY</t>
  </si>
  <si>
    <t>Diluted EPS</t>
  </si>
  <si>
    <t>Inventories</t>
  </si>
  <si>
    <t>Total Assets</t>
  </si>
  <si>
    <t>Cash Flow</t>
  </si>
  <si>
    <t>3Q09</t>
  </si>
  <si>
    <t>2004-FY</t>
  </si>
  <si>
    <t>2005-FY</t>
  </si>
  <si>
    <t>2006-FY</t>
  </si>
  <si>
    <t>2007-FY</t>
  </si>
  <si>
    <t>2008-FY</t>
  </si>
  <si>
    <t>2009-FY</t>
  </si>
  <si>
    <t>2010-FY</t>
  </si>
  <si>
    <t>Balance Sheet</t>
  </si>
  <si>
    <t>2006-Q2</t>
  </si>
  <si>
    <t>2006-Q3</t>
  </si>
  <si>
    <t>2006-Q4</t>
  </si>
  <si>
    <t>2009-Q2</t>
  </si>
  <si>
    <t>2009-Q3</t>
  </si>
  <si>
    <t>2009-Q4</t>
  </si>
  <si>
    <t>SG&amp;A / Sales</t>
  </si>
  <si>
    <t>Days Receivables</t>
  </si>
  <si>
    <t>Days Payables</t>
  </si>
  <si>
    <t>Inventory Days' Supply</t>
  </si>
  <si>
    <t>4Q07</t>
  </si>
  <si>
    <t>1Q08</t>
  </si>
  <si>
    <t>2Q08</t>
  </si>
  <si>
    <t>3Q08</t>
  </si>
  <si>
    <t>4Q08</t>
  </si>
  <si>
    <t>1Q09</t>
  </si>
  <si>
    <t>2Q09</t>
  </si>
  <si>
    <t>Cash at Beginning of Period</t>
  </si>
  <si>
    <t>Accumulated OCI</t>
  </si>
  <si>
    <t>Free Cash Flow</t>
  </si>
  <si>
    <t>Extraordinary Items</t>
  </si>
  <si>
    <t>Others</t>
  </si>
  <si>
    <t>FY 2013</t>
  </si>
  <si>
    <t>2Q14</t>
  </si>
  <si>
    <t>3Q14</t>
  </si>
  <si>
    <t>2018-FY</t>
  </si>
  <si>
    <t>2019-FY</t>
  </si>
  <si>
    <t>2020-FY</t>
  </si>
  <si>
    <t>FY 2018E</t>
  </si>
  <si>
    <t>FY 2019E</t>
  </si>
  <si>
    <t>FY 2020E</t>
  </si>
  <si>
    <t>4Q14</t>
  </si>
  <si>
    <t>1Q15</t>
  </si>
  <si>
    <t>2Q15</t>
  </si>
  <si>
    <t>3Q15</t>
  </si>
  <si>
    <t>4Q15</t>
  </si>
  <si>
    <t>1Q16</t>
  </si>
  <si>
    <t>2Q16</t>
  </si>
  <si>
    <t>132</t>
  </si>
  <si>
    <t>3Q16</t>
  </si>
  <si>
    <t>1Q17</t>
  </si>
  <si>
    <t>2Q17</t>
  </si>
  <si>
    <t>3Q17</t>
  </si>
  <si>
    <t>4Q17</t>
  </si>
  <si>
    <t>4Q16</t>
  </si>
  <si>
    <t>FY 2016</t>
  </si>
  <si>
    <t>FY 2015</t>
  </si>
  <si>
    <t>2021-FY</t>
  </si>
  <si>
    <t>FY 2021E</t>
  </si>
  <si>
    <t>MSA10866</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</si>
  <si>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</si>
  <si>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</si>
  <si>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</si>
  <si>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</si>
  <si>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</si>
  <si>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</si>
  <si>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</si>
  <si>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</si>
  <si>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Adam Jonas</t>
  </si>
  <si>
    <t>Industry: Autos &amp; Shared Mobility</t>
  </si>
  <si>
    <t>Industry View: Cautious</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</si>
  <si>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</si>
  <si>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</si>
  <si>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</si>
  <si>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</si>
  <si>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</si>
  <si>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</si>
  <si>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</si>
  <si>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</si>
  <si>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</si>
  <si>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</si>
  <si>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</si>
  <si>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</si>
  <si>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</si>
  <si>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</si>
  <si>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</si>
  <si>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</si>
  <si>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</si>
  <si>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</si>
  <si>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</si>
  <si>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</si>
  <si>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</si>
  <si>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</si>
  <si>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</si>
  <si>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</si>
  <si>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</si>
  <si>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</si>
  <si>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</si>
  <si>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</si>
  <si>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</si>
  <si>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</si>
  <si>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</si>
  <si>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</si>
  <si>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</si>
  <si>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</si>
  <si>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</si>
  <si>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</si>
  <si>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</si>
  <si>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</si>
  <si>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</si>
  <si>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</si>
  <si>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</si>
  <si>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</si>
  <si>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</si>
  <si>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</si>
  <si>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</si>
  <si>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</si>
  <si>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</si>
  <si>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</si>
  <si>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</si>
  <si>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</si>
  <si>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</si>
  <si>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</si>
  <si>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</si>
  <si>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</si>
  <si>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</si>
  <si>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</si>
  <si>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</si>
  <si>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</si>
  <si>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</si>
  <si>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</si>
  <si>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</si>
  <si>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</si>
  <si>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</si>
  <si>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</si>
  <si>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</si>
  <si>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</si>
  <si>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</si>
  <si>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</si>
  <si>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</si>
  <si>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</si>
  <si>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</si>
  <si>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</si>
  <si>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</si>
  <si>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</si>
  <si>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</si>
  <si>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</si>
  <si>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</si>
  <si>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</si>
  <si>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</si>
  <si>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</si>
  <si>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</si>
  <si>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</si>
  <si>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</si>
  <si>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</si>
  <si>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</si>
  <si>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</si>
  <si>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</si>
  <si>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</si>
  <si>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</si>
  <si>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</si>
  <si>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</si>
  <si>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</si>
  <si>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</si>
  <si>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</si>
  <si>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</si>
  <si>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</si>
  <si>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</si>
  <si>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</si>
  <si>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</si>
  <si>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</si>
  <si>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</si>
  <si>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</si>
  <si>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</si>
  <si>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</si>
  <si>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</si>
  <si>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</si>
  <si>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</si>
  <si>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</si>
  <si>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</si>
  <si>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</si>
  <si>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</si>
  <si>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</si>
  <si>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</si>
  <si>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</si>
  <si>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</si>
  <si>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</si>
  <si>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</si>
  <si>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</si>
  <si>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</si>
  <si>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</si>
  <si>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</si>
  <si>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</si>
  <si>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</si>
  <si>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</si>
  <si>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</si>
  <si>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</si>
  <si>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</si>
  <si>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</si>
  <si>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</si>
  <si>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</si>
  <si>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</si>
  <si>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</si>
  <si>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</si>
  <si>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</si>
  <si>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</si>
  <si>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</si>
  <si>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</si>
  <si>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</si>
  <si>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</si>
  <si>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</si>
  <si>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</si>
  <si>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</si>
  <si>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</si>
  <si>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</si>
  <si>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</si>
  <si>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</si>
  <si>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</si>
  <si>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</si>
  <si>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</si>
  <si>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</si>
  <si>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</si>
  <si>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</si>
  <si>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</si>
  <si>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</si>
  <si>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</si>
  <si>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</si>
  <si>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</si>
  <si>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</si>
  <si>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</si>
  <si>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</si>
  <si>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</si>
  <si>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</si>
  <si>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</si>
  <si>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</si>
  <si>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</si>
  <si>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</si>
  <si>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</si>
  <si>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</si>
  <si>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</si>
  <si>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</si>
  <si>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</si>
  <si>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</si>
  <si>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</si>
  <si>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</si>
  <si>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</si>
  <si>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</si>
  <si>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</si>
  <si>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</si>
  <si>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</si>
  <si>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</si>
  <si>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</si>
  <si>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</si>
  <si>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</si>
  <si>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</si>
  <si>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</si>
  <si>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</si>
  <si>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</si>
  <si>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</si>
  <si>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</si>
  <si>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</si>
  <si>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</si>
  <si>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</si>
  <si>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</si>
  <si>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</si>
  <si>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</si>
  <si>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</si>
  <si>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</si>
  <si>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</si>
  <si>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</si>
  <si>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</si>
  <si>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</si>
  <si>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</si>
  <si>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</si>
  <si>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</si>
  <si>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</si>
  <si>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</si>
  <si>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</si>
  <si>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</si>
  <si>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</si>
  <si>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</si>
  <si>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</si>
  <si>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</si>
  <si>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</si>
  <si>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</si>
  <si>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</si>
  <si>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</si>
  <si>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</si>
  <si>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</si>
  <si>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</si>
  <si>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</si>
  <si>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</si>
  <si>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</si>
  <si>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</si>
  <si>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</si>
  <si>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</si>
  <si>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</si>
  <si>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</si>
  <si>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</si>
  <si>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</si>
  <si>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</si>
  <si>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</si>
  <si>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</si>
  <si>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</si>
  <si>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</si>
  <si>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</si>
  <si>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</si>
  <si>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</si>
  <si>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</si>
  <si>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</si>
  <si>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</si>
  <si>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</si>
  <si>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</si>
  <si>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</si>
  <si>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Within the last 12 months, Morgan Stanley has provided or is providing investment banking services to,</t>
  </si>
  <si>
    <t>Within the last 12 months, Morgan Stanley has received compensation for products and services other than</t>
  </si>
  <si>
    <t>In the next 3 months, Morgan Stanley expects to receive or intends to seek compensation for investment</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</si>
  <si>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</si>
  <si>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</si>
  <si>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</si>
  <si>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</si>
  <si>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</si>
  <si>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Adam Jonas,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</si>
  <si>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</si>
  <si>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</si>
  <si>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</si>
  <si>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</si>
  <si>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</si>
  <si>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</si>
  <si>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</si>
  <si>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</si>
  <si>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</si>
  <si>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</si>
  <si>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</si>
  <si>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</si>
  <si>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</si>
  <si>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</si>
  <si>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</si>
  <si>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</si>
  <si>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</si>
  <si>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</si>
  <si>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</si>
  <si>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</si>
  <si>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</si>
  <si>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</si>
  <si>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</si>
  <si>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</si>
  <si>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</si>
  <si>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</si>
  <si>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</si>
  <si>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</si>
  <si>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</si>
  <si>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</si>
  <si>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</si>
  <si>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</si>
  <si>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</si>
  <si>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</si>
  <si>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</si>
  <si>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</si>
  <si>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</si>
  <si>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</si>
  <si>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</si>
  <si>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</si>
  <si>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</si>
  <si>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</si>
  <si>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</si>
  <si>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</si>
  <si>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</si>
  <si>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</si>
  <si>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</si>
  <si>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</si>
  <si>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</si>
  <si>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</si>
  <si>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</si>
  <si>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</si>
  <si>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</si>
  <si>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</si>
  <si>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</si>
  <si>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</si>
  <si>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</si>
  <si>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</si>
  <si>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</si>
  <si>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</si>
  <si>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</si>
  <si>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</si>
  <si>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</si>
  <si>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</si>
  <si>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</si>
  <si>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</si>
  <si>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NorthAmerica</t>
  </si>
  <si>
    <t>[BRO MSA]</t>
  </si>
  <si>
    <t>[PRODUCT MODEL]</t>
  </si>
  <si>
    <t>[EMAIL_ALERT YES]</t>
  </si>
  <si>
    <t>[DISCIPLINE Company]</t>
  </si>
  <si>
    <t>[SUPPRESSED NO]</t>
  </si>
  <si>
    <t>[COU 1]</t>
  </si>
  <si>
    <t>[ANA ]</t>
  </si>
  <si>
    <t>[IND AUTMAN AUTPTS TIRRUB]</t>
  </si>
  <si>
    <t>[PANA MSA10866]</t>
  </si>
  <si>
    <t>Ford Motor Company (F)</t>
  </si>
  <si>
    <t>Cash and cash equivalents</t>
  </si>
  <si>
    <t>Marketable securities</t>
  </si>
  <si>
    <t>Trade and other receivables,</t>
  </si>
  <si>
    <t>Financial Services finance receivables, net</t>
  </si>
  <si>
    <t>Net investment in operating leases</t>
  </si>
  <si>
    <t>Net Property</t>
  </si>
  <si>
    <t>Equity in net assets of affiliated companies</t>
  </si>
  <si>
    <t>Deferred income taxes</t>
  </si>
  <si>
    <t>Other liabilities and deferred revenue</t>
  </si>
  <si>
    <t>Automotive debt payable within one year</t>
  </si>
  <si>
    <t>Financial Services debt payable within one year</t>
  </si>
  <si>
    <t>Automotive Long Term Debt</t>
  </si>
  <si>
    <t>Financial Services long-term debt </t>
  </si>
  <si>
    <t xml:space="preserve">Capital stock </t>
  </si>
  <si>
    <t xml:space="preserve">Class B stock </t>
  </si>
  <si>
    <t>Redeemable noncontrolling interest</t>
  </si>
  <si>
    <t>Net intangible assets</t>
  </si>
  <si>
    <t>Capital Spending</t>
  </si>
  <si>
    <t>Acqisitions of finance receivables and operating leases</t>
  </si>
  <si>
    <t>Collections of finance receivables and operating leases</t>
  </si>
  <si>
    <t>Purchases of equity and debt securities</t>
  </si>
  <si>
    <t>Sales and maturities of equity and debt securities</t>
  </si>
  <si>
    <t>Settlements of derivatives</t>
  </si>
  <si>
    <t>Cash dividends</t>
  </si>
  <si>
    <t>Net changes in short-term debt</t>
  </si>
  <si>
    <t>Proceeds from issuance of other debt</t>
  </si>
  <si>
    <t>Principal payments on other debt</t>
  </si>
  <si>
    <t xml:space="preserve">Automotive: Net cash provided by/(used in) operating activities </t>
  </si>
  <si>
    <t xml:space="preserve">Automotive Free cash flow </t>
  </si>
  <si>
    <t xml:space="preserve">Automotive Capital spending </t>
  </si>
  <si>
    <t>Proceeds from sale of business</t>
  </si>
  <si>
    <t>Elimination of cash balances upon disposition of discontinued/held-for-sale operations</t>
  </si>
  <si>
    <t>Net acquisitions of daily rental vehicles</t>
  </si>
  <si>
    <t>Cash paid for acquisitions</t>
  </si>
  <si>
    <t>Proceeds from sales of retail and other finance receivables and operating leases</t>
  </si>
  <si>
    <t>Cumulative correction of Financial Services prior period error</t>
  </si>
  <si>
    <t>(Purchases)/Sales of Common Stock</t>
  </si>
  <si>
    <t>Net investing activity with Financial Services</t>
  </si>
  <si>
    <t>Net financing activity with Automotive</t>
  </si>
  <si>
    <t>Restatment of Cash</t>
  </si>
  <si>
    <t xml:space="preserve"> Federal</t>
  </si>
  <si>
    <t>Foreign</t>
  </si>
  <si>
    <t>State</t>
  </si>
  <si>
    <t>Revenues</t>
  </si>
  <si>
    <t>Automotive</t>
  </si>
  <si>
    <t>Financial Services</t>
  </si>
  <si>
    <t xml:space="preserve">Total revenues </t>
  </si>
  <si>
    <t>Cost of sales</t>
  </si>
  <si>
    <t>CoS / Sales</t>
  </si>
  <si>
    <t>Selling, administrative, and other expenses</t>
  </si>
  <si>
    <t>Financial Services interest, operating, and other expenses</t>
  </si>
  <si>
    <t>Others / Sales</t>
  </si>
  <si>
    <t xml:space="preserve">Non-Financial Services other income/(loss), net </t>
  </si>
  <si>
    <t xml:space="preserve">Financial Services other income/(loss), net </t>
  </si>
  <si>
    <t>Equity in net income of affiliated companies</t>
  </si>
  <si>
    <t>Income before income taxes</t>
  </si>
  <si>
    <t>Provision for/(Benefit from) income taxes</t>
  </si>
  <si>
    <t>Net income</t>
  </si>
  <si>
    <t>Income/(Loss) attributable to noncontrolling interests</t>
  </si>
  <si>
    <t>Noncontrolling interests / Net Income</t>
  </si>
  <si>
    <t>Net income attributable to Ford Motor Company</t>
  </si>
  <si>
    <t>Dividends from Preferance shares</t>
  </si>
  <si>
    <t>Units (000's)</t>
  </si>
  <si>
    <t xml:space="preserve">North America </t>
  </si>
  <si>
    <t>South America</t>
  </si>
  <si>
    <t>Europe (incl ME and Aftica)</t>
  </si>
  <si>
    <t>Asia Pacific</t>
  </si>
  <si>
    <t xml:space="preserve">Total International </t>
  </si>
  <si>
    <t>Total International</t>
  </si>
  <si>
    <t>Revenue / unit</t>
  </si>
  <si>
    <t>Pre-tax Profit</t>
  </si>
  <si>
    <t>Other Automotive</t>
  </si>
  <si>
    <t>Ongoing Automotive</t>
  </si>
  <si>
    <t>Special Items</t>
  </si>
  <si>
    <t>Total Pre-tax Profit</t>
  </si>
  <si>
    <t>FY 2014</t>
  </si>
  <si>
    <t>PAG/Volvo</t>
  </si>
  <si>
    <t>2018-Q1</t>
  </si>
  <si>
    <t>2018-Q2</t>
  </si>
  <si>
    <t>2018-Q3</t>
  </si>
  <si>
    <t>2018-Q4</t>
  </si>
  <si>
    <t>1Q18</t>
  </si>
  <si>
    <t>2Q18</t>
  </si>
  <si>
    <t>3Q18</t>
  </si>
  <si>
    <t>4Q18</t>
  </si>
  <si>
    <t>Ford NA</t>
  </si>
  <si>
    <t>Starting</t>
  </si>
  <si>
    <t>Volume</t>
  </si>
  <si>
    <t>Mix</t>
  </si>
  <si>
    <t>Cost Savings</t>
  </si>
  <si>
    <t>Materials / Commodities</t>
  </si>
  <si>
    <t>FX</t>
  </si>
  <si>
    <t xml:space="preserve">Ending </t>
  </si>
  <si>
    <t>Variable Margin on Volume</t>
  </si>
  <si>
    <t>Pricing as % of Sales</t>
  </si>
  <si>
    <t>Raw Materials as % of Sales</t>
  </si>
  <si>
    <t>Ford S. America</t>
  </si>
  <si>
    <t>Ford Europe (Incl ME and Africa)</t>
  </si>
  <si>
    <t>Ford Asia</t>
  </si>
  <si>
    <t>Depreciation and  amortization</t>
  </si>
  <si>
    <t>Net change in wholesale and other receivables</t>
  </si>
  <si>
    <t>Provision for deferred income taxes</t>
  </si>
  <si>
    <t>Decrease/(Increase) in accounts receivable and other assets</t>
  </si>
  <si>
    <t>Decrease/(Increase) in inventory</t>
  </si>
  <si>
    <t>Increase/(Decrease) in accounts payable and accrued and other liabilities</t>
  </si>
  <si>
    <t>Net Changes in WC</t>
  </si>
  <si>
    <t>Financial Services finance receivables, net (Current)</t>
  </si>
  <si>
    <t>Financial Services finance receivables, net (Non-Current)</t>
  </si>
  <si>
    <t>FINCO Factor Bridge</t>
  </si>
  <si>
    <t>Financing Margin</t>
  </si>
  <si>
    <t>Credit Loss</t>
  </si>
  <si>
    <t>Lease Residual</t>
  </si>
  <si>
    <t>Important Numbers</t>
  </si>
  <si>
    <t>Total Debt</t>
  </si>
  <si>
    <t>Cash</t>
  </si>
  <si>
    <t>Net Debt (Cash)</t>
  </si>
  <si>
    <t>Interest Rate</t>
  </si>
  <si>
    <t>Unrecognized Goodwill</t>
  </si>
  <si>
    <t>Statuatory Tax Rate</t>
  </si>
  <si>
    <t>For Global Comps</t>
  </si>
  <si>
    <t>Industrial net debt (excl. pensions &amp; OPEB)</t>
  </si>
  <si>
    <t>Pensions &amp; OPEB</t>
  </si>
  <si>
    <t>Industrial net debt (incl. pensions &amp; OPEB)</t>
  </si>
  <si>
    <t>Pension &amp; OPEB Expense</t>
  </si>
  <si>
    <t>Industrial EBITDA</t>
  </si>
  <si>
    <t>Industrial EBITDAP</t>
  </si>
  <si>
    <t>Industrial NOPAT</t>
  </si>
  <si>
    <t>Industrial capital employed</t>
  </si>
  <si>
    <t>Autos total debt</t>
  </si>
  <si>
    <t>Ford Motor</t>
  </si>
  <si>
    <t>US$ millions</t>
  </si>
  <si>
    <t>INCOME STATEMENT ITEMS</t>
  </si>
  <si>
    <r>
      <t>Service Cost</t>
    </r>
    <r>
      <rPr>
        <i/>
        <sz val="8"/>
        <color indexed="53"/>
        <rFont val="Arial"/>
        <family val="2"/>
      </rPr>
      <t xml:space="preserve"> (enter as negative)</t>
    </r>
  </si>
  <si>
    <t>mstag:serviceCostPensions</t>
  </si>
  <si>
    <t>ISO4217:USD</t>
  </si>
  <si>
    <r>
      <t>Prior Service Costs</t>
    </r>
    <r>
      <rPr>
        <sz val="8"/>
        <color indexed="53"/>
        <rFont val="Arial"/>
        <family val="2"/>
      </rPr>
      <t xml:space="preserve"> </t>
    </r>
    <r>
      <rPr>
        <i/>
        <sz val="8"/>
        <color indexed="53"/>
        <rFont val="Arial"/>
        <family val="2"/>
      </rPr>
      <t>(enter as negative)</t>
    </r>
  </si>
  <si>
    <t>mstag:amortizationOfPriorServiceCostPensions</t>
  </si>
  <si>
    <r>
      <t>Interest Cost</t>
    </r>
    <r>
      <rPr>
        <sz val="8"/>
        <color indexed="53"/>
        <rFont val="Arial"/>
        <family val="2"/>
      </rPr>
      <t xml:space="preserve"> </t>
    </r>
    <r>
      <rPr>
        <i/>
        <sz val="8"/>
        <color indexed="53"/>
        <rFont val="Arial"/>
        <family val="2"/>
      </rPr>
      <t>(enter as negative)</t>
    </r>
  </si>
  <si>
    <t>mstag:interestCostPensions</t>
  </si>
  <si>
    <r>
      <t>Expected Return on Plan Assets</t>
    </r>
    <r>
      <rPr>
        <sz val="8"/>
        <color indexed="53"/>
        <rFont val="Arial"/>
        <family val="2"/>
      </rPr>
      <t xml:space="preserve"> </t>
    </r>
    <r>
      <rPr>
        <i/>
        <sz val="8"/>
        <color indexed="53"/>
        <rFont val="Arial"/>
        <family val="2"/>
      </rPr>
      <t>(enter as positive)</t>
    </r>
  </si>
  <si>
    <t>mstag:expectedReturnOnPlanAssetsPensions</t>
  </si>
  <si>
    <t>mstag:netActuarialGainLossRecognizedPensions</t>
  </si>
  <si>
    <t>SFAS 87 Transition Gain (Loss)</t>
  </si>
  <si>
    <t>mstag:otherNetPensionExpense</t>
  </si>
  <si>
    <t>Recurring Reported Benefit (Expense) to EBIT:</t>
  </si>
  <si>
    <t>Other Non-recurring Adjustments</t>
  </si>
  <si>
    <t>mstag:nonRecurringPensionItems</t>
  </si>
  <si>
    <t>mstag:weightedAverageDiscountRatePensions</t>
  </si>
  <si>
    <t>ms_eqr_gcim_Decimal:ms_eqr_gcim_decimal</t>
  </si>
  <si>
    <t>mstag:rateOfIncreaseInFutureCompensationLevels</t>
  </si>
  <si>
    <t>mstag:expectedLongTermRateOfReturnOnPlanAssetsPensions</t>
  </si>
  <si>
    <t>FORECASTS - BALANCE SHEET</t>
  </si>
  <si>
    <r>
      <t>Present value of pension liabilities - beginning of period</t>
    </r>
    <r>
      <rPr>
        <b/>
        <i/>
        <sz val="8"/>
        <color indexed="53"/>
        <rFont val="Arial"/>
        <family val="2"/>
      </rPr>
      <t xml:space="preserve"> (enter as negative number)</t>
    </r>
  </si>
  <si>
    <t>Plan amendments</t>
  </si>
  <si>
    <t>Actuarial adjustments</t>
  </si>
  <si>
    <r>
      <t>Benefits paid</t>
    </r>
    <r>
      <rPr>
        <i/>
        <sz val="8"/>
        <rFont val="Arial"/>
        <family val="2"/>
      </rPr>
      <t xml:space="preserve"> </t>
    </r>
    <r>
      <rPr>
        <i/>
        <sz val="8"/>
        <color indexed="53"/>
        <rFont val="Arial"/>
        <family val="2"/>
      </rPr>
      <t>(enter as positive number)</t>
    </r>
  </si>
  <si>
    <t>mstag:benefitsPaidToRetireesPensions</t>
  </si>
  <si>
    <t>Change in consolidation (Acquisitions/Dispositions)</t>
  </si>
  <si>
    <t>Exchange gains/losses</t>
  </si>
  <si>
    <t>Settlements and curtailments</t>
  </si>
  <si>
    <t xml:space="preserve">Other </t>
  </si>
  <si>
    <t>mstag:projectedBenefitObligationPensions</t>
  </si>
  <si>
    <t>Plan assets - beginning of period</t>
  </si>
  <si>
    <t>mstag:actualReturnOnPlanAssetsPensions</t>
  </si>
  <si>
    <r>
      <t>Contributions</t>
    </r>
    <r>
      <rPr>
        <i/>
        <sz val="8"/>
        <color indexed="53"/>
        <rFont val="Arial"/>
        <family val="2"/>
      </rPr>
      <t xml:space="preserve"> (enter as positive number)</t>
    </r>
  </si>
  <si>
    <t>mstag:contributionToPlanAssetsPensions</t>
  </si>
  <si>
    <r>
      <t>Benefits paid - funded schemes</t>
    </r>
    <r>
      <rPr>
        <i/>
        <sz val="8"/>
        <color indexed="53"/>
        <rFont val="Arial"/>
        <family val="2"/>
      </rPr>
      <t xml:space="preserve"> (enter as negative number)</t>
    </r>
  </si>
  <si>
    <t>mstag:benefitsPaidToRetireesInAssetsPensions</t>
  </si>
  <si>
    <t>mstag:planAssetsAtFairValuePensions</t>
  </si>
  <si>
    <t>Reconciliation of funded status to net amount recognized</t>
  </si>
  <si>
    <r>
      <t>Unrecognized prior service costs - beginning</t>
    </r>
    <r>
      <rPr>
        <i/>
        <sz val="8"/>
        <rFont val="Arial"/>
        <family val="2"/>
      </rPr>
      <t xml:space="preserve"> </t>
    </r>
    <r>
      <rPr>
        <i/>
        <sz val="8"/>
        <color indexed="53"/>
        <rFont val="Arial"/>
        <family val="2"/>
      </rPr>
      <t>(enter as positive number)</t>
    </r>
  </si>
  <si>
    <t>Recognized in period</t>
  </si>
  <si>
    <r>
      <t>Unrecognized prior service costs</t>
    </r>
    <r>
      <rPr>
        <sz val="8"/>
        <rFont val="Arial"/>
        <family val="2"/>
      </rPr>
      <t xml:space="preserve"> - end of period</t>
    </r>
    <r>
      <rPr>
        <i/>
        <sz val="8"/>
        <color indexed="53"/>
        <rFont val="Arial"/>
        <family val="2"/>
      </rPr>
      <t xml:space="preserve"> (enter as positive number)</t>
    </r>
  </si>
  <si>
    <t>Unrecognized actuarial (gain) / loss - beginning</t>
  </si>
  <si>
    <t>Arising in period (changes in assumptions underlying the PV of liability)</t>
  </si>
  <si>
    <t>Actual return less expected return</t>
  </si>
  <si>
    <r>
      <t>Unrecognized actuarial (gain) / loss</t>
    </r>
    <r>
      <rPr>
        <sz val="8"/>
        <rFont val="Arial"/>
        <family val="2"/>
      </rPr>
      <t xml:space="preserve"> - end</t>
    </r>
  </si>
  <si>
    <t>Adjustment to fourth quarter contributions</t>
  </si>
  <si>
    <t>Unrecognized net transition asset</t>
  </si>
  <si>
    <r>
      <t>Net amounts recognized</t>
    </r>
    <r>
      <rPr>
        <sz val="8"/>
        <color indexed="53"/>
        <rFont val="Arial"/>
        <family val="2"/>
      </rPr>
      <t xml:space="preserve"> (through Income Statement)</t>
    </r>
  </si>
  <si>
    <r>
      <t xml:space="preserve">Amounts recognized directly against equity (AOCI) </t>
    </r>
    <r>
      <rPr>
        <i/>
        <sz val="8"/>
        <color indexed="53"/>
        <rFont val="Arial"/>
        <family val="2"/>
      </rPr>
      <t>(enter as positive number)</t>
    </r>
  </si>
  <si>
    <r>
      <t xml:space="preserve">Accruals, accounts payable &amp; other balance sheet pension liabilities </t>
    </r>
    <r>
      <rPr>
        <i/>
        <sz val="8"/>
        <color indexed="53"/>
        <rFont val="Arial"/>
        <family val="2"/>
      </rPr>
      <t>(enter as negative)</t>
    </r>
  </si>
  <si>
    <r>
      <t>Prepaid pension asset / benefit cost</t>
    </r>
    <r>
      <rPr>
        <i/>
        <sz val="8"/>
        <color indexed="53"/>
        <rFont val="Arial"/>
        <family val="2"/>
      </rPr>
      <t xml:space="preserve"> (input as positive)</t>
    </r>
  </si>
  <si>
    <r>
      <t>Intangible Asset</t>
    </r>
    <r>
      <rPr>
        <i/>
        <sz val="8"/>
        <color indexed="53"/>
        <rFont val="Arial"/>
        <family val="2"/>
      </rPr>
      <t xml:space="preserve"> (input as positive)</t>
    </r>
  </si>
  <si>
    <t>Amounts recognized in balance sheet</t>
  </si>
  <si>
    <t>mstag:netPensionPrepaidAssetAccruedLiability</t>
  </si>
  <si>
    <t>mstag:deferredTaxAssetsFinancing</t>
  </si>
  <si>
    <t>Calculation of the Market Related Value of Plan Assets (MRVPA)</t>
  </si>
  <si>
    <t>Market related value of assets at beginning of year</t>
  </si>
  <si>
    <t>Expected return on assets</t>
  </si>
  <si>
    <t>Contributions</t>
  </si>
  <si>
    <t>Benefits paid</t>
  </si>
  <si>
    <t>Participants contributions</t>
  </si>
  <si>
    <t>Smoothing of actual gains/losses</t>
  </si>
  <si>
    <t>Estimate of MRVPA</t>
  </si>
  <si>
    <t>(Losses) / gains on plan assets not yet reflected in MRVPA</t>
  </si>
  <si>
    <t xml:space="preserve">Actual return less expected return </t>
  </si>
  <si>
    <t>Alternate calculation of amortization of actuarial gain (loss)</t>
  </si>
  <si>
    <t>Maximum 10% (PBO, MRVPA)</t>
  </si>
  <si>
    <t>Unrecognized prior service costs - end of period</t>
  </si>
  <si>
    <t>Unrecognized actuarial gain / (loss)</t>
  </si>
  <si>
    <t>Net unrecognized actuarial gain / (loss) subject to corridor</t>
  </si>
  <si>
    <t>Net unrecognized actuarial gain / (loss) in excess of corridor</t>
  </si>
  <si>
    <t>Recognized Actuarial Gain / (Loss) for Subsequent Year:</t>
  </si>
  <si>
    <t>Alternate calculation of prior service costs recognized in period</t>
  </si>
  <si>
    <t>Recognized in last ACTUAL period</t>
  </si>
  <si>
    <t>Unrecognized at end of last ACTUAL period</t>
  </si>
  <si>
    <t>To be recognized in each forecast period</t>
  </si>
  <si>
    <t>Still to be recognized</t>
  </si>
  <si>
    <t>Amendments in the forecast period</t>
  </si>
  <si>
    <t>To be recognized in 1st forecast period</t>
  </si>
  <si>
    <t>Amendments still to be recognized</t>
  </si>
  <si>
    <t>To be recognized in 2nd forecast period</t>
  </si>
  <si>
    <t>To be recognized in 3rd forecast period</t>
  </si>
  <si>
    <t>To be recognized in 4th forecast period</t>
  </si>
  <si>
    <t>To be recognized in 5th forecast period</t>
  </si>
  <si>
    <t>Deficit Reduction Contribution Calculations</t>
  </si>
  <si>
    <t>Funded Status</t>
  </si>
  <si>
    <t>Funded Ratio</t>
  </si>
  <si>
    <t>Percent Contribution</t>
  </si>
  <si>
    <t>Estimated Amount Contributed</t>
  </si>
  <si>
    <t>Pension Adjustments in the Income Statement</t>
  </si>
  <si>
    <t>Adjustment Method #1</t>
  </si>
  <si>
    <t>Pension Expense Forecasted from Template</t>
  </si>
  <si>
    <t>Actual Pension Expense from the Last Reported Period</t>
  </si>
  <si>
    <t>New Adjustment to Operating Expenses</t>
  </si>
  <si>
    <t>Adjustment Method #2</t>
  </si>
  <si>
    <t>Operating Expense Growth Rate</t>
  </si>
  <si>
    <t>Implied Pension Expense</t>
  </si>
  <si>
    <t>Ford Motor OPEB</t>
  </si>
  <si>
    <t>ElementName</t>
  </si>
  <si>
    <t>ScaleOverride</t>
  </si>
  <si>
    <t>UnitOverride</t>
  </si>
  <si>
    <t>ReverseSign</t>
  </si>
  <si>
    <t>IsDrivingAssumption</t>
  </si>
  <si>
    <t>SegmentID</t>
  </si>
  <si>
    <t>mstag:serviceCostOpeb</t>
  </si>
  <si>
    <t>mstag:amortizationOfPriorServiceCostOpeb</t>
  </si>
  <si>
    <t>mstag:interestCostOpeb</t>
  </si>
  <si>
    <t>mstag:expectedReturnOnPlanAssetsOpeb</t>
  </si>
  <si>
    <t>SFAS 106 Transition Gain (Loss)</t>
  </si>
  <si>
    <t>mstag:otherNetExpenseOpeb</t>
  </si>
  <si>
    <t>mstag:netActuarialGainLossRecognizedOpeb</t>
  </si>
  <si>
    <t>Other Non-Recurring Adjustments</t>
  </si>
  <si>
    <t>mstag:nonRecurringOpebItems</t>
  </si>
  <si>
    <t>Reported Benefit (Expense) to EBIT:</t>
  </si>
  <si>
    <t>mstag:benefitsPaidToRetireesOpeb</t>
  </si>
  <si>
    <t>Actuarial Gain (Loss)</t>
  </si>
  <si>
    <t>Plan Amendments</t>
  </si>
  <si>
    <t>Settlements and Curtailments</t>
  </si>
  <si>
    <t>mstag:projectedBenefitObligationOpeb</t>
  </si>
  <si>
    <t>mstag:actualReturnOnPlanAssetsOpeb</t>
  </si>
  <si>
    <t>mstag:contributionToPlanAssetsOpeb</t>
  </si>
  <si>
    <t>mstag:benefitsPaidToRetireesInAssetsOpeb</t>
  </si>
  <si>
    <t>mstag:planAssetsAtFairValueOpeb</t>
  </si>
  <si>
    <t>Funded Status Add (Deduct):</t>
  </si>
  <si>
    <t>SFAS 106 Transition Gain</t>
  </si>
  <si>
    <t>Movement in Combined Net OPEB Prepaid Asset / (Accrued Liability)</t>
  </si>
  <si>
    <t>Net Prepaid Asset / (Accrued Liability) at Beginning of Period</t>
  </si>
  <si>
    <t>Net Pension Cost for Period</t>
  </si>
  <si>
    <t>Employer Cash Contribution &amp; Net Benefits Paid</t>
  </si>
  <si>
    <t>Other Movement</t>
  </si>
  <si>
    <t>Net Prepaid Asset / (Accrued Liability) at End of Period</t>
  </si>
  <si>
    <t>mstag:netOpebAssetsLiabilitiesRecognizedInTheBalanceSheet</t>
  </si>
  <si>
    <t>OPEB Actuarial Assumptions</t>
  </si>
  <si>
    <t>mstag:weightedAverageDiscountRateOpeb</t>
  </si>
  <si>
    <t>mstag:expectedLongTermRateOfReturnOnPlanAssetsOpeb</t>
  </si>
  <si>
    <t>mstag:expectedRateOfHealthCareCostIncreaseShortTerm</t>
  </si>
  <si>
    <t>Proposed Healthcare Cost Trend Rate</t>
  </si>
  <si>
    <t>mstag:expectedRateOfHealthCareCostIncreaseLongTerm</t>
  </si>
  <si>
    <t>Implied Remaining Workforce Years</t>
  </si>
  <si>
    <r>
      <t xml:space="preserve">Accumulated benefit Obligation </t>
    </r>
    <r>
      <rPr>
        <b/>
        <sz val="8"/>
        <rFont val="Arial"/>
        <family val="2"/>
      </rPr>
      <t>(ABO)</t>
    </r>
  </si>
  <si>
    <t>Impact to Liability from Changes in Assumptions</t>
  </si>
  <si>
    <t>Impact on PBO from 100 bp Increase in Discount Rate</t>
  </si>
  <si>
    <t>Impact on PBO from 100 bp Decrease in Discount Rate</t>
  </si>
  <si>
    <t>Impact on PBO from 100 bp Increase in Healthcare Trend Rate</t>
  </si>
  <si>
    <t>Impact on PBO from 100 bp Decrease in Healthcare Trend Rate</t>
  </si>
  <si>
    <t>Percentage Change in Liabilities / 100 bp Increase (Discount Rate)</t>
  </si>
  <si>
    <t>Percentage Change in Liabilities / 100 bp Decrease (Discount Rate)</t>
  </si>
  <si>
    <t>Percentage Change in Liabilities / 100 bp Increase (Healthcare)</t>
  </si>
  <si>
    <t>Percentage Change in Liabilities / 100 bp Decrease (Healthcare)</t>
  </si>
  <si>
    <t>Actuarial Gain (Loss) from Changes in Discount Rate</t>
  </si>
  <si>
    <t>Actuarial Gain (Loss) from Changes in Healthcare Trend Rate</t>
  </si>
  <si>
    <t>Impact to Expense from Changes in Assumptions</t>
  </si>
  <si>
    <t>Percentage Change in Service Cost / 100 bp Change (Discount Rate)</t>
  </si>
  <si>
    <t>Percentage Change in Service Cost / 100 bp Change (Healthcare)</t>
  </si>
  <si>
    <t>Impact to Service Cost from Changes in Discount Rate</t>
  </si>
  <si>
    <t>Impact to Service Cost from Changes in Healthcare Trend Rate</t>
  </si>
  <si>
    <t>Calculation of Amortization of Actuarial Gain (Loss)</t>
  </si>
  <si>
    <t>Recognized Gain (Loss) for Subsequent Year:</t>
  </si>
  <si>
    <t>Expected Return</t>
  </si>
  <si>
    <t>Actual Return</t>
  </si>
  <si>
    <t>Difference: Actual Less Expected</t>
  </si>
  <si>
    <t>Calculation of Prior Service Cost</t>
  </si>
  <si>
    <t>Unamortized Prior Service Cost (Beg Period)</t>
  </si>
  <si>
    <t>+ Plan Amendments During the Year</t>
  </si>
  <si>
    <t>- Amortization of Prior Service Cost</t>
  </si>
  <si>
    <t>Unamortized Prior Service Cost (End Period)</t>
  </si>
  <si>
    <t>Beginning Period Amortization of Prior Service Cost</t>
  </si>
  <si>
    <t>+ Amortization of New Plan Amendments</t>
  </si>
  <si>
    <t>- Retired Amortization of Plan Amendments</t>
  </si>
  <si>
    <t>% of Beginning Period Amortization</t>
  </si>
  <si>
    <t>Ending Period Amortization of Prior Service Cost</t>
  </si>
  <si>
    <t>Automotive-Cash &amp; Equivalents</t>
  </si>
  <si>
    <t>Automotive-Marketable Securities</t>
  </si>
  <si>
    <t xml:space="preserve">Automotive-Depreciation Expense </t>
  </si>
  <si>
    <t>Automotive-Amortization of Tools</t>
  </si>
  <si>
    <t>F.N</t>
  </si>
  <si>
    <t>Ford Motor Company</t>
  </si>
  <si>
    <t>Proceeds from issuance</t>
  </si>
  <si>
    <t>F.N,mscalc:closePriceCurrencyCalc</t>
  </si>
  <si>
    <t>F.N,mscalc:sedolCodeCalc</t>
  </si>
  <si>
    <t>F.N,mscalc:targetPrice,,,,USD</t>
  </si>
  <si>
    <t>$AR$3</t>
  </si>
  <si>
    <t>2615468</t>
  </si>
  <si>
    <t>9</t>
  </si>
  <si>
    <t>Units</t>
  </si>
  <si>
    <t>Equated</t>
  </si>
  <si>
    <t>Restatement</t>
  </si>
  <si>
    <t>Ford Credit</t>
  </si>
  <si>
    <t>Automotive Debt</t>
  </si>
  <si>
    <t>Automotive Cash</t>
  </si>
  <si>
    <t>Depreciation - Automotive</t>
  </si>
  <si>
    <t>Depreciation - Financial Services</t>
  </si>
  <si>
    <t>Total Depreciation</t>
  </si>
  <si>
    <t>D&amp;A / Sales</t>
  </si>
  <si>
    <t>Capex as % of D&amp;A</t>
  </si>
  <si>
    <t>Dividend per F Share</t>
  </si>
  <si>
    <t>Automotive Net Debt (Cash)</t>
  </si>
  <si>
    <t>Auto D&amp;A / Auto Sales</t>
  </si>
  <si>
    <t>Dividend per share</t>
  </si>
  <si>
    <t>Ford Sum-of-Parts Model</t>
  </si>
  <si>
    <t>($mm except per share items)</t>
  </si>
  <si>
    <t>2018e</t>
  </si>
  <si>
    <t>Multiple</t>
  </si>
  <si>
    <t xml:space="preserve">Sales </t>
  </si>
  <si>
    <t>Sales  (%)</t>
  </si>
  <si>
    <t>EBITDA (x)</t>
  </si>
  <si>
    <t>Value</t>
  </si>
  <si>
    <t>Per Share ($)</t>
  </si>
  <si>
    <t>Margin (%)</t>
  </si>
  <si>
    <t>Notes:</t>
  </si>
  <si>
    <t>Ford Core</t>
  </si>
  <si>
    <t>Ford China (JVs)</t>
  </si>
  <si>
    <t>(DCF Model)</t>
  </si>
  <si>
    <t>Ford F-Series</t>
  </si>
  <si>
    <t>Excluding China</t>
  </si>
  <si>
    <t>Ford Transit, Ranger, E Series (ex China)</t>
  </si>
  <si>
    <t>SUVs and Crossovers (Expedition, Explorer, Bronco, ex China)</t>
  </si>
  <si>
    <t>Global unit volume of just these 3 nameplates</t>
  </si>
  <si>
    <t>Ford Europe + Middle East &amp; Africa (ex Trucks/SUVs)</t>
  </si>
  <si>
    <t>NM</t>
  </si>
  <si>
    <t>Assume Ford Europe is a modest negative</t>
  </si>
  <si>
    <t>Ford S. America (ex Trucks/SUVs)</t>
  </si>
  <si>
    <t>Approx 20% EV/Sales</t>
  </si>
  <si>
    <t>Ford Asia Pacific (ex China JVs, ex Trucks/SUVs)</t>
  </si>
  <si>
    <t>Approx 25% EV/Sales</t>
  </si>
  <si>
    <t>Other (NA pass car, including elim)</t>
  </si>
  <si>
    <t>Total Ford Core</t>
  </si>
  <si>
    <t>Ford Future</t>
  </si>
  <si>
    <t>Ford Autonomous (Argo AI, etc)</t>
  </si>
  <si>
    <t>Ford Shared Mobility (Chariot, etc)</t>
  </si>
  <si>
    <t>Ford EV Assets &amp; IP</t>
  </si>
  <si>
    <t>Lincoln (ex China)</t>
  </si>
  <si>
    <t>Total Ford Future</t>
  </si>
  <si>
    <t xml:space="preserve">Total Company </t>
  </si>
  <si>
    <t>Net Cash</t>
  </si>
  <si>
    <t>Pension</t>
  </si>
  <si>
    <t>Equity Value</t>
  </si>
  <si>
    <t>Current Price</t>
  </si>
  <si>
    <t>Premium (discount) to SOTP</t>
  </si>
  <si>
    <t>Diluted Shares Outstanding</t>
  </si>
  <si>
    <t>DCF Valuation ($mm)</t>
  </si>
  <si>
    <t>Year Ending</t>
  </si>
  <si>
    <t>Standalone Fair Value</t>
  </si>
  <si>
    <t>Last Reported Year</t>
  </si>
  <si>
    <t>Risk Free Rate</t>
  </si>
  <si>
    <t>NPV</t>
  </si>
  <si>
    <t>Levered Beta</t>
  </si>
  <si>
    <t>Unlevered Beta</t>
  </si>
  <si>
    <t>Market Premium</t>
  </si>
  <si>
    <t>Sharecount</t>
  </si>
  <si>
    <t>Cost of Equity</t>
  </si>
  <si>
    <t>Fair Value</t>
  </si>
  <si>
    <t>Cost of Debt</t>
  </si>
  <si>
    <t>Equity / Capital</t>
  </si>
  <si>
    <t>Debt / Captial</t>
  </si>
  <si>
    <t>Tax Rate</t>
  </si>
  <si>
    <t>WACC</t>
  </si>
  <si>
    <t>Terminal Growth</t>
  </si>
  <si>
    <t>DCF Analysis</t>
  </si>
  <si>
    <t>D&amp;A</t>
  </si>
  <si>
    <t>Change in Working Capital</t>
  </si>
  <si>
    <t>Other OCF</t>
  </si>
  <si>
    <t>Capital Expenditure</t>
  </si>
  <si>
    <t>Terminal Value</t>
  </si>
  <si>
    <t>PV of Cash Flows</t>
  </si>
  <si>
    <t>Net Debt (Net Cash)</t>
  </si>
  <si>
    <t>Pretax Income</t>
  </si>
  <si>
    <t>Income margin</t>
  </si>
  <si>
    <t>Pension Liability</t>
  </si>
  <si>
    <t>1Q18E</t>
  </si>
  <si>
    <t>2Q18E</t>
  </si>
  <si>
    <t>3Q18E</t>
  </si>
  <si>
    <t>4Q18E</t>
  </si>
  <si>
    <t>Mobility</t>
  </si>
  <si>
    <t>Adjusted EBIT</t>
  </si>
  <si>
    <t>Total adjusted EBIT</t>
  </si>
  <si>
    <t>Adjusted EBIT/Unit</t>
  </si>
  <si>
    <t>Corporate Other</t>
  </si>
  <si>
    <t>% Change</t>
  </si>
  <si>
    <t>FY 2017</t>
  </si>
  <si>
    <t>Geographic EBIT Walks</t>
  </si>
  <si>
    <t>Prior year EBIT</t>
  </si>
  <si>
    <t>Ending EBIT</t>
  </si>
  <si>
    <t>Company Adjusted EBIT</t>
  </si>
  <si>
    <t>Other adjustments, reconciliations to Adj. EBIT</t>
  </si>
  <si>
    <t>Interest on Debt</t>
  </si>
  <si>
    <t>Special items pre-tax</t>
  </si>
  <si>
    <t>Other adjustments / Sales</t>
  </si>
  <si>
    <t>(Valued at 0.8x Adjusted Book Equity, Dec '17). Defined as Managed Receivables less Debt.</t>
  </si>
  <si>
    <t>EBIT / Unit</t>
  </si>
  <si>
    <t>25% discount to DCF of Chinese business (4.0x EBITDA)</t>
  </si>
  <si>
    <t xml:space="preserve">US, non-US pension after 23% tax.  Ex OPEB. </t>
  </si>
  <si>
    <t>Pretax Margin</t>
  </si>
  <si>
    <t>Raised base case valuation to $12 (from $10)</t>
  </si>
  <si>
    <t>$1  from higher SAAR.</t>
  </si>
  <si>
    <t>$1 from restructuring savings.</t>
  </si>
  <si>
    <t>Bull Case (SOTP):</t>
  </si>
  <si>
    <t>Base Case:</t>
  </si>
  <si>
    <t>Weighted Target</t>
  </si>
  <si>
    <t>Date: 14 Mar 2018</t>
  </si>
  <si>
    <t>Ticker: F.N</t>
  </si>
  <si>
    <t>Stock Rating: Overweight</t>
  </si>
  <si>
    <t>Price as of 14 Mar 2018: 10.78</t>
  </si>
  <si>
    <t>Target Price: 15</t>
  </si>
  <si>
    <t>Morgan Stanley &amp; Co. LLC makes a market in the securities of Ford Motor Company.</t>
  </si>
  <si>
    <t>(as of February 28, 2018)</t>
  </si>
  <si>
    <t>Morgan Stanley &amp; Co. International PLC and its affiliates have a significant financial interest in the</t>
  </si>
  <si>
    <t>debt securities of Ford Motor Company.</t>
  </si>
  <si>
    <t>from whom Morgan Stanley received investment banking compensation in the last 12 months. Due to rounding</t>
  </si>
  <si>
    <t>off of decimals, the percentages provided in the "% of total" column may not add up to exactly 100</t>
  </si>
  <si>
    <t>percent.</t>
  </si>
  <si>
    <t>has a client relationship with the following company: Ford Motor Company.</t>
  </si>
  <si>
    <t>or has an investment banking client relationship with, the following company: Ford Motor Company.</t>
  </si>
  <si>
    <t>investment banking services from Ford Motor Company.</t>
  </si>
  <si>
    <t>banking services from Ford Motor Company.</t>
  </si>
  <si>
    <t>Within the last 12 months, Morgan Stanley has received compensation for investment banking services from</t>
  </si>
  <si>
    <t>Ford Motor Company.</t>
  </si>
  <si>
    <t>Within the last 12 months, Morgan Stanley managed or co-managed a public offering (or 144A offering) of</t>
  </si>
  <si>
    <t>securities of Ford Motor Company.</t>
  </si>
  <si>
    <t>As of February 28, 2018, Morgan Stanley beneficially owned 1% or more of a class of common equity</t>
  </si>
  <si>
    <t>securities of the following companies covered in Morgan Stanley Research: Ford Motor Company.</t>
  </si>
  <si>
    <t>© Copyright 2018 Morgan Stanley</t>
  </si>
  <si>
    <t>Overweight / Cautious</t>
  </si>
  <si>
    <t>Regular Update</t>
  </si>
  <si>
    <t>guptevai</t>
  </si>
  <si>
    <t>L:\AUTOS\Valuation\Models\F Model.xlsm</t>
  </si>
  <si>
    <t>[DOCDAT 2018-03-14]</t>
  </si>
  <si>
    <t>[DOCTIME 08:36]</t>
  </si>
  <si>
    <t>[PSYM F.N(S&amp;P) (None)]</t>
  </si>
  <si>
    <t>[HL F.N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</si>
</sst>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83">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_(* #,##0.0_);_(* \(#,##0.0\);_(* &quot;-&quot;??_);_(@_)"/>
    <numFmt numFmtId="167" formatCode="_(* #,##0_);_(* \(#,##0\);_(* &quot;-&quot;??_);_(@_)"/>
    <numFmt numFmtId="168" formatCode="0.0"/>
    <numFmt numFmtId="169" formatCode="0.0%"/>
    <numFmt numFmtId="170" formatCode="_(* #,##0.000_);_(* \(#,##0.000\);_(* &quot;-&quot;??_);_(@_)"/>
    <numFmt numFmtId="171" formatCode="_(&quot;$&quot;* #,##0_);_(&quot;$&quot;* \(#,##0\);_(&quot;$&quot;* &quot;-&quot;??_);_(@_)"/>
    <numFmt numFmtId="172" formatCode="#,##0.0_);\(#,##0.0\)"/>
    <numFmt numFmtId="173" formatCode="0.0\x"/>
    <numFmt numFmtId="174" formatCode="_(* #,##0.0%_);_(* \-#,##0.0%;_(* &quot;-&quot;??_);_(@_)"/>
    <numFmt numFmtId="175" formatCode="_(* #,##0.00\ %_);_(* \(#,##0.00\ %\);_(* &quot;-&quot;??_);_(@_)"/>
    <numFmt numFmtId="176" formatCode="_(* #,##0.0\ %_);_(* \(#,##0.0\ %\);_(* &quot;-&quot;??_);_(@_)"/>
    <numFmt numFmtId="177" formatCode="_(* #,##0.0\ \x_);_(* \(#,##0.0\ \x\);_(* &quot;-&quot;??_);_(@_)"/>
    <numFmt numFmtId="179" formatCode="[$-409]mmm\-yy;@"/>
    <numFmt numFmtId="180" formatCode="0.0%;\ \(0.0%\)"/>
    <numFmt numFmtId="181" formatCode="0.00%;[Red]\(0.00%\)"/>
    <numFmt numFmtId="182" formatCode="#,##0;\(#,##0\)"/>
    <numFmt numFmtId="184" formatCode="###0&quot;E&quot;"/>
    <numFmt numFmtId="185" formatCode="_-* #,##0_-;\-* #,##0_-;_-* &quot;-&quot;??_-;_-@_-"/>
    <numFmt numFmtId="187" formatCode="\F####\A"/>
    <numFmt numFmtId="188" formatCode="\F####\E"/>
    <numFmt numFmtId="189" formatCode="yyyy"/>
    <numFmt numFmtId="190" formatCode="_ * #,##0_ ;_ * \-#,##0_ ;_ * &quot;-&quot;_ ;_ @_ "/>
    <numFmt numFmtId="193" formatCode="0.0%_);\(0.0%\);&quot;–&quot;_)"/>
    <numFmt numFmtId="195" formatCode="#,##0.0"/>
    <numFmt numFmtId="196" formatCode="\£\ #,##0_);[Red]\(\£\ #,##0\)"/>
    <numFmt numFmtId="197" formatCode="\¥\ #,##0_);[Red]\(\¥\ #,##0\)"/>
    <numFmt numFmtId="198" formatCode="m\-d\-yy"/>
    <numFmt numFmtId="199" formatCode="\•\ \ @"/>
    <numFmt numFmtId="200" formatCode="\ \ _•\–\ \ \ \ @"/>
    <numFmt numFmtId="201" formatCode="00"/>
    <numFmt numFmtId="202" formatCode="0.00_)"/>
    <numFmt numFmtId="203" formatCode="&quot;$&quot;#,##0.0;\(&quot;$&quot;#,##0.0\)"/>
    <numFmt numFmtId="204" formatCode="0.0%;[Red]\(0.0%\)"/>
    <numFmt numFmtId="205" formatCode="_(* #,##0.0_);_(* \(#,##0.0\);_(* &quot;--- &quot;_)"/>
    <numFmt numFmtId="206" formatCode="#,##0.0\ \ \ _);\(#,##0.0\)\ \ "/>
    <numFmt numFmtId="207" formatCode="_-* #,##0.00\ _F_-;\-* #,##0.00\ _F_-;_-* &quot;-&quot;??\ _F_-;_-@_-"/>
    <numFmt numFmtId="208" formatCode="General_)"/>
    <numFmt numFmtId="209" formatCode="&quot;£&quot;#,##0.00_);[Red]\(&quot;£&quot;#,##0.00\)"/>
    <numFmt numFmtId="210" formatCode="[Red][&gt;0.0000001]\+#,##0.?#;[Red][&lt;-0.0000001]\-#,##0.?#;[Green]&quot;=  &quot;"/>
    <numFmt numFmtId="211" formatCode="0.000_)"/>
    <numFmt numFmtId="212" formatCode="_(\§\ #,##0_)\ ;[Red]\(\§\ #,##0\)\ ;&quot; - &quot;;_(@\ _)"/>
    <numFmt numFmtId="213" formatCode="_(\§\ #,##0.00_);[Red]\(\§\ #,##0.00\);&quot; - &quot;_0_0;_(@_)"/>
    <numFmt numFmtId="214" formatCode="0.0%;[Red]\-0.0%;&quot;-- &quot;_%;_-@_%"/>
    <numFmt numFmtId="215" formatCode="m/d/yy\ h:mm"/>
    <numFmt numFmtId="216" formatCode="#,##0.0;\(###0.0\)"/>
    <numFmt numFmtId="217" formatCode="&quot;$&quot;\ \ #,##0.00_);[Red]\(&quot;$&quot;#,##0.00\)"/>
    <numFmt numFmtId="218" formatCode="mmm\-yyyy"/>
    <numFmt numFmtId="219" formatCode="_(* #,##0.0_);_(* \(#,##0.0\);_(* &quot;-&quot;?_);_(@_)"/>
    <numFmt numFmtId="220" formatCode="&quot;$&quot;\ \ #,##0.0_);[Red]\(&quot;$&quot;#,##0.0\)"/>
    <numFmt numFmtId="221" formatCode="0.00;\-0.00;0.00"/>
    <numFmt numFmtId="222" formatCode="#,##0.00_);[Red]\(#,##0.00\)\ &quot;x&quot;"/>
    <numFmt numFmtId="223" formatCode="0.00000000000000000%"/>
    <numFmt numFmtId="224" formatCode="##0.00000"/>
    <numFmt numFmtId="225" formatCode="General;\-General;General;"/>
    <numFmt numFmtId="226" formatCode="mmm\ dd\,\ yyyy"/>
    <numFmt numFmtId="227" formatCode="[White]General"/>
    <numFmt numFmtId="228" formatCode="_(General_)"/>
    <numFmt numFmtId="229" formatCode="#,##0.0;\(#,##0.0\)"/>
    <numFmt numFmtId="230" formatCode="0.00\ "/>
    <numFmt numFmtId="231" formatCode="mm/dd/yy\ hh:mm"/>
    <numFmt numFmtId="232" formatCode="###0"/>
    <numFmt numFmtId="233" formatCode="_-* #,##0.0_-;\-* #,##0.0_-;_-* &quot;-&quot;??_-;_-@_-"/>
    <numFmt numFmtId="234" formatCode="#,##0.000_);\(#,##0.000\)"/>
    <numFmt numFmtId="235" formatCode="####"/>
    <numFmt numFmtId="236" formatCode="####\E"/>
    <numFmt numFmtId="237" formatCode="_(* #,##0.00_);_(* \(#,##0.00\);_(* &quot;-&quot;_);_(@_)"/>
    <numFmt numFmtId="238" formatCode="0.0%;\(0.0%\)"/>
    <numFmt numFmtId="245" formatCode="0.00000"/>
    <numFmt numFmtId="246" formatCode="0.0_)"/>
    <numFmt numFmtId="247" formatCode="_-[$€]* #,##0.00_-;\-[$€]* #,##0.00_-;_-[$€]* &quot;-&quot;??_-;_-@_-"/>
    <numFmt numFmtId="248" formatCode="#\ #/#"/>
    <numFmt numFmtId="249" formatCode="#,###"/>
    <numFmt numFmtId="250" formatCode="#,##0.0_);\(#,##0.0\);\–_);&quot;–&quot;_)"/>
    <numFmt numFmtId="251" formatCode="&quot;$&quot;#,##0_);\(&quot;$&quot;#,##0\);\–_);&quot;–&quot;_)"/>
  </numFmts>
  <fonts count="177">
    <font>
      <sz val="9"/>
      <name val="Arial"/>
    </font>
    <font>
      <sz val="10"/>
      <name val="Arial"/>
      <family val="2"/>
    </font>
    <font>
      <sz val="8"/>
      <name val="Arial"/>
      <family val="2"/>
    </font>
    <font>
      <b/>
      <sz val="10"/>
      <name val="Arial"/>
      <family val="2"/>
    </font>
    <font>
      <sz val="8"/>
      <color indexed="81"/>
      <name val="Tahoma"/>
      <family val="2"/>
    </font>
    <font>
      <b/>
      <sz val="8"/>
      <color indexed="81"/>
      <name val="Tahoma"/>
      <family val="2"/>
    </font>
    <font>
      <sz val="10"/>
      <name val="Arial"/>
      <family val="2"/>
    </font>
    <font>
      <b/>
      <sz val="8"/>
      <name val="Arial"/>
      <family val="2"/>
    </font>
    <font>
      <sz val="10"/>
      <color indexed="12"/>
      <name val="Arial"/>
      <family val="2"/>
    </font>
    <font>
      <sz val="8"/>
      <color indexed="12"/>
      <name val="Arial"/>
      <family val="2"/>
    </font>
    <font>
      <i/>
      <sz val="8"/>
      <name val="Arial"/>
      <family val="2"/>
    </font>
    <font>
      <sz val="10"/>
      <name val="MS Sans Serif"/>
      <family val="2"/>
    </font>
    <font>
      <sz val="9"/>
      <color indexed="18"/>
      <name val="Arial"/>
      <family val="2"/>
    </font>
    <font>
      <b/>
      <sz val="9"/>
      <name val="Arial"/>
      <family val="2"/>
    </font>
    <font>
      <b/>
      <sz val="10"/>
      <color indexed="10"/>
      <name val="Arial"/>
      <family val="2"/>
    </font>
    <font>
      <sz val="10"/>
      <color indexed="8"/>
      <name val="Arial"/>
      <family val="2"/>
    </font>
    <font>
      <sz val="9"/>
      <name val="Arial"/>
      <family val="2"/>
    </font>
    <font>
      <sz val="11"/>
      <name val="Arial"/>
      <family val="2"/>
    </font>
    <font>
      <sz val="9"/>
      <color indexed="18"/>
      <name val="Arial"/>
      <family val="2"/>
    </font>
    <font>
      <sz val="8"/>
      <color indexed="22"/>
      <name val="Arial"/>
      <family val="2"/>
    </font>
    <font>
      <sz val="9"/>
      <color indexed="8"/>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color indexed="9"/>
      <name val="Arial"/>
      <family val="2"/>
    </font>
    <font>
      <b/>
      <sz val="10"/>
      <color indexed="11"/>
      <name val="Arial"/>
      <family val="2"/>
    </font>
    <font>
      <b/>
      <sz val="12"/>
      <name val="Arial"/>
      <family val="2"/>
    </font>
    <font>
      <sz val="10"/>
      <color indexed="9"/>
      <name val="Arial"/>
      <family val="2"/>
    </font>
    <font>
      <sz val="10"/>
      <color indexed="9"/>
      <name val="Arial"/>
      <family val="2"/>
    </font>
    <font>
      <sz val="10"/>
      <color indexed="19"/>
      <name val="Arial"/>
      <family val="2"/>
    </font>
    <font>
      <sz val="10"/>
      <color indexed="53"/>
      <name val="Arial"/>
      <family val="2"/>
    </font>
    <font>
      <i/>
      <sz val="10"/>
      <name val="Arial"/>
      <family val="2"/>
    </font>
    <font>
      <b/>
      <u/>
      <sz val="10"/>
      <name val="Arial"/>
      <family val="2"/>
    </font>
    <font>
      <b/>
      <sz val="10"/>
      <color indexed="12"/>
      <name val="Arial"/>
      <family val="2"/>
    </font>
    <font>
      <b/>
      <i/>
      <sz val="8"/>
      <color indexed="10"/>
      <name val="Arial"/>
      <family val="2"/>
    </font>
    <font>
      <b/>
      <sz val="8"/>
      <color indexed="10"/>
      <name val="Arial"/>
      <family val="2"/>
    </font>
    <font>
      <sz val="8"/>
      <color indexed="53"/>
      <name val="Arial"/>
      <family val="2"/>
    </font>
    <font>
      <sz val="10"/>
      <color indexed="16"/>
      <name val="Arial"/>
      <family val="2"/>
    </font>
    <font>
      <b/>
      <sz val="10"/>
      <color indexed="8"/>
      <name val="Arial"/>
      <family val="2"/>
    </font>
    <font>
      <u/>
      <sz val="8"/>
      <color indexed="12"/>
      <name val="Arial"/>
      <family val="2"/>
    </font>
    <font>
      <i/>
      <sz val="8"/>
      <color indexed="23"/>
      <name val="Arial"/>
      <family val="2"/>
    </font>
    <font>
      <sz val="10"/>
      <color indexed="22"/>
      <name val="Arial"/>
      <family val="2"/>
    </font>
    <font>
      <sz val="12"/>
      <name val="바탕체"/>
      <family val="1"/>
      <charset val="129"/>
    </font>
    <font>
      <sz val="10"/>
      <color indexed="18"/>
      <name val="Arial"/>
      <family val="2"/>
    </font>
    <font>
      <sz val="10"/>
      <color indexed="17"/>
      <name val="Arial"/>
      <family val="2"/>
    </font>
    <font>
      <b/>
      <sz val="14"/>
      <color indexed="9"/>
      <name val="Arial"/>
      <family val="2"/>
    </font>
    <font>
      <sz val="10"/>
      <color indexed="55"/>
      <name val="Arial"/>
      <family val="2"/>
    </font>
    <font>
      <sz val="10"/>
      <color indexed="23"/>
      <name val="Arial"/>
      <family val="2"/>
    </font>
    <font>
      <sz val="10"/>
      <color indexed="48"/>
      <name val="Arial"/>
      <family val="2"/>
    </font>
    <font>
      <sz val="10"/>
      <name val="Helv"/>
    </font>
    <font>
      <b/>
      <sz val="10"/>
      <color indexed="22"/>
      <name val="Arial"/>
      <family val="2"/>
    </font>
    <font>
      <sz val="9"/>
      <color indexed="81"/>
      <name val="Tahoma"/>
      <family val="2"/>
    </font>
    <font>
      <sz val="10"/>
      <name val="Times New Roman"/>
      <family val="1"/>
    </font>
    <font>
      <sz val="12"/>
      <name val="Times New Roman"/>
      <family val="1"/>
    </font>
    <font>
      <sz val="10"/>
      <color indexed="8"/>
      <name val="MS Sans Serif"/>
      <family val="2"/>
    </font>
    <font>
      <sz val="12"/>
      <name val="Arial MT"/>
    </font>
    <font>
      <sz val="8"/>
      <color indexed="12"/>
      <name val="Tms Rmn"/>
      <family val="1"/>
    </font>
    <font>
      <b/>
      <sz val="12"/>
      <name val="Times New Roman"/>
      <family val="1"/>
    </font>
    <font>
      <sz val="10"/>
      <color indexed="18"/>
      <name val="Times New Roman"/>
      <family val="1"/>
    </font>
    <font>
      <sz val="10"/>
      <color indexed="2"/>
      <name val="Tahoma"/>
      <family val="2"/>
    </font>
    <font>
      <b/>
      <sz val="10"/>
      <color indexed="0"/>
      <name val="Tahoma"/>
      <family val="2"/>
    </font>
    <font>
      <b/>
      <u/>
      <sz val="11"/>
      <color indexed="37"/>
      <name val="Arial"/>
      <family val="2"/>
    </font>
    <font>
      <sz val="10"/>
      <name val="Tahoma"/>
      <family val="2"/>
    </font>
    <font>
      <sz val="12"/>
      <color indexed="12"/>
      <name val="Times New Roman"/>
      <family val="1"/>
    </font>
    <font>
      <b/>
      <i/>
      <sz val="10"/>
      <color indexed="4"/>
      <name val="Tahoma"/>
      <family val="2"/>
    </font>
    <font>
      <sz val="10"/>
      <color indexed="4"/>
      <name val="Tahoma"/>
      <family val="2"/>
    </font>
    <font>
      <sz val="7"/>
      <name val="Small Fonts"/>
      <family val="2"/>
    </font>
    <font>
      <b/>
      <i/>
      <sz val="16"/>
      <name val="Helv"/>
    </font>
    <font>
      <b/>
      <sz val="13.5"/>
      <name val="MS Sans Serif"/>
      <family val="2"/>
    </font>
    <font>
      <sz val="8"/>
      <color indexed="16"/>
      <name val="Helv"/>
    </font>
    <font>
      <sz val="8"/>
      <name val="Tms Rmn"/>
    </font>
    <font>
      <sz val="11"/>
      <name val="‚l‚r ƒSƒVƒbƒN"/>
      <charset val="128"/>
    </font>
    <font>
      <sz val="9"/>
      <color indexed="12"/>
      <name val="Times New Roman"/>
      <family val="1"/>
    </font>
    <font>
      <sz val="10"/>
      <name val="Arial Narrow"/>
      <family val="2"/>
    </font>
    <font>
      <sz val="8"/>
      <name val="Times New Roman"/>
      <family val="1"/>
    </font>
    <font>
      <sz val="8"/>
      <name val="Arial MT"/>
    </font>
    <font>
      <sz val="8"/>
      <color indexed="13"/>
      <name val="Arial"/>
      <family val="2"/>
    </font>
    <font>
      <b/>
      <sz val="8"/>
      <name val="GillSans"/>
    </font>
    <font>
      <sz val="11"/>
      <name val="Tms Rmn"/>
      <family val="1"/>
    </font>
    <font>
      <sz val="8"/>
      <color indexed="8"/>
      <name val="Calibri"/>
      <family val="2"/>
    </font>
    <font>
      <i/>
      <sz val="9"/>
      <name val="MS Sans Serif"/>
      <family val="2"/>
    </font>
    <font>
      <sz val="24"/>
      <name val="Arial"/>
      <family val="2"/>
    </font>
    <font>
      <b/>
      <sz val="11"/>
      <name val="Times New Roman"/>
      <family val="1"/>
    </font>
    <font>
      <sz val="14"/>
      <color indexed="32"/>
      <name val="Times New Roman"/>
      <family val="1"/>
    </font>
    <font>
      <sz val="9"/>
      <name val="GillSans Light"/>
    </font>
    <font>
      <b/>
      <sz val="10"/>
      <color indexed="17"/>
      <name val="Helvetica"/>
      <family val="2"/>
    </font>
    <font>
      <sz val="9"/>
      <name val="Futura UBS Bk"/>
      <family val="2"/>
    </font>
    <font>
      <sz val="8"/>
      <name val="Arial Narrow"/>
      <family val="2"/>
    </font>
    <font>
      <sz val="10"/>
      <name val="GillSans Light"/>
    </font>
    <font>
      <sz val="8"/>
      <color indexed="23"/>
      <name val="Arial Narrow"/>
      <family val="2"/>
    </font>
    <font>
      <b/>
      <sz val="12"/>
      <name val="Tms Rmn"/>
    </font>
    <font>
      <sz val="10"/>
      <name val="Frutiger 45 Light"/>
      <family val="2"/>
    </font>
    <font>
      <sz val="8"/>
      <color indexed="32"/>
      <name val="Arial"/>
      <family val="2"/>
    </font>
    <font>
      <sz val="8"/>
      <color indexed="12"/>
      <name val="Helvetica"/>
      <family val="2"/>
    </font>
    <font>
      <sz val="10"/>
      <color indexed="23"/>
      <name val="MS Sans Serif"/>
      <family val="2"/>
    </font>
    <font>
      <b/>
      <sz val="10"/>
      <name val="GillSans"/>
    </font>
    <font>
      <b/>
      <sz val="10"/>
      <name val="Arial Narrow"/>
      <family val="2"/>
    </font>
    <font>
      <sz val="10"/>
      <color indexed="9"/>
      <name val="Arial Narrow"/>
      <family val="2"/>
    </font>
    <font>
      <b/>
      <sz val="11"/>
      <color indexed="9"/>
      <name val="GillSans"/>
    </font>
    <font>
      <b/>
      <sz val="11"/>
      <name val="GillSans"/>
    </font>
    <font>
      <b/>
      <sz val="9"/>
      <name val="Times New Roman"/>
      <family val="1"/>
    </font>
    <font>
      <u/>
      <sz val="8"/>
      <name val="Tms Rmn"/>
    </font>
    <font>
      <sz val="16"/>
      <name val="WarburgLogo"/>
      <family val="1"/>
    </font>
    <font>
      <sz val="10"/>
      <name val="Courier"/>
      <family val="3"/>
    </font>
    <font>
      <sz val="9"/>
      <color indexed="55"/>
      <name val="Arial"/>
      <family val="2"/>
    </font>
    <font>
      <i/>
      <sz val="10"/>
      <color indexed="55"/>
      <name val="Arial"/>
      <family val="2"/>
    </font>
    <font>
      <sz val="9"/>
      <color indexed="22"/>
      <name val="Arial"/>
      <family val="2"/>
    </font>
    <font>
      <b/>
      <sz val="10"/>
      <color indexed="55"/>
      <name val="Arial"/>
      <family val="2"/>
    </font>
    <font>
      <b/>
      <sz val="9"/>
      <color indexed="81"/>
      <name val="Tahoma"/>
      <family val="2"/>
    </font>
    <font>
      <i/>
      <sz val="9"/>
      <color indexed="55"/>
      <name val="Arial"/>
      <family val="2"/>
    </font>
    <font>
      <i/>
      <sz val="10"/>
      <color indexed="22"/>
      <name val="Arial"/>
      <family val="2"/>
    </font>
    <font>
      <i/>
      <sz val="10"/>
      <color indexed="17"/>
      <name val="Arial"/>
      <family val="2"/>
    </font>
    <font>
      <sz val="8"/>
      <color indexed="8"/>
      <name val="Arial"/>
      <family val="2"/>
    </font>
    <font>
      <b/>
      <sz val="10"/>
      <color indexed="53"/>
      <name val="Arial"/>
      <family val="2"/>
    </font>
    <font>
      <i/>
      <sz val="8"/>
      <color indexed="53"/>
      <name val="Arial"/>
      <family val="2"/>
    </font>
    <font>
      <sz val="8"/>
      <color indexed="19"/>
      <name val="Arial"/>
      <family val="2"/>
    </font>
    <font>
      <sz val="8"/>
      <color indexed="10"/>
      <name val="Arial"/>
      <family val="2"/>
    </font>
    <font>
      <b/>
      <i/>
      <sz val="8"/>
      <color indexed="53"/>
      <name val="Arial"/>
      <family val="2"/>
    </font>
    <font>
      <b/>
      <sz val="8"/>
      <color indexed="53"/>
      <name val="Arial"/>
      <family val="2"/>
    </font>
    <font>
      <sz val="8"/>
      <color indexed="21"/>
      <name val="Arial"/>
      <family val="2"/>
    </font>
    <font>
      <b/>
      <sz val="8"/>
      <color indexed="8"/>
      <name val="Arial"/>
      <family val="2"/>
    </font>
    <font>
      <b/>
      <sz val="8"/>
      <color indexed="63"/>
      <name val="Arial"/>
      <family val="2"/>
    </font>
    <font>
      <u/>
      <sz val="8"/>
      <name val="Arial"/>
      <family val="2"/>
    </font>
    <font>
      <sz val="8"/>
      <color indexed="63"/>
      <name val="Arial"/>
      <family val="2"/>
    </font>
    <font>
      <sz val="8"/>
      <color indexed="17"/>
      <name val="Arial"/>
      <family val="2"/>
    </font>
    <font>
      <b/>
      <sz val="8"/>
      <color indexed="12"/>
      <name val="Arial"/>
      <family val="2"/>
    </font>
    <font>
      <b/>
      <u/>
      <sz val="8"/>
      <name val="Arial"/>
      <family val="2"/>
    </font>
    <font>
      <u/>
      <sz val="8"/>
      <color indexed="81"/>
      <name val="Tahoma"/>
      <family val="2"/>
    </font>
    <font>
      <sz val="8"/>
      <color indexed="16"/>
      <name val="Arial"/>
      <family val="2"/>
    </font>
    <font>
      <b/>
      <sz val="8"/>
      <color indexed="11"/>
      <name val="Arial"/>
      <family val="2"/>
    </font>
    <font>
      <b/>
      <sz val="9"/>
      <color indexed="53"/>
      <name val="Arial"/>
      <family val="2"/>
    </font>
    <font>
      <b/>
      <i/>
      <sz val="8"/>
      <name val="Arial"/>
      <family val="2"/>
    </font>
    <font>
      <b/>
      <i/>
      <sz val="8"/>
      <color indexed="23"/>
      <name val="Arial"/>
      <family val="2"/>
    </font>
    <font>
      <i/>
      <sz val="9"/>
      <name val="Arial"/>
      <family val="2"/>
    </font>
    <font>
      <b/>
      <sz val="9"/>
      <color indexed="12"/>
      <name val="Arial"/>
      <family val="2"/>
    </font>
    <font>
      <sz val="9"/>
      <color indexed="12"/>
      <name val="Arial"/>
      <family val="2"/>
    </font>
    <font>
      <sz val="9"/>
      <name val="Times New Roman"/>
      <family val="1"/>
    </font>
    <font>
      <sz val="11"/>
      <color theme="1"/>
      <name val="Calibri"/>
      <family val="2"/>
      <scheme val="minor"/>
    </font>
    <font>
      <sz val="10"/>
      <color theme="1"/>
      <name val="Segoe UI"/>
      <family val="2"/>
    </font>
    <font>
      <sz val="10"/>
      <color theme="1"/>
      <name val="Verdana"/>
      <family val="2"/>
    </font>
    <font>
      <sz val="10"/>
      <color theme="4"/>
      <name val="Arial"/>
      <family val="2"/>
    </font>
    <font>
      <sz val="10"/>
      <color theme="1"/>
      <name val="Arial"/>
      <family val="2"/>
    </font>
    <font>
      <sz val="10"/>
      <color rgb="FF0070C0"/>
      <name val="Arial"/>
      <family val="2"/>
    </font>
    <font>
      <sz val="10"/>
      <color rgb="FFFF0000"/>
      <name val="Arial"/>
      <family val="2"/>
    </font>
    <font>
      <b/>
      <sz val="10"/>
      <color rgb="FFFF0000"/>
      <name val="Arial"/>
      <family val="2"/>
    </font>
    <font>
      <sz val="10"/>
      <color rgb="FF000000"/>
      <name val="Arial"/>
      <family val="2"/>
    </font>
    <font>
      <b/>
      <sz val="12"/>
      <color rgb="FF000080"/>
      <name val="Arial"/>
      <family val="2"/>
    </font>
    <font>
      <sz val="10"/>
      <color theme="3" tint="0.39997558519241921"/>
      <name val="Arial"/>
      <family val="2"/>
    </font>
    <font>
      <sz val="10"/>
      <color theme="0" tint="-0.34998626667073579"/>
      <name val="Arial"/>
      <family val="2"/>
    </font>
    <font>
      <sz val="9"/>
      <color rgb="FFFF0000"/>
      <name val="Arial"/>
      <family val="2"/>
    </font>
    <font>
      <b/>
      <sz val="10"/>
      <color theme="0"/>
      <name val="Arial"/>
      <family val="2"/>
    </font>
    <font>
      <sz val="10"/>
      <color rgb="FF4091BF"/>
      <name val="Arial"/>
      <family val="2"/>
    </font>
    <font>
      <sz val="10"/>
      <color rgb="FF0000FF"/>
      <name val="Arial"/>
      <family val="2"/>
    </font>
    <font>
      <i/>
      <sz val="10"/>
      <color rgb="FF0000FF"/>
      <name val="Arial"/>
      <family val="2"/>
    </font>
    <font>
      <i/>
      <sz val="10"/>
      <color rgb="FF4091BF"/>
      <name val="Arial"/>
      <family val="2"/>
    </font>
    <font>
      <sz val="10"/>
      <color theme="0"/>
      <name val="Arial"/>
      <family val="2"/>
    </font>
    <font>
      <sz val="10"/>
      <color rgb="FF4F81BD"/>
      <name val="Arial"/>
      <family val="2"/>
    </font>
    <font>
      <i/>
      <sz val="10"/>
      <color rgb="FF3366FF"/>
      <name val="Arial"/>
      <family val="2"/>
    </font>
    <font>
      <b/>
      <sz val="10"/>
      <color rgb="FFC00000"/>
      <name val="Arial"/>
      <family val="2"/>
    </font>
    <font>
      <b/>
      <sz val="16"/>
      <name val="Arial"/>
      <family val="2"/>
    </font>
    <font>
      <b/>
      <i/>
      <sz val="9"/>
      <name val="Arial"/>
      <family val="2"/>
    </font>
    <font>
      <b/>
      <sz val="9"/>
      <color theme="3" tint="0.39997558519241921"/>
      <name val="Arial"/>
      <family val="2"/>
    </font>
    <font>
      <sz val="9"/>
      <color theme="4"/>
      <name val="Arial"/>
      <family val="2"/>
    </font>
    <font>
      <i/>
      <sz val="9"/>
      <color indexed="8"/>
      <name val="Arial"/>
      <family val="2"/>
    </font>
    <font>
      <sz val="9"/>
      <color theme="3" tint="0.39997558519241921"/>
      <name val="Arial"/>
      <family val="2"/>
    </font>
    <font>
      <sz val="9"/>
      <color rgb="FF00B0F0"/>
      <name val="Arial"/>
      <family val="2"/>
    </font>
    <font>
      <i/>
      <sz val="8"/>
      <name val="Tms Rmn"/>
    </font>
    <font>
      <b/>
      <sz val="11"/>
      <name val="Tms Rmn"/>
    </font>
    <font>
      <sz val="10"/>
      <name val="Tms Rmn"/>
    </font>
    <font>
      <sz val="9"/>
      <name val="Tms Rmn"/>
    </font>
    <font>
      <sz val="10"/>
      <name val="Arial"/>
      <family val="2"/>
    </font>
    <font>
      <sz val="9"/>
      <color theme="0"/>
      <name val="Arial"/>
      <family val="2"/>
    </font>
    <font>
      <b/>
      <sz val="9"/>
      <color indexed="8"/>
      <name val="Arial"/>
      <family val="2"/>
    </font>
    <font>
      <b/>
      <sz val="14"/>
      <color theme="0"/>
      <name val="Arial"/>
      <family val="2"/>
    </font>
    <font>
      <i/>
      <sz val="10"/>
      <color theme="0"/>
      <name val="Arial"/>
      <family val="2"/>
    </font>
    <font>
      <sz val="10"/>
      <color theme="3"/>
      <name val="Arial"/>
      <family val="2"/>
    </font>
  </fonts>
  <fills count="39">
    <fill>
      <patternFill patternType="none"/>
    </fill>
    <fill>
      <patternFill patternType="gray125"/>
    </fill>
    <fill>
      <patternFill patternType="solid">
        <fgColor indexed="48"/>
      </patternFill>
    </fill>
    <fill>
      <patternFill patternType="solid">
        <fgColor indexed="38"/>
      </patternFill>
    </fill>
    <fill>
      <patternFill patternType="solid">
        <fgColor indexed="44"/>
        <bgColor indexed="64"/>
      </patternFill>
    </fill>
    <fill>
      <patternFill patternType="solid">
        <fgColor indexed="32"/>
        <bgColor indexed="64"/>
      </patternFill>
    </fill>
    <fill>
      <patternFill patternType="solid">
        <fgColor indexed="9"/>
      </patternFill>
    </fill>
    <fill>
      <patternFill patternType="lightGray">
        <fgColor indexed="12"/>
      </patternFill>
    </fill>
    <fill>
      <patternFill patternType="solid">
        <fgColor indexed="9"/>
        <bgColor indexed="64"/>
      </patternFill>
    </fill>
    <fill>
      <patternFill patternType="solid">
        <fgColor indexed="35"/>
        <bgColor indexed="64"/>
      </patternFill>
    </fill>
    <fill>
      <patternFill patternType="solid">
        <fgColor indexed="22"/>
        <bgColor indexed="64"/>
      </patternFill>
    </fill>
    <fill>
      <patternFill patternType="solid">
        <fgColor indexed="42"/>
        <bgColor indexed="64"/>
      </patternFill>
    </fill>
    <fill>
      <patternFill patternType="solid">
        <fgColor indexed="26"/>
        <bgColor indexed="64"/>
      </patternFill>
    </fill>
    <fill>
      <patternFill patternType="solid">
        <fgColor indexed="43"/>
      </patternFill>
    </fill>
    <fill>
      <patternFill patternType="solid">
        <fgColor indexed="13"/>
        <bgColor indexed="64"/>
      </patternFill>
    </fill>
    <fill>
      <patternFill patternType="solid">
        <fgColor indexed="43"/>
        <bgColor indexed="64"/>
      </patternFill>
    </fill>
    <fill>
      <patternFill patternType="solid">
        <fgColor indexed="31"/>
        <bgColor indexed="8"/>
      </patternFill>
    </fill>
    <fill>
      <patternFill patternType="solid">
        <fgColor indexed="43"/>
        <bgColor indexed="8"/>
      </patternFill>
    </fill>
    <fill>
      <patternFill patternType="solid">
        <fgColor indexed="63"/>
        <bgColor indexed="8"/>
      </patternFill>
    </fill>
    <fill>
      <patternFill patternType="solid">
        <fgColor indexed="12"/>
      </patternFill>
    </fill>
    <fill>
      <patternFill patternType="mediumGray"/>
    </fill>
    <fill>
      <patternFill patternType="solid">
        <fgColor indexed="18"/>
        <bgColor indexed="64"/>
      </patternFill>
    </fill>
    <fill>
      <patternFill patternType="solid">
        <fgColor indexed="41"/>
        <bgColor indexed="64"/>
      </patternFill>
    </fill>
    <fill>
      <patternFill patternType="solid">
        <fgColor indexed="23"/>
        <bgColor indexed="64"/>
      </patternFill>
    </fill>
    <fill>
      <patternFill patternType="solid">
        <fgColor indexed="25"/>
        <bgColor indexed="64"/>
      </patternFill>
    </fill>
    <fill>
      <patternFill patternType="solid">
        <fgColor indexed="48"/>
        <bgColor indexed="64"/>
      </patternFill>
    </fill>
    <fill>
      <patternFill patternType="solid">
        <fgColor indexed="65"/>
        <bgColor indexed="64"/>
      </patternFill>
    </fill>
    <fill>
      <patternFill patternType="lightDown"/>
    </fill>
    <fill>
      <patternFill patternType="solid">
        <fgColor indexed="47"/>
        <bgColor indexed="64"/>
      </patternFill>
    </fill>
    <fill>
      <patternFill patternType="solid">
        <fgColor indexed="49"/>
        <bgColor indexed="64"/>
      </patternFill>
    </fill>
    <fill>
      <patternFill patternType="solid">
        <fgColor indexed="4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lightDown">
        <bgColor theme="0"/>
      </patternFill>
    </fill>
    <fill>
      <patternFill patternType="solid">
        <fgColor indexed="44"/>
      </patternFill>
    </fill>
  </fills>
  <borders count="56">
    <border>
      <left/>
      <right/>
      <top/>
      <bottom/>
      <diagonal/>
    </border>
    <border>
      <left style="thin">
        <color indexed="64"/>
      </left>
      <right style="thin">
        <color indexed="64"/>
      </right>
      <top/>
      <bottom/>
      <diagonal/>
    </border>
    <border>
      <left style="double">
        <color indexed="64"/>
      </left>
      <right/>
      <top/>
      <bottom style="hair">
        <color indexed="64"/>
      </bottom>
      <diagonal/>
    </border>
    <border>
      <left style="thin">
        <color indexed="64"/>
      </left>
      <right/>
      <top/>
      <bottom/>
      <diagonal/>
    </border>
    <border>
      <left/>
      <right/>
      <top/>
      <bottom style="thin">
        <color indexed="64"/>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thin">
        <color indexed="64"/>
      </top>
      <bottom style="thin">
        <color indexed="64"/>
      </bottom>
      <diagonal/>
    </border>
    <border>
      <left/>
      <right/>
      <top/>
      <bottom style="thin">
        <color indexed="8"/>
      </bottom>
      <diagonal/>
    </border>
    <border>
      <left/>
      <right/>
      <top style="medium">
        <color indexed="39"/>
      </top>
      <bottom/>
      <diagonal/>
    </border>
    <border>
      <left style="medium">
        <color indexed="39"/>
      </left>
      <right/>
      <top style="medium">
        <color indexed="39"/>
      </top>
      <bottom/>
      <diagonal/>
    </border>
    <border>
      <left/>
      <right/>
      <top/>
      <bottom style="medium">
        <color indexed="39"/>
      </bottom>
      <diagonal/>
    </border>
    <border>
      <left/>
      <right/>
      <top/>
      <bottom style="thin">
        <color indexed="23"/>
      </bottom>
      <diagonal/>
    </border>
    <border>
      <left/>
      <right/>
      <top style="thin">
        <color indexed="23"/>
      </top>
      <bottom style="thin">
        <color indexed="23"/>
      </bottom>
      <diagonal/>
    </border>
    <border>
      <left/>
      <right/>
      <top style="thin">
        <color indexed="64"/>
      </top>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style="thin">
        <color indexed="8"/>
      </top>
      <bottom/>
      <diagonal/>
    </border>
    <border>
      <left/>
      <right style="medium">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auto="1"/>
      </top>
      <bottom style="medium">
        <color auto="1"/>
      </bottom>
      <diagonal/>
    </border>
    <border>
      <left style="thin">
        <color auto="1"/>
      </left>
      <right/>
      <top/>
      <bottom/>
      <diagonal/>
    </border>
    <border>
      <left style="thin">
        <color auto="1"/>
      </left>
      <right style="thin">
        <color auto="1"/>
      </right>
      <top/>
      <bottom/>
      <diagonal/>
    </border>
    <border>
      <left style="thin">
        <color indexed="64"/>
      </left>
      <right/>
      <top style="medium">
        <color indexed="64"/>
      </top>
      <bottom/>
      <diagonal/>
    </border>
    <border>
      <left/>
      <right style="thin">
        <color indexed="64"/>
      </right>
      <top style="medium">
        <color indexed="64"/>
      </top>
      <bottom/>
      <diagonal/>
    </border>
  </borders>
  <cellStyleXfs count="416">
    <xf numFmtId="0" fontId="0" fillId="0" borderId="0"/>
    <xf numFmtId="9" fontId="9" fillId="0" borderId="0">
      <alignment horizontal="right"/>
    </xf>
    <xf numFmtId="0" fontId="11" fillId="0" borderId="0" applyNumberFormat="0" applyFont="0" applyFill="0" applyBorder="0" applyAlignment="0" applyProtection="0"/>
    <xf numFmtId="0" fontId="6" fillId="0" borderId="0" applyNumberFormat="0" applyFont="0" applyFill="0" applyBorder="0" applyAlignment="0" applyProtection="0"/>
    <xf numFmtId="0" fontId="11" fillId="0" borderId="0" applyNumberFormat="0" applyFont="0" applyFill="0" applyBorder="0" applyAlignment="0" applyProtection="0"/>
    <xf numFmtId="0" fontId="6" fillId="0" borderId="0" applyNumberFormat="0" applyFont="0" applyFill="0" applyBorder="0" applyAlignment="0" applyProtection="0"/>
    <xf numFmtId="0" fontId="11" fillId="0" borderId="0" applyNumberFormat="0" applyFont="0" applyFill="0" applyBorder="0" applyAlignment="0" applyProtection="0"/>
    <xf numFmtId="0" fontId="2" fillId="0" borderId="0" applyNumberFormat="0" applyFont="0" applyFill="0" applyBorder="0" applyAlignment="0" applyProtection="0"/>
    <xf numFmtId="0" fontId="19" fillId="0" borderId="0"/>
    <xf numFmtId="203" fontId="71" fillId="0" borderId="0">
      <alignment horizontal="right"/>
    </xf>
    <xf numFmtId="0" fontId="1" fillId="0" borderId="0"/>
    <xf numFmtId="0" fontId="6" fillId="0" borderId="0"/>
    <xf numFmtId="0" fontId="6" fillId="0" borderId="0"/>
    <xf numFmtId="0" fontId="55" fillId="0" borderId="0" applyNumberFormat="0" applyFont="0" applyFill="0" applyBorder="0" applyAlignment="0" applyProtection="0"/>
    <xf numFmtId="0" fontId="6" fillId="0" borderId="0" applyNumberFormat="0" applyFill="0" applyBorder="0" applyAlignment="0" applyProtection="0"/>
    <xf numFmtId="0" fontId="6" fillId="0" borderId="0"/>
    <xf numFmtId="0" fontId="6" fillId="0" borderId="0" applyNumberFormat="0" applyFill="0" applyBorder="0" applyAlignment="0" applyProtection="0"/>
    <xf numFmtId="0" fontId="50" fillId="0" borderId="0"/>
    <xf numFmtId="0" fontId="6" fillId="0" borderId="0"/>
    <xf numFmtId="0" fontId="6" fillId="0" borderId="0" applyNumberFormat="0" applyFill="0" applyBorder="0" applyAlignment="0" applyProtection="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1"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3" fontId="16" fillId="0" borderId="0"/>
    <xf numFmtId="44" fontId="53" fillId="0" borderId="0" applyFont="0" applyFill="0" applyBorder="0" applyAlignment="0" applyProtection="0"/>
    <xf numFmtId="42" fontId="53" fillId="0" borderId="0" applyFont="0" applyFill="0" applyBorder="0" applyAlignment="0" applyProtection="0"/>
    <xf numFmtId="196" fontId="54" fillId="0" borderId="0" applyFont="0" applyFill="0" applyBorder="0" applyAlignment="0" applyProtection="0"/>
    <xf numFmtId="197" fontId="54" fillId="0" borderId="0" applyFont="0" applyFill="0" applyBorder="0" applyAlignment="0" applyProtection="0"/>
    <xf numFmtId="0" fontId="1" fillId="0" borderId="0"/>
    <xf numFmtId="0" fontId="6" fillId="0" borderId="0"/>
    <xf numFmtId="0" fontId="72" fillId="0" borderId="0"/>
    <xf numFmtId="0" fontId="53" fillId="0" borderId="0"/>
    <xf numFmtId="0" fontId="11" fillId="0" borderId="0"/>
    <xf numFmtId="9" fontId="6" fillId="0" borderId="0"/>
    <xf numFmtId="168" fontId="11" fillId="0" borderId="0"/>
    <xf numFmtId="169" fontId="11" fillId="0" borderId="0"/>
    <xf numFmtId="0" fontId="11" fillId="0" borderId="0"/>
    <xf numFmtId="2" fontId="11" fillId="0" borderId="0"/>
    <xf numFmtId="1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2" fontId="6" fillId="0" borderId="0"/>
    <xf numFmtId="37" fontId="56" fillId="0" borderId="0">
      <alignment horizontal="center"/>
    </xf>
    <xf numFmtId="204" fontId="6" fillId="0" borderId="1">
      <alignment horizontal="right"/>
    </xf>
    <xf numFmtId="205" fontId="73" fillId="0" borderId="0" applyFont="0" applyFill="0" applyBorder="0" applyAlignment="0" applyProtection="0"/>
    <xf numFmtId="206" fontId="74" fillId="0" borderId="1">
      <alignment horizontal="right"/>
    </xf>
    <xf numFmtId="206" fontId="74" fillId="0" borderId="1" applyFill="0">
      <alignment horizontal="right"/>
    </xf>
    <xf numFmtId="3" fontId="6" fillId="0" borderId="1" applyFill="0">
      <alignment horizontal="right"/>
    </xf>
    <xf numFmtId="207" fontId="74" fillId="0" borderId="1" applyFill="0">
      <alignment horizontal="right"/>
    </xf>
    <xf numFmtId="3" fontId="75" fillId="0" borderId="1" applyFill="0">
      <alignment horizontal="right"/>
    </xf>
    <xf numFmtId="198" fontId="3" fillId="4" borderId="2">
      <alignment horizontal="center" vertical="center"/>
    </xf>
    <xf numFmtId="0" fontId="6" fillId="0" borderId="0"/>
    <xf numFmtId="208" fontId="76" fillId="0" borderId="0">
      <alignment horizontal="left"/>
    </xf>
    <xf numFmtId="209" fontId="6" fillId="0" borderId="1">
      <alignment horizontal="right"/>
      <protection locked="0"/>
    </xf>
    <xf numFmtId="6" fontId="74" fillId="0" borderId="1" applyNumberFormat="0" applyFont="0" applyBorder="0" applyProtection="0">
      <alignment horizontal="right"/>
    </xf>
    <xf numFmtId="1" fontId="77" fillId="5" borderId="3" applyNumberFormat="0" applyBorder="0" applyAlignment="0">
      <alignment horizontal="center" vertical="top" wrapText="1"/>
      <protection hidden="1"/>
    </xf>
    <xf numFmtId="0" fontId="57" fillId="0" borderId="0" applyNumberFormat="0" applyFill="0" applyBorder="0" applyAlignment="0" applyProtection="0"/>
    <xf numFmtId="0" fontId="58" fillId="0" borderId="4" applyNumberFormat="0" applyFill="0" applyAlignment="0" applyProtection="0"/>
    <xf numFmtId="199" fontId="54"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 fillId="0" borderId="0"/>
    <xf numFmtId="0" fontId="71" fillId="0" borderId="0">
      <alignment horizontal="right"/>
    </xf>
    <xf numFmtId="1" fontId="59" fillId="0" borderId="0"/>
    <xf numFmtId="210" fontId="6" fillId="0" borderId="0" applyFont="0" applyFill="0" applyBorder="0" applyProtection="0">
      <alignment horizontal="center" vertical="center"/>
    </xf>
    <xf numFmtId="0" fontId="78" fillId="0" borderId="4" applyNumberFormat="0" applyFill="0" applyProtection="0">
      <alignment horizontal="left" vertical="center"/>
    </xf>
    <xf numFmtId="0" fontId="6" fillId="0" borderId="0">
      <alignment horizontal="center" wrapText="1"/>
      <protection hidden="1"/>
    </xf>
    <xf numFmtId="168" fontId="7" fillId="0" borderId="0" applyBorder="0">
      <alignment horizontal="right"/>
    </xf>
    <xf numFmtId="168" fontId="7" fillId="0" borderId="5" applyAlignment="0">
      <alignment horizontal="right"/>
    </xf>
    <xf numFmtId="167" fontId="18" fillId="0" borderId="0" applyBorder="0" applyAlignment="0" applyProtection="0"/>
    <xf numFmtId="211" fontId="79" fillId="0" borderId="0"/>
    <xf numFmtId="211" fontId="79" fillId="0" borderId="0"/>
    <xf numFmtId="211" fontId="79" fillId="0" borderId="0"/>
    <xf numFmtId="211" fontId="79" fillId="0" borderId="0"/>
    <xf numFmtId="211" fontId="79" fillId="0" borderId="0"/>
    <xf numFmtId="211" fontId="79" fillId="0" borderId="0"/>
    <xf numFmtId="211" fontId="79" fillId="0" borderId="0"/>
    <xf numFmtId="211" fontId="79" fillId="0" borderId="0"/>
    <xf numFmtId="167" fontId="12" fillId="0" borderId="0" applyBorder="0" applyAlignment="0" applyProtection="0"/>
    <xf numFmtId="167" fontId="12" fillId="0" borderId="0" applyBorder="0" applyAlignment="0" applyProtection="0"/>
    <xf numFmtId="43" fontId="22" fillId="0" borderId="0" applyFont="0" applyFill="0" applyBorder="0" applyAlignment="0" applyProtection="0"/>
    <xf numFmtId="167" fontId="12" fillId="0" borderId="0" applyBorder="0" applyAlignment="0" applyProtection="0"/>
    <xf numFmtId="43" fontId="13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0" fillId="0" borderId="0" applyFont="0" applyFill="0" applyBorder="0" applyAlignment="0" applyProtection="0"/>
    <xf numFmtId="43" fontId="2"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39" fillId="0" borderId="0" applyFont="0" applyFill="0" applyBorder="0" applyAlignment="0" applyProtection="0"/>
    <xf numFmtId="43" fontId="2" fillId="0" borderId="0" applyFont="0" applyFill="0" applyBorder="0" applyAlignment="0" applyProtection="0"/>
    <xf numFmtId="167" fontId="12" fillId="0" borderId="0" applyBorder="0" applyAlignment="0" applyProtection="0"/>
    <xf numFmtId="43" fontId="2" fillId="0" borderId="0" applyFont="0" applyFill="0" applyBorder="0" applyAlignment="0" applyProtection="0"/>
    <xf numFmtId="43" fontId="2" fillId="0" borderId="0" applyFont="0" applyFill="0" applyBorder="0" applyAlignment="0" applyProtection="0"/>
    <xf numFmtId="167" fontId="12" fillId="0" borderId="0" applyBorder="0" applyAlignment="0" applyProtection="0"/>
    <xf numFmtId="165" fontId="6" fillId="0" borderId="0" applyFont="0" applyFill="0" applyBorder="0" applyAlignment="0" applyProtection="0"/>
    <xf numFmtId="165" fontId="6" fillId="0" borderId="0" applyFont="0" applyFill="0" applyBorder="0" applyAlignment="0" applyProtection="0"/>
    <xf numFmtId="43" fontId="6" fillId="0" borderId="0" applyFont="0" applyFill="0" applyBorder="0" applyAlignment="0" applyProtection="0"/>
    <xf numFmtId="165" fontId="6" fillId="0" borderId="0" applyFont="0" applyFill="0" applyBorder="0" applyAlignment="0" applyProtection="0"/>
    <xf numFmtId="0" fontId="81" fillId="0" borderId="0"/>
    <xf numFmtId="0" fontId="82" fillId="7" borderId="0">
      <alignment horizontal="center" vertical="center" wrapText="1"/>
    </xf>
    <xf numFmtId="0" fontId="83" fillId="0" borderId="0" applyFill="0" applyBorder="0">
      <alignment horizontal="left"/>
    </xf>
    <xf numFmtId="166" fontId="53" fillId="0" borderId="0" applyFill="0" applyBorder="0">
      <alignment horizontal="right"/>
      <protection locked="0"/>
    </xf>
    <xf numFmtId="44" fontId="1" fillId="0" borderId="0" applyFont="0" applyFill="0" applyBorder="0" applyAlignment="0" applyProtection="0"/>
    <xf numFmtId="44" fontId="6" fillId="0" borderId="0" applyFont="0" applyFill="0" applyBorder="0" applyAlignment="0" applyProtection="0"/>
    <xf numFmtId="44" fontId="13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64" fontId="6" fillId="0" borderId="0" applyFont="0" applyFill="0" applyBorder="0" applyAlignment="0" applyProtection="0"/>
    <xf numFmtId="44" fontId="137" fillId="0" borderId="0" applyFont="0" applyFill="0" applyBorder="0" applyAlignment="0" applyProtection="0"/>
    <xf numFmtId="44" fontId="2" fillId="0" borderId="0" applyFont="0" applyFill="0" applyBorder="0" applyAlignment="0" applyProtection="0"/>
    <xf numFmtId="212" fontId="74" fillId="0" borderId="0" applyFont="0" applyFill="0" applyBorder="0" applyAlignment="0" applyProtection="0">
      <alignment vertical="center"/>
    </xf>
    <xf numFmtId="213" fontId="74" fillId="0" borderId="0" applyFont="0" applyFill="0" applyBorder="0" applyAlignment="0" applyProtection="0">
      <alignment vertical="center"/>
    </xf>
    <xf numFmtId="0" fontId="11" fillId="0" borderId="0" applyFont="0" applyFill="0" applyBorder="0" applyAlignment="0">
      <protection locked="0"/>
    </xf>
    <xf numFmtId="200" fontId="54" fillId="0" borderId="0" applyFont="0" applyFill="0" applyBorder="0" applyAlignment="0" applyProtection="0"/>
    <xf numFmtId="214" fontId="74" fillId="8" borderId="0" applyFont="0" applyFill="0" applyBorder="0" applyAlignment="0" applyProtection="0">
      <alignment vertical="center"/>
    </xf>
    <xf numFmtId="14" fontId="3" fillId="0" borderId="6" applyFont="0">
      <alignment horizontal="right"/>
    </xf>
    <xf numFmtId="0" fontId="53" fillId="0" borderId="0"/>
    <xf numFmtId="215" fontId="6" fillId="0" borderId="0" applyFont="0" applyFill="0" applyBorder="0" applyAlignment="0" applyProtection="0">
      <alignment wrapText="1"/>
    </xf>
    <xf numFmtId="0" fontId="75" fillId="0" borderId="0"/>
    <xf numFmtId="216" fontId="71" fillId="0" borderId="0">
      <alignment horizontal="right"/>
    </xf>
    <xf numFmtId="0" fontId="71" fillId="0" borderId="0"/>
    <xf numFmtId="0" fontId="15" fillId="0" borderId="0" applyFont="0" applyFill="0" applyBorder="0" applyAlignment="0" applyProtection="0">
      <protection locked="0"/>
    </xf>
    <xf numFmtId="0" fontId="60" fillId="0" borderId="0"/>
    <xf numFmtId="1" fontId="84" fillId="9" borderId="7" applyNumberFormat="0" applyBorder="0" applyAlignment="0">
      <alignment horizontal="centerContinuous" vertical="center"/>
      <protection locked="0"/>
    </xf>
    <xf numFmtId="0" fontId="61" fillId="2" borderId="0"/>
    <xf numFmtId="201" fontId="53" fillId="0" borderId="0">
      <protection locked="0"/>
    </xf>
    <xf numFmtId="0" fontId="85" fillId="0" borderId="0" applyNumberFormat="0" applyFill="0" applyBorder="0" applyProtection="0">
      <alignment horizontal="left" vertical="center"/>
    </xf>
    <xf numFmtId="49" fontId="2" fillId="0" borderId="0" applyFill="0" applyBorder="0"/>
    <xf numFmtId="49" fontId="6" fillId="0" borderId="0"/>
    <xf numFmtId="49" fontId="6" fillId="0" borderId="0" applyFill="0" applyBorder="0">
      <alignment horizontal="right" vertical="center"/>
    </xf>
    <xf numFmtId="49" fontId="6" fillId="0" borderId="0" applyFill="0" applyBorder="0">
      <alignment horizontal="right" vertical="center"/>
    </xf>
    <xf numFmtId="0" fontId="86" fillId="0" borderId="0"/>
    <xf numFmtId="38" fontId="2" fillId="10" borderId="0" applyNumberFormat="0" applyBorder="0" applyAlignment="0" applyProtection="0"/>
    <xf numFmtId="169" fontId="6" fillId="11" borderId="8" applyNumberFormat="0" applyFont="0" applyBorder="0" applyAlignment="0" applyProtection="0"/>
    <xf numFmtId="172" fontId="87" fillId="11" borderId="0" applyNumberFormat="0" applyFont="0" applyAlignment="0"/>
    <xf numFmtId="0" fontId="62" fillId="0" borderId="0" applyNumberFormat="0" applyFill="0" applyBorder="0" applyAlignment="0" applyProtection="0"/>
    <xf numFmtId="0" fontId="27" fillId="0" borderId="9" applyNumberFormat="0" applyAlignment="0" applyProtection="0">
      <alignment horizontal="left" vertical="center"/>
    </xf>
    <xf numFmtId="0" fontId="27" fillId="0" borderId="6">
      <alignment horizontal="left" vertical="center"/>
    </xf>
    <xf numFmtId="0" fontId="54" fillId="0" borderId="0">
      <protection locked="0"/>
    </xf>
    <xf numFmtId="0" fontId="54" fillId="0" borderId="0">
      <protection locked="0"/>
    </xf>
    <xf numFmtId="0" fontId="63" fillId="0" borderId="0">
      <alignment wrapText="1"/>
    </xf>
    <xf numFmtId="0" fontId="8" fillId="0" borderId="10" applyNumberFormat="0" applyFill="0" applyAlignment="0" applyProtection="0"/>
    <xf numFmtId="10" fontId="2" fillId="12" borderId="8" applyNumberFormat="0" applyBorder="0" applyAlignment="0" applyProtection="0"/>
    <xf numFmtId="0" fontId="64" fillId="0" borderId="0" applyNumberFormat="0" applyFill="0" applyBorder="0" applyAlignment="0">
      <protection locked="0"/>
    </xf>
    <xf numFmtId="0" fontId="88" fillId="13" borderId="0" applyNumberFormat="0" applyFont="0" applyBorder="0" applyAlignment="0">
      <alignment horizontal="right" vertical="top"/>
      <protection locked="0"/>
    </xf>
    <xf numFmtId="0" fontId="88" fillId="13" borderId="0" applyNumberFormat="0" applyFont="0" applyBorder="0" applyAlignment="0">
      <alignment horizontal="right" vertical="top"/>
      <protection locked="0"/>
    </xf>
    <xf numFmtId="0" fontId="6" fillId="0" borderId="0" applyFill="0" applyBorder="0">
      <alignment horizontal="right"/>
      <protection locked="0"/>
    </xf>
    <xf numFmtId="217" fontId="53" fillId="0" borderId="0" applyFill="0" applyBorder="0">
      <alignment horizontal="right"/>
      <protection locked="0"/>
    </xf>
    <xf numFmtId="0" fontId="3" fillId="14" borderId="11">
      <alignment horizontal="left" vertical="center" wrapText="1"/>
    </xf>
    <xf numFmtId="0" fontId="89" fillId="0" borderId="0" applyNumberFormat="0" applyFill="0" applyBorder="0" applyProtection="0">
      <alignment horizontal="left" vertical="center"/>
    </xf>
    <xf numFmtId="0" fontId="61" fillId="0" borderId="0"/>
    <xf numFmtId="0" fontId="65" fillId="0" borderId="0"/>
    <xf numFmtId="0" fontId="66" fillId="0" borderId="0"/>
    <xf numFmtId="218" fontId="2" fillId="12" borderId="0">
      <alignment horizontal="center"/>
    </xf>
    <xf numFmtId="208" fontId="74" fillId="0" borderId="0" applyNumberFormat="0" applyFont="0" applyFill="0" applyBorder="0" applyAlignment="0" applyProtection="0">
      <alignment vertical="center"/>
    </xf>
    <xf numFmtId="37" fontId="67" fillId="0" borderId="0"/>
    <xf numFmtId="208" fontId="90" fillId="0" borderId="0" applyNumberFormat="0" applyFill="0" applyBorder="0" applyAlignment="0" applyProtection="0">
      <alignment vertical="center"/>
    </xf>
    <xf numFmtId="202" fontId="68" fillId="0" borderId="0"/>
    <xf numFmtId="0" fontId="140" fillId="0" borderId="0"/>
    <xf numFmtId="0" fontId="1" fillId="0" borderId="0"/>
    <xf numFmtId="0" fontId="6" fillId="0" borderId="0"/>
    <xf numFmtId="0" fontId="6" fillId="0" borderId="0"/>
    <xf numFmtId="0" fontId="138" fillId="0" borderId="0"/>
    <xf numFmtId="0" fontId="11" fillId="0" borderId="0" applyNumberFormat="0" applyFont="0" applyFill="0" applyBorder="0" applyAlignment="0" applyProtection="0"/>
    <xf numFmtId="0" fontId="139" fillId="0" borderId="0"/>
    <xf numFmtId="0" fontId="139" fillId="0" borderId="0"/>
    <xf numFmtId="0" fontId="2" fillId="0" borderId="0" applyNumberFormat="0" applyFont="0" applyFill="0" applyBorder="0" applyAlignment="0" applyProtection="0"/>
    <xf numFmtId="0" fontId="2" fillId="0" borderId="0" applyNumberFormat="0" applyFont="0" applyFill="0" applyBorder="0" applyAlignment="0" applyProtection="0"/>
    <xf numFmtId="0" fontId="16" fillId="0" borderId="0"/>
    <xf numFmtId="0" fontId="137" fillId="0" borderId="0"/>
    <xf numFmtId="0" fontId="91" fillId="0" borderId="0"/>
    <xf numFmtId="0" fontId="6" fillId="0" borderId="0"/>
    <xf numFmtId="0" fontId="104" fillId="0" borderId="0"/>
    <xf numFmtId="0" fontId="6" fillId="0" borderId="0"/>
    <xf numFmtId="0" fontId="11" fillId="0" borderId="0"/>
    <xf numFmtId="0" fontId="6" fillId="0" borderId="0"/>
    <xf numFmtId="0" fontId="6" fillId="0" borderId="0"/>
    <xf numFmtId="0" fontId="1" fillId="0" borderId="0"/>
    <xf numFmtId="0" fontId="6" fillId="0" borderId="0"/>
    <xf numFmtId="0" fontId="6" fillId="0" borderId="0"/>
    <xf numFmtId="0" fontId="1" fillId="0" borderId="0"/>
    <xf numFmtId="0" fontId="6" fillId="0" borderId="0"/>
    <xf numFmtId="0" fontId="6" fillId="0" borderId="0"/>
    <xf numFmtId="168" fontId="12" fillId="0" borderId="0" applyBorder="0"/>
    <xf numFmtId="0" fontId="6" fillId="0" borderId="0"/>
    <xf numFmtId="219" fontId="9" fillId="0" borderId="0" applyFont="0" applyFill="0" applyBorder="0" applyProtection="0">
      <alignment horizontal="right"/>
    </xf>
    <xf numFmtId="43" fontId="53" fillId="0" borderId="0" applyFont="0" applyFill="0" applyBorder="0" applyAlignment="0" applyProtection="0"/>
    <xf numFmtId="41" fontId="53" fillId="0" borderId="0" applyFont="0" applyFill="0" applyBorder="0" applyAlignment="0" applyProtection="0"/>
    <xf numFmtId="0" fontId="69" fillId="0" borderId="0">
      <alignment horizontal="left"/>
    </xf>
    <xf numFmtId="0" fontId="22" fillId="0" borderId="0">
      <alignment vertical="center"/>
    </xf>
    <xf numFmtId="0" fontId="66" fillId="0" borderId="0"/>
    <xf numFmtId="172" fontId="92" fillId="0" borderId="4" applyNumberFormat="0">
      <alignment vertical="center"/>
    </xf>
    <xf numFmtId="169" fontId="17" fillId="0" borderId="12"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1" fillId="0" borderId="0" applyFont="0" applyFill="0" applyBorder="0" applyAlignment="0" applyProtection="0"/>
    <xf numFmtId="9" fontId="80" fillId="0" borderId="0" applyFont="0" applyFill="0" applyBorder="0" applyAlignment="0" applyProtection="0"/>
    <xf numFmtId="9" fontId="1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22" fillId="0" borderId="0" applyFont="0" applyFill="0" applyBorder="0" applyAlignment="0" applyProtection="0"/>
    <xf numFmtId="9" fontId="137" fillId="0" borderId="0" applyFont="0" applyFill="0" applyBorder="0" applyAlignment="0" applyProtection="0"/>
    <xf numFmtId="9" fontId="1" fillId="0" borderId="0" applyFont="0" applyFill="0" applyBorder="0" applyAlignment="0" applyProtection="0"/>
    <xf numFmtId="220" fontId="53" fillId="0" borderId="0" applyFill="0" applyBorder="0">
      <alignment horizontal="right"/>
      <protection locked="0"/>
    </xf>
    <xf numFmtId="1" fontId="93" fillId="10" borderId="0">
      <alignment horizontal="center"/>
    </xf>
    <xf numFmtId="221" fontId="11" fillId="0" borderId="0" applyFill="0" applyBorder="0">
      <alignment horizontal="right"/>
      <protection locked="0"/>
    </xf>
    <xf numFmtId="222" fontId="53" fillId="0" borderId="0">
      <alignment horizontal="right"/>
      <protection locked="0"/>
    </xf>
    <xf numFmtId="223" fontId="2" fillId="0" borderId="0"/>
    <xf numFmtId="0" fontId="94" fillId="0" borderId="0"/>
    <xf numFmtId="0" fontId="89" fillId="0" borderId="0" applyNumberFormat="0" applyFill="0" applyBorder="0" applyProtection="0">
      <alignment horizontal="right" vertical="center"/>
    </xf>
    <xf numFmtId="0" fontId="6" fillId="15" borderId="0" applyNumberFormat="0" applyFont="0" applyBorder="0" applyAlignment="0" applyProtection="0"/>
    <xf numFmtId="0" fontId="6" fillId="15" borderId="0" applyNumberFormat="0" applyFon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224" fontId="95" fillId="0" borderId="0" applyFill="0" applyBorder="0">
      <alignment horizontal="right"/>
      <protection hidden="1"/>
    </xf>
    <xf numFmtId="0" fontId="27" fillId="7" borderId="8">
      <alignment horizontal="center" vertical="center" wrapText="1"/>
      <protection hidden="1"/>
    </xf>
    <xf numFmtId="0" fontId="24" fillId="0" borderId="13"/>
    <xf numFmtId="225" fontId="11" fillId="0" borderId="0">
      <protection locked="0"/>
    </xf>
    <xf numFmtId="0" fontId="6" fillId="0" borderId="0" applyNumberFormat="0" applyFill="0" applyBorder="0" applyAlignment="0" applyProtection="0"/>
    <xf numFmtId="0" fontId="6" fillId="0" borderId="0">
      <alignment vertical="top"/>
    </xf>
    <xf numFmtId="0" fontId="1" fillId="0" borderId="0">
      <alignment vertical="top"/>
    </xf>
    <xf numFmtId="0" fontId="6" fillId="0" borderId="0">
      <alignment vertical="top"/>
    </xf>
    <xf numFmtId="0" fontId="3" fillId="16" borderId="14" applyNumberFormat="0" applyProtection="0">
      <alignment horizontal="center" wrapText="1"/>
    </xf>
    <xf numFmtId="0" fontId="3" fillId="16" borderId="15" applyNumberFormat="0" applyAlignment="0" applyProtection="0">
      <alignment wrapText="1"/>
    </xf>
    <xf numFmtId="0" fontId="6" fillId="17" borderId="0" applyNumberFormat="0" applyBorder="0">
      <alignment horizontal="center" wrapText="1"/>
    </xf>
    <xf numFmtId="0" fontId="6" fillId="18" borderId="16" applyNumberFormat="0">
      <alignment wrapText="1"/>
    </xf>
    <xf numFmtId="0" fontId="6" fillId="18" borderId="0" applyNumberFormat="0" applyBorder="0">
      <alignment wrapText="1"/>
    </xf>
    <xf numFmtId="0" fontId="6" fillId="0" borderId="0" applyNumberFormat="0" applyFill="0" applyBorder="0" applyProtection="0">
      <alignment horizontal="right" wrapText="1"/>
    </xf>
    <xf numFmtId="226" fontId="6" fillId="0" borderId="0" applyFill="0" applyBorder="0" applyAlignment="0" applyProtection="0">
      <alignment wrapText="1"/>
    </xf>
    <xf numFmtId="218" fontId="6" fillId="0" borderId="0" applyFill="0" applyBorder="0" applyAlignment="0" applyProtection="0">
      <alignment wrapText="1"/>
    </xf>
    <xf numFmtId="189" fontId="6" fillId="0" borderId="0" applyFill="0" applyBorder="0" applyAlignment="0" applyProtection="0">
      <alignment wrapText="1"/>
    </xf>
    <xf numFmtId="0" fontId="6" fillId="0" borderId="0" applyNumberFormat="0" applyFill="0" applyBorder="0" applyProtection="0">
      <alignment horizontal="right" wrapText="1"/>
    </xf>
    <xf numFmtId="0" fontId="6" fillId="0" borderId="0" applyNumberFormat="0" applyFill="0" applyBorder="0">
      <alignment horizontal="right" wrapText="1"/>
    </xf>
    <xf numFmtId="17" fontId="6" fillId="0" borderId="0" applyFill="0" applyBorder="0">
      <alignment horizontal="right" wrapText="1"/>
    </xf>
    <xf numFmtId="8" fontId="6" fillId="0" borderId="0" applyFill="0" applyBorder="0" applyAlignment="0" applyProtection="0">
      <alignment wrapText="1"/>
    </xf>
    <xf numFmtId="0" fontId="27" fillId="0" borderId="0" applyNumberFormat="0" applyFill="0" applyBorder="0">
      <alignment horizontal="left" wrapText="1"/>
    </xf>
    <xf numFmtId="0" fontId="3" fillId="0" borderId="0" applyNumberFormat="0" applyFill="0" applyBorder="0">
      <alignment horizontal="center" wrapText="1"/>
    </xf>
    <xf numFmtId="0" fontId="3" fillId="0" borderId="0" applyNumberFormat="0" applyFill="0" applyBorder="0">
      <alignment horizontal="center" wrapText="1"/>
    </xf>
    <xf numFmtId="0" fontId="96" fillId="0" borderId="0" applyNumberFormat="0" applyFill="0" applyBorder="0" applyProtection="0">
      <alignment horizontal="left" vertical="center"/>
    </xf>
    <xf numFmtId="0" fontId="96" fillId="0" borderId="6" applyNumberFormat="0" applyFill="0" applyProtection="0">
      <alignment horizontal="left" vertical="center"/>
    </xf>
    <xf numFmtId="227" fontId="74" fillId="19" borderId="0" applyNumberFormat="0" applyFont="0" applyBorder="0">
      <alignment horizontal="center" vertical="center"/>
      <protection locked="0"/>
    </xf>
    <xf numFmtId="208" fontId="6" fillId="8" borderId="17" applyNumberFormat="0" applyAlignment="0">
      <alignment vertical="center"/>
    </xf>
    <xf numFmtId="208" fontId="97" fillId="6" borderId="18" applyNumberFormat="0" applyBorder="0" applyAlignment="0" applyProtection="0">
      <alignment vertical="center"/>
    </xf>
    <xf numFmtId="208" fontId="6" fillId="8" borderId="17" applyNumberFormat="0" applyProtection="0">
      <alignment horizontal="centerContinuous" vertical="center"/>
    </xf>
    <xf numFmtId="208" fontId="98" fillId="3" borderId="0" applyNumberFormat="0" applyBorder="0" applyAlignment="0" applyProtection="0">
      <alignment vertical="center"/>
    </xf>
    <xf numFmtId="208" fontId="6" fillId="6" borderId="0" applyBorder="0" applyAlignment="0" applyProtection="0">
      <alignment vertical="center"/>
    </xf>
    <xf numFmtId="0" fontId="21" fillId="0" borderId="0">
      <alignment vertical="center"/>
    </xf>
    <xf numFmtId="0" fontId="99" fillId="20" borderId="0" applyNumberFormat="0" applyBorder="0" applyProtection="0">
      <alignment horizontal="left" vertical="center"/>
    </xf>
    <xf numFmtId="0" fontId="100" fillId="1" borderId="0" applyNumberFormat="0" applyBorder="0" applyProtection="0">
      <alignment horizontal="left" vertical="center"/>
    </xf>
    <xf numFmtId="0" fontId="6" fillId="0" borderId="0" applyBorder="0"/>
    <xf numFmtId="228" fontId="6" fillId="0" borderId="0" applyNumberFormat="0" applyFill="0" applyBorder="0" applyProtection="0">
      <alignment vertical="top"/>
    </xf>
    <xf numFmtId="171" fontId="101" fillId="0" borderId="19" applyNumberFormat="0" applyFont="0" applyFill="0" applyAlignment="0" applyProtection="0"/>
    <xf numFmtId="168" fontId="7" fillId="0" borderId="20"/>
    <xf numFmtId="229" fontId="102" fillId="0" borderId="0">
      <alignment horizontal="right"/>
    </xf>
    <xf numFmtId="37" fontId="2" fillId="15" borderId="0" applyNumberFormat="0" applyBorder="0" applyAlignment="0" applyProtection="0"/>
    <xf numFmtId="37" fontId="2" fillId="0" borderId="0"/>
    <xf numFmtId="37" fontId="2" fillId="10" borderId="0" applyNumberFormat="0" applyBorder="0" applyAlignment="0" applyProtection="0"/>
    <xf numFmtId="3" fontId="9" fillId="0" borderId="10" applyProtection="0"/>
    <xf numFmtId="230" fontId="93" fillId="10" borderId="3" applyBorder="0">
      <alignment horizontal="right" vertical="center"/>
      <protection locked="0"/>
    </xf>
    <xf numFmtId="0" fontId="70" fillId="0" borderId="0" applyNumberFormat="0"/>
    <xf numFmtId="228" fontId="103" fillId="6" borderId="0" applyNumberFormat="0" applyBorder="0" applyProtection="0">
      <alignment horizontal="centerContinuous" vertical="center"/>
    </xf>
    <xf numFmtId="1" fontId="6" fillId="0" borderId="0">
      <alignment horizontal="center"/>
    </xf>
    <xf numFmtId="190" fontId="43" fillId="0" borderId="0" applyFont="0" applyFill="0" applyBorder="0" applyAlignment="0" applyProtection="0"/>
    <xf numFmtId="0" fontId="43" fillId="0" borderId="0" applyFont="0" applyFill="0" applyBorder="0" applyAlignment="0" applyProtection="0"/>
    <xf numFmtId="0" fontId="16" fillId="0" borderId="0"/>
    <xf numFmtId="169" fontId="17" fillId="0" borderId="12" applyFont="0" applyFill="0" applyBorder="0" applyAlignment="0" applyProtection="0"/>
    <xf numFmtId="0" fontId="1" fillId="0" borderId="0" applyNumberFormat="0" applyFill="0" applyBorder="0" applyAlignment="0" applyProtection="0"/>
    <xf numFmtId="0" fontId="1" fillId="0" borderId="0" applyFill="0" applyAlignment="0">
      <protection locked="0"/>
    </xf>
    <xf numFmtId="0" fontId="1" fillId="0" borderId="0"/>
    <xf numFmtId="0" fontId="1" fillId="0" borderId="0" applyNumberFormat="0" applyFill="0" applyBorder="0" applyAlignment="0" applyProtection="0"/>
    <xf numFmtId="0" fontId="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8"/>
    <xf numFmtId="246" fontId="75" fillId="0" borderId="48" applyNumberFormat="0" applyFont="0" applyFill="0" applyAlignment="0" applyProtection="0"/>
    <xf numFmtId="10" fontId="1" fillId="0" borderId="8"/>
    <xf numFmtId="1" fontId="1" fillId="0" borderId="8"/>
    <xf numFmtId="247" fontId="1" fillId="0" borderId="0" applyFont="0" applyFill="0" applyBorder="0" applyAlignment="0" applyProtection="0"/>
    <xf numFmtId="0" fontId="7" fillId="0" borderId="0"/>
    <xf numFmtId="0" fontId="167" fillId="0" borderId="0"/>
    <xf numFmtId="0" fontId="3" fillId="0" borderId="8">
      <alignment horizontal="center"/>
    </xf>
    <xf numFmtId="0" fontId="168" fillId="0" borderId="48"/>
    <xf numFmtId="0" fontId="91" fillId="0" borderId="48"/>
    <xf numFmtId="246" fontId="83" fillId="0" borderId="0" applyNumberFormat="0" applyFill="0" applyBorder="0" applyAlignment="0" applyProtection="0"/>
    <xf numFmtId="0" fontId="54" fillId="38" borderId="0" applyNumberFormat="0" applyFont="0" applyBorder="0" applyAlignment="0">
      <protection locked="0"/>
    </xf>
    <xf numFmtId="246" fontId="24" fillId="0" borderId="0"/>
    <xf numFmtId="0" fontId="11" fillId="0" borderId="0"/>
    <xf numFmtId="0" fontId="1" fillId="0" borderId="0"/>
    <xf numFmtId="0" fontId="169" fillId="0" borderId="0"/>
    <xf numFmtId="0" fontId="170" fillId="0" borderId="0"/>
    <xf numFmtId="248" fontId="75" fillId="0" borderId="0">
      <alignment horizontal="right"/>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23" fillId="0" borderId="13">
      <alignment horizontal="centerContinuous"/>
    </xf>
    <xf numFmtId="0" fontId="1" fillId="0" borderId="0">
      <alignment vertical="top"/>
    </xf>
    <xf numFmtId="249" fontId="75" fillId="0" borderId="0"/>
    <xf numFmtId="0" fontId="171" fillId="0" borderId="0"/>
    <xf numFmtId="0" fontId="1" fillId="15" borderId="0" applyNumberFormat="0" applyFont="0" applyBorder="0" applyAlignment="0" applyProtection="0"/>
    <xf numFmtId="44" fontId="171" fillId="0" borderId="0" applyFont="0" applyFill="0" applyBorder="0" applyAlignment="0" applyProtection="0"/>
  </cellStyleXfs>
  <cellXfs count="1136">
    <xf numFmtId="0" fontId="0" fillId="0" borderId="0" xfId="0"/>
    <xf numFmtId="0" fontId="6" fillId="0" borderId="0" xfId="0" applyFont="1" applyBorder="1"/>
    <xf numFmtId="0" fontId="6" fillId="0" borderId="0" xfId="0" applyFont="1" applyFill="1" applyBorder="1"/>
    <xf numFmtId="169" fontId="6" fillId="0" borderId="0" xfId="275" applyFont="1" applyFill="1" applyBorder="1"/>
    <xf numFmtId="49" fontId="0" fillId="0" borderId="0" xfId="0" applyNumberFormat="1"/>
    <xf numFmtId="0" fontId="25" fillId="0" borderId="0" xfId="0" applyFont="1" applyFill="1" applyBorder="1"/>
    <xf numFmtId="0" fontId="3" fillId="0" borderId="0" xfId="0" applyFont="1" applyFill="1" applyBorder="1"/>
    <xf numFmtId="169" fontId="3" fillId="0" borderId="0" xfId="275" applyFont="1" applyFill="1" applyBorder="1" applyAlignment="1">
      <alignment horizontal="right"/>
    </xf>
    <xf numFmtId="0" fontId="25" fillId="21" borderId="0" xfId="263" applyFont="1" applyFill="1" applyBorder="1"/>
    <xf numFmtId="44" fontId="6" fillId="0" borderId="0" xfId="185" applyFont="1" applyFill="1" applyBorder="1"/>
    <xf numFmtId="0" fontId="42" fillId="0" borderId="0" xfId="0" applyFont="1" applyFill="1" applyBorder="1" applyAlignment="1">
      <alignment horizontal="left"/>
    </xf>
    <xf numFmtId="0" fontId="39" fillId="0" borderId="0" xfId="0" applyFont="1" applyFill="1" applyBorder="1" applyAlignment="1">
      <alignment horizontal="right"/>
    </xf>
    <xf numFmtId="0" fontId="25" fillId="0" borderId="0" xfId="0" applyFont="1" applyFill="1" applyBorder="1" applyAlignment="1">
      <alignment horizontal="right"/>
    </xf>
    <xf numFmtId="43" fontId="14" fillId="0" borderId="0" xfId="0" applyNumberFormat="1" applyFont="1" applyFill="1" applyBorder="1" applyAlignment="1">
      <alignment horizontal="right"/>
    </xf>
    <xf numFmtId="0" fontId="14" fillId="0" borderId="0" xfId="0" applyFont="1" applyFill="1" applyBorder="1" applyAlignment="1">
      <alignment horizontal="right"/>
    </xf>
    <xf numFmtId="166" fontId="15" fillId="0" borderId="0" xfId="151" applyNumberFormat="1" applyFont="1" applyFill="1" applyBorder="1"/>
    <xf numFmtId="167" fontId="6" fillId="0" borderId="0" xfId="0" applyNumberFormat="1" applyFont="1" applyFill="1" applyBorder="1"/>
    <xf numFmtId="166" fontId="3" fillId="0" borderId="0" xfId="151" applyNumberFormat="1" applyFont="1" applyFill="1" applyBorder="1"/>
    <xf numFmtId="167" fontId="44" fillId="0" borderId="0" xfId="151" applyNumberFormat="1" applyFont="1" applyFill="1" applyBorder="1"/>
    <xf numFmtId="166" fontId="31" fillId="0" borderId="0" xfId="151" applyNumberFormat="1" applyFont="1" applyFill="1" applyBorder="1"/>
    <xf numFmtId="167" fontId="31" fillId="0" borderId="0" xfId="151" applyNumberFormat="1" applyFont="1" applyFill="1" applyBorder="1"/>
    <xf numFmtId="167" fontId="15" fillId="0" borderId="0" xfId="151" applyNumberFormat="1" applyFont="1" applyFill="1" applyBorder="1"/>
    <xf numFmtId="0" fontId="15" fillId="0" borderId="0" xfId="0" applyFont="1" applyFill="1" applyBorder="1"/>
    <xf numFmtId="38" fontId="6" fillId="0" borderId="0" xfId="0" applyNumberFormat="1" applyFont="1" applyFill="1" applyBorder="1"/>
    <xf numFmtId="38" fontId="3" fillId="0" borderId="0" xfId="0" applyNumberFormat="1" applyFont="1" applyFill="1" applyBorder="1"/>
    <xf numFmtId="167" fontId="15" fillId="0" borderId="0" xfId="0" applyNumberFormat="1" applyFont="1" applyFill="1" applyBorder="1"/>
    <xf numFmtId="44" fontId="15" fillId="0" borderId="0" xfId="185" applyFont="1" applyFill="1" applyBorder="1"/>
    <xf numFmtId="170" fontId="6" fillId="0" borderId="0" xfId="0" applyNumberFormat="1" applyFont="1" applyFill="1" applyBorder="1"/>
    <xf numFmtId="177" fontId="6" fillId="0" borderId="0" xfId="0" applyNumberFormat="1" applyFont="1" applyFill="1" applyBorder="1"/>
    <xf numFmtId="166" fontId="6" fillId="0" borderId="0" xfId="151" applyNumberFormat="1" applyFont="1" applyFill="1" applyBorder="1"/>
    <xf numFmtId="38" fontId="26" fillId="0" borderId="0" xfId="0" applyNumberFormat="1" applyFont="1" applyFill="1" applyBorder="1"/>
    <xf numFmtId="0" fontId="38" fillId="0" borderId="0" xfId="0" applyFont="1" applyFill="1" applyBorder="1"/>
    <xf numFmtId="171" fontId="6" fillId="0" borderId="0" xfId="185" applyNumberFormat="1" applyFont="1" applyFill="1" applyBorder="1"/>
    <xf numFmtId="44" fontId="15" fillId="0" borderId="0" xfId="0" applyNumberFormat="1" applyFont="1" applyFill="1" applyBorder="1"/>
    <xf numFmtId="44" fontId="8" fillId="0" borderId="0" xfId="185" applyFont="1" applyFill="1" applyBorder="1"/>
    <xf numFmtId="175" fontId="15" fillId="0" borderId="0" xfId="151" applyNumberFormat="1" applyFont="1" applyFill="1" applyBorder="1"/>
    <xf numFmtId="0" fontId="25" fillId="21" borderId="0" xfId="0" applyFont="1" applyFill="1" applyBorder="1"/>
    <xf numFmtId="0" fontId="46" fillId="21" borderId="0" xfId="0" applyFont="1" applyFill="1" applyBorder="1"/>
    <xf numFmtId="0" fontId="47" fillId="0" borderId="0" xfId="0" applyFont="1" applyFill="1" applyBorder="1"/>
    <xf numFmtId="174" fontId="47" fillId="0" borderId="0" xfId="151" applyNumberFormat="1" applyFont="1" applyFill="1" applyBorder="1"/>
    <xf numFmtId="174" fontId="45" fillId="0" borderId="0" xfId="151" applyNumberFormat="1" applyFont="1" applyFill="1" applyBorder="1"/>
    <xf numFmtId="174" fontId="48" fillId="0" borderId="0" xfId="151" applyNumberFormat="1" applyFont="1" applyFill="1" applyBorder="1"/>
    <xf numFmtId="41" fontId="6" fillId="0" borderId="0" xfId="263" applyNumberFormat="1" applyFont="1" applyFill="1"/>
    <xf numFmtId="41" fontId="6" fillId="0" borderId="0" xfId="263" applyNumberFormat="1" applyFont="1"/>
    <xf numFmtId="167" fontId="49" fillId="0" borderId="0" xfId="151" applyNumberFormat="1" applyFont="1" applyFill="1" applyBorder="1"/>
    <xf numFmtId="0" fontId="47" fillId="0" borderId="0" xfId="0" applyFont="1" applyFill="1" applyBorder="1" applyAlignment="1">
      <alignment horizontal="left" indent="1"/>
    </xf>
    <xf numFmtId="167" fontId="6" fillId="0" borderId="0" xfId="151" applyNumberFormat="1" applyFont="1" applyFill="1" applyBorder="1" applyAlignment="1">
      <alignment horizontal="left"/>
    </xf>
    <xf numFmtId="0" fontId="25" fillId="23" borderId="0" xfId="0" applyFont="1" applyFill="1" applyBorder="1"/>
    <xf numFmtId="0" fontId="25" fillId="23" borderId="0" xfId="0" applyFont="1" applyFill="1" applyBorder="1" applyAlignment="1">
      <alignment horizontal="right"/>
    </xf>
    <xf numFmtId="167" fontId="6" fillId="0" borderId="0" xfId="151" applyNumberFormat="1" applyFont="1" applyFill="1" applyBorder="1"/>
    <xf numFmtId="0" fontId="47" fillId="0" borderId="0" xfId="0" applyFont="1" applyFill="1" applyBorder="1" applyAlignment="1">
      <alignment horizontal="left"/>
    </xf>
    <xf numFmtId="167" fontId="47" fillId="0" borderId="0" xfId="151" applyNumberFormat="1" applyFont="1" applyFill="1" applyBorder="1"/>
    <xf numFmtId="0" fontId="3" fillId="11" borderId="21" xfId="0" applyFont="1" applyFill="1" applyBorder="1"/>
    <xf numFmtId="0" fontId="3" fillId="11" borderId="9" xfId="0" applyFont="1" applyFill="1" applyBorder="1"/>
    <xf numFmtId="167" fontId="3" fillId="11" borderId="9" xfId="151" applyNumberFormat="1" applyFont="1" applyFill="1" applyBorder="1"/>
    <xf numFmtId="166" fontId="49" fillId="0" borderId="0" xfId="151" applyNumberFormat="1" applyFont="1" applyFill="1" applyBorder="1"/>
    <xf numFmtId="176" fontId="49" fillId="0" borderId="0" xfId="151" applyNumberFormat="1" applyFont="1" applyFill="1" applyBorder="1"/>
    <xf numFmtId="0" fontId="39" fillId="0" borderId="1" xfId="0" applyFont="1" applyFill="1" applyBorder="1" applyAlignment="1">
      <alignment horizontal="right"/>
    </xf>
    <xf numFmtId="0" fontId="25" fillId="23" borderId="1" xfId="0" applyFont="1" applyFill="1" applyBorder="1" applyAlignment="1">
      <alignment horizontal="right"/>
    </xf>
    <xf numFmtId="0" fontId="25" fillId="0" borderId="1" xfId="0" applyFont="1" applyFill="1" applyBorder="1" applyAlignment="1">
      <alignment horizontal="right"/>
    </xf>
    <xf numFmtId="167" fontId="15" fillId="0" borderId="1" xfId="151" applyNumberFormat="1" applyFont="1" applyFill="1" applyBorder="1"/>
    <xf numFmtId="167" fontId="6" fillId="0" borderId="1" xfId="151" applyNumberFormat="1" applyFont="1" applyFill="1" applyBorder="1" applyAlignment="1">
      <alignment horizontal="left"/>
    </xf>
    <xf numFmtId="0" fontId="6" fillId="0" borderId="1" xfId="0" applyFont="1" applyFill="1" applyBorder="1"/>
    <xf numFmtId="166" fontId="3" fillId="0" borderId="1" xfId="151" applyNumberFormat="1" applyFont="1" applyFill="1" applyBorder="1"/>
    <xf numFmtId="0" fontId="6" fillId="0" borderId="1" xfId="0" applyFont="1" applyBorder="1"/>
    <xf numFmtId="7" fontId="6" fillId="0" borderId="1" xfId="185" applyNumberFormat="1" applyFont="1" applyFill="1" applyBorder="1"/>
    <xf numFmtId="169" fontId="6" fillId="0" borderId="1" xfId="275" applyNumberFormat="1" applyFont="1" applyFill="1" applyBorder="1"/>
    <xf numFmtId="174" fontId="45" fillId="0" borderId="1" xfId="151" applyNumberFormat="1" applyFont="1" applyFill="1" applyBorder="1"/>
    <xf numFmtId="167" fontId="15" fillId="0" borderId="1" xfId="0" applyNumberFormat="1" applyFont="1" applyFill="1" applyBorder="1"/>
    <xf numFmtId="166" fontId="6" fillId="0" borderId="1" xfId="151" applyNumberFormat="1" applyFont="1" applyFill="1" applyBorder="1"/>
    <xf numFmtId="44" fontId="6" fillId="0" borderId="1" xfId="185" applyFont="1" applyFill="1" applyBorder="1"/>
    <xf numFmtId="167" fontId="39" fillId="11" borderId="24" xfId="151" applyNumberFormat="1" applyFont="1" applyFill="1" applyBorder="1"/>
    <xf numFmtId="177" fontId="6" fillId="0" borderId="1" xfId="0" applyNumberFormat="1" applyFont="1" applyFill="1" applyBorder="1"/>
    <xf numFmtId="169" fontId="6" fillId="0" borderId="1" xfId="275" applyFont="1" applyFill="1" applyBorder="1"/>
    <xf numFmtId="166" fontId="15" fillId="0" borderId="1" xfId="151" applyNumberFormat="1" applyFont="1" applyFill="1" applyBorder="1"/>
    <xf numFmtId="174" fontId="48" fillId="0" borderId="1" xfId="151" applyNumberFormat="1" applyFont="1" applyFill="1" applyBorder="1"/>
    <xf numFmtId="167" fontId="47" fillId="0" borderId="1" xfId="151" applyNumberFormat="1" applyFont="1" applyFill="1" applyBorder="1"/>
    <xf numFmtId="44" fontId="15" fillId="0" borderId="1" xfId="0" applyNumberFormat="1" applyFont="1" applyFill="1" applyBorder="1"/>
    <xf numFmtId="167" fontId="3" fillId="11" borderId="24" xfId="151" applyNumberFormat="1" applyFont="1" applyFill="1" applyBorder="1"/>
    <xf numFmtId="169" fontId="15" fillId="0" borderId="1" xfId="275" applyNumberFormat="1" applyFont="1" applyFill="1" applyBorder="1"/>
    <xf numFmtId="169" fontId="8" fillId="0" borderId="1" xfId="275" applyNumberFormat="1" applyFont="1" applyFill="1" applyBorder="1"/>
    <xf numFmtId="175" fontId="15" fillId="0" borderId="1" xfId="151" applyNumberFormat="1" applyFont="1" applyFill="1" applyBorder="1"/>
    <xf numFmtId="169" fontId="45" fillId="0" borderId="1" xfId="275" applyNumberFormat="1" applyFont="1" applyFill="1" applyBorder="1"/>
    <xf numFmtId="176" fontId="15" fillId="0" borderId="1" xfId="151" applyNumberFormat="1" applyFont="1" applyFill="1" applyBorder="1"/>
    <xf numFmtId="0" fontId="15" fillId="0" borderId="1" xfId="0" applyFont="1" applyFill="1" applyBorder="1"/>
    <xf numFmtId="167" fontId="6" fillId="0" borderId="1" xfId="0" applyNumberFormat="1" applyFont="1" applyFill="1" applyBorder="1"/>
    <xf numFmtId="167" fontId="49" fillId="0" borderId="1" xfId="151" applyNumberFormat="1" applyFont="1" applyFill="1" applyBorder="1"/>
    <xf numFmtId="167" fontId="6" fillId="0" borderId="1" xfId="151" applyNumberFormat="1" applyFont="1" applyFill="1" applyBorder="1"/>
    <xf numFmtId="166" fontId="49" fillId="0" borderId="1" xfId="151" applyNumberFormat="1" applyFont="1" applyFill="1" applyBorder="1"/>
    <xf numFmtId="176" fontId="49" fillId="0" borderId="1" xfId="151" applyNumberFormat="1" applyFont="1" applyFill="1" applyBorder="1"/>
    <xf numFmtId="0" fontId="38" fillId="0" borderId="1" xfId="0" applyFont="1" applyFill="1" applyBorder="1"/>
    <xf numFmtId="0" fontId="6" fillId="0" borderId="4" xfId="0" applyFont="1" applyBorder="1"/>
    <xf numFmtId="167" fontId="49" fillId="0" borderId="4" xfId="151" applyNumberFormat="1" applyFont="1" applyFill="1" applyBorder="1"/>
    <xf numFmtId="167" fontId="15" fillId="0" borderId="25" xfId="151" applyNumberFormat="1" applyFont="1" applyFill="1" applyBorder="1"/>
    <xf numFmtId="167" fontId="49" fillId="0" borderId="25" xfId="151" applyNumberFormat="1" applyFont="1" applyFill="1" applyBorder="1"/>
    <xf numFmtId="167" fontId="6" fillId="0" borderId="4" xfId="151" applyNumberFormat="1" applyFont="1" applyFill="1" applyBorder="1"/>
    <xf numFmtId="167" fontId="6" fillId="0" borderId="25" xfId="151" applyNumberFormat="1" applyFont="1" applyFill="1" applyBorder="1"/>
    <xf numFmtId="0" fontId="6" fillId="0" borderId="4" xfId="0" applyFont="1" applyFill="1" applyBorder="1"/>
    <xf numFmtId="0" fontId="46" fillId="21" borderId="0" xfId="260" applyFont="1" applyFill="1"/>
    <xf numFmtId="0" fontId="1" fillId="0" borderId="0" xfId="260"/>
    <xf numFmtId="0" fontId="25" fillId="21" borderId="0" xfId="260" applyFont="1" applyFill="1"/>
    <xf numFmtId="0" fontId="1" fillId="0" borderId="0" xfId="260" applyBorder="1"/>
    <xf numFmtId="41" fontId="1" fillId="0" borderId="0" xfId="260" applyNumberFormat="1"/>
    <xf numFmtId="167" fontId="1" fillId="0" borderId="0" xfId="260" applyNumberFormat="1"/>
    <xf numFmtId="0" fontId="44" fillId="21" borderId="0" xfId="263" applyFont="1" applyFill="1" applyBorder="1"/>
    <xf numFmtId="0" fontId="44" fillId="21" borderId="0" xfId="0" applyFont="1" applyFill="1" applyBorder="1" applyAlignment="1">
      <alignment horizontal="left"/>
    </xf>
    <xf numFmtId="0" fontId="47" fillId="0" borderId="0" xfId="260" applyFont="1" applyAlignment="1">
      <alignment horizontal="left" indent="1"/>
    </xf>
    <xf numFmtId="169" fontId="29" fillId="24" borderId="1" xfId="275" applyNumberFormat="1" applyFont="1" applyFill="1" applyBorder="1" applyAlignment="1">
      <alignment horizontal="right"/>
    </xf>
    <xf numFmtId="169" fontId="39" fillId="24" borderId="1" xfId="275" applyNumberFormat="1" applyFont="1" applyFill="1" applyBorder="1" applyAlignment="1">
      <alignment horizontal="right"/>
    </xf>
    <xf numFmtId="169" fontId="15" fillId="24" borderId="1" xfId="275" applyNumberFormat="1" applyFont="1" applyFill="1" applyBorder="1" applyAlignment="1">
      <alignment horizontal="right"/>
    </xf>
    <xf numFmtId="179" fontId="39" fillId="24" borderId="1" xfId="275" applyNumberFormat="1" applyFont="1" applyFill="1" applyBorder="1" applyAlignment="1">
      <alignment horizontal="right"/>
    </xf>
    <xf numFmtId="169" fontId="6" fillId="0" borderId="1" xfId="275" applyFont="1" applyFill="1" applyBorder="1" applyAlignment="1">
      <alignment horizontal="right"/>
    </xf>
    <xf numFmtId="0" fontId="28" fillId="21" borderId="0" xfId="0" applyFont="1" applyFill="1" applyBorder="1" applyAlignment="1">
      <alignment horizontal="right"/>
    </xf>
    <xf numFmtId="0" fontId="28" fillId="25" borderId="1" xfId="0" applyFont="1" applyFill="1" applyBorder="1" applyAlignment="1">
      <alignment horizontal="right"/>
    </xf>
    <xf numFmtId="167" fontId="6" fillId="0" borderId="19" xfId="151" applyNumberFormat="1" applyFont="1" applyFill="1" applyBorder="1" applyAlignment="1">
      <alignment horizontal="left"/>
    </xf>
    <xf numFmtId="10" fontId="6" fillId="0" borderId="0" xfId="275" applyNumberFormat="1" applyFont="1" applyFill="1" applyBorder="1"/>
    <xf numFmtId="0" fontId="28" fillId="31" borderId="0" xfId="0" applyFont="1" applyFill="1" applyBorder="1" applyAlignment="1">
      <alignment horizontal="right"/>
    </xf>
    <xf numFmtId="167" fontId="141" fillId="0" borderId="0" xfId="151" applyNumberFormat="1" applyFont="1" applyFill="1" applyBorder="1"/>
    <xf numFmtId="167" fontId="6" fillId="0" borderId="0" xfId="151" applyNumberFormat="1" applyFont="1" applyFill="1" applyBorder="1" applyAlignment="1">
      <alignment horizontal="right" indent="1"/>
    </xf>
    <xf numFmtId="1" fontId="6" fillId="0" borderId="1" xfId="0" applyNumberFormat="1" applyFont="1" applyFill="1" applyBorder="1"/>
    <xf numFmtId="44" fontId="141" fillId="0" borderId="0" xfId="185" applyFont="1" applyFill="1" applyBorder="1"/>
    <xf numFmtId="167" fontId="15" fillId="0" borderId="0" xfId="185" applyNumberFormat="1" applyFont="1" applyFill="1" applyBorder="1"/>
    <xf numFmtId="0" fontId="0" fillId="0" borderId="0" xfId="0" applyFill="1" applyBorder="1"/>
    <xf numFmtId="0" fontId="6" fillId="0" borderId="0" xfId="0" applyFont="1" applyBorder="1" applyAlignment="1">
      <alignment horizontal="right"/>
    </xf>
    <xf numFmtId="167" fontId="3" fillId="0" borderId="0" xfId="151" applyNumberFormat="1" applyFont="1" applyFill="1" applyBorder="1"/>
    <xf numFmtId="169" fontId="16" fillId="0" borderId="0" xfId="275" applyFont="1" applyFill="1" applyBorder="1"/>
    <xf numFmtId="0" fontId="144" fillId="0" borderId="0" xfId="0" applyFont="1" applyFill="1" applyBorder="1" applyAlignment="1">
      <alignment horizontal="left"/>
    </xf>
    <xf numFmtId="0" fontId="145" fillId="0" borderId="0" xfId="0" applyFont="1" applyFill="1" applyBorder="1"/>
    <xf numFmtId="167" fontId="145" fillId="0" borderId="0" xfId="151" applyNumberFormat="1" applyFont="1" applyFill="1" applyBorder="1"/>
    <xf numFmtId="167" fontId="145" fillId="0" borderId="1" xfId="151" applyNumberFormat="1" applyFont="1" applyFill="1" applyBorder="1"/>
    <xf numFmtId="0" fontId="144" fillId="0" borderId="0" xfId="0" applyFont="1" applyFill="1" applyBorder="1"/>
    <xf numFmtId="0" fontId="1" fillId="26" borderId="0" xfId="242" applyFill="1" applyAlignment="1">
      <alignment vertical="top"/>
    </xf>
    <xf numFmtId="0" fontId="1" fillId="26" borderId="0" xfId="242" applyFill="1"/>
    <xf numFmtId="0" fontId="17" fillId="26" borderId="0" xfId="255" applyFont="1" applyFill="1" applyAlignment="1">
      <alignment horizontal="left" vertical="top"/>
    </xf>
    <xf numFmtId="0" fontId="32" fillId="26" borderId="0" xfId="255" applyFont="1" applyFill="1" applyAlignment="1">
      <alignment vertical="top"/>
    </xf>
    <xf numFmtId="0" fontId="146" fillId="26" borderId="41" xfId="0" applyFont="1" applyFill="1" applyBorder="1" applyAlignment="1">
      <alignment vertical="top"/>
    </xf>
    <xf numFmtId="9" fontId="146" fillId="26" borderId="41" xfId="0" applyNumberFormat="1" applyFont="1" applyFill="1" applyBorder="1" applyAlignment="1">
      <alignment vertical="top"/>
    </xf>
    <xf numFmtId="3" fontId="146" fillId="26" borderId="41" xfId="0" applyNumberFormat="1" applyFont="1" applyFill="1" applyBorder="1" applyAlignment="1">
      <alignment vertical="top"/>
    </xf>
    <xf numFmtId="167" fontId="141" fillId="0" borderId="4" xfId="151" applyNumberFormat="1" applyFont="1" applyFill="1" applyBorder="1"/>
    <xf numFmtId="0" fontId="6" fillId="0" borderId="0" xfId="0" applyFont="1" applyBorder="1" applyAlignment="1">
      <alignment horizontal="left" indent="1"/>
    </xf>
    <xf numFmtId="0" fontId="3" fillId="0" borderId="0" xfId="0" applyFont="1" applyBorder="1"/>
    <xf numFmtId="167" fontId="39" fillId="0" borderId="1" xfId="151" applyNumberFormat="1" applyFont="1" applyFill="1" applyBorder="1"/>
    <xf numFmtId="0" fontId="6" fillId="0" borderId="27" xfId="0" applyFont="1" applyFill="1" applyBorder="1"/>
    <xf numFmtId="167" fontId="15" fillId="0" borderId="27" xfId="151" applyNumberFormat="1" applyFont="1" applyFill="1" applyBorder="1"/>
    <xf numFmtId="167" fontId="148" fillId="0" borderId="1" xfId="151" applyNumberFormat="1" applyFont="1" applyFill="1" applyBorder="1"/>
    <xf numFmtId="174" fontId="148" fillId="0" borderId="1" xfId="151" applyNumberFormat="1" applyFont="1" applyFill="1" applyBorder="1"/>
    <xf numFmtId="167" fontId="148" fillId="0" borderId="1" xfId="0" applyNumberFormat="1" applyFont="1" applyFill="1" applyBorder="1"/>
    <xf numFmtId="167" fontId="148" fillId="0" borderId="25" xfId="151" applyNumberFormat="1" applyFont="1" applyFill="1" applyBorder="1"/>
    <xf numFmtId="166" fontId="15" fillId="0" borderId="0" xfId="160" applyNumberFormat="1" applyFont="1" applyFill="1" applyBorder="1"/>
    <xf numFmtId="166" fontId="3" fillId="0" borderId="0" xfId="160" applyNumberFormat="1" applyFont="1" applyFill="1" applyBorder="1"/>
    <xf numFmtId="167" fontId="31" fillId="0" borderId="0" xfId="160" applyNumberFormat="1" applyFont="1" applyFill="1" applyBorder="1"/>
    <xf numFmtId="176" fontId="45" fillId="0" borderId="0" xfId="160" applyNumberFormat="1" applyFont="1" applyFill="1" applyBorder="1"/>
    <xf numFmtId="174" fontId="47" fillId="0" borderId="0" xfId="160" applyNumberFormat="1" applyFont="1" applyFill="1" applyBorder="1"/>
    <xf numFmtId="174" fontId="48" fillId="0" borderId="0" xfId="160" applyNumberFormat="1" applyFont="1" applyFill="1" applyBorder="1"/>
    <xf numFmtId="167" fontId="49" fillId="0" borderId="0" xfId="160" applyNumberFormat="1" applyFont="1" applyFill="1" applyBorder="1"/>
    <xf numFmtId="167" fontId="6" fillId="0" borderId="0" xfId="160" applyNumberFormat="1" applyFont="1" applyFill="1" applyBorder="1"/>
    <xf numFmtId="167" fontId="47" fillId="0" borderId="0" xfId="160" applyNumberFormat="1" applyFont="1" applyFill="1" applyBorder="1"/>
    <xf numFmtId="170" fontId="47" fillId="0" borderId="0" xfId="160" applyNumberFormat="1" applyFont="1" applyFill="1" applyBorder="1"/>
    <xf numFmtId="176" fontId="45" fillId="0" borderId="1" xfId="160" applyNumberFormat="1" applyFont="1" applyFill="1" applyBorder="1"/>
    <xf numFmtId="167" fontId="49" fillId="0" borderId="4" xfId="160" applyNumberFormat="1" applyFont="1" applyFill="1" applyBorder="1"/>
    <xf numFmtId="167" fontId="6" fillId="0" borderId="4" xfId="160" applyNumberFormat="1" applyFont="1" applyFill="1" applyBorder="1"/>
    <xf numFmtId="167" fontId="141" fillId="0" borderId="0" xfId="160" applyNumberFormat="1" applyFont="1" applyFill="1" applyBorder="1"/>
    <xf numFmtId="167" fontId="6" fillId="0" borderId="0" xfId="160" applyNumberFormat="1" applyFont="1" applyFill="1" applyBorder="1" applyAlignment="1">
      <alignment horizontal="right" indent="1"/>
    </xf>
    <xf numFmtId="167" fontId="3" fillId="0" borderId="0" xfId="160" applyNumberFormat="1" applyFont="1" applyFill="1" applyBorder="1"/>
    <xf numFmtId="167" fontId="3" fillId="0" borderId="1" xfId="160" applyNumberFormat="1" applyFont="1" applyFill="1" applyBorder="1"/>
    <xf numFmtId="167" fontId="15" fillId="0" borderId="0" xfId="160" applyNumberFormat="1" applyFont="1" applyFill="1" applyBorder="1"/>
    <xf numFmtId="169" fontId="25" fillId="0" borderId="0" xfId="275" applyFont="1" applyFill="1" applyBorder="1" applyAlignment="1">
      <alignment horizontal="right"/>
    </xf>
    <xf numFmtId="169" fontId="15" fillId="0" borderId="0" xfId="275" applyFont="1" applyFill="1" applyBorder="1" applyAlignment="1">
      <alignment horizontal="right"/>
    </xf>
    <xf numFmtId="167" fontId="39" fillId="0" borderId="0" xfId="160" applyNumberFormat="1" applyFont="1" applyFill="1" applyBorder="1"/>
    <xf numFmtId="169" fontId="47" fillId="0" borderId="0" xfId="275" applyFont="1" applyFill="1" applyBorder="1" applyAlignment="1">
      <alignment horizontal="right"/>
    </xf>
    <xf numFmtId="174" fontId="143" fillId="0" borderId="0" xfId="160" applyNumberFormat="1" applyFont="1" applyFill="1" applyBorder="1"/>
    <xf numFmtId="174" fontId="49" fillId="0" borderId="0" xfId="160" applyNumberFormat="1" applyFont="1" applyFill="1" applyBorder="1"/>
    <xf numFmtId="167" fontId="3" fillId="0" borderId="0" xfId="160" applyNumberFormat="1" applyFont="1" applyFill="1" applyBorder="1" applyAlignment="1">
      <alignment horizontal="left"/>
    </xf>
    <xf numFmtId="167" fontId="6" fillId="0" borderId="0" xfId="160" applyNumberFormat="1" applyFont="1" applyFill="1" applyBorder="1" applyAlignment="1">
      <alignment horizontal="left"/>
    </xf>
    <xf numFmtId="169" fontId="6" fillId="0" borderId="0" xfId="275" applyFont="1" applyFill="1" applyBorder="1" applyAlignment="1">
      <alignment horizontal="right"/>
    </xf>
    <xf numFmtId="169" fontId="3" fillId="0" borderId="0" xfId="275" applyFont="1" applyFill="1" applyBorder="1"/>
    <xf numFmtId="167" fontId="44" fillId="0" borderId="0" xfId="160" applyNumberFormat="1" applyFont="1" applyFill="1" applyBorder="1"/>
    <xf numFmtId="174" fontId="141" fillId="0" borderId="0" xfId="160" applyNumberFormat="1" applyFont="1" applyFill="1" applyBorder="1"/>
    <xf numFmtId="174" fontId="149" fillId="0" borderId="0" xfId="160" applyNumberFormat="1" applyFont="1" applyFill="1" applyBorder="1"/>
    <xf numFmtId="167" fontId="3" fillId="0" borderId="0" xfId="160" applyNumberFormat="1" applyFont="1" applyFill="1" applyBorder="1" applyAlignment="1">
      <alignment horizontal="left" indent="1"/>
    </xf>
    <xf numFmtId="167" fontId="6" fillId="0" borderId="0" xfId="160" applyNumberFormat="1" applyFont="1" applyFill="1" applyBorder="1" applyAlignment="1">
      <alignment horizontal="left" indent="1"/>
    </xf>
    <xf numFmtId="166" fontId="49" fillId="0" borderId="0" xfId="160" applyNumberFormat="1" applyFont="1" applyFill="1" applyBorder="1"/>
    <xf numFmtId="166" fontId="141" fillId="0" borderId="0" xfId="160" applyNumberFormat="1" applyFont="1" applyFill="1" applyBorder="1"/>
    <xf numFmtId="169" fontId="6" fillId="0" borderId="0" xfId="275" applyNumberFormat="1" applyFont="1" applyFill="1" applyBorder="1"/>
    <xf numFmtId="7" fontId="6" fillId="0" borderId="0" xfId="186" applyNumberFormat="1" applyFont="1" applyFill="1" applyBorder="1"/>
    <xf numFmtId="38" fontId="3" fillId="11" borderId="0" xfId="0" applyNumberFormat="1" applyFont="1" applyFill="1" applyBorder="1"/>
    <xf numFmtId="7" fontId="3" fillId="11" borderId="0" xfId="186" applyNumberFormat="1" applyFont="1" applyFill="1" applyBorder="1"/>
    <xf numFmtId="7" fontId="16" fillId="0" borderId="0" xfId="186" applyNumberFormat="1" applyFont="1" applyFill="1" applyBorder="1"/>
    <xf numFmtId="169" fontId="16" fillId="0" borderId="0" xfId="275" applyFont="1" applyFill="1" applyBorder="1" applyAlignment="1">
      <alignment horizontal="right"/>
    </xf>
    <xf numFmtId="10" fontId="16" fillId="0" borderId="0" xfId="275" applyNumberFormat="1" applyFont="1" applyFill="1" applyBorder="1"/>
    <xf numFmtId="41" fontId="6" fillId="0" borderId="0" xfId="263" applyNumberFormat="1" applyFont="1" applyBorder="1"/>
    <xf numFmtId="167" fontId="6" fillId="0" borderId="0" xfId="0" applyNumberFormat="1" applyFont="1" applyBorder="1"/>
    <xf numFmtId="7" fontId="3" fillId="0" borderId="0" xfId="186" applyNumberFormat="1" applyFont="1" applyFill="1" applyBorder="1"/>
    <xf numFmtId="167" fontId="3" fillId="0" borderId="9" xfId="151" applyNumberFormat="1" applyFont="1" applyFill="1" applyBorder="1"/>
    <xf numFmtId="167" fontId="39" fillId="0" borderId="24" xfId="151" applyNumberFormat="1" applyFont="1" applyFill="1" applyBorder="1"/>
    <xf numFmtId="43" fontId="3" fillId="0" borderId="0" xfId="160" applyNumberFormat="1" applyFont="1" applyFill="1" applyBorder="1"/>
    <xf numFmtId="0" fontId="6" fillId="0" borderId="0" xfId="0" applyFont="1" applyFill="1" applyBorder="1" applyAlignment="1">
      <alignment wrapText="1"/>
    </xf>
    <xf numFmtId="0" fontId="146" fillId="0" borderId="0" xfId="0" applyFont="1" applyFill="1"/>
    <xf numFmtId="0" fontId="28" fillId="25" borderId="1" xfId="0" applyFont="1" applyFill="1" applyBorder="1"/>
    <xf numFmtId="0" fontId="28" fillId="21" borderId="0" xfId="263" applyFont="1" applyFill="1"/>
    <xf numFmtId="179" fontId="28" fillId="31" borderId="0" xfId="0" applyNumberFormat="1" applyFont="1" applyFill="1" applyBorder="1" applyAlignment="1">
      <alignment horizontal="right"/>
    </xf>
    <xf numFmtId="179" fontId="28" fillId="21" borderId="0" xfId="0" applyNumberFormat="1" applyFont="1" applyFill="1" applyBorder="1" applyAlignment="1">
      <alignment horizontal="right"/>
    </xf>
    <xf numFmtId="0" fontId="28" fillId="31" borderId="0" xfId="263" applyNumberFormat="1" applyFont="1" applyFill="1"/>
    <xf numFmtId="0" fontId="28" fillId="21" borderId="0" xfId="263" applyNumberFormat="1" applyFont="1" applyFill="1"/>
    <xf numFmtId="0" fontId="16" fillId="8" borderId="0" xfId="0" applyFont="1" applyFill="1" applyAlignment="1">
      <alignment horizontal="center"/>
    </xf>
    <xf numFmtId="167" fontId="16" fillId="0" borderId="1" xfId="160" applyNumberFormat="1" applyFont="1" applyFill="1" applyBorder="1" applyAlignment="1">
      <alignment horizontal="right"/>
    </xf>
    <xf numFmtId="167" fontId="20" fillId="0" borderId="0" xfId="160" applyNumberFormat="1" applyFont="1" applyFill="1" applyBorder="1"/>
    <xf numFmtId="167" fontId="20" fillId="0" borderId="27" xfId="160" applyNumberFormat="1" applyFont="1" applyFill="1" applyBorder="1"/>
    <xf numFmtId="0" fontId="3" fillId="32" borderId="0" xfId="0" applyFont="1" applyFill="1" applyBorder="1"/>
    <xf numFmtId="169" fontId="16" fillId="32" borderId="0" xfId="275" applyFont="1" applyFill="1" applyBorder="1" applyAlignment="1">
      <alignment horizontal="right"/>
    </xf>
    <xf numFmtId="167" fontId="16" fillId="32" borderId="1" xfId="160" applyNumberFormat="1" applyFont="1" applyFill="1" applyBorder="1" applyAlignment="1">
      <alignment horizontal="right"/>
    </xf>
    <xf numFmtId="167" fontId="20" fillId="32" borderId="0" xfId="160" applyNumberFormat="1" applyFont="1" applyFill="1" applyBorder="1"/>
    <xf numFmtId="167" fontId="20" fillId="32" borderId="27" xfId="160" applyNumberFormat="1" applyFont="1" applyFill="1" applyBorder="1"/>
    <xf numFmtId="167" fontId="16" fillId="32" borderId="3" xfId="160" applyNumberFormat="1" applyFont="1" applyFill="1" applyBorder="1" applyAlignment="1">
      <alignment horizontal="right"/>
    </xf>
    <xf numFmtId="0" fontId="105" fillId="8" borderId="0" xfId="0" applyFont="1" applyFill="1" applyAlignment="1">
      <alignment horizontal="center"/>
    </xf>
    <xf numFmtId="0" fontId="106" fillId="0" borderId="0" xfId="0" applyFont="1" applyFill="1"/>
    <xf numFmtId="0" fontId="3" fillId="8" borderId="0" xfId="160" applyNumberFormat="1" applyFont="1" applyFill="1" applyBorder="1" applyAlignment="1" applyProtection="1"/>
    <xf numFmtId="0" fontId="3" fillId="8" borderId="6" xfId="160" applyNumberFormat="1" applyFont="1" applyFill="1" applyBorder="1" applyAlignment="1"/>
    <xf numFmtId="0" fontId="3" fillId="8" borderId="0" xfId="275" applyNumberFormat="1" applyFont="1" applyFill="1" applyBorder="1" applyAlignment="1"/>
    <xf numFmtId="169" fontId="16" fillId="0" borderId="0" xfId="275" applyNumberFormat="1" applyFont="1" applyFill="1" applyBorder="1" applyAlignment="1">
      <alignment horizontal="right"/>
    </xf>
    <xf numFmtId="169" fontId="16" fillId="0" borderId="27" xfId="275" applyNumberFormat="1" applyFont="1" applyFill="1" applyBorder="1" applyAlignment="1">
      <alignment horizontal="right"/>
    </xf>
    <xf numFmtId="169" fontId="107" fillId="0" borderId="1" xfId="275" applyNumberFormat="1" applyFont="1" applyFill="1" applyBorder="1"/>
    <xf numFmtId="169" fontId="107" fillId="0" borderId="3" xfId="275" applyNumberFormat="1" applyFont="1" applyFill="1" applyBorder="1"/>
    <xf numFmtId="167" fontId="107" fillId="0" borderId="1" xfId="160" applyNumberFormat="1" applyFont="1" applyFill="1" applyBorder="1"/>
    <xf numFmtId="167" fontId="107" fillId="0" borderId="3" xfId="160" applyNumberFormat="1" applyFont="1" applyFill="1" applyBorder="1"/>
    <xf numFmtId="0" fontId="6" fillId="8" borderId="0" xfId="160" applyNumberFormat="1" applyFont="1" applyFill="1" applyBorder="1" applyAlignment="1" applyProtection="1"/>
    <xf numFmtId="0" fontId="3" fillId="8" borderId="0" xfId="160" applyNumberFormat="1" applyFont="1" applyFill="1" applyAlignment="1">
      <alignment horizontal="left"/>
    </xf>
    <xf numFmtId="0" fontId="6" fillId="8" borderId="0" xfId="160" applyNumberFormat="1" applyFont="1" applyFill="1" applyAlignment="1">
      <alignment horizontal="left"/>
    </xf>
    <xf numFmtId="0" fontId="3" fillId="8" borderId="20" xfId="257" applyNumberFormat="1" applyFont="1" applyFill="1" applyBorder="1" applyAlignment="1" applyProtection="1"/>
    <xf numFmtId="0" fontId="3" fillId="8" borderId="6" xfId="257" applyNumberFormat="1" applyFont="1" applyFill="1" applyBorder="1" applyAlignment="1" applyProtection="1"/>
    <xf numFmtId="0" fontId="151" fillId="33" borderId="0" xfId="0" applyFont="1" applyFill="1" applyBorder="1"/>
    <xf numFmtId="0" fontId="6" fillId="0" borderId="0" xfId="0" applyNumberFormat="1" applyFont="1" applyAlignment="1"/>
    <xf numFmtId="0" fontId="47" fillId="0" borderId="0" xfId="0" applyFont="1" applyAlignment="1">
      <alignment horizontal="center"/>
    </xf>
    <xf numFmtId="0" fontId="6" fillId="0" borderId="0" xfId="0" applyFont="1" applyAlignment="1">
      <alignment horizontal="center"/>
    </xf>
    <xf numFmtId="0" fontId="108" fillId="0" borderId="0" xfId="0" applyFont="1" applyAlignment="1">
      <alignment horizontal="center"/>
    </xf>
    <xf numFmtId="167" fontId="15" fillId="0" borderId="1" xfId="160" applyNumberFormat="1" applyFont="1" applyFill="1" applyBorder="1"/>
    <xf numFmtId="174" fontId="47" fillId="0" borderId="1" xfId="160" applyNumberFormat="1" applyFont="1" applyFill="1" applyBorder="1"/>
    <xf numFmtId="167" fontId="6" fillId="0" borderId="1" xfId="160" applyNumberFormat="1" applyFont="1" applyFill="1" applyBorder="1" applyAlignment="1">
      <alignment horizontal="left"/>
    </xf>
    <xf numFmtId="167" fontId="6" fillId="0" borderId="19" xfId="160" applyNumberFormat="1" applyFont="1" applyFill="1" applyBorder="1" applyAlignment="1">
      <alignment horizontal="left"/>
    </xf>
    <xf numFmtId="174" fontId="45" fillId="0" borderId="1" xfId="160" applyNumberFormat="1" applyFont="1" applyFill="1" applyBorder="1"/>
    <xf numFmtId="166" fontId="3" fillId="0" borderId="1" xfId="160" applyNumberFormat="1" applyFont="1" applyFill="1" applyBorder="1"/>
    <xf numFmtId="174" fontId="45" fillId="0" borderId="0" xfId="160" applyNumberFormat="1" applyFont="1" applyFill="1" applyBorder="1"/>
    <xf numFmtId="167" fontId="141" fillId="0" borderId="3" xfId="160" applyNumberFormat="1" applyFont="1" applyFill="1" applyBorder="1"/>
    <xf numFmtId="167" fontId="141" fillId="34" borderId="0" xfId="160" applyNumberFormat="1" applyFont="1" applyFill="1" applyBorder="1"/>
    <xf numFmtId="167" fontId="141" fillId="0" borderId="4" xfId="160" applyNumberFormat="1" applyFont="1" applyFill="1" applyBorder="1"/>
    <xf numFmtId="167" fontId="15" fillId="0" borderId="25" xfId="160" applyNumberFormat="1" applyFont="1" applyFill="1" applyBorder="1"/>
    <xf numFmtId="44" fontId="141" fillId="0" borderId="0" xfId="186" applyFont="1" applyFill="1" applyBorder="1"/>
    <xf numFmtId="44" fontId="15" fillId="0" borderId="0" xfId="186" applyFont="1" applyFill="1" applyBorder="1"/>
    <xf numFmtId="167" fontId="15" fillId="0" borderId="3" xfId="160" applyNumberFormat="1" applyFont="1" applyFill="1" applyBorder="1"/>
    <xf numFmtId="166" fontId="6" fillId="0" borderId="0" xfId="160" applyNumberFormat="1" applyFont="1" applyFill="1" applyBorder="1"/>
    <xf numFmtId="166" fontId="6" fillId="0" borderId="1" xfId="160" applyNumberFormat="1" applyFont="1" applyFill="1" applyBorder="1"/>
    <xf numFmtId="167" fontId="145" fillId="0" borderId="0" xfId="160" applyNumberFormat="1" applyFont="1" applyFill="1" applyBorder="1"/>
    <xf numFmtId="167" fontId="145" fillId="0" borderId="1" xfId="160" applyNumberFormat="1" applyFont="1" applyFill="1" applyBorder="1"/>
    <xf numFmtId="44" fontId="6" fillId="0" borderId="0" xfId="186" applyFont="1" applyFill="1" applyBorder="1"/>
    <xf numFmtId="44" fontId="6" fillId="0" borderId="1" xfId="186" applyFont="1" applyFill="1" applyBorder="1"/>
    <xf numFmtId="167" fontId="6" fillId="0" borderId="1" xfId="160" applyNumberFormat="1" applyFont="1" applyFill="1" applyBorder="1"/>
    <xf numFmtId="167" fontId="3" fillId="11" borderId="9" xfId="160" applyNumberFormat="1" applyFont="1" applyFill="1" applyBorder="1"/>
    <xf numFmtId="167" fontId="39" fillId="11" borderId="24" xfId="160" applyNumberFormat="1" applyFont="1" applyFill="1" applyBorder="1"/>
    <xf numFmtId="167" fontId="3" fillId="11" borderId="24" xfId="160" applyNumberFormat="1" applyFont="1" applyFill="1" applyBorder="1"/>
    <xf numFmtId="166" fontId="15" fillId="0" borderId="1" xfId="160" applyNumberFormat="1" applyFont="1" applyFill="1" applyBorder="1"/>
    <xf numFmtId="174" fontId="48" fillId="0" borderId="1" xfId="160" applyNumberFormat="1" applyFont="1" applyFill="1" applyBorder="1"/>
    <xf numFmtId="167" fontId="15" fillId="0" borderId="0" xfId="186" applyNumberFormat="1" applyFont="1" applyFill="1" applyBorder="1"/>
    <xf numFmtId="167" fontId="47" fillId="0" borderId="1" xfId="160" applyNumberFormat="1" applyFont="1" applyFill="1" applyBorder="1"/>
    <xf numFmtId="44" fontId="8" fillId="0" borderId="0" xfId="186" applyFont="1" applyFill="1" applyBorder="1"/>
    <xf numFmtId="175" fontId="15" fillId="0" borderId="0" xfId="160" applyNumberFormat="1" applyFont="1" applyFill="1" applyBorder="1"/>
    <xf numFmtId="175" fontId="15" fillId="0" borderId="1" xfId="160" applyNumberFormat="1" applyFont="1" applyFill="1" applyBorder="1"/>
    <xf numFmtId="44" fontId="45" fillId="0" borderId="0" xfId="186" applyFont="1" applyFill="1" applyBorder="1"/>
    <xf numFmtId="176" fontId="15" fillId="0" borderId="0" xfId="160" applyNumberFormat="1" applyFont="1" applyFill="1" applyBorder="1"/>
    <xf numFmtId="176" fontId="15" fillId="0" borderId="1" xfId="160" applyNumberFormat="1" applyFont="1" applyFill="1" applyBorder="1"/>
    <xf numFmtId="7" fontId="6" fillId="0" borderId="1" xfId="186" applyNumberFormat="1" applyFont="1" applyFill="1" applyBorder="1"/>
    <xf numFmtId="0" fontId="6" fillId="0" borderId="0" xfId="160" applyNumberFormat="1" applyFont="1" applyFill="1" applyAlignment="1">
      <alignment horizontal="left"/>
    </xf>
    <xf numFmtId="0" fontId="6" fillId="8" borderId="0" xfId="0" applyFont="1" applyFill="1"/>
    <xf numFmtId="0" fontId="6" fillId="0" borderId="0" xfId="259" applyFont="1"/>
    <xf numFmtId="0" fontId="6" fillId="0" borderId="4" xfId="259" applyFont="1" applyBorder="1"/>
    <xf numFmtId="0" fontId="6" fillId="8" borderId="0" xfId="0" applyNumberFormat="1" applyFont="1" applyFill="1" applyAlignment="1"/>
    <xf numFmtId="0" fontId="3" fillId="0" borderId="0" xfId="0" applyNumberFormat="1" applyFont="1" applyFill="1" applyAlignment="1"/>
    <xf numFmtId="0" fontId="6" fillId="0" borderId="25" xfId="0" applyFont="1" applyBorder="1"/>
    <xf numFmtId="0" fontId="6" fillId="0" borderId="28" xfId="0" applyFont="1" applyFill="1" applyBorder="1"/>
    <xf numFmtId="0" fontId="110" fillId="0" borderId="0" xfId="0" applyFont="1" applyFill="1"/>
    <xf numFmtId="0" fontId="13" fillId="8" borderId="0" xfId="160" applyNumberFormat="1" applyFont="1" applyFill="1" applyBorder="1" applyAlignment="1" applyProtection="1"/>
    <xf numFmtId="0" fontId="13" fillId="8" borderId="0" xfId="275" applyNumberFormat="1" applyFont="1" applyFill="1" applyBorder="1" applyAlignment="1" applyProtection="1"/>
    <xf numFmtId="174" fontId="110" fillId="0" borderId="1" xfId="160" applyNumberFormat="1" applyFont="1" applyFill="1" applyBorder="1"/>
    <xf numFmtId="174" fontId="110" fillId="0" borderId="0" xfId="160" applyNumberFormat="1" applyFont="1" applyFill="1" applyBorder="1"/>
    <xf numFmtId="174" fontId="110" fillId="0" borderId="27" xfId="160" applyNumberFormat="1" applyFont="1" applyFill="1" applyBorder="1"/>
    <xf numFmtId="174" fontId="110" fillId="0" borderId="3" xfId="160" applyNumberFormat="1" applyFont="1" applyFill="1" applyBorder="1"/>
    <xf numFmtId="169" fontId="16" fillId="0" borderId="0" xfId="275" applyNumberFormat="1" applyFont="1" applyFill="1" applyBorder="1"/>
    <xf numFmtId="0" fontId="42" fillId="0" borderId="0" xfId="0" applyFont="1" applyFill="1" applyBorder="1"/>
    <xf numFmtId="0" fontId="42" fillId="0" borderId="4" xfId="0" applyFont="1" applyFill="1" applyBorder="1"/>
    <xf numFmtId="0" fontId="111" fillId="0" borderId="1" xfId="0" applyFont="1" applyFill="1" applyBorder="1"/>
    <xf numFmtId="0" fontId="32" fillId="8" borderId="1" xfId="0" applyFont="1" applyFill="1" applyBorder="1"/>
    <xf numFmtId="0" fontId="42" fillId="0" borderId="1" xfId="0" applyFont="1" applyFill="1" applyBorder="1"/>
    <xf numFmtId="0" fontId="6" fillId="8" borderId="1" xfId="0" applyFont="1" applyFill="1" applyBorder="1"/>
    <xf numFmtId="0" fontId="6" fillId="0" borderId="0" xfId="0" applyFont="1" applyBorder="1" applyAlignment="1">
      <alignment horizontal="left" indent="2"/>
    </xf>
    <xf numFmtId="167" fontId="44" fillId="0" borderId="1" xfId="151" applyNumberFormat="1" applyFont="1" applyFill="1" applyBorder="1"/>
    <xf numFmtId="170" fontId="6" fillId="0" borderId="1" xfId="0" applyNumberFormat="1" applyFont="1" applyFill="1" applyBorder="1"/>
    <xf numFmtId="167" fontId="31" fillId="0" borderId="1" xfId="151" applyNumberFormat="1" applyFont="1" applyFill="1" applyBorder="1"/>
    <xf numFmtId="167" fontId="49" fillId="0" borderId="1" xfId="160" applyNumberFormat="1" applyFont="1" applyFill="1" applyBorder="1"/>
    <xf numFmtId="167" fontId="6" fillId="0" borderId="1" xfId="151" applyNumberFormat="1" applyFont="1" applyFill="1" applyBorder="1" applyAlignment="1">
      <alignment horizontal="right" indent="1"/>
    </xf>
    <xf numFmtId="167" fontId="6" fillId="0" borderId="27" xfId="151" applyNumberFormat="1" applyFont="1" applyFill="1" applyBorder="1"/>
    <xf numFmtId="167" fontId="6" fillId="0" borderId="28" xfId="151" applyNumberFormat="1" applyFont="1" applyFill="1" applyBorder="1"/>
    <xf numFmtId="167" fontId="15" fillId="0" borderId="27" xfId="160" applyNumberFormat="1" applyFont="1" applyFill="1" applyBorder="1"/>
    <xf numFmtId="167" fontId="6" fillId="0" borderId="27" xfId="0" applyNumberFormat="1" applyFont="1" applyFill="1" applyBorder="1"/>
    <xf numFmtId="174" fontId="47" fillId="0" borderId="27" xfId="160" applyNumberFormat="1" applyFont="1" applyFill="1" applyBorder="1"/>
    <xf numFmtId="43" fontId="14" fillId="0" borderId="1" xfId="0" applyNumberFormat="1" applyFont="1" applyFill="1" applyBorder="1" applyAlignment="1">
      <alignment horizontal="right"/>
    </xf>
    <xf numFmtId="167" fontId="3" fillId="0" borderId="1" xfId="160" applyNumberFormat="1" applyFont="1" applyFill="1" applyBorder="1" applyAlignment="1">
      <alignment horizontal="left"/>
    </xf>
    <xf numFmtId="43" fontId="6" fillId="0" borderId="1" xfId="0" applyNumberFormat="1" applyFont="1" applyFill="1" applyBorder="1"/>
    <xf numFmtId="7" fontId="3" fillId="11" borderId="1" xfId="186" applyNumberFormat="1" applyFont="1" applyFill="1" applyBorder="1"/>
    <xf numFmtId="167" fontId="6" fillId="0" borderId="26" xfId="160" applyNumberFormat="1" applyFont="1" applyFill="1" applyBorder="1" applyAlignment="1">
      <alignment horizontal="left"/>
    </xf>
    <xf numFmtId="0" fontId="14" fillId="0" borderId="1" xfId="0" applyFont="1" applyFill="1" applyBorder="1" applyAlignment="1">
      <alignment horizontal="right"/>
    </xf>
    <xf numFmtId="167" fontId="3" fillId="0" borderId="1" xfId="160" applyNumberFormat="1" applyFont="1" applyFill="1" applyBorder="1" applyAlignment="1">
      <alignment horizontal="left" indent="1"/>
    </xf>
    <xf numFmtId="167" fontId="14" fillId="0" borderId="1" xfId="0" applyNumberFormat="1" applyFont="1" applyFill="1" applyBorder="1" applyAlignment="1">
      <alignment horizontal="right"/>
    </xf>
    <xf numFmtId="166" fontId="49" fillId="0" borderId="1" xfId="160" applyNumberFormat="1" applyFont="1" applyFill="1" applyBorder="1"/>
    <xf numFmtId="167" fontId="39" fillId="0" borderId="1" xfId="160" applyNumberFormat="1" applyFont="1" applyFill="1" applyBorder="1"/>
    <xf numFmtId="169" fontId="3" fillId="0" borderId="1" xfId="275" applyFont="1" applyFill="1" applyBorder="1"/>
    <xf numFmtId="167" fontId="6" fillId="0" borderId="26" xfId="151" applyNumberFormat="1" applyFont="1" applyFill="1" applyBorder="1" applyAlignment="1">
      <alignment horizontal="left"/>
    </xf>
    <xf numFmtId="169" fontId="6" fillId="0" borderId="3" xfId="275" applyNumberFormat="1" applyFont="1" applyFill="1" applyBorder="1"/>
    <xf numFmtId="167" fontId="6" fillId="0" borderId="3" xfId="0" applyNumberFormat="1" applyFont="1" applyFill="1" applyBorder="1"/>
    <xf numFmtId="0" fontId="6" fillId="0" borderId="3" xfId="0" applyFont="1" applyFill="1" applyBorder="1"/>
    <xf numFmtId="0" fontId="6" fillId="0" borderId="3" xfId="0" applyFont="1" applyBorder="1"/>
    <xf numFmtId="167" fontId="141" fillId="0" borderId="1" xfId="151" applyNumberFormat="1" applyFont="1" applyFill="1" applyBorder="1"/>
    <xf numFmtId="167" fontId="141" fillId="0" borderId="25" xfId="151" applyNumberFormat="1" applyFont="1" applyFill="1" applyBorder="1"/>
    <xf numFmtId="44" fontId="141" fillId="0" borderId="1" xfId="185" applyFont="1" applyFill="1" applyBorder="1"/>
    <xf numFmtId="44" fontId="15" fillId="0" borderId="1" xfId="185" applyFont="1" applyFill="1" applyBorder="1"/>
    <xf numFmtId="0" fontId="28" fillId="25" borderId="3" xfId="0" applyFont="1" applyFill="1" applyBorder="1"/>
    <xf numFmtId="0" fontId="28" fillId="21" borderId="0" xfId="0" applyFont="1" applyFill="1" applyBorder="1" applyAlignment="1">
      <alignment horizontal="left"/>
    </xf>
    <xf numFmtId="0" fontId="28" fillId="21" borderId="0" xfId="0" applyFont="1" applyFill="1" applyBorder="1"/>
    <xf numFmtId="167" fontId="44" fillId="0" borderId="0" xfId="160" applyFont="1" applyBorder="1"/>
    <xf numFmtId="167" fontId="44" fillId="0" borderId="1" xfId="151" applyFont="1" applyBorder="1"/>
    <xf numFmtId="167" fontId="44" fillId="0" borderId="0" xfId="151" applyFont="1" applyFill="1" applyBorder="1"/>
    <xf numFmtId="0" fontId="6" fillId="0" borderId="0" xfId="0" applyFont="1"/>
    <xf numFmtId="0" fontId="6" fillId="0" borderId="0" xfId="0" applyFont="1" applyFill="1"/>
    <xf numFmtId="0" fontId="6" fillId="0" borderId="29" xfId="0" applyFont="1" applyBorder="1"/>
    <xf numFmtId="167" fontId="141" fillId="0" borderId="1" xfId="160" applyNumberFormat="1" applyFont="1" applyFill="1" applyBorder="1"/>
    <xf numFmtId="176" fontId="6" fillId="0" borderId="0" xfId="160" applyNumberFormat="1" applyFont="1" applyFill="1" applyBorder="1"/>
    <xf numFmtId="0" fontId="6" fillId="0" borderId="0" xfId="0" applyFont="1" applyFill="1" applyBorder="1" applyAlignment="1">
      <alignment horizontal="left" indent="1"/>
    </xf>
    <xf numFmtId="176" fontId="6" fillId="0" borderId="1" xfId="160" applyNumberFormat="1" applyFont="1" applyFill="1" applyBorder="1"/>
    <xf numFmtId="0" fontId="47" fillId="8" borderId="0" xfId="0" applyFont="1" applyFill="1" applyAlignment="1">
      <alignment horizontal="center"/>
    </xf>
    <xf numFmtId="167" fontId="152" fillId="0" borderId="27" xfId="160" applyNumberFormat="1" applyFont="1" applyFill="1" applyBorder="1"/>
    <xf numFmtId="167" fontId="152" fillId="0" borderId="0" xfId="160" applyNumberFormat="1" applyFont="1" applyFill="1" applyBorder="1"/>
    <xf numFmtId="0" fontId="47" fillId="0" borderId="0" xfId="0" applyFont="1" applyFill="1"/>
    <xf numFmtId="174" fontId="153" fillId="0" borderId="1" xfId="160" applyNumberFormat="1" applyFont="1" applyFill="1" applyBorder="1"/>
    <xf numFmtId="174" fontId="152" fillId="0" borderId="0" xfId="160" applyNumberFormat="1" applyFont="1" applyFill="1" applyBorder="1"/>
    <xf numFmtId="174" fontId="45" fillId="0" borderId="27" xfId="160" applyNumberFormat="1" applyFont="1" applyFill="1" applyBorder="1"/>
    <xf numFmtId="174" fontId="45" fillId="0" borderId="3" xfId="160" applyNumberFormat="1" applyFont="1" applyFill="1" applyBorder="1"/>
    <xf numFmtId="167" fontId="152" fillId="35" borderId="0" xfId="160" applyNumberFormat="1" applyFont="1" applyFill="1" applyBorder="1"/>
    <xf numFmtId="167" fontId="152" fillId="35" borderId="27" xfId="160" applyNumberFormat="1" applyFont="1" applyFill="1" applyBorder="1"/>
    <xf numFmtId="167" fontId="39" fillId="0" borderId="27" xfId="160" applyNumberFormat="1" applyFont="1" applyFill="1" applyBorder="1"/>
    <xf numFmtId="167" fontId="39" fillId="0" borderId="3" xfId="160" applyNumberFormat="1" applyFont="1" applyFill="1" applyBorder="1"/>
    <xf numFmtId="167" fontId="39" fillId="0" borderId="8" xfId="160" applyNumberFormat="1" applyFont="1" applyFill="1" applyBorder="1"/>
    <xf numFmtId="167" fontId="39" fillId="0" borderId="6" xfId="160" applyNumberFormat="1" applyFont="1" applyFill="1" applyBorder="1"/>
    <xf numFmtId="167" fontId="39" fillId="0" borderId="30" xfId="160" applyNumberFormat="1" applyFont="1" applyFill="1" applyBorder="1"/>
    <xf numFmtId="167" fontId="39" fillId="0" borderId="31" xfId="160" applyNumberFormat="1" applyFont="1" applyFill="1" applyBorder="1"/>
    <xf numFmtId="174" fontId="47" fillId="0" borderId="3" xfId="160" applyNumberFormat="1" applyFont="1" applyFill="1" applyBorder="1"/>
    <xf numFmtId="169" fontId="51" fillId="0" borderId="1" xfId="275" applyNumberFormat="1" applyFont="1" applyFill="1" applyBorder="1" applyAlignment="1">
      <alignment horizontal="right"/>
    </xf>
    <xf numFmtId="169" fontId="6" fillId="0" borderId="0" xfId="275" applyNumberFormat="1" applyFont="1" applyFill="1" applyBorder="1" applyAlignment="1">
      <alignment horizontal="right"/>
    </xf>
    <xf numFmtId="169" fontId="6" fillId="0" borderId="27" xfId="275" applyNumberFormat="1" applyFont="1" applyFill="1" applyBorder="1" applyAlignment="1">
      <alignment horizontal="right"/>
    </xf>
    <xf numFmtId="169" fontId="42" fillId="0" borderId="1" xfId="275" applyNumberFormat="1" applyFont="1" applyFill="1" applyBorder="1"/>
    <xf numFmtId="167" fontId="6" fillId="0" borderId="0" xfId="160" applyNumberFormat="1" applyFont="1" applyFill="1" applyBorder="1" applyAlignment="1">
      <alignment horizontal="right"/>
    </xf>
    <xf numFmtId="167" fontId="6" fillId="0" borderId="27" xfId="160" applyNumberFormat="1" applyFont="1" applyFill="1" applyBorder="1" applyAlignment="1">
      <alignment horizontal="right"/>
    </xf>
    <xf numFmtId="169" fontId="42" fillId="0" borderId="3" xfId="275" applyNumberFormat="1" applyFont="1" applyFill="1" applyBorder="1"/>
    <xf numFmtId="174" fontId="154" fillId="0" borderId="1" xfId="160" applyNumberFormat="1" applyFont="1" applyFill="1" applyBorder="1"/>
    <xf numFmtId="174" fontId="106" fillId="0" borderId="1" xfId="160" applyNumberFormat="1" applyFont="1" applyFill="1" applyBorder="1"/>
    <xf numFmtId="174" fontId="106" fillId="0" borderId="0" xfId="160" applyNumberFormat="1" applyFont="1" applyFill="1" applyBorder="1"/>
    <xf numFmtId="174" fontId="155" fillId="0" borderId="0" xfId="160" applyNumberFormat="1" applyFont="1" applyFill="1" applyBorder="1"/>
    <xf numFmtId="174" fontId="106" fillId="0" borderId="27" xfId="160" applyNumberFormat="1" applyFont="1" applyFill="1" applyBorder="1"/>
    <xf numFmtId="174" fontId="112" fillId="0" borderId="0" xfId="160" applyNumberFormat="1" applyFont="1" applyFill="1" applyBorder="1"/>
    <xf numFmtId="174" fontId="112" fillId="0" borderId="27" xfId="160" applyNumberFormat="1" applyFont="1" applyFill="1" applyBorder="1"/>
    <xf numFmtId="174" fontId="112" fillId="0" borderId="1" xfId="160" applyNumberFormat="1" applyFont="1" applyFill="1" applyBorder="1"/>
    <xf numFmtId="174" fontId="112" fillId="0" borderId="3" xfId="160" applyNumberFormat="1" applyFont="1" applyFill="1" applyBorder="1"/>
    <xf numFmtId="167" fontId="152" fillId="0" borderId="1" xfId="160" applyNumberFormat="1" applyFont="1" applyFill="1" applyBorder="1"/>
    <xf numFmtId="167" fontId="152" fillId="0" borderId="3" xfId="160" applyNumberFormat="1" applyFont="1" applyFill="1" applyBorder="1"/>
    <xf numFmtId="174" fontId="141" fillId="0" borderId="1" xfId="160" applyNumberFormat="1" applyFont="1" applyFill="1" applyBorder="1"/>
    <xf numFmtId="0" fontId="28" fillId="25" borderId="3" xfId="0" applyFont="1" applyFill="1" applyBorder="1" applyAlignment="1">
      <alignment horizontal="right"/>
    </xf>
    <xf numFmtId="174" fontId="141" fillId="0" borderId="3" xfId="160" applyNumberFormat="1" applyFont="1" applyFill="1" applyBorder="1"/>
    <xf numFmtId="0" fontId="32" fillId="8" borderId="3" xfId="0" applyFont="1" applyFill="1" applyBorder="1"/>
    <xf numFmtId="0" fontId="6" fillId="8" borderId="3" xfId="0" applyFont="1" applyFill="1" applyBorder="1"/>
    <xf numFmtId="167" fontId="141" fillId="0" borderId="27" xfId="160" applyNumberFormat="1" applyFont="1" applyFill="1" applyBorder="1"/>
    <xf numFmtId="0" fontId="47" fillId="0" borderId="0" xfId="0" applyFont="1" applyFill="1" applyAlignment="1">
      <alignment horizontal="center"/>
    </xf>
    <xf numFmtId="167" fontId="39" fillId="0" borderId="32" xfId="160" applyNumberFormat="1" applyFont="1" applyFill="1" applyBorder="1"/>
    <xf numFmtId="167" fontId="39" fillId="0" borderId="20" xfId="160" applyNumberFormat="1" applyFont="1" applyFill="1" applyBorder="1"/>
    <xf numFmtId="167" fontId="39" fillId="0" borderId="33" xfId="160" applyNumberFormat="1" applyFont="1" applyFill="1" applyBorder="1"/>
    <xf numFmtId="167" fontId="39" fillId="0" borderId="34" xfId="160" applyNumberFormat="1" applyFont="1" applyFill="1" applyBorder="1"/>
    <xf numFmtId="167" fontId="42" fillId="0" borderId="1" xfId="160" applyNumberFormat="1" applyFont="1" applyFill="1" applyBorder="1"/>
    <xf numFmtId="169" fontId="6" fillId="0" borderId="27" xfId="275" applyFont="1" applyFill="1" applyBorder="1" applyAlignment="1">
      <alignment horizontal="right"/>
    </xf>
    <xf numFmtId="169" fontId="6" fillId="0" borderId="3" xfId="275" applyFont="1" applyFill="1" applyBorder="1" applyAlignment="1">
      <alignment horizontal="right"/>
    </xf>
    <xf numFmtId="167" fontId="42" fillId="0" borderId="3" xfId="160" applyNumberFormat="1" applyFont="1" applyFill="1" applyBorder="1"/>
    <xf numFmtId="174" fontId="152" fillId="0" borderId="1" xfId="160" applyNumberFormat="1" applyFont="1" applyFill="1" applyBorder="1"/>
    <xf numFmtId="174" fontId="152" fillId="0" borderId="27" xfId="160" applyNumberFormat="1" applyFont="1" applyFill="1" applyBorder="1"/>
    <xf numFmtId="0" fontId="6" fillId="8" borderId="0" xfId="0" applyFont="1" applyFill="1" applyAlignment="1">
      <alignment horizontal="center"/>
    </xf>
    <xf numFmtId="167" fontId="6" fillId="32" borderId="1" xfId="160" applyNumberFormat="1" applyFont="1" applyFill="1" applyBorder="1" applyAlignment="1">
      <alignment horizontal="right"/>
    </xf>
    <xf numFmtId="169" fontId="6" fillId="32" borderId="0" xfId="275" applyFont="1" applyFill="1" applyBorder="1" applyAlignment="1">
      <alignment horizontal="right"/>
    </xf>
    <xf numFmtId="167" fontId="15" fillId="32" borderId="0" xfId="160" applyNumberFormat="1" applyFont="1" applyFill="1" applyBorder="1"/>
    <xf numFmtId="167" fontId="15" fillId="32" borderId="27" xfId="160" applyNumberFormat="1" applyFont="1" applyFill="1" applyBorder="1"/>
    <xf numFmtId="167" fontId="6" fillId="32" borderId="3" xfId="160" applyNumberFormat="1" applyFont="1" applyFill="1" applyBorder="1" applyAlignment="1">
      <alignment horizontal="right"/>
    </xf>
    <xf numFmtId="167" fontId="142" fillId="0" borderId="1" xfId="160" applyNumberFormat="1" applyFont="1" applyFill="1" applyBorder="1"/>
    <xf numFmtId="167" fontId="156" fillId="33" borderId="1" xfId="160" applyNumberFormat="1" applyFont="1" applyFill="1" applyBorder="1" applyAlignment="1">
      <alignment horizontal="right"/>
    </xf>
    <xf numFmtId="169" fontId="156" fillId="33" borderId="0" xfId="275" applyFont="1" applyFill="1" applyBorder="1" applyAlignment="1">
      <alignment horizontal="right"/>
    </xf>
    <xf numFmtId="167" fontId="156" fillId="33" borderId="0" xfId="160" applyNumberFormat="1" applyFont="1" applyFill="1" applyBorder="1"/>
    <xf numFmtId="167" fontId="156" fillId="33" borderId="27" xfId="160" applyNumberFormat="1" applyFont="1" applyFill="1" applyBorder="1"/>
    <xf numFmtId="167" fontId="156" fillId="33" borderId="3" xfId="160" applyNumberFormat="1" applyFont="1" applyFill="1" applyBorder="1" applyAlignment="1">
      <alignment horizontal="right"/>
    </xf>
    <xf numFmtId="167" fontId="6" fillId="0" borderId="3" xfId="151" applyNumberFormat="1" applyFont="1" applyFill="1" applyBorder="1"/>
    <xf numFmtId="0" fontId="3" fillId="0" borderId="0" xfId="151" applyNumberFormat="1" applyFont="1" applyFill="1" applyBorder="1" applyAlignment="1" applyProtection="1"/>
    <xf numFmtId="167" fontId="30" fillId="8" borderId="1" xfId="151" applyNumberFormat="1" applyFont="1" applyFill="1" applyBorder="1"/>
    <xf numFmtId="167" fontId="30" fillId="8" borderId="3" xfId="151" applyNumberFormat="1" applyFont="1" applyFill="1" applyBorder="1"/>
    <xf numFmtId="0" fontId="6" fillId="0" borderId="25" xfId="0" applyFont="1" applyFill="1" applyBorder="1"/>
    <xf numFmtId="167" fontId="6" fillId="0" borderId="35" xfId="160" applyNumberFormat="1" applyFont="1" applyFill="1" applyBorder="1"/>
    <xf numFmtId="167" fontId="152" fillId="0" borderId="4" xfId="160" applyNumberFormat="1" applyFont="1" applyFill="1" applyBorder="1"/>
    <xf numFmtId="167" fontId="152" fillId="0" borderId="35" xfId="160" applyNumberFormat="1" applyFont="1" applyFill="1" applyBorder="1"/>
    <xf numFmtId="167" fontId="42" fillId="0" borderId="1" xfId="0" applyNumberFormat="1" applyFont="1" applyFill="1" applyBorder="1"/>
    <xf numFmtId="169" fontId="42" fillId="0" borderId="1" xfId="275" applyFont="1" applyFill="1" applyBorder="1"/>
    <xf numFmtId="193" fontId="6" fillId="0" borderId="0" xfId="0" applyNumberFormat="1" applyFont="1" applyFill="1" applyBorder="1"/>
    <xf numFmtId="167" fontId="30" fillId="0" borderId="0" xfId="151" applyNumberFormat="1" applyFont="1" applyFill="1" applyBorder="1"/>
    <xf numFmtId="167" fontId="30" fillId="0" borderId="27" xfId="151" applyNumberFormat="1" applyFont="1" applyFill="1" applyBorder="1"/>
    <xf numFmtId="167" fontId="42" fillId="0" borderId="3" xfId="0" applyNumberFormat="1" applyFont="1" applyFill="1" applyBorder="1"/>
    <xf numFmtId="167" fontId="15" fillId="8" borderId="1" xfId="151" applyNumberFormat="1" applyFont="1" applyFill="1" applyBorder="1"/>
    <xf numFmtId="0" fontId="42" fillId="0" borderId="3" xfId="0" applyFont="1" applyFill="1" applyBorder="1"/>
    <xf numFmtId="0" fontId="42" fillId="0" borderId="27" xfId="0" applyFont="1" applyFill="1" applyBorder="1"/>
    <xf numFmtId="167" fontId="42" fillId="0" borderId="27" xfId="0" applyNumberFormat="1" applyFont="1" applyFill="1" applyBorder="1"/>
    <xf numFmtId="167" fontId="42" fillId="0" borderId="0" xfId="0" applyNumberFormat="1" applyFont="1" applyFill="1" applyBorder="1"/>
    <xf numFmtId="167" fontId="30" fillId="0" borderId="1" xfId="151" applyNumberFormat="1" applyFont="1" applyFill="1" applyBorder="1"/>
    <xf numFmtId="167" fontId="30" fillId="0" borderId="3" xfId="151" applyNumberFormat="1" applyFont="1" applyFill="1" applyBorder="1"/>
    <xf numFmtId="167" fontId="6" fillId="0" borderId="35" xfId="151" applyNumberFormat="1" applyFont="1" applyFill="1" applyBorder="1"/>
    <xf numFmtId="169" fontId="6" fillId="0" borderId="27" xfId="275" applyNumberFormat="1" applyFont="1" applyFill="1" applyBorder="1"/>
    <xf numFmtId="174" fontId="157" fillId="0" borderId="0" xfId="160" applyNumberFormat="1" applyFont="1" applyFill="1" applyBorder="1"/>
    <xf numFmtId="174" fontId="6" fillId="0" borderId="1" xfId="160" applyNumberFormat="1" applyFont="1" applyFill="1" applyBorder="1"/>
    <xf numFmtId="174" fontId="157" fillId="0" borderId="27" xfId="160" applyNumberFormat="1" applyFont="1" applyFill="1" applyBorder="1"/>
    <xf numFmtId="174" fontId="157" fillId="0" borderId="1" xfId="160" applyNumberFormat="1" applyFont="1" applyFill="1" applyBorder="1"/>
    <xf numFmtId="167" fontId="157" fillId="34" borderId="0" xfId="151" applyNumberFormat="1" applyFont="1" applyFill="1" applyBorder="1"/>
    <xf numFmtId="167" fontId="157" fillId="34" borderId="27" xfId="151" applyNumberFormat="1" applyFont="1" applyFill="1" applyBorder="1"/>
    <xf numFmtId="167" fontId="157" fillId="8" borderId="1" xfId="151" applyNumberFormat="1" applyFont="1" applyFill="1" applyBorder="1"/>
    <xf numFmtId="167" fontId="157" fillId="0" borderId="25" xfId="151" applyNumberFormat="1" applyFont="1" applyFill="1" applyBorder="1"/>
    <xf numFmtId="167" fontId="157" fillId="8" borderId="3" xfId="151" applyNumberFormat="1" applyFont="1" applyFill="1" applyBorder="1"/>
    <xf numFmtId="167" fontId="157" fillId="0" borderId="0" xfId="151" applyNumberFormat="1" applyFont="1" applyFill="1" applyBorder="1"/>
    <xf numFmtId="167" fontId="157" fillId="0" borderId="27" xfId="151" applyNumberFormat="1" applyFont="1" applyFill="1" applyBorder="1"/>
    <xf numFmtId="167" fontId="157" fillId="0" borderId="4" xfId="151" applyNumberFormat="1" applyFont="1" applyFill="1" applyBorder="1"/>
    <xf numFmtId="167" fontId="157" fillId="0" borderId="28" xfId="151" applyNumberFormat="1" applyFont="1" applyFill="1" applyBorder="1"/>
    <xf numFmtId="167" fontId="157" fillId="0" borderId="35" xfId="151" applyNumberFormat="1" applyFont="1" applyFill="1" applyBorder="1"/>
    <xf numFmtId="10" fontId="39" fillId="0" borderId="1" xfId="275" applyNumberFormat="1" applyFont="1" applyFill="1" applyBorder="1" applyAlignment="1">
      <alignment horizontal="right"/>
    </xf>
    <xf numFmtId="10" fontId="25" fillId="23" borderId="1" xfId="275" applyNumberFormat="1" applyFont="1" applyFill="1" applyBorder="1" applyAlignment="1">
      <alignment horizontal="right"/>
    </xf>
    <xf numFmtId="10" fontId="25" fillId="0" borderId="1" xfId="275" applyNumberFormat="1" applyFont="1" applyFill="1" applyBorder="1" applyAlignment="1">
      <alignment horizontal="right"/>
    </xf>
    <xf numFmtId="193" fontId="15" fillId="0" borderId="1" xfId="277" applyNumberFormat="1" applyFont="1" applyFill="1" applyBorder="1" applyAlignment="1">
      <alignment horizontal="right"/>
    </xf>
    <xf numFmtId="10" fontId="15" fillId="0" borderId="1" xfId="275" applyNumberFormat="1" applyFont="1" applyFill="1" applyBorder="1" applyAlignment="1">
      <alignment horizontal="right"/>
    </xf>
    <xf numFmtId="10" fontId="6" fillId="0" borderId="1" xfId="275" applyNumberFormat="1" applyFont="1" applyFill="1" applyBorder="1" applyAlignment="1">
      <alignment horizontal="right"/>
    </xf>
    <xf numFmtId="0" fontId="42" fillId="0" borderId="4" xfId="0" applyFont="1" applyFill="1" applyBorder="1" applyAlignment="1">
      <alignment horizontal="left"/>
    </xf>
    <xf numFmtId="0" fontId="8" fillId="0" borderId="25" xfId="0" applyFont="1" applyFill="1" applyBorder="1"/>
    <xf numFmtId="10" fontId="6" fillId="0" borderId="25" xfId="275" applyNumberFormat="1" applyFont="1" applyFill="1" applyBorder="1" applyAlignment="1">
      <alignment horizontal="right"/>
    </xf>
    <xf numFmtId="10" fontId="6" fillId="0" borderId="0" xfId="275" applyNumberFormat="1" applyFont="1" applyFill="1" applyBorder="1" applyAlignment="1">
      <alignment horizontal="right"/>
    </xf>
    <xf numFmtId="10" fontId="6" fillId="0" borderId="0" xfId="275" applyNumberFormat="1" applyFont="1" applyBorder="1" applyAlignment="1">
      <alignment horizontal="right"/>
    </xf>
    <xf numFmtId="169" fontId="25" fillId="0" borderId="0" xfId="0" applyNumberFormat="1" applyFont="1" applyFill="1" applyBorder="1" applyAlignment="1">
      <alignment horizontal="right"/>
    </xf>
    <xf numFmtId="0" fontId="150" fillId="0" borderId="0" xfId="0" applyFont="1" applyFill="1" applyBorder="1"/>
    <xf numFmtId="169" fontId="6" fillId="0" borderId="1" xfId="275" applyNumberFormat="1" applyFont="1" applyFill="1" applyBorder="1" applyAlignment="1">
      <alignment horizontal="right"/>
    </xf>
    <xf numFmtId="169" fontId="3" fillId="0" borderId="1" xfId="275" applyNumberFormat="1" applyFont="1" applyFill="1" applyBorder="1" applyAlignment="1">
      <alignment horizontal="right"/>
    </xf>
    <xf numFmtId="169" fontId="47" fillId="0" borderId="1" xfId="275" applyNumberFormat="1" applyFont="1" applyFill="1" applyBorder="1" applyAlignment="1">
      <alignment horizontal="right"/>
    </xf>
    <xf numFmtId="169" fontId="49" fillId="0" borderId="1" xfId="275" applyNumberFormat="1" applyFont="1" applyFill="1" applyBorder="1" applyAlignment="1">
      <alignment horizontal="right"/>
    </xf>
    <xf numFmtId="169" fontId="15" fillId="0" borderId="1" xfId="275" applyNumberFormat="1" applyFont="1" applyFill="1" applyBorder="1" applyAlignment="1">
      <alignment horizontal="right"/>
    </xf>
    <xf numFmtId="169" fontId="6" fillId="0" borderId="1" xfId="275" applyNumberFormat="1" applyFont="1" applyBorder="1" applyAlignment="1">
      <alignment horizontal="right"/>
    </xf>
    <xf numFmtId="169" fontId="3" fillId="11" borderId="1" xfId="275" applyNumberFormat="1" applyFont="1" applyFill="1" applyBorder="1" applyAlignment="1">
      <alignment horizontal="right"/>
    </xf>
    <xf numFmtId="169" fontId="25" fillId="23" borderId="1" xfId="275" applyNumberFormat="1" applyFont="1" applyFill="1" applyBorder="1" applyAlignment="1">
      <alignment horizontal="right"/>
    </xf>
    <xf numFmtId="169" fontId="45" fillId="0" borderId="1" xfId="275" applyNumberFormat="1" applyFont="1" applyFill="1" applyBorder="1" applyAlignment="1">
      <alignment horizontal="right"/>
    </xf>
    <xf numFmtId="169" fontId="15" fillId="0" borderId="25" xfId="275" applyNumberFormat="1" applyFont="1" applyFill="1" applyBorder="1" applyAlignment="1">
      <alignment horizontal="right"/>
    </xf>
    <xf numFmtId="169" fontId="6" fillId="0" borderId="26" xfId="275" applyNumberFormat="1" applyFont="1" applyFill="1" applyBorder="1" applyAlignment="1">
      <alignment horizontal="right"/>
    </xf>
    <xf numFmtId="169" fontId="145" fillId="0" borderId="1" xfId="275" applyNumberFormat="1" applyFont="1" applyFill="1" applyBorder="1" applyAlignment="1">
      <alignment horizontal="right"/>
    </xf>
    <xf numFmtId="169" fontId="3" fillId="11" borderId="24" xfId="275" applyNumberFormat="1" applyFont="1" applyFill="1" applyBorder="1" applyAlignment="1">
      <alignment horizontal="right"/>
    </xf>
    <xf numFmtId="169" fontId="48" fillId="0" borderId="1" xfId="275" applyNumberFormat="1" applyFont="1" applyFill="1" applyBorder="1" applyAlignment="1">
      <alignment horizontal="right"/>
    </xf>
    <xf numFmtId="169" fontId="6" fillId="0" borderId="29" xfId="275" applyNumberFormat="1" applyFont="1" applyBorder="1" applyAlignment="1">
      <alignment horizontal="right"/>
    </xf>
    <xf numFmtId="169" fontId="8" fillId="0" borderId="1" xfId="275" applyNumberFormat="1" applyFont="1" applyFill="1" applyBorder="1" applyAlignment="1">
      <alignment horizontal="right"/>
    </xf>
    <xf numFmtId="169" fontId="15" fillId="0" borderId="1" xfId="277" applyNumberFormat="1" applyFont="1" applyFill="1" applyBorder="1" applyAlignment="1">
      <alignment horizontal="right"/>
    </xf>
    <xf numFmtId="167" fontId="6" fillId="0" borderId="1" xfId="0" applyNumberFormat="1" applyFont="1" applyBorder="1"/>
    <xf numFmtId="0" fontId="33" fillId="0" borderId="0" xfId="0" applyNumberFormat="1" applyFont="1" applyAlignment="1"/>
    <xf numFmtId="0" fontId="152" fillId="0" borderId="0" xfId="0" applyFont="1" applyFill="1" applyBorder="1"/>
    <xf numFmtId="0" fontId="6" fillId="36" borderId="0" xfId="0" applyNumberFormat="1" applyFont="1" applyFill="1" applyAlignment="1"/>
    <xf numFmtId="0" fontId="6" fillId="36" borderId="1" xfId="0" applyFont="1" applyFill="1" applyBorder="1"/>
    <xf numFmtId="0" fontId="6" fillId="36" borderId="0" xfId="0" applyFont="1" applyFill="1" applyBorder="1"/>
    <xf numFmtId="0" fontId="6" fillId="36" borderId="27" xfId="0" applyFont="1" applyFill="1" applyBorder="1"/>
    <xf numFmtId="167" fontId="152" fillId="36" borderId="0" xfId="160" applyNumberFormat="1" applyFont="1" applyFill="1" applyBorder="1"/>
    <xf numFmtId="167" fontId="152" fillId="36" borderId="27" xfId="160" applyNumberFormat="1" applyFont="1" applyFill="1" applyBorder="1"/>
    <xf numFmtId="167" fontId="6" fillId="36" borderId="1" xfId="160" applyNumberFormat="1" applyFont="1" applyFill="1" applyBorder="1"/>
    <xf numFmtId="167" fontId="6" fillId="36" borderId="0" xfId="160" applyNumberFormat="1" applyFont="1" applyFill="1" applyBorder="1"/>
    <xf numFmtId="167" fontId="6" fillId="36" borderId="27" xfId="160" applyNumberFormat="1" applyFont="1" applyFill="1" applyBorder="1"/>
    <xf numFmtId="167" fontId="6" fillId="36" borderId="3" xfId="160" applyNumberFormat="1" applyFont="1" applyFill="1" applyBorder="1"/>
    <xf numFmtId="167" fontId="152" fillId="36" borderId="1" xfId="160" applyNumberFormat="1" applyFont="1" applyFill="1" applyBorder="1"/>
    <xf numFmtId="167" fontId="152" fillId="36" borderId="3" xfId="160" applyNumberFormat="1" applyFont="1" applyFill="1" applyBorder="1"/>
    <xf numFmtId="0" fontId="3" fillId="36" borderId="0" xfId="0" applyNumberFormat="1" applyFont="1" applyFill="1" applyAlignment="1"/>
    <xf numFmtId="0" fontId="3" fillId="36" borderId="1" xfId="0" applyFont="1" applyFill="1" applyBorder="1"/>
    <xf numFmtId="0" fontId="3" fillId="36" borderId="0" xfId="0" applyFont="1" applyFill="1" applyBorder="1"/>
    <xf numFmtId="0" fontId="3" fillId="36" borderId="27" xfId="0" applyFont="1" applyFill="1" applyBorder="1"/>
    <xf numFmtId="167" fontId="3" fillId="36" borderId="0" xfId="160" applyNumberFormat="1" applyFont="1" applyFill="1" applyBorder="1"/>
    <xf numFmtId="167" fontId="3" fillId="36" borderId="27" xfId="160" applyNumberFormat="1" applyFont="1" applyFill="1" applyBorder="1"/>
    <xf numFmtId="167" fontId="3" fillId="36" borderId="1" xfId="160" applyNumberFormat="1" applyFont="1" applyFill="1" applyBorder="1"/>
    <xf numFmtId="174" fontId="152" fillId="0" borderId="3" xfId="160" applyNumberFormat="1" applyFont="1" applyFill="1" applyBorder="1"/>
    <xf numFmtId="3" fontId="6" fillId="0" borderId="0" xfId="0" applyNumberFormat="1" applyFont="1" applyFill="1" applyBorder="1"/>
    <xf numFmtId="3" fontId="6" fillId="0" borderId="0" xfId="275" applyNumberFormat="1" applyFont="1" applyFill="1" applyBorder="1" applyAlignment="1">
      <alignment horizontal="right"/>
    </xf>
    <xf numFmtId="3" fontId="0" fillId="0" borderId="0" xfId="0" applyNumberFormat="1" applyFill="1" applyBorder="1"/>
    <xf numFmtId="3" fontId="39" fillId="11" borderId="24" xfId="151" applyNumberFormat="1" applyFont="1" applyFill="1" applyBorder="1"/>
    <xf numFmtId="3" fontId="3" fillId="11" borderId="9" xfId="151" applyNumberFormat="1" applyFont="1" applyFill="1" applyBorder="1"/>
    <xf numFmtId="3" fontId="3" fillId="0" borderId="9" xfId="151" applyNumberFormat="1" applyFont="1" applyFill="1" applyBorder="1"/>
    <xf numFmtId="3" fontId="3" fillId="11" borderId="9" xfId="160" applyNumberFormat="1" applyFont="1" applyFill="1" applyBorder="1"/>
    <xf numFmtId="3" fontId="39" fillId="11" borderId="24" xfId="160" applyNumberFormat="1" applyFont="1" applyFill="1" applyBorder="1"/>
    <xf numFmtId="3" fontId="3" fillId="11" borderId="24" xfId="160" applyNumberFormat="1" applyFont="1" applyFill="1" applyBorder="1"/>
    <xf numFmtId="3" fontId="3" fillId="11" borderId="24" xfId="151" applyNumberFormat="1" applyFont="1" applyFill="1" applyBorder="1"/>
    <xf numFmtId="3" fontId="3" fillId="11" borderId="24" xfId="275" applyNumberFormat="1" applyFont="1" applyFill="1" applyBorder="1" applyAlignment="1">
      <alignment horizontal="right"/>
    </xf>
    <xf numFmtId="0" fontId="114" fillId="0" borderId="0" xfId="256" applyFont="1"/>
    <xf numFmtId="182" fontId="2" fillId="0" borderId="0" xfId="256" applyNumberFormat="1" applyFont="1"/>
    <xf numFmtId="0" fontId="6" fillId="0" borderId="0" xfId="256"/>
    <xf numFmtId="0" fontId="6" fillId="0" borderId="0" xfId="256" applyFill="1"/>
    <xf numFmtId="0" fontId="6" fillId="34" borderId="0" xfId="256" applyFill="1"/>
    <xf numFmtId="0" fontId="7" fillId="0" borderId="4" xfId="265" applyNumberFormat="1" applyFont="1" applyBorder="1"/>
    <xf numFmtId="232" fontId="7" fillId="0" borderId="6" xfId="256" applyNumberFormat="1" applyFont="1" applyFill="1" applyBorder="1" applyAlignment="1">
      <alignment horizontal="right"/>
    </xf>
    <xf numFmtId="184" fontId="7" fillId="0" borderId="6" xfId="256" applyNumberFormat="1" applyFont="1" applyFill="1" applyBorder="1" applyAlignment="1">
      <alignment horizontal="right"/>
    </xf>
    <xf numFmtId="184" fontId="7" fillId="0" borderId="0" xfId="256" applyNumberFormat="1" applyFont="1" applyFill="1" applyBorder="1" applyAlignment="1">
      <alignment horizontal="center"/>
    </xf>
    <xf numFmtId="0" fontId="2" fillId="0" borderId="0" xfId="265" applyNumberFormat="1" applyFont="1"/>
    <xf numFmtId="167" fontId="37" fillId="0" borderId="0" xfId="180" applyNumberFormat="1" applyFont="1" applyFill="1"/>
    <xf numFmtId="167" fontId="116" fillId="0" borderId="0" xfId="180" applyNumberFormat="1" applyFont="1" applyFill="1" applyBorder="1"/>
    <xf numFmtId="167" fontId="116" fillId="0" borderId="0" xfId="180" applyNumberFormat="1" applyFont="1" applyBorder="1"/>
    <xf numFmtId="167" fontId="2" fillId="0" borderId="0" xfId="180" applyNumberFormat="1" applyFont="1" applyBorder="1"/>
    <xf numFmtId="167" fontId="2" fillId="0" borderId="0" xfId="180" applyNumberFormat="1" applyFont="1" applyFill="1" applyBorder="1"/>
    <xf numFmtId="0" fontId="2" fillId="0" borderId="0" xfId="256" applyFont="1"/>
    <xf numFmtId="0" fontId="9" fillId="0" borderId="0" xfId="256" applyFont="1"/>
    <xf numFmtId="167" fontId="116" fillId="0" borderId="0" xfId="180" applyNumberFormat="1" applyFont="1" applyFill="1"/>
    <xf numFmtId="167" fontId="116" fillId="0" borderId="0" xfId="180" applyNumberFormat="1" applyFont="1"/>
    <xf numFmtId="167" fontId="2" fillId="0" borderId="0" xfId="180" applyNumberFormat="1" applyFont="1"/>
    <xf numFmtId="167" fontId="2" fillId="0" borderId="0" xfId="180" applyNumberFormat="1" applyFont="1" applyFill="1"/>
    <xf numFmtId="167" fontId="116" fillId="0" borderId="0" xfId="180" applyNumberFormat="1" applyFont="1" applyFill="1" applyAlignment="1">
      <alignment horizontal="center"/>
    </xf>
    <xf numFmtId="167" fontId="2" fillId="0" borderId="0" xfId="180" applyNumberFormat="1" applyFont="1" applyFill="1" applyAlignment="1">
      <alignment horizontal="center"/>
    </xf>
    <xf numFmtId="167" fontId="2" fillId="27" borderId="0" xfId="180" applyNumberFormat="1" applyFont="1" applyFill="1" applyBorder="1"/>
    <xf numFmtId="41" fontId="2" fillId="0" borderId="0" xfId="180" applyNumberFormat="1" applyFont="1" applyFill="1" applyBorder="1"/>
    <xf numFmtId="167" fontId="37" fillId="0" borderId="4" xfId="180" applyNumberFormat="1" applyFont="1" applyFill="1" applyBorder="1"/>
    <xf numFmtId="167" fontId="116" fillId="0" borderId="4" xfId="180" applyNumberFormat="1" applyFont="1" applyFill="1" applyBorder="1"/>
    <xf numFmtId="167" fontId="116" fillId="0" borderId="4" xfId="180" applyNumberFormat="1" applyFont="1" applyBorder="1"/>
    <xf numFmtId="167" fontId="2" fillId="0" borderId="4" xfId="180" applyNumberFormat="1" applyFont="1" applyBorder="1"/>
    <xf numFmtId="167" fontId="2" fillId="0" borderId="0" xfId="180" applyNumberFormat="1" applyFont="1" applyAlignment="1">
      <alignment horizontal="right"/>
    </xf>
    <xf numFmtId="167" fontId="2" fillId="0" borderId="0" xfId="265" applyNumberFormat="1" applyFont="1"/>
    <xf numFmtId="167" fontId="2" fillId="0" borderId="0" xfId="265" applyNumberFormat="1" applyFont="1" applyFill="1"/>
    <xf numFmtId="180" fontId="2" fillId="0" borderId="0" xfId="286" applyNumberFormat="1" applyFont="1"/>
    <xf numFmtId="0" fontId="2" fillId="0" borderId="0" xfId="265" applyFont="1"/>
    <xf numFmtId="0" fontId="2" fillId="0" borderId="0" xfId="265" applyFont="1" applyFill="1"/>
    <xf numFmtId="180" fontId="2" fillId="0" borderId="0" xfId="286" applyNumberFormat="1" applyFont="1" applyAlignment="1">
      <alignment horizontal="right"/>
    </xf>
    <xf numFmtId="0" fontId="7" fillId="0" borderId="0" xfId="265" applyNumberFormat="1" applyFont="1"/>
    <xf numFmtId="169" fontId="2" fillId="0" borderId="0" xfId="286" applyNumberFormat="1" applyFont="1"/>
    <xf numFmtId="169" fontId="9" fillId="0" borderId="0" xfId="286" applyNumberFormat="1" applyFont="1" applyFill="1"/>
    <xf numFmtId="10" fontId="2" fillId="0" borderId="0" xfId="286" applyNumberFormat="1" applyFont="1" applyFill="1"/>
    <xf numFmtId="0" fontId="2" fillId="0" borderId="0" xfId="261" applyNumberFormat="1" applyFont="1"/>
    <xf numFmtId="10" fontId="37" fillId="0" borderId="0" xfId="286" applyNumberFormat="1" applyFont="1" applyFill="1"/>
    <xf numFmtId="10" fontId="116" fillId="0" borderId="0" xfId="286" applyNumberFormat="1" applyFont="1" applyFill="1"/>
    <xf numFmtId="10" fontId="117" fillId="0" borderId="0" xfId="286" applyNumberFormat="1" applyFont="1" applyFill="1"/>
    <xf numFmtId="181" fontId="2" fillId="0" borderId="0" xfId="256" applyNumberFormat="1" applyFont="1"/>
    <xf numFmtId="233" fontId="9" fillId="0" borderId="0" xfId="265" applyNumberFormat="1" applyFont="1" applyFill="1" applyAlignment="1">
      <alignment horizontal="right"/>
    </xf>
    <xf numFmtId="233" fontId="2" fillId="0" borderId="0" xfId="265" applyNumberFormat="1" applyFont="1" applyFill="1"/>
    <xf numFmtId="0" fontId="9" fillId="0" borderId="0" xfId="265" applyFont="1" applyFill="1"/>
    <xf numFmtId="169" fontId="9" fillId="0" borderId="0" xfId="286" applyNumberFormat="1" applyFont="1" applyFill="1" applyAlignment="1">
      <alignment horizontal="right"/>
    </xf>
    <xf numFmtId="169" fontId="2" fillId="0" borderId="0" xfId="286" applyNumberFormat="1" applyFont="1" applyAlignment="1">
      <alignment horizontal="right"/>
    </xf>
    <xf numFmtId="167" fontId="7" fillId="0" borderId="0" xfId="180" applyNumberFormat="1" applyFont="1" applyFill="1"/>
    <xf numFmtId="167" fontId="119" fillId="0" borderId="0" xfId="180" applyNumberFormat="1" applyFont="1" applyFill="1"/>
    <xf numFmtId="0" fontId="3" fillId="0" borderId="0" xfId="256" applyFont="1"/>
    <xf numFmtId="0" fontId="7" fillId="0" borderId="0" xfId="256" applyFont="1"/>
    <xf numFmtId="167" fontId="2" fillId="0" borderId="0" xfId="180" applyNumberFormat="1" applyFont="1" applyFill="1" applyAlignment="1">
      <alignment horizontal="right"/>
    </xf>
    <xf numFmtId="169" fontId="2" fillId="0" borderId="0" xfId="286" applyNumberFormat="1" applyFont="1" applyFill="1"/>
    <xf numFmtId="167" fontId="37" fillId="0" borderId="0" xfId="180" applyNumberFormat="1" applyFont="1" applyFill="1" applyAlignment="1">
      <alignment horizontal="right"/>
    </xf>
    <xf numFmtId="167" fontId="120" fillId="0" borderId="0" xfId="180" applyNumberFormat="1" applyFont="1" applyFill="1"/>
    <xf numFmtId="0" fontId="2" fillId="0" borderId="0" xfId="256" applyFont="1" applyFill="1"/>
    <xf numFmtId="167" fontId="37" fillId="0" borderId="0" xfId="265" applyNumberFormat="1" applyFont="1" applyFill="1"/>
    <xf numFmtId="167" fontId="37" fillId="0" borderId="0" xfId="180" applyNumberFormat="1" applyFont="1" applyFill="1" applyBorder="1" applyAlignment="1">
      <alignment horizontal="right"/>
    </xf>
    <xf numFmtId="167" fontId="37" fillId="0" borderId="0" xfId="180" applyNumberFormat="1" applyFont="1" applyFill="1" applyBorder="1"/>
    <xf numFmtId="167" fontId="37" fillId="0" borderId="4" xfId="180" applyNumberFormat="1" applyFont="1" applyFill="1" applyBorder="1" applyAlignment="1">
      <alignment horizontal="right"/>
    </xf>
    <xf numFmtId="167" fontId="37" fillId="0" borderId="4" xfId="265" applyNumberFormat="1" applyFont="1" applyFill="1" applyBorder="1"/>
    <xf numFmtId="167" fontId="2" fillId="0" borderId="4" xfId="180" applyNumberFormat="1" applyFont="1" applyFill="1" applyBorder="1"/>
    <xf numFmtId="167" fontId="7" fillId="0" borderId="0" xfId="180" applyNumberFormat="1" applyFont="1"/>
    <xf numFmtId="167" fontId="7" fillId="0" borderId="36" xfId="180" applyNumberFormat="1" applyFont="1" applyFill="1" applyBorder="1"/>
    <xf numFmtId="167" fontId="2" fillId="0" borderId="0" xfId="286" applyNumberFormat="1" applyFont="1"/>
    <xf numFmtId="185" fontId="7" fillId="0" borderId="0" xfId="178" applyNumberFormat="1" applyFont="1" applyFill="1"/>
    <xf numFmtId="167" fontId="121" fillId="0" borderId="0" xfId="180" applyNumberFormat="1" applyFont="1" applyFill="1" applyAlignment="1">
      <alignment horizontal="right"/>
    </xf>
    <xf numFmtId="167" fontId="119" fillId="0" borderId="0" xfId="180" applyNumberFormat="1" applyFont="1"/>
    <xf numFmtId="167" fontId="37" fillId="0" borderId="0" xfId="180" applyNumberFormat="1" applyFont="1"/>
    <xf numFmtId="41" fontId="2" fillId="0" borderId="0" xfId="256" applyNumberFormat="1" applyFont="1" applyFill="1"/>
    <xf numFmtId="167" fontId="37" fillId="0" borderId="37" xfId="180" applyNumberFormat="1" applyFont="1" applyFill="1" applyBorder="1"/>
    <xf numFmtId="167" fontId="36" fillId="22" borderId="22" xfId="180" applyNumberFormat="1" applyFont="1" applyFill="1" applyBorder="1"/>
    <xf numFmtId="41" fontId="2" fillId="0" borderId="0" xfId="256" applyNumberFormat="1" applyFont="1"/>
    <xf numFmtId="167" fontId="113" fillId="0" borderId="0" xfId="180" applyNumberFormat="1" applyFont="1" applyFill="1"/>
    <xf numFmtId="0" fontId="9" fillId="0" borderId="0" xfId="256" applyFont="1" applyFill="1"/>
    <xf numFmtId="167" fontId="2" fillId="0" borderId="0" xfId="180" applyNumberFormat="1" applyFont="1" applyFill="1" applyBorder="1" applyAlignment="1">
      <alignment horizontal="right"/>
    </xf>
    <xf numFmtId="167" fontId="37" fillId="0" borderId="4" xfId="180" applyNumberFormat="1" applyFont="1" applyBorder="1"/>
    <xf numFmtId="167" fontId="122" fillId="0" borderId="0" xfId="180" applyNumberFormat="1" applyFont="1" applyFill="1"/>
    <xf numFmtId="169" fontId="7" fillId="0" borderId="0" xfId="286" applyNumberFormat="1" applyFont="1"/>
    <xf numFmtId="169" fontId="7" fillId="0" borderId="0" xfId="286" applyNumberFormat="1" applyFont="1" applyFill="1"/>
    <xf numFmtId="3" fontId="7" fillId="0" borderId="0" xfId="286" applyNumberFormat="1" applyFont="1"/>
    <xf numFmtId="0" fontId="123" fillId="0" borderId="0" xfId="265" applyNumberFormat="1" applyFont="1"/>
    <xf numFmtId="180" fontId="2" fillId="0" borderId="0" xfId="286" applyNumberFormat="1" applyFont="1" applyFill="1"/>
    <xf numFmtId="167" fontId="9" fillId="0" borderId="0" xfId="180" applyNumberFormat="1" applyFont="1" applyFill="1" applyAlignment="1">
      <alignment horizontal="right"/>
    </xf>
    <xf numFmtId="167" fontId="117" fillId="10" borderId="0" xfId="180" applyNumberFormat="1" applyFont="1" applyFill="1"/>
    <xf numFmtId="167" fontId="2" fillId="0" borderId="4" xfId="178" applyNumberFormat="1" applyFont="1" applyFill="1" applyBorder="1"/>
    <xf numFmtId="167" fontId="124" fillId="0" borderId="0" xfId="180" applyNumberFormat="1" applyFont="1" applyFill="1"/>
    <xf numFmtId="167" fontId="2" fillId="0" borderId="4" xfId="180" applyNumberFormat="1" applyFont="1" applyFill="1" applyBorder="1" applyAlignment="1">
      <alignment horizontal="right"/>
    </xf>
    <xf numFmtId="0" fontId="2" fillId="0" borderId="0" xfId="265" applyNumberFormat="1" applyFont="1" applyFill="1"/>
    <xf numFmtId="167" fontId="9" fillId="0" borderId="0" xfId="180" applyNumberFormat="1" applyFont="1" applyFill="1"/>
    <xf numFmtId="0" fontId="7" fillId="0" borderId="0" xfId="265" applyNumberFormat="1" applyFont="1" applyFill="1"/>
    <xf numFmtId="167" fontId="2" fillId="0" borderId="4" xfId="286" applyNumberFormat="1" applyFont="1" applyFill="1" applyBorder="1"/>
    <xf numFmtId="0" fontId="35" fillId="0" borderId="0" xfId="265" applyNumberFormat="1" applyFont="1"/>
    <xf numFmtId="167" fontId="35" fillId="0" borderId="0" xfId="180" applyNumberFormat="1" applyFont="1" applyFill="1"/>
    <xf numFmtId="0" fontId="14" fillId="0" borderId="0" xfId="256" applyFont="1"/>
    <xf numFmtId="0" fontId="36" fillId="0" borderId="0" xfId="256" applyFont="1"/>
    <xf numFmtId="166" fontId="2" fillId="0" borderId="0" xfId="286" applyNumberFormat="1" applyFont="1"/>
    <xf numFmtId="166" fontId="2" fillId="0" borderId="0" xfId="265" applyNumberFormat="1" applyFont="1"/>
    <xf numFmtId="0" fontId="2" fillId="0" borderId="0" xfId="265" applyNumberFormat="1" applyFont="1" applyFill="1" applyBorder="1"/>
    <xf numFmtId="167" fontId="9" fillId="0" borderId="0" xfId="177" applyNumberFormat="1" applyFont="1" applyFill="1"/>
    <xf numFmtId="167" fontId="37" fillId="0" borderId="0" xfId="177" applyNumberFormat="1" applyFont="1" applyFill="1"/>
    <xf numFmtId="167" fontId="2" fillId="0" borderId="0" xfId="177" applyNumberFormat="1" applyFont="1" applyFill="1"/>
    <xf numFmtId="0" fontId="2" fillId="0" borderId="0" xfId="261" applyFont="1"/>
    <xf numFmtId="169" fontId="125" fillId="0" borderId="0" xfId="286" applyNumberFormat="1" applyFont="1" applyFill="1"/>
    <xf numFmtId="169" fontId="120" fillId="0" borderId="0" xfId="286" applyNumberFormat="1" applyFont="1" applyFill="1"/>
    <xf numFmtId="0" fontId="6" fillId="10" borderId="0" xfId="256" applyFill="1" applyAlignment="1">
      <alignment horizontal="right"/>
    </xf>
    <xf numFmtId="0" fontId="16" fillId="10" borderId="0" xfId="256" applyFont="1" applyFill="1" applyAlignment="1">
      <alignment horizontal="right"/>
    </xf>
    <xf numFmtId="0" fontId="7" fillId="0" borderId="0" xfId="256" applyFont="1" applyFill="1" applyBorder="1" applyAlignment="1">
      <alignment horizontal="right"/>
    </xf>
    <xf numFmtId="0" fontId="126" fillId="0" borderId="0" xfId="256" applyFont="1"/>
    <xf numFmtId="167" fontId="2" fillId="0" borderId="0" xfId="256" applyNumberFormat="1" applyFont="1"/>
    <xf numFmtId="167" fontId="2" fillId="0" borderId="4" xfId="256" applyNumberFormat="1" applyFont="1" applyFill="1" applyBorder="1"/>
    <xf numFmtId="167" fontId="2" fillId="0" borderId="4" xfId="256" applyNumberFormat="1" applyFont="1" applyBorder="1"/>
    <xf numFmtId="0" fontId="37" fillId="0" borderId="0" xfId="265" applyNumberFormat="1" applyFont="1"/>
    <xf numFmtId="0" fontId="126" fillId="0" borderId="0" xfId="256" applyNumberFormat="1" applyFont="1" applyFill="1" applyBorder="1"/>
    <xf numFmtId="0" fontId="2" fillId="0" borderId="0" xfId="256" applyNumberFormat="1" applyFont="1" applyFill="1"/>
    <xf numFmtId="41" fontId="2" fillId="0" borderId="0" xfId="178" applyNumberFormat="1" applyFont="1" applyFill="1"/>
    <xf numFmtId="41" fontId="2" fillId="0" borderId="4" xfId="178" applyNumberFormat="1" applyFont="1" applyFill="1" applyBorder="1"/>
    <xf numFmtId="0" fontId="7" fillId="0" borderId="0" xfId="256" applyNumberFormat="1" applyFont="1" applyFill="1"/>
    <xf numFmtId="41" fontId="7" fillId="0" borderId="0" xfId="256" applyNumberFormat="1" applyFont="1" applyFill="1"/>
    <xf numFmtId="0" fontId="126" fillId="0" borderId="0" xfId="256" applyFont="1" applyBorder="1"/>
    <xf numFmtId="0" fontId="7" fillId="0" borderId="3" xfId="256" applyFont="1" applyFill="1" applyBorder="1"/>
    <xf numFmtId="0" fontId="2" fillId="0" borderId="0" xfId="256" applyFont="1" applyFill="1" applyBorder="1"/>
    <xf numFmtId="182" fontId="117" fillId="10" borderId="0" xfId="256" applyNumberFormat="1" applyFont="1" applyFill="1"/>
    <xf numFmtId="0" fontId="2" fillId="0" borderId="3" xfId="256" applyFont="1" applyFill="1" applyBorder="1"/>
    <xf numFmtId="182" fontId="2" fillId="0" borderId="0" xfId="256" applyNumberFormat="1" applyFont="1" applyFill="1" applyBorder="1"/>
    <xf numFmtId="182" fontId="2" fillId="0" borderId="0" xfId="178" applyNumberFormat="1" applyFont="1" applyFill="1" applyBorder="1"/>
    <xf numFmtId="182" fontId="2" fillId="0" borderId="27" xfId="178" applyNumberFormat="1" applyFont="1" applyFill="1" applyBorder="1"/>
    <xf numFmtId="182" fontId="2" fillId="0" borderId="4" xfId="178" applyNumberFormat="1" applyFont="1" applyFill="1" applyBorder="1"/>
    <xf numFmtId="182" fontId="2" fillId="0" borderId="28" xfId="178" applyNumberFormat="1" applyFont="1" applyFill="1" applyBorder="1"/>
    <xf numFmtId="182" fontId="2" fillId="0" borderId="27" xfId="256" applyNumberFormat="1" applyFont="1" applyFill="1" applyBorder="1"/>
    <xf numFmtId="0" fontId="2" fillId="0" borderId="35" xfId="256" applyFont="1" applyFill="1" applyBorder="1"/>
    <xf numFmtId="0" fontId="2" fillId="0" borderId="4" xfId="256" applyFont="1" applyFill="1" applyBorder="1"/>
    <xf numFmtId="182" fontId="2" fillId="0" borderId="4" xfId="256" applyNumberFormat="1" applyFont="1" applyFill="1" applyBorder="1"/>
    <xf numFmtId="182" fontId="2" fillId="0" borderId="28" xfId="256" applyNumberFormat="1" applyFont="1" applyFill="1" applyBorder="1"/>
    <xf numFmtId="182" fontId="6" fillId="0" borderId="0" xfId="256" applyNumberFormat="1"/>
    <xf numFmtId="0" fontId="126" fillId="0" borderId="0" xfId="254" applyNumberFormat="1" applyFont="1" applyBorder="1"/>
    <xf numFmtId="0" fontId="7" fillId="0" borderId="0" xfId="256" applyFont="1" applyBorder="1" applyAlignment="1">
      <alignment horizontal="right"/>
    </xf>
    <xf numFmtId="0" fontId="2" fillId="0" borderId="0" xfId="254" applyNumberFormat="1" applyFont="1"/>
    <xf numFmtId="169" fontId="2" fillId="0" borderId="0" xfId="256" applyNumberFormat="1" applyFont="1"/>
    <xf numFmtId="0" fontId="2" fillId="0" borderId="0" xfId="254" applyNumberFormat="1" applyFont="1" applyFill="1"/>
    <xf numFmtId="0" fontId="2" fillId="0" borderId="0" xfId="256" applyNumberFormat="1" applyFont="1"/>
    <xf numFmtId="0" fontId="126" fillId="0" borderId="0" xfId="256" applyNumberFormat="1" applyFont="1" applyAlignment="1"/>
    <xf numFmtId="41" fontId="2" fillId="0" borderId="0" xfId="256" applyNumberFormat="1" applyFont="1" applyAlignment="1">
      <alignment horizontal="right"/>
    </xf>
    <xf numFmtId="0" fontId="7" fillId="0" borderId="4" xfId="256" applyNumberFormat="1" applyFont="1" applyBorder="1" applyAlignment="1"/>
    <xf numFmtId="0" fontId="7" fillId="0" borderId="4" xfId="256" applyFont="1" applyBorder="1" applyAlignment="1">
      <alignment horizontal="right"/>
    </xf>
    <xf numFmtId="0" fontId="7" fillId="0" borderId="0" xfId="256" applyNumberFormat="1" applyFont="1" applyBorder="1" applyAlignment="1"/>
    <xf numFmtId="0" fontId="2" fillId="0" borderId="0" xfId="256" applyNumberFormat="1" applyFont="1" applyAlignment="1">
      <alignment vertical="top"/>
    </xf>
    <xf numFmtId="0" fontId="7" fillId="0" borderId="0" xfId="256" applyNumberFormat="1" applyFont="1" applyAlignment="1">
      <alignment vertical="top"/>
    </xf>
    <xf numFmtId="41" fontId="7" fillId="0" borderId="0" xfId="256" applyNumberFormat="1" applyFont="1"/>
    <xf numFmtId="0" fontId="2" fillId="0" borderId="0" xfId="256" applyNumberFormat="1" applyFont="1" applyAlignment="1"/>
    <xf numFmtId="169" fontId="9" fillId="0" borderId="0" xfId="256" applyNumberFormat="1" applyFont="1" applyFill="1"/>
    <xf numFmtId="169" fontId="113" fillId="0" borderId="0" xfId="256" applyNumberFormat="1" applyFont="1" applyFill="1"/>
    <xf numFmtId="169" fontId="113" fillId="10" borderId="0" xfId="256" applyNumberFormat="1" applyFont="1" applyFill="1"/>
    <xf numFmtId="0" fontId="113" fillId="0" borderId="0" xfId="256" applyFont="1" applyFill="1"/>
    <xf numFmtId="0" fontId="7" fillId="0" borderId="4" xfId="256" applyFont="1" applyFill="1" applyBorder="1" applyAlignment="1">
      <alignment horizontal="right"/>
    </xf>
    <xf numFmtId="0" fontId="127" fillId="0" borderId="0" xfId="256" applyNumberFormat="1" applyFont="1" applyBorder="1" applyAlignment="1"/>
    <xf numFmtId="0" fontId="121" fillId="0" borderId="0" xfId="256" applyFont="1" applyFill="1" applyBorder="1" applyAlignment="1">
      <alignment horizontal="right"/>
    </xf>
    <xf numFmtId="41" fontId="113" fillId="0" borderId="0" xfId="256" applyNumberFormat="1" applyFont="1" applyFill="1"/>
    <xf numFmtId="41" fontId="2" fillId="28" borderId="0" xfId="256" applyNumberFormat="1" applyFont="1" applyFill="1"/>
    <xf numFmtId="0" fontId="7" fillId="0" borderId="4" xfId="256" applyNumberFormat="1" applyFont="1" applyBorder="1"/>
    <xf numFmtId="234" fontId="2" fillId="0" borderId="0" xfId="256" applyNumberFormat="1" applyFont="1" applyFill="1"/>
    <xf numFmtId="0" fontId="35" fillId="0" borderId="0" xfId="256" applyNumberFormat="1" applyFont="1" applyAlignment="1">
      <alignment horizontal="left" indent="1"/>
    </xf>
    <xf numFmtId="41" fontId="36" fillId="0" borderId="0" xfId="256" applyNumberFormat="1" applyFont="1"/>
    <xf numFmtId="41" fontId="36" fillId="0" borderId="0" xfId="256" applyNumberFormat="1" applyFont="1" applyFill="1"/>
    <xf numFmtId="41" fontId="121" fillId="0" borderId="0" xfId="256" applyNumberFormat="1" applyFont="1" applyFill="1"/>
    <xf numFmtId="0" fontId="15" fillId="0" borderId="0" xfId="256" applyFont="1" applyFill="1"/>
    <xf numFmtId="0" fontId="6" fillId="35" borderId="0" xfId="256" applyFill="1"/>
    <xf numFmtId="41" fontId="37" fillId="0" borderId="0" xfId="179" applyNumberFormat="1" applyFont="1" applyFill="1"/>
    <xf numFmtId="167" fontId="37" fillId="0" borderId="0" xfId="180" applyNumberFormat="1" applyFont="1" applyBorder="1"/>
    <xf numFmtId="167" fontId="37" fillId="0" borderId="0" xfId="180" applyNumberFormat="1" applyFont="1" applyFill="1" applyAlignment="1">
      <alignment horizontal="center"/>
    </xf>
    <xf numFmtId="167" fontId="2" fillId="37" borderId="0" xfId="180" applyNumberFormat="1" applyFont="1" applyFill="1" applyBorder="1"/>
    <xf numFmtId="41" fontId="37" fillId="0" borderId="4" xfId="179" applyNumberFormat="1" applyFont="1" applyFill="1" applyBorder="1"/>
    <xf numFmtId="41" fontId="2" fillId="0" borderId="0" xfId="265" applyNumberFormat="1" applyFont="1"/>
    <xf numFmtId="10" fontId="117" fillId="31" borderId="0" xfId="286" applyNumberFormat="1" applyFont="1" applyFill="1"/>
    <xf numFmtId="166" fontId="2" fillId="0" borderId="0" xfId="180" applyNumberFormat="1" applyFont="1" applyFill="1" applyAlignment="1">
      <alignment horizontal="right"/>
    </xf>
    <xf numFmtId="166" fontId="37" fillId="0" borderId="0" xfId="180" applyNumberFormat="1" applyFont="1" applyFill="1"/>
    <xf numFmtId="166" fontId="37" fillId="0" borderId="0" xfId="265" applyNumberFormat="1" applyFont="1" applyFill="1"/>
    <xf numFmtId="166" fontId="37" fillId="0" borderId="0" xfId="180" applyNumberFormat="1" applyFont="1" applyFill="1" applyBorder="1"/>
    <xf numFmtId="167" fontId="117" fillId="0" borderId="0" xfId="265" applyNumberFormat="1" applyFont="1" applyFill="1"/>
    <xf numFmtId="166" fontId="37" fillId="0" borderId="4" xfId="265" applyNumberFormat="1" applyFont="1" applyFill="1" applyBorder="1"/>
    <xf numFmtId="185" fontId="37" fillId="0" borderId="0" xfId="180" applyNumberFormat="1" applyFont="1" applyFill="1"/>
    <xf numFmtId="167" fontId="113" fillId="0" borderId="0" xfId="180" applyNumberFormat="1" applyFont="1" applyFill="1" applyAlignment="1">
      <alignment horizontal="right"/>
    </xf>
    <xf numFmtId="185" fontId="2" fillId="0" borderId="0" xfId="178" applyNumberFormat="1" applyFont="1" applyFill="1" applyBorder="1" applyAlignment="1">
      <alignment horizontal="right"/>
    </xf>
    <xf numFmtId="185" fontId="37" fillId="0" borderId="0" xfId="178" applyNumberFormat="1" applyFont="1" applyFill="1" applyBorder="1" applyAlignment="1">
      <alignment horizontal="right"/>
    </xf>
    <xf numFmtId="185" fontId="37" fillId="0" borderId="0" xfId="178" applyNumberFormat="1" applyFont="1" applyFill="1"/>
    <xf numFmtId="185" fontId="37" fillId="0" borderId="4" xfId="178" applyNumberFormat="1" applyFont="1" applyFill="1" applyBorder="1"/>
    <xf numFmtId="167" fontId="129" fillId="0" borderId="4" xfId="178" applyNumberFormat="1" applyFont="1" applyFill="1" applyBorder="1"/>
    <xf numFmtId="167" fontId="129" fillId="0" borderId="0" xfId="180" applyNumberFormat="1" applyFont="1"/>
    <xf numFmtId="167" fontId="129" fillId="0" borderId="4" xfId="180" applyNumberFormat="1" applyFont="1" applyFill="1" applyBorder="1"/>
    <xf numFmtId="0" fontId="130" fillId="0" borderId="0" xfId="256" applyFont="1"/>
    <xf numFmtId="167" fontId="7" fillId="10" borderId="0" xfId="180" applyNumberFormat="1" applyFont="1" applyFill="1"/>
    <xf numFmtId="0" fontId="130" fillId="0" borderId="0" xfId="256" applyNumberFormat="1" applyFont="1" applyFill="1" applyBorder="1"/>
    <xf numFmtId="0" fontId="130" fillId="0" borderId="0" xfId="256" applyFont="1" applyBorder="1"/>
    <xf numFmtId="0" fontId="130" fillId="0" borderId="0" xfId="254" applyNumberFormat="1" applyFont="1" applyBorder="1"/>
    <xf numFmtId="0" fontId="130" fillId="0" borderId="0" xfId="256" applyNumberFormat="1" applyFont="1" applyAlignment="1"/>
    <xf numFmtId="41" fontId="2" fillId="0" borderId="0" xfId="256" applyNumberFormat="1" applyFont="1" applyFill="1" applyBorder="1"/>
    <xf numFmtId="41" fontId="7" fillId="0" borderId="0" xfId="256" applyNumberFormat="1" applyFont="1" applyFill="1" applyBorder="1"/>
    <xf numFmtId="169" fontId="113" fillId="0" borderId="0" xfId="256" applyNumberFormat="1" applyFont="1" applyFill="1" applyBorder="1"/>
    <xf numFmtId="41" fontId="2" fillId="22" borderId="0" xfId="256" applyNumberFormat="1" applyFont="1" applyFill="1"/>
    <xf numFmtId="0" fontId="131" fillId="0" borderId="0" xfId="262" applyNumberFormat="1" applyFont="1" applyFill="1"/>
    <xf numFmtId="0" fontId="2" fillId="0" borderId="0" xfId="264" applyFont="1" applyFill="1"/>
    <xf numFmtId="167" fontId="7" fillId="0" borderId="0" xfId="179" applyNumberFormat="1" applyFont="1" applyFill="1" applyAlignment="1">
      <alignment horizontal="center"/>
    </xf>
    <xf numFmtId="0" fontId="7" fillId="0" borderId="0" xfId="264" applyFont="1" applyFill="1" applyAlignment="1">
      <alignment horizontal="center"/>
    </xf>
    <xf numFmtId="0" fontId="7" fillId="0" borderId="0" xfId="264" applyNumberFormat="1" applyFont="1" applyFill="1"/>
    <xf numFmtId="167" fontId="2" fillId="0" borderId="0" xfId="179" applyNumberFormat="1" applyFont="1" applyFill="1"/>
    <xf numFmtId="0" fontId="7" fillId="0" borderId="4" xfId="264" applyNumberFormat="1" applyFont="1" applyFill="1" applyBorder="1"/>
    <xf numFmtId="0" fontId="2" fillId="0" borderId="0" xfId="264" applyFont="1" applyFill="1" applyBorder="1"/>
    <xf numFmtId="0" fontId="2" fillId="0" borderId="0" xfId="264" applyNumberFormat="1" applyFont="1" applyFill="1"/>
    <xf numFmtId="41" fontId="37" fillId="0" borderId="0" xfId="179" applyNumberFormat="1" applyFont="1" applyFill="1" applyBorder="1"/>
    <xf numFmtId="41" fontId="2" fillId="0" borderId="0" xfId="179" applyNumberFormat="1" applyFont="1" applyFill="1" applyBorder="1"/>
    <xf numFmtId="41" fontId="2" fillId="0" borderId="0" xfId="264" applyNumberFormat="1" applyFont="1" applyFill="1"/>
    <xf numFmtId="41" fontId="9" fillId="0" borderId="0" xfId="264" applyNumberFormat="1" applyFont="1" applyFill="1"/>
    <xf numFmtId="41" fontId="2" fillId="0" borderId="0" xfId="179" applyNumberFormat="1" applyFont="1" applyFill="1"/>
    <xf numFmtId="41" fontId="37" fillId="0" borderId="0" xfId="179" applyNumberFormat="1" applyFont="1" applyFill="1" applyAlignment="1">
      <alignment horizontal="center"/>
    </xf>
    <xf numFmtId="41" fontId="2" fillId="0" borderId="0" xfId="179" applyNumberFormat="1" applyFont="1" applyFill="1" applyAlignment="1">
      <alignment horizontal="center"/>
    </xf>
    <xf numFmtId="41" fontId="2" fillId="0" borderId="4" xfId="179" applyNumberFormat="1" applyFont="1" applyFill="1" applyBorder="1"/>
    <xf numFmtId="41" fontId="9" fillId="0" borderId="4" xfId="179" applyNumberFormat="1" applyFont="1" applyFill="1" applyBorder="1"/>
    <xf numFmtId="235" fontId="7" fillId="0" borderId="4" xfId="264" applyNumberFormat="1" applyFont="1" applyFill="1" applyBorder="1" applyAlignment="1">
      <alignment horizontal="right"/>
    </xf>
    <xf numFmtId="236" fontId="7" fillId="0" borderId="4" xfId="264" applyNumberFormat="1" applyFont="1" applyFill="1" applyBorder="1" applyAlignment="1">
      <alignment horizontal="right"/>
    </xf>
    <xf numFmtId="167" fontId="7" fillId="0" borderId="0" xfId="179" applyNumberFormat="1" applyFont="1" applyFill="1"/>
    <xf numFmtId="167" fontId="121" fillId="0" borderId="0" xfId="179" applyNumberFormat="1" applyFont="1" applyFill="1"/>
    <xf numFmtId="167" fontId="119" fillId="0" borderId="0" xfId="179" applyNumberFormat="1" applyFont="1" applyFill="1"/>
    <xf numFmtId="0" fontId="2" fillId="0" borderId="0" xfId="264" applyNumberFormat="1" applyFont="1" applyFill="1" applyAlignment="1">
      <alignment horizontal="left" indent="1"/>
    </xf>
    <xf numFmtId="167" fontId="2" fillId="0" borderId="0" xfId="179" applyNumberFormat="1" applyFont="1" applyFill="1" applyBorder="1"/>
    <xf numFmtId="167" fontId="37" fillId="0" borderId="0" xfId="179" applyNumberFormat="1" applyFont="1" applyFill="1"/>
    <xf numFmtId="167" fontId="120" fillId="0" borderId="0" xfId="179" applyNumberFormat="1" applyFont="1" applyFill="1"/>
    <xf numFmtId="167" fontId="113" fillId="0" borderId="0" xfId="179" applyNumberFormat="1" applyFont="1" applyFill="1"/>
    <xf numFmtId="167" fontId="7" fillId="0" borderId="0" xfId="162" applyNumberFormat="1" applyFont="1" applyFill="1" applyAlignment="1">
      <alignment horizontal="left" indent="1"/>
    </xf>
    <xf numFmtId="0" fontId="9" fillId="0" borderId="0" xfId="264" applyFont="1" applyFill="1"/>
    <xf numFmtId="9" fontId="2" fillId="0" borderId="0" xfId="286" applyFont="1" applyFill="1"/>
    <xf numFmtId="41" fontId="7" fillId="0" borderId="0" xfId="179" applyNumberFormat="1" applyFont="1" applyFill="1"/>
    <xf numFmtId="167" fontId="126" fillId="0" borderId="0" xfId="179" applyNumberFormat="1" applyFont="1" applyFill="1"/>
    <xf numFmtId="41" fontId="113" fillId="0" borderId="0" xfId="179" applyNumberFormat="1" applyFont="1" applyFill="1"/>
    <xf numFmtId="41" fontId="117" fillId="0" borderId="0" xfId="179" applyNumberFormat="1" applyFont="1" applyFill="1"/>
    <xf numFmtId="41" fontId="117" fillId="0" borderId="0" xfId="179" applyNumberFormat="1" applyFont="1" applyFill="1" applyBorder="1"/>
    <xf numFmtId="0" fontId="10" fillId="0" borderId="0" xfId="264" applyNumberFormat="1" applyFont="1" applyFill="1"/>
    <xf numFmtId="41" fontId="118" fillId="0" borderId="0" xfId="179" applyNumberFormat="1" applyFont="1" applyFill="1"/>
    <xf numFmtId="41" fontId="132" fillId="0" borderId="0" xfId="179" applyNumberFormat="1" applyFont="1" applyFill="1"/>
    <xf numFmtId="41" fontId="10" fillId="0" borderId="0" xfId="179" applyNumberFormat="1" applyFont="1" applyFill="1"/>
    <xf numFmtId="169" fontId="10" fillId="0" borderId="0" xfId="286" applyNumberFormat="1" applyFont="1" applyFill="1"/>
    <xf numFmtId="41" fontId="7" fillId="0" borderId="0" xfId="264" applyNumberFormat="1" applyFont="1" applyFill="1"/>
    <xf numFmtId="0" fontId="2" fillId="0" borderId="0" xfId="264" applyNumberFormat="1" applyFont="1" applyFill="1" applyBorder="1" applyAlignment="1">
      <alignment horizontal="left" indent="1"/>
    </xf>
    <xf numFmtId="41" fontId="2" fillId="0" borderId="4" xfId="264" applyNumberFormat="1" applyFont="1" applyFill="1" applyBorder="1"/>
    <xf numFmtId="237" fontId="2" fillId="0" borderId="0" xfId="264" applyNumberFormat="1" applyFont="1" applyFill="1"/>
    <xf numFmtId="41" fontId="37" fillId="0" borderId="0" xfId="264" applyNumberFormat="1" applyFont="1" applyFill="1"/>
    <xf numFmtId="41" fontId="37" fillId="0" borderId="4" xfId="264" applyNumberFormat="1" applyFont="1" applyFill="1" applyBorder="1"/>
    <xf numFmtId="41" fontId="40" fillId="0" borderId="0" xfId="264" applyNumberFormat="1" applyFont="1" applyFill="1"/>
    <xf numFmtId="41" fontId="123" fillId="0" borderId="0" xfId="264" applyNumberFormat="1" applyFont="1" applyFill="1"/>
    <xf numFmtId="0" fontId="35" fillId="0" borderId="0" xfId="262" applyNumberFormat="1" applyFont="1" applyFill="1"/>
    <xf numFmtId="41" fontId="35" fillId="0" borderId="0" xfId="179" applyNumberFormat="1" applyFont="1" applyFill="1"/>
    <xf numFmtId="0" fontId="36" fillId="0" borderId="0" xfId="264" applyFont="1" applyFill="1"/>
    <xf numFmtId="0" fontId="7" fillId="0" borderId="0" xfId="264" applyFont="1" applyFill="1"/>
    <xf numFmtId="0" fontId="41" fillId="0" borderId="0" xfId="262" applyNumberFormat="1" applyFont="1" applyFill="1"/>
    <xf numFmtId="41" fontId="133" fillId="0" borderId="0" xfId="179" applyNumberFormat="1" applyFont="1" applyFill="1"/>
    <xf numFmtId="181" fontId="37" fillId="0" borderId="0" xfId="286" applyNumberFormat="1" applyFont="1" applyFill="1"/>
    <xf numFmtId="181" fontId="117" fillId="0" borderId="0" xfId="286" applyNumberFormat="1" applyFont="1" applyFill="1"/>
    <xf numFmtId="181" fontId="9" fillId="0" borderId="0" xfId="264" applyNumberFormat="1" applyFont="1" applyFill="1"/>
    <xf numFmtId="181" fontId="2" fillId="0" borderId="0" xfId="264" applyNumberFormat="1" applyFont="1" applyFill="1"/>
    <xf numFmtId="181" fontId="9" fillId="0" borderId="0" xfId="286" applyNumberFormat="1" applyFont="1" applyFill="1"/>
    <xf numFmtId="181" fontId="2" fillId="0" borderId="0" xfId="286" applyNumberFormat="1" applyFont="1" applyFill="1"/>
    <xf numFmtId="181" fontId="117" fillId="0" borderId="0" xfId="286" applyNumberFormat="1" applyFont="1" applyFill="1" applyBorder="1"/>
    <xf numFmtId="0" fontId="2" fillId="0" borderId="0" xfId="258" applyNumberFormat="1" applyFont="1" applyFill="1"/>
    <xf numFmtId="181" fontId="2" fillId="0" borderId="0" xfId="286" applyNumberFormat="1" applyFont="1" applyFill="1" applyBorder="1"/>
    <xf numFmtId="181" fontId="37" fillId="0" borderId="0" xfId="286" applyNumberFormat="1" applyFont="1" applyFill="1" applyBorder="1"/>
    <xf numFmtId="0" fontId="37" fillId="0" borderId="0" xfId="179" applyNumberFormat="1" applyFont="1" applyFill="1"/>
    <xf numFmtId="0" fontId="120" fillId="0" borderId="0" xfId="179" applyNumberFormat="1" applyFont="1" applyFill="1"/>
    <xf numFmtId="43" fontId="120" fillId="0" borderId="0" xfId="179" applyNumberFormat="1" applyFont="1" applyFill="1"/>
    <xf numFmtId="165" fontId="9" fillId="0" borderId="0" xfId="178" applyFont="1" applyFill="1"/>
    <xf numFmtId="173" fontId="2" fillId="0" borderId="0" xfId="179" applyNumberFormat="1" applyFont="1" applyFill="1" applyBorder="1"/>
    <xf numFmtId="41" fontId="9" fillId="0" borderId="0" xfId="179" applyNumberFormat="1" applyFont="1" applyFill="1" applyBorder="1"/>
    <xf numFmtId="169" fontId="37" fillId="0" borderId="0" xfId="286" applyNumberFormat="1" applyFont="1" applyFill="1"/>
    <xf numFmtId="41" fontId="9" fillId="0" borderId="0" xfId="286" applyNumberFormat="1" applyFont="1" applyFill="1"/>
    <xf numFmtId="41" fontId="2" fillId="0" borderId="0" xfId="286" applyNumberFormat="1" applyFont="1" applyFill="1"/>
    <xf numFmtId="0" fontId="2" fillId="0" borderId="0" xfId="264" applyNumberFormat="1" applyFont="1" applyFill="1" applyAlignment="1">
      <alignment horizontal="left"/>
    </xf>
    <xf numFmtId="0" fontId="41" fillId="0" borderId="0" xfId="264" applyNumberFormat="1" applyFont="1" applyFill="1"/>
    <xf numFmtId="0" fontId="2" fillId="0" borderId="0" xfId="262" applyNumberFormat="1" applyFont="1" applyFill="1"/>
    <xf numFmtId="43" fontId="9" fillId="0" borderId="0" xfId="264" applyNumberFormat="1" applyFont="1" applyFill="1"/>
    <xf numFmtId="0" fontId="2" fillId="0" borderId="0" xfId="262" quotePrefix="1" applyNumberFormat="1" applyFont="1" applyFill="1"/>
    <xf numFmtId="41" fontId="2" fillId="0" borderId="0" xfId="262" applyNumberFormat="1" applyFont="1" applyFill="1" applyAlignment="1">
      <alignment horizontal="right"/>
    </xf>
    <xf numFmtId="41" fontId="2" fillId="0" borderId="0" xfId="262" applyNumberFormat="1" applyFont="1" applyFill="1"/>
    <xf numFmtId="0" fontId="10" fillId="0" borderId="0" xfId="262" applyNumberFormat="1" applyFont="1" applyFill="1" applyAlignment="1">
      <alignment horizontal="left" indent="1"/>
    </xf>
    <xf numFmtId="238" fontId="2" fillId="0" borderId="0" xfId="264" applyNumberFormat="1" applyFont="1" applyFill="1"/>
    <xf numFmtId="238" fontId="120" fillId="0" borderId="0" xfId="264" applyNumberFormat="1" applyFont="1" applyFill="1"/>
    <xf numFmtId="41" fontId="35" fillId="0" borderId="0" xfId="264" applyNumberFormat="1" applyFont="1" applyFill="1"/>
    <xf numFmtId="41" fontId="36" fillId="0" borderId="0" xfId="264" applyNumberFormat="1" applyFont="1" applyFill="1"/>
    <xf numFmtId="0" fontId="130" fillId="0" borderId="0" xfId="262" applyNumberFormat="1" applyFont="1" applyFill="1" applyAlignment="1"/>
    <xf numFmtId="235" fontId="7" fillId="0" borderId="0" xfId="264" applyNumberFormat="1" applyFont="1" applyFill="1" applyBorder="1" applyAlignment="1">
      <alignment horizontal="right"/>
    </xf>
    <xf numFmtId="0" fontId="7" fillId="0" borderId="4" xfId="262" applyNumberFormat="1" applyFont="1" applyFill="1" applyBorder="1" applyAlignment="1"/>
    <xf numFmtId="0" fontId="2" fillId="0" borderId="0" xfId="262" applyNumberFormat="1" applyFont="1" applyFill="1" applyBorder="1" applyAlignment="1"/>
    <xf numFmtId="0" fontId="7" fillId="0" borderId="0" xfId="262" applyNumberFormat="1" applyFont="1" applyFill="1" applyBorder="1" applyAlignment="1"/>
    <xf numFmtId="187" fontId="7" fillId="0" borderId="0" xfId="264" applyNumberFormat="1" applyFont="1" applyFill="1" applyBorder="1" applyAlignment="1">
      <alignment horizontal="right"/>
    </xf>
    <xf numFmtId="188" fontId="7" fillId="0" borderId="0" xfId="264" applyNumberFormat="1" applyFont="1" applyFill="1" applyBorder="1" applyAlignment="1">
      <alignment horizontal="right"/>
    </xf>
    <xf numFmtId="0" fontId="127" fillId="0" borderId="0" xfId="262" applyNumberFormat="1" applyFont="1" applyFill="1" applyBorder="1" applyAlignment="1"/>
    <xf numFmtId="41" fontId="2" fillId="29" borderId="0" xfId="264" applyNumberFormat="1" applyFont="1" applyFill="1"/>
    <xf numFmtId="0" fontId="2" fillId="0" borderId="0" xfId="262" applyNumberFormat="1" applyFont="1" applyFill="1" applyAlignment="1">
      <alignment horizontal="left" vertical="top" indent="1"/>
    </xf>
    <xf numFmtId="0" fontId="127" fillId="0" borderId="0" xfId="262" applyNumberFormat="1" applyFont="1" applyFill="1"/>
    <xf numFmtId="0" fontId="7" fillId="0" borderId="4" xfId="262" applyNumberFormat="1" applyFont="1" applyFill="1" applyBorder="1"/>
    <xf numFmtId="187" fontId="7" fillId="0" borderId="4" xfId="264" applyNumberFormat="1" applyFont="1" applyFill="1" applyBorder="1" applyAlignment="1">
      <alignment horizontal="right"/>
    </xf>
    <xf numFmtId="188" fontId="7" fillId="0" borderId="4" xfId="264" applyNumberFormat="1" applyFont="1" applyFill="1" applyBorder="1" applyAlignment="1">
      <alignment horizontal="right"/>
    </xf>
    <xf numFmtId="0" fontId="35" fillId="0" borderId="0" xfId="262" applyNumberFormat="1" applyFont="1" applyFill="1" applyAlignment="1">
      <alignment horizontal="left" indent="1"/>
    </xf>
    <xf numFmtId="41" fontId="36" fillId="30" borderId="0" xfId="264" applyNumberFormat="1" applyFont="1" applyFill="1"/>
    <xf numFmtId="0" fontId="20" fillId="10" borderId="0" xfId="256" applyFont="1" applyFill="1" applyAlignment="1">
      <alignment horizontal="right"/>
    </xf>
    <xf numFmtId="0" fontId="111" fillId="0" borderId="0" xfId="0" applyFont="1" applyFill="1" applyBorder="1" applyAlignment="1">
      <alignment horizontal="left"/>
    </xf>
    <xf numFmtId="0" fontId="32" fillId="0" borderId="0" xfId="0" applyFont="1" applyFill="1" applyBorder="1"/>
    <xf numFmtId="169" fontId="158" fillId="0" borderId="0" xfId="0" applyNumberFormat="1" applyFont="1" applyFill="1" applyBorder="1"/>
    <xf numFmtId="3" fontId="32" fillId="0" borderId="0" xfId="0" applyNumberFormat="1" applyFont="1" applyFill="1" applyBorder="1"/>
    <xf numFmtId="3" fontId="32" fillId="0" borderId="0" xfId="275" applyNumberFormat="1" applyFont="1" applyFill="1" applyBorder="1" applyAlignment="1">
      <alignment horizontal="right"/>
    </xf>
    <xf numFmtId="3" fontId="134" fillId="0" borderId="0" xfId="0" applyNumberFormat="1" applyFont="1" applyFill="1" applyBorder="1"/>
    <xf numFmtId="0" fontId="134" fillId="0" borderId="0" xfId="0" applyFont="1" applyFill="1" applyBorder="1"/>
    <xf numFmtId="3" fontId="39" fillId="11" borderId="38" xfId="151" applyNumberFormat="1" applyFont="1" applyFill="1" applyBorder="1"/>
    <xf numFmtId="3" fontId="6" fillId="0" borderId="27" xfId="0" applyNumberFormat="1" applyFont="1" applyFill="1" applyBorder="1"/>
    <xf numFmtId="169" fontId="158" fillId="0" borderId="27" xfId="275" applyNumberFormat="1" applyFont="1" applyFill="1" applyBorder="1"/>
    <xf numFmtId="3" fontId="6" fillId="0" borderId="1" xfId="0" applyNumberFormat="1" applyFont="1" applyFill="1" applyBorder="1"/>
    <xf numFmtId="169" fontId="158" fillId="0" borderId="1" xfId="0" applyNumberFormat="1" applyFont="1" applyFill="1" applyBorder="1"/>
    <xf numFmtId="169" fontId="158" fillId="0" borderId="27" xfId="0" applyNumberFormat="1" applyFont="1" applyFill="1" applyBorder="1"/>
    <xf numFmtId="3" fontId="3" fillId="11" borderId="38" xfId="151" applyNumberFormat="1" applyFont="1" applyFill="1" applyBorder="1"/>
    <xf numFmtId="3" fontId="3" fillId="11" borderId="38" xfId="160" applyNumberFormat="1" applyFont="1" applyFill="1" applyBorder="1"/>
    <xf numFmtId="0" fontId="25" fillId="23" borderId="19" xfId="0" applyFont="1" applyFill="1" applyBorder="1"/>
    <xf numFmtId="0" fontId="25" fillId="23" borderId="26" xfId="0" applyFont="1" applyFill="1" applyBorder="1" applyAlignment="1">
      <alignment horizontal="right"/>
    </xf>
    <xf numFmtId="0" fontId="25" fillId="23" borderId="19" xfId="0" applyFont="1" applyFill="1" applyBorder="1" applyAlignment="1">
      <alignment horizontal="right"/>
    </xf>
    <xf numFmtId="0" fontId="25" fillId="23" borderId="39" xfId="0" applyFont="1" applyFill="1" applyBorder="1" applyAlignment="1">
      <alignment horizontal="right"/>
    </xf>
    <xf numFmtId="0" fontId="25" fillId="23" borderId="7" xfId="0" applyFont="1" applyFill="1" applyBorder="1"/>
    <xf numFmtId="0" fontId="3" fillId="11" borderId="40" xfId="0" applyFont="1" applyFill="1" applyBorder="1"/>
    <xf numFmtId="0" fontId="32" fillId="0" borderId="3" xfId="0" applyFont="1" applyFill="1" applyBorder="1"/>
    <xf numFmtId="0" fontId="49" fillId="0" borderId="0" xfId="160" applyNumberFormat="1" applyFont="1" applyFill="1" applyBorder="1"/>
    <xf numFmtId="0" fontId="47" fillId="0" borderId="0" xfId="160" applyNumberFormat="1" applyFont="1" applyFill="1" applyBorder="1"/>
    <xf numFmtId="0" fontId="6" fillId="0" borderId="0" xfId="160" applyNumberFormat="1" applyFont="1" applyFill="1" applyBorder="1"/>
    <xf numFmtId="0" fontId="6" fillId="0" borderId="0" xfId="0" applyNumberFormat="1" applyFont="1" applyFill="1" applyBorder="1"/>
    <xf numFmtId="0" fontId="6" fillId="0" borderId="0" xfId="186" applyNumberFormat="1" applyFont="1" applyFill="1" applyBorder="1"/>
    <xf numFmtId="0" fontId="16" fillId="0" borderId="0" xfId="275" applyNumberFormat="1" applyFont="1" applyFill="1" applyBorder="1"/>
    <xf numFmtId="0" fontId="6" fillId="0" borderId="0" xfId="160" applyNumberFormat="1" applyFont="1" applyFill="1" applyBorder="1" applyAlignment="1">
      <alignment horizontal="left"/>
    </xf>
    <xf numFmtId="0" fontId="150" fillId="0" borderId="0" xfId="0" applyNumberFormat="1" applyFont="1" applyFill="1" applyBorder="1"/>
    <xf numFmtId="0" fontId="134" fillId="0" borderId="0" xfId="0" applyNumberFormat="1" applyFont="1" applyFill="1" applyBorder="1"/>
    <xf numFmtId="0" fontId="16" fillId="0" borderId="0" xfId="0" applyNumberFormat="1" applyFont="1" applyFill="1" applyBorder="1"/>
    <xf numFmtId="0" fontId="28" fillId="0" borderId="0" xfId="0" applyNumberFormat="1" applyFont="1" applyFill="1" applyBorder="1" applyAlignment="1">
      <alignment horizontal="right"/>
    </xf>
    <xf numFmtId="166" fontId="159" fillId="0" borderId="1" xfId="160" applyNumberFormat="1" applyFont="1" applyFill="1" applyBorder="1"/>
    <xf numFmtId="0" fontId="6" fillId="0" borderId="0" xfId="0" applyNumberFormat="1" applyFont="1" applyFill="1" applyAlignment="1"/>
    <xf numFmtId="167" fontId="143" fillId="0" borderId="0" xfId="160" applyNumberFormat="1" applyFont="1" applyFill="1" applyBorder="1"/>
    <xf numFmtId="167" fontId="152" fillId="0" borderId="28" xfId="160" applyNumberFormat="1" applyFont="1" applyFill="1" applyBorder="1"/>
    <xf numFmtId="0" fontId="47" fillId="0" borderId="0" xfId="0" applyNumberFormat="1" applyFont="1" applyBorder="1" applyAlignment="1">
      <alignment horizontal="center"/>
    </xf>
    <xf numFmtId="0" fontId="15" fillId="0" borderId="1" xfId="151" applyNumberFormat="1" applyFont="1" applyFill="1" applyBorder="1"/>
    <xf numFmtId="0" fontId="6" fillId="0" borderId="4" xfId="259" applyNumberFormat="1" applyFont="1" applyBorder="1"/>
    <xf numFmtId="0" fontId="6" fillId="0" borderId="25" xfId="0" applyNumberFormat="1" applyFont="1" applyBorder="1"/>
    <xf numFmtId="0" fontId="6" fillId="0" borderId="4" xfId="0" applyNumberFormat="1" applyFont="1" applyFill="1" applyBorder="1"/>
    <xf numFmtId="0" fontId="6" fillId="0" borderId="28" xfId="0" applyNumberFormat="1" applyFont="1" applyFill="1" applyBorder="1"/>
    <xf numFmtId="0" fontId="42" fillId="0" borderId="4" xfId="0" applyNumberFormat="1" applyFont="1" applyFill="1" applyBorder="1"/>
    <xf numFmtId="0" fontId="6" fillId="0" borderId="25" xfId="0" applyNumberFormat="1" applyFont="1" applyFill="1" applyBorder="1"/>
    <xf numFmtId="0" fontId="6" fillId="0" borderId="35" xfId="160" applyNumberFormat="1" applyFont="1" applyFill="1" applyBorder="1"/>
    <xf numFmtId="0" fontId="6" fillId="0" borderId="4" xfId="160" applyNumberFormat="1" applyFont="1" applyFill="1" applyBorder="1"/>
    <xf numFmtId="0" fontId="6" fillId="0" borderId="25" xfId="151" applyNumberFormat="1" applyFont="1" applyFill="1" applyBorder="1"/>
    <xf numFmtId="0" fontId="152" fillId="0" borderId="35" xfId="160" applyNumberFormat="1" applyFont="1" applyFill="1" applyBorder="1"/>
    <xf numFmtId="0" fontId="152" fillId="0" borderId="4" xfId="160" applyNumberFormat="1" applyFont="1" applyFill="1" applyBorder="1"/>
    <xf numFmtId="0" fontId="15" fillId="0" borderId="25" xfId="151" applyNumberFormat="1" applyFont="1" applyFill="1" applyBorder="1"/>
    <xf numFmtId="0" fontId="157" fillId="34" borderId="4" xfId="151" applyNumberFormat="1" applyFont="1" applyFill="1" applyBorder="1"/>
    <xf numFmtId="0" fontId="157" fillId="34" borderId="28" xfId="151" applyNumberFormat="1" applyFont="1" applyFill="1" applyBorder="1"/>
    <xf numFmtId="0" fontId="15" fillId="0" borderId="28" xfId="151" applyNumberFormat="1" applyFont="1" applyFill="1" applyBorder="1"/>
    <xf numFmtId="0" fontId="157" fillId="0" borderId="25" xfId="151" applyNumberFormat="1" applyFont="1" applyFill="1" applyBorder="1"/>
    <xf numFmtId="0" fontId="30" fillId="0" borderId="35" xfId="151" applyNumberFormat="1" applyFont="1" applyFill="1" applyBorder="1"/>
    <xf numFmtId="167" fontId="6" fillId="8" borderId="25" xfId="151" applyNumberFormat="1" applyFont="1" applyFill="1" applyBorder="1"/>
    <xf numFmtId="167" fontId="18" fillId="0" borderId="0" xfId="151" applyBorder="1"/>
    <xf numFmtId="167" fontId="3" fillId="0" borderId="1" xfId="151" applyNumberFormat="1" applyFont="1" applyFill="1" applyBorder="1"/>
    <xf numFmtId="167" fontId="16" fillId="0" borderId="1" xfId="162" applyNumberFormat="1" applyFont="1" applyFill="1" applyBorder="1"/>
    <xf numFmtId="167" fontId="16" fillId="0" borderId="0" xfId="162" applyNumberFormat="1" applyFont="1" applyFill="1"/>
    <xf numFmtId="167" fontId="16" fillId="0" borderId="27" xfId="162" applyNumberFormat="1" applyFont="1" applyFill="1" applyBorder="1"/>
    <xf numFmtId="167" fontId="16" fillId="0" borderId="0" xfId="162" applyNumberFormat="1" applyFont="1" applyFill="1" applyBorder="1"/>
    <xf numFmtId="167" fontId="16" fillId="0" borderId="3" xfId="162" applyNumberFormat="1" applyFont="1" applyFill="1" applyBorder="1"/>
    <xf numFmtId="0" fontId="16" fillId="0" borderId="0" xfId="0" applyFont="1" applyFill="1" applyBorder="1"/>
    <xf numFmtId="167" fontId="148" fillId="0" borderId="0" xfId="160" applyFont="1" applyFill="1" applyBorder="1"/>
    <xf numFmtId="167" fontId="6" fillId="0" borderId="0" xfId="160" applyFont="1" applyFill="1" applyBorder="1"/>
    <xf numFmtId="167" fontId="3" fillId="0" borderId="0" xfId="160" applyFont="1" applyFill="1" applyBorder="1"/>
    <xf numFmtId="9" fontId="6" fillId="0" borderId="0" xfId="275" applyNumberFormat="1" applyFont="1" applyFill="1" applyBorder="1"/>
    <xf numFmtId="167" fontId="142" fillId="0" borderId="0" xfId="160" applyNumberFormat="1" applyFont="1" applyFill="1" applyBorder="1"/>
    <xf numFmtId="167" fontId="3" fillId="0" borderId="24" xfId="160" applyNumberFormat="1" applyFont="1" applyFill="1" applyBorder="1"/>
    <xf numFmtId="169" fontId="3" fillId="0" borderId="24" xfId="275" applyNumberFormat="1" applyFont="1" applyFill="1" applyBorder="1" applyAlignment="1">
      <alignment horizontal="right"/>
    </xf>
    <xf numFmtId="3" fontId="3" fillId="0" borderId="24" xfId="160" applyNumberFormat="1" applyFont="1" applyFill="1" applyBorder="1"/>
    <xf numFmtId="3" fontId="3" fillId="0" borderId="24" xfId="275" applyNumberFormat="1" applyFont="1" applyFill="1" applyBorder="1" applyAlignment="1">
      <alignment horizontal="right"/>
    </xf>
    <xf numFmtId="0" fontId="6" fillId="0" borderId="27" xfId="0" applyFont="1" applyBorder="1"/>
    <xf numFmtId="176" fontId="141" fillId="0" borderId="1" xfId="160" applyNumberFormat="1" applyFont="1" applyFill="1" applyBorder="1"/>
    <xf numFmtId="167" fontId="18" fillId="0" borderId="1" xfId="151" applyBorder="1"/>
    <xf numFmtId="167" fontId="148" fillId="0" borderId="27" xfId="151" applyFont="1" applyFill="1" applyBorder="1"/>
    <xf numFmtId="167" fontId="148" fillId="0" borderId="1" xfId="151" applyFont="1" applyFill="1" applyBorder="1"/>
    <xf numFmtId="167" fontId="148" fillId="0" borderId="0" xfId="151" applyFont="1" applyFill="1" applyBorder="1"/>
    <xf numFmtId="167" fontId="148" fillId="0" borderId="27" xfId="160" applyFont="1" applyFill="1" applyBorder="1"/>
    <xf numFmtId="167" fontId="148" fillId="0" borderId="1" xfId="160" applyFont="1" applyFill="1" applyBorder="1"/>
    <xf numFmtId="167" fontId="6" fillId="0" borderId="27" xfId="160" applyFont="1" applyFill="1" applyBorder="1"/>
    <xf numFmtId="167" fontId="6" fillId="0" borderId="1" xfId="160" applyFont="1" applyFill="1" applyBorder="1"/>
    <xf numFmtId="10" fontId="148" fillId="0" borderId="0" xfId="275" applyNumberFormat="1" applyFont="1" applyFill="1" applyBorder="1" applyAlignment="1">
      <alignment horizontal="right"/>
    </xf>
    <xf numFmtId="0" fontId="6" fillId="0" borderId="35" xfId="0" applyFont="1" applyFill="1" applyBorder="1"/>
    <xf numFmtId="167" fontId="148" fillId="0" borderId="28" xfId="151" applyFont="1" applyFill="1" applyBorder="1"/>
    <xf numFmtId="167" fontId="148" fillId="0" borderId="25" xfId="151" applyFont="1" applyFill="1" applyBorder="1"/>
    <xf numFmtId="167" fontId="148" fillId="0" borderId="4" xfId="151" applyFont="1" applyFill="1" applyBorder="1"/>
    <xf numFmtId="167" fontId="148" fillId="0" borderId="4" xfId="160" applyFont="1" applyFill="1" applyBorder="1"/>
    <xf numFmtId="167" fontId="148" fillId="0" borderId="28" xfId="160" applyFont="1" applyFill="1" applyBorder="1"/>
    <xf numFmtId="167" fontId="148" fillId="0" borderId="25" xfId="160" applyFont="1" applyFill="1" applyBorder="1"/>
    <xf numFmtId="167" fontId="6" fillId="0" borderId="4" xfId="160" applyFont="1" applyFill="1" applyBorder="1"/>
    <xf numFmtId="167" fontId="6" fillId="0" borderId="28" xfId="160" applyFont="1" applyFill="1" applyBorder="1"/>
    <xf numFmtId="167" fontId="6" fillId="0" borderId="25" xfId="160" applyFont="1" applyFill="1" applyBorder="1"/>
    <xf numFmtId="3" fontId="6" fillId="0" borderId="28" xfId="0" applyNumberFormat="1" applyFont="1" applyFill="1" applyBorder="1"/>
    <xf numFmtId="3" fontId="6" fillId="0" borderId="25" xfId="0" applyNumberFormat="1" applyFont="1" applyFill="1" applyBorder="1"/>
    <xf numFmtId="3" fontId="6" fillId="0" borderId="4" xfId="0" applyNumberFormat="1" applyFont="1" applyFill="1" applyBorder="1"/>
    <xf numFmtId="0" fontId="160" fillId="0" borderId="4" xfId="373" applyFont="1" applyBorder="1" applyAlignment="1">
      <alignment horizontal="centerContinuous"/>
    </xf>
    <xf numFmtId="0" fontId="16" fillId="0" borderId="4" xfId="373" applyBorder="1" applyAlignment="1">
      <alignment horizontal="centerContinuous"/>
    </xf>
    <xf numFmtId="0" fontId="16" fillId="0" borderId="0" xfId="373"/>
    <xf numFmtId="0" fontId="16" fillId="0" borderId="0" xfId="373" applyFont="1" applyAlignment="1">
      <alignment horizontal="centerContinuous"/>
    </xf>
    <xf numFmtId="0" fontId="16" fillId="0" borderId="0" xfId="373" applyAlignment="1">
      <alignment horizontal="centerContinuous"/>
    </xf>
    <xf numFmtId="0" fontId="13" fillId="0" borderId="0" xfId="373" applyFont="1" applyBorder="1" applyAlignment="1">
      <alignment horizontal="centerContinuous"/>
    </xf>
    <xf numFmtId="0" fontId="13" fillId="0" borderId="4" xfId="373" applyFont="1" applyBorder="1" applyAlignment="1">
      <alignment horizontal="centerContinuous"/>
    </xf>
    <xf numFmtId="0" fontId="13" fillId="0" borderId="0" xfId="373" applyFont="1" applyAlignment="1">
      <alignment horizontal="right"/>
    </xf>
    <xf numFmtId="0" fontId="13" fillId="0" borderId="6" xfId="373" applyFont="1" applyBorder="1" applyAlignment="1">
      <alignment horizontal="right"/>
    </xf>
    <xf numFmtId="0" fontId="13" fillId="0" borderId="4" xfId="373" applyFont="1" applyBorder="1" applyAlignment="1">
      <alignment horizontal="right"/>
    </xf>
    <xf numFmtId="0" fontId="161" fillId="0" borderId="4" xfId="373" applyFont="1" applyBorder="1"/>
    <xf numFmtId="0" fontId="16" fillId="0" borderId="4" xfId="373" applyBorder="1"/>
    <xf numFmtId="0" fontId="13" fillId="0" borderId="4" xfId="373" applyFont="1" applyBorder="1"/>
    <xf numFmtId="0" fontId="13" fillId="0" borderId="0" xfId="373" applyFont="1" applyBorder="1" applyAlignment="1">
      <alignment horizontal="right"/>
    </xf>
    <xf numFmtId="3" fontId="13" fillId="0" borderId="0" xfId="373" applyNumberFormat="1" applyFont="1" applyBorder="1" applyAlignment="1">
      <alignment horizontal="right"/>
    </xf>
    <xf numFmtId="0" fontId="161" fillId="0" borderId="0" xfId="373" applyFont="1" applyBorder="1"/>
    <xf numFmtId="0" fontId="16" fillId="0" borderId="0" xfId="373" applyBorder="1"/>
    <xf numFmtId="0" fontId="13" fillId="0" borderId="0" xfId="373" applyFont="1" applyFill="1"/>
    <xf numFmtId="3" fontId="16" fillId="0" borderId="0" xfId="373" applyNumberFormat="1"/>
    <xf numFmtId="3" fontId="16" fillId="0" borderId="0" xfId="373" applyNumberFormat="1" applyFont="1" applyAlignment="1">
      <alignment horizontal="centerContinuous"/>
    </xf>
    <xf numFmtId="3" fontId="16" fillId="0" borderId="0" xfId="374" applyNumberFormat="1" applyFont="1" applyBorder="1" applyAlignment="1">
      <alignment horizontal="centerContinuous"/>
    </xf>
    <xf numFmtId="3" fontId="16" fillId="0" borderId="0" xfId="373" applyNumberFormat="1" applyAlignment="1">
      <alignment horizontal="centerContinuous"/>
    </xf>
    <xf numFmtId="3" fontId="162" fillId="0" borderId="0" xfId="373" applyNumberFormat="1" applyFont="1" applyAlignment="1">
      <alignment horizontal="centerContinuous"/>
    </xf>
    <xf numFmtId="4" fontId="16" fillId="0" borderId="0" xfId="373" applyNumberFormat="1"/>
    <xf numFmtId="169" fontId="136" fillId="0" borderId="0" xfId="374" applyNumberFormat="1" applyFont="1" applyBorder="1"/>
    <xf numFmtId="9" fontId="16" fillId="0" borderId="0" xfId="374" applyNumberFormat="1" applyFont="1" applyBorder="1"/>
    <xf numFmtId="168" fontId="162" fillId="0" borderId="0" xfId="373" applyNumberFormat="1" applyFont="1"/>
    <xf numFmtId="169" fontId="163" fillId="0" borderId="0" xfId="374" applyNumberFormat="1" applyFont="1" applyBorder="1"/>
    <xf numFmtId="0" fontId="13" fillId="0" borderId="0" xfId="373" applyFont="1"/>
    <xf numFmtId="3" fontId="20" fillId="0" borderId="0" xfId="373" applyNumberFormat="1" applyFont="1"/>
    <xf numFmtId="9" fontId="16" fillId="0" borderId="0" xfId="374" applyNumberFormat="1" applyFont="1" applyBorder="1" applyAlignment="1">
      <alignment horizontal="right"/>
    </xf>
    <xf numFmtId="168" fontId="162" fillId="0" borderId="0" xfId="373" applyNumberFormat="1" applyFont="1" applyAlignment="1">
      <alignment horizontal="right"/>
    </xf>
    <xf numFmtId="3" fontId="163" fillId="0" borderId="0" xfId="373" applyNumberFormat="1" applyFont="1"/>
    <xf numFmtId="9" fontId="16" fillId="0" borderId="0" xfId="374" applyNumberFormat="1" applyFont="1" applyBorder="1" applyAlignment="1">
      <alignment horizontal="centerContinuous"/>
    </xf>
    <xf numFmtId="168" fontId="162" fillId="0" borderId="0" xfId="373" applyNumberFormat="1" applyFont="1" applyAlignment="1">
      <alignment horizontal="centerContinuous"/>
    </xf>
    <xf numFmtId="3" fontId="16" fillId="0" borderId="0" xfId="373" applyNumberFormat="1" applyAlignment="1">
      <alignment horizontal="left"/>
    </xf>
    <xf numFmtId="169" fontId="20" fillId="0" borderId="0" xfId="374" applyNumberFormat="1" applyFont="1" applyBorder="1"/>
    <xf numFmtId="3" fontId="13" fillId="0" borderId="0" xfId="373" applyNumberFormat="1" applyFont="1"/>
    <xf numFmtId="4" fontId="13" fillId="0" borderId="0" xfId="373" applyNumberFormat="1" applyFont="1"/>
    <xf numFmtId="195" fontId="16" fillId="0" borderId="0" xfId="373" applyNumberFormat="1"/>
    <xf numFmtId="0" fontId="13" fillId="0" borderId="0" xfId="373" applyFont="1" applyBorder="1"/>
    <xf numFmtId="0" fontId="163" fillId="0" borderId="0" xfId="373" applyFont="1"/>
    <xf numFmtId="169" fontId="16" fillId="0" borderId="0" xfId="374" applyNumberFormat="1" applyFont="1" applyBorder="1"/>
    <xf numFmtId="168" fontId="13" fillId="0" borderId="0" xfId="373" applyNumberFormat="1" applyFont="1"/>
    <xf numFmtId="0" fontId="16" fillId="0" borderId="0" xfId="373" applyFont="1"/>
    <xf numFmtId="245" fontId="16" fillId="0" borderId="0" xfId="373" applyNumberFormat="1"/>
    <xf numFmtId="4" fontId="13" fillId="0" borderId="47" xfId="373" applyNumberFormat="1" applyFont="1" applyBorder="1"/>
    <xf numFmtId="2" fontId="162" fillId="0" borderId="0" xfId="373" applyNumberFormat="1" applyFont="1"/>
    <xf numFmtId="0" fontId="134" fillId="0" borderId="0" xfId="373" applyFont="1"/>
    <xf numFmtId="169" fontId="164" fillId="0" borderId="0" xfId="374" applyNumberFormat="1" applyFont="1" applyBorder="1"/>
    <xf numFmtId="37" fontId="16" fillId="0" borderId="0" xfId="373" applyNumberFormat="1"/>
    <xf numFmtId="195" fontId="165" fillId="0" borderId="0" xfId="373" applyNumberFormat="1" applyFont="1"/>
    <xf numFmtId="0" fontId="166" fillId="0" borderId="0" xfId="373" applyFont="1"/>
    <xf numFmtId="169" fontId="165" fillId="0" borderId="0" xfId="374" applyNumberFormat="1" applyFont="1" applyBorder="1"/>
    <xf numFmtId="3" fontId="165" fillId="0" borderId="0" xfId="373" applyNumberFormat="1" applyFont="1"/>
    <xf numFmtId="0" fontId="13" fillId="0" borderId="4" xfId="373" applyFont="1" applyBorder="1" applyAlignment="1">
      <alignment horizontal="center"/>
    </xf>
    <xf numFmtId="0" fontId="13" fillId="0" borderId="0" xfId="373" applyFont="1" applyAlignment="1">
      <alignment horizontal="center"/>
    </xf>
    <xf numFmtId="0" fontId="46" fillId="21" borderId="0" xfId="373" applyFont="1" applyFill="1" applyBorder="1"/>
    <xf numFmtId="0" fontId="28" fillId="21" borderId="0" xfId="260" applyFont="1" applyFill="1"/>
    <xf numFmtId="0" fontId="1" fillId="25" borderId="0" xfId="260" applyFill="1" applyAlignment="1">
      <alignment horizontal="right"/>
    </xf>
    <xf numFmtId="0" fontId="44" fillId="21" borderId="0" xfId="260" applyFont="1" applyFill="1"/>
    <xf numFmtId="0" fontId="28" fillId="21" borderId="0" xfId="260" applyFont="1" applyFill="1" applyAlignment="1">
      <alignment horizontal="right"/>
    </xf>
    <xf numFmtId="0" fontId="28" fillId="25" borderId="0" xfId="260" applyFont="1" applyFill="1" applyAlignment="1">
      <alignment horizontal="right"/>
    </xf>
    <xf numFmtId="17" fontId="28" fillId="21" borderId="0" xfId="260" applyNumberFormat="1" applyFont="1" applyFill="1" applyAlignment="1">
      <alignment horizontal="right"/>
    </xf>
    <xf numFmtId="17" fontId="28" fillId="25" borderId="0" xfId="260" applyNumberFormat="1" applyFont="1" applyFill="1" applyAlignment="1">
      <alignment horizontal="right"/>
    </xf>
    <xf numFmtId="0" fontId="3" fillId="0" borderId="7" xfId="260" applyFont="1" applyBorder="1"/>
    <xf numFmtId="0" fontId="1" fillId="0" borderId="39" xfId="260" applyBorder="1"/>
    <xf numFmtId="0" fontId="1" fillId="0" borderId="19" xfId="260" applyBorder="1"/>
    <xf numFmtId="0" fontId="1" fillId="0" borderId="3" xfId="260" applyBorder="1"/>
    <xf numFmtId="0" fontId="1" fillId="0" borderId="27" xfId="260" applyBorder="1"/>
    <xf numFmtId="0" fontId="49" fillId="0" borderId="27" xfId="260" applyFont="1" applyFill="1" applyBorder="1" applyAlignment="1">
      <alignment horizontal="right"/>
    </xf>
    <xf numFmtId="193" fontId="49" fillId="0" borderId="27" xfId="260" applyNumberFormat="1" applyFont="1" applyBorder="1"/>
    <xf numFmtId="193" fontId="49" fillId="0" borderId="0" xfId="260" applyNumberFormat="1" applyFont="1"/>
    <xf numFmtId="41" fontId="1" fillId="0" borderId="27" xfId="260" applyNumberFormat="1" applyBorder="1"/>
    <xf numFmtId="250" fontId="49" fillId="0" borderId="27" xfId="260" applyNumberFormat="1" applyFont="1" applyBorder="1"/>
    <xf numFmtId="250" fontId="49" fillId="0" borderId="0" xfId="260" applyNumberFormat="1" applyFont="1"/>
    <xf numFmtId="0" fontId="172" fillId="0" borderId="0" xfId="373" applyFont="1"/>
    <xf numFmtId="250" fontId="15" fillId="0" borderId="27" xfId="260" applyNumberFormat="1" applyFont="1" applyBorder="1"/>
    <xf numFmtId="250" fontId="15" fillId="0" borderId="0" xfId="260" applyNumberFormat="1" applyFont="1"/>
    <xf numFmtId="193" fontId="15" fillId="0" borderId="27" xfId="260" applyNumberFormat="1" applyFont="1" applyBorder="1"/>
    <xf numFmtId="193" fontId="15" fillId="0" borderId="0" xfId="260" applyNumberFormat="1" applyFont="1"/>
    <xf numFmtId="0" fontId="1" fillId="11" borderId="31" xfId="260" applyFill="1" applyBorder="1"/>
    <xf numFmtId="0" fontId="1" fillId="11" borderId="6" xfId="260" applyFill="1" applyBorder="1"/>
    <xf numFmtId="7" fontId="1" fillId="0" borderId="0" xfId="260" applyNumberFormat="1"/>
    <xf numFmtId="169" fontId="49" fillId="0" borderId="27" xfId="288" applyNumberFormat="1" applyFont="1" applyBorder="1"/>
    <xf numFmtId="0" fontId="1" fillId="0" borderId="35" xfId="260" applyBorder="1"/>
    <xf numFmtId="193" fontId="49" fillId="0" borderId="28" xfId="260" applyNumberFormat="1" applyFont="1" applyBorder="1"/>
    <xf numFmtId="0" fontId="25" fillId="23" borderId="0" xfId="260" applyFont="1" applyFill="1"/>
    <xf numFmtId="0" fontId="51" fillId="23" borderId="0" xfId="260" applyFont="1" applyFill="1"/>
    <xf numFmtId="0" fontId="42" fillId="0" borderId="0" xfId="260" applyFont="1"/>
    <xf numFmtId="41" fontId="42" fillId="0" borderId="0" xfId="260" applyNumberFormat="1" applyFont="1"/>
    <xf numFmtId="193" fontId="47" fillId="0" borderId="0" xfId="260" applyNumberFormat="1" applyFont="1"/>
    <xf numFmtId="193" fontId="42" fillId="0" borderId="0" xfId="260" applyNumberFormat="1" applyFont="1"/>
    <xf numFmtId="41" fontId="1" fillId="0" borderId="0" xfId="260" applyNumberFormat="1" applyBorder="1"/>
    <xf numFmtId="0" fontId="1" fillId="0" borderId="36" xfId="260" applyFill="1" applyBorder="1"/>
    <xf numFmtId="0" fontId="1" fillId="0" borderId="36" xfId="260" applyBorder="1"/>
    <xf numFmtId="41" fontId="42" fillId="0" borderId="36" xfId="260" applyNumberFormat="1" applyFont="1" applyBorder="1"/>
    <xf numFmtId="41" fontId="1" fillId="0" borderId="36" xfId="260" applyNumberFormat="1" applyBorder="1"/>
    <xf numFmtId="41" fontId="42" fillId="27" borderId="0" xfId="260" applyNumberFormat="1" applyFont="1" applyFill="1"/>
    <xf numFmtId="41" fontId="1" fillId="27" borderId="0" xfId="260" applyNumberFormat="1" applyFill="1"/>
    <xf numFmtId="43" fontId="16" fillId="0" borderId="0" xfId="373" applyNumberFormat="1"/>
    <xf numFmtId="0" fontId="1" fillId="0" borderId="0" xfId="260" applyFont="1" applyBorder="1"/>
    <xf numFmtId="41" fontId="1" fillId="0" borderId="27" xfId="260" applyNumberFormat="1" applyFill="1" applyBorder="1"/>
    <xf numFmtId="41" fontId="1" fillId="0" borderId="0" xfId="260" applyNumberFormat="1" applyFill="1"/>
    <xf numFmtId="41" fontId="1" fillId="0" borderId="0" xfId="260" applyNumberFormat="1" applyFont="1"/>
    <xf numFmtId="41" fontId="142" fillId="0" borderId="0" xfId="260" applyNumberFormat="1" applyFont="1"/>
    <xf numFmtId="41" fontId="1" fillId="0" borderId="0" xfId="260" applyNumberFormat="1" applyFill="1" applyBorder="1"/>
    <xf numFmtId="44" fontId="6" fillId="0" borderId="27" xfId="185" applyFont="1" applyFill="1" applyBorder="1"/>
    <xf numFmtId="167" fontId="6" fillId="0" borderId="29" xfId="151" applyNumberFormat="1" applyFont="1" applyFill="1" applyBorder="1"/>
    <xf numFmtId="0" fontId="6" fillId="0" borderId="49" xfId="0" applyFont="1" applyBorder="1"/>
    <xf numFmtId="167" fontId="3" fillId="11" borderId="40" xfId="151" applyNumberFormat="1" applyFont="1" applyFill="1" applyBorder="1"/>
    <xf numFmtId="1" fontId="6" fillId="0" borderId="3" xfId="0" applyNumberFormat="1" applyFont="1" applyFill="1" applyBorder="1"/>
    <xf numFmtId="0" fontId="25" fillId="23" borderId="3" xfId="0" applyFont="1" applyFill="1" applyBorder="1" applyAlignment="1">
      <alignment horizontal="right"/>
    </xf>
    <xf numFmtId="0" fontId="6" fillId="0" borderId="50" xfId="0" applyFont="1" applyBorder="1"/>
    <xf numFmtId="167" fontId="3" fillId="11" borderId="38" xfId="151" applyNumberFormat="1" applyFont="1" applyFill="1" applyBorder="1"/>
    <xf numFmtId="1" fontId="6" fillId="0" borderId="27" xfId="0" applyNumberFormat="1" applyFont="1" applyFill="1" applyBorder="1"/>
    <xf numFmtId="0" fontId="25" fillId="23" borderId="27" xfId="0" applyFont="1" applyFill="1" applyBorder="1" applyAlignment="1">
      <alignment horizontal="right"/>
    </xf>
    <xf numFmtId="1" fontId="6" fillId="0" borderId="0" xfId="0" applyNumberFormat="1" applyFont="1" applyFill="1" applyBorder="1"/>
    <xf numFmtId="167" fontId="3" fillId="11" borderId="51" xfId="151" applyNumberFormat="1" applyFont="1" applyFill="1" applyBorder="1"/>
    <xf numFmtId="0" fontId="25" fillId="23" borderId="7" xfId="0" applyFont="1" applyFill="1" applyBorder="1" applyAlignment="1">
      <alignment horizontal="right"/>
    </xf>
    <xf numFmtId="3" fontId="6" fillId="0" borderId="3" xfId="0" applyNumberFormat="1" applyFont="1" applyFill="1" applyBorder="1"/>
    <xf numFmtId="3" fontId="3" fillId="11" borderId="40" xfId="151" applyNumberFormat="1" applyFont="1" applyFill="1" applyBorder="1"/>
    <xf numFmtId="3" fontId="3" fillId="11" borderId="51" xfId="151" applyNumberFormat="1" applyFont="1" applyFill="1" applyBorder="1"/>
    <xf numFmtId="43" fontId="15" fillId="0" borderId="0" xfId="160" applyNumberFormat="1" applyFont="1" applyFill="1" applyBorder="1"/>
    <xf numFmtId="176" fontId="15" fillId="35" borderId="0" xfId="160" applyNumberFormat="1" applyFont="1" applyFill="1" applyBorder="1"/>
    <xf numFmtId="167" fontId="18" fillId="35" borderId="0" xfId="151" applyFill="1" applyBorder="1"/>
    <xf numFmtId="167" fontId="6" fillId="0" borderId="53" xfId="151" applyNumberFormat="1" applyFont="1" applyFill="1" applyBorder="1"/>
    <xf numFmtId="174" fontId="154" fillId="0" borderId="53" xfId="160" applyNumberFormat="1" applyFont="1" applyFill="1" applyBorder="1"/>
    <xf numFmtId="174" fontId="106" fillId="0" borderId="53" xfId="160" applyNumberFormat="1" applyFont="1" applyFill="1" applyBorder="1"/>
    <xf numFmtId="0" fontId="1" fillId="0" borderId="0" xfId="0" applyFont="1" applyBorder="1"/>
    <xf numFmtId="0" fontId="47" fillId="0" borderId="1" xfId="160" applyNumberFormat="1" applyFont="1" applyFill="1" applyBorder="1"/>
    <xf numFmtId="174" fontId="47" fillId="0" borderId="52" xfId="160" applyNumberFormat="1" applyFont="1" applyFill="1" applyBorder="1"/>
    <xf numFmtId="174" fontId="47" fillId="0" borderId="54" xfId="160" applyNumberFormat="1" applyFont="1" applyFill="1" applyBorder="1"/>
    <xf numFmtId="174" fontId="47" fillId="0" borderId="23" xfId="160" applyNumberFormat="1" applyFont="1" applyFill="1" applyBorder="1"/>
    <xf numFmtId="174" fontId="47" fillId="0" borderId="55" xfId="160" applyNumberFormat="1" applyFont="1" applyFill="1" applyBorder="1"/>
    <xf numFmtId="174" fontId="47" fillId="0" borderId="53" xfId="160" applyNumberFormat="1" applyFont="1" applyFill="1" applyBorder="1"/>
    <xf numFmtId="3" fontId="15" fillId="0" borderId="27" xfId="160" applyNumberFormat="1" applyFont="1" applyFill="1" applyBorder="1"/>
    <xf numFmtId="3" fontId="8" fillId="0" borderId="27" xfId="160" applyNumberFormat="1" applyFont="1" applyFill="1" applyBorder="1"/>
    <xf numFmtId="3" fontId="8" fillId="0" borderId="0" xfId="160" applyNumberFormat="1" applyFont="1" applyFill="1" applyBorder="1"/>
    <xf numFmtId="174" fontId="106" fillId="0" borderId="53" xfId="160" applyNumberFormat="1" applyFont="1" applyFill="1" applyBorder="1" applyAlignment="1">
      <alignment horizontal="right"/>
    </xf>
    <xf numFmtId="3" fontId="47" fillId="0" borderId="0" xfId="160" applyNumberFormat="1" applyFont="1" applyFill="1" applyBorder="1"/>
    <xf numFmtId="3" fontId="15" fillId="0" borderId="0" xfId="160" applyNumberFormat="1" applyFont="1" applyFill="1" applyBorder="1"/>
    <xf numFmtId="174" fontId="8" fillId="0" borderId="0" xfId="160" applyNumberFormat="1" applyFont="1" applyFill="1" applyBorder="1" applyAlignment="1">
      <alignment horizontal="right"/>
    </xf>
    <xf numFmtId="174" fontId="8" fillId="0" borderId="27" xfId="160" applyNumberFormat="1" applyFont="1" applyFill="1" applyBorder="1" applyAlignment="1">
      <alignment horizontal="right"/>
    </xf>
    <xf numFmtId="174" fontId="47" fillId="0" borderId="1" xfId="160" applyNumberFormat="1" applyFont="1" applyFill="1" applyBorder="1" applyAlignment="1">
      <alignment horizontal="right"/>
    </xf>
    <xf numFmtId="174" fontId="8" fillId="0" borderId="1" xfId="160" applyNumberFormat="1" applyFont="1" applyFill="1" applyBorder="1"/>
    <xf numFmtId="174" fontId="8" fillId="0" borderId="1" xfId="160" applyNumberFormat="1" applyFont="1" applyFill="1" applyBorder="1" applyAlignment="1">
      <alignment horizontal="right"/>
    </xf>
    <xf numFmtId="174" fontId="47" fillId="0" borderId="0" xfId="160" applyNumberFormat="1" applyFont="1" applyFill="1" applyBorder="1" applyAlignment="1">
      <alignment horizontal="right"/>
    </xf>
    <xf numFmtId="174" fontId="47" fillId="0" borderId="53" xfId="160" applyNumberFormat="1" applyFont="1" applyFill="1" applyBorder="1" applyAlignment="1">
      <alignment horizontal="right"/>
    </xf>
    <xf numFmtId="174" fontId="8" fillId="0" borderId="53" xfId="160" applyNumberFormat="1" applyFont="1" applyFill="1" applyBorder="1" applyAlignment="1">
      <alignment horizontal="right"/>
    </xf>
    <xf numFmtId="167" fontId="8" fillId="0" borderId="1" xfId="160" applyNumberFormat="1" applyFont="1" applyFill="1" applyBorder="1"/>
    <xf numFmtId="167" fontId="8" fillId="0" borderId="3" xfId="160" applyNumberFormat="1" applyFont="1" applyFill="1" applyBorder="1"/>
    <xf numFmtId="0" fontId="1" fillId="36" borderId="0" xfId="0" applyNumberFormat="1" applyFont="1" applyFill="1" applyAlignment="1"/>
    <xf numFmtId="3" fontId="106" fillId="0" borderId="53" xfId="160" applyNumberFormat="1" applyFont="1" applyFill="1" applyBorder="1"/>
    <xf numFmtId="174" fontId="8" fillId="0" borderId="0" xfId="160" applyNumberFormat="1" applyFont="1" applyFill="1" applyBorder="1"/>
    <xf numFmtId="0" fontId="1" fillId="0" borderId="0" xfId="0" applyFont="1" applyFill="1" applyBorder="1"/>
    <xf numFmtId="167" fontId="34" fillId="0" borderId="1" xfId="160" applyNumberFormat="1" applyFont="1" applyFill="1" applyBorder="1" applyAlignment="1">
      <alignment horizontal="left"/>
    </xf>
    <xf numFmtId="167" fontId="34" fillId="0" borderId="0" xfId="160" applyNumberFormat="1" applyFont="1" applyFill="1" applyBorder="1" applyAlignment="1">
      <alignment horizontal="left"/>
    </xf>
    <xf numFmtId="167" fontId="8" fillId="0" borderId="0" xfId="160" applyNumberFormat="1" applyFont="1" applyFill="1" applyBorder="1"/>
    <xf numFmtId="167" fontId="49" fillId="0" borderId="53" xfId="160" applyNumberFormat="1" applyFont="1" applyFill="1" applyBorder="1"/>
    <xf numFmtId="167" fontId="15" fillId="0" borderId="53" xfId="160" applyNumberFormat="1" applyFont="1" applyFill="1" applyBorder="1"/>
    <xf numFmtId="167" fontId="6" fillId="0" borderId="53" xfId="160" applyNumberFormat="1" applyFont="1" applyFill="1" applyBorder="1"/>
    <xf numFmtId="169" fontId="6" fillId="0" borderId="53" xfId="275" applyNumberFormat="1" applyFont="1" applyFill="1" applyBorder="1" applyAlignment="1">
      <alignment horizontal="right"/>
    </xf>
    <xf numFmtId="167" fontId="8" fillId="0" borderId="53" xfId="160" applyNumberFormat="1" applyFont="1" applyFill="1" applyBorder="1"/>
    <xf numFmtId="3" fontId="6" fillId="0" borderId="0" xfId="160" applyNumberFormat="1" applyFont="1" applyFill="1" applyBorder="1"/>
    <xf numFmtId="167" fontId="15" fillId="8" borderId="25" xfId="151" applyNumberFormat="1" applyFont="1" applyFill="1" applyBorder="1"/>
    <xf numFmtId="167" fontId="30" fillId="0" borderId="4" xfId="151" applyNumberFormat="1" applyFont="1" applyFill="1" applyBorder="1"/>
    <xf numFmtId="167" fontId="30" fillId="0" borderId="28" xfId="151" applyNumberFormat="1" applyFont="1" applyFill="1" applyBorder="1"/>
    <xf numFmtId="167" fontId="30" fillId="8" borderId="25" xfId="151" applyNumberFormat="1" applyFont="1" applyFill="1" applyBorder="1"/>
    <xf numFmtId="167" fontId="49" fillId="35" borderId="0" xfId="160" applyNumberFormat="1" applyFont="1" applyFill="1" applyBorder="1"/>
    <xf numFmtId="167" fontId="7" fillId="35" borderId="0" xfId="180" applyNumberFormat="1" applyFont="1" applyFill="1"/>
    <xf numFmtId="167" fontId="7" fillId="35" borderId="0" xfId="179" applyNumberFormat="1" applyFont="1" applyFill="1"/>
    <xf numFmtId="41" fontId="2" fillId="35" borderId="0" xfId="179" applyNumberFormat="1" applyFont="1" applyFill="1"/>
    <xf numFmtId="167" fontId="15" fillId="36" borderId="1" xfId="160" applyNumberFormat="1" applyFont="1" applyFill="1" applyBorder="1"/>
    <xf numFmtId="176" fontId="8" fillId="0" borderId="0" xfId="160" applyNumberFormat="1" applyFont="1" applyFill="1" applyBorder="1"/>
    <xf numFmtId="0" fontId="1" fillId="0" borderId="4" xfId="0" applyFont="1" applyBorder="1"/>
    <xf numFmtId="167" fontId="143" fillId="0" borderId="3" xfId="151" applyNumberFormat="1" applyFont="1" applyFill="1" applyBorder="1"/>
    <xf numFmtId="167" fontId="6" fillId="0" borderId="19" xfId="151" applyNumberFormat="1" applyFont="1" applyFill="1" applyBorder="1"/>
    <xf numFmtId="167" fontId="143" fillId="0" borderId="19" xfId="151" applyNumberFormat="1" applyFont="1" applyFill="1" applyBorder="1"/>
    <xf numFmtId="167" fontId="6" fillId="35" borderId="0" xfId="151" applyNumberFormat="1" applyFont="1" applyFill="1" applyBorder="1"/>
    <xf numFmtId="167" fontId="6" fillId="35" borderId="27" xfId="151" applyNumberFormat="1" applyFont="1" applyFill="1" applyBorder="1"/>
    <xf numFmtId="176" fontId="15" fillId="0" borderId="0" xfId="160" applyNumberFormat="1" applyFont="1" applyFill="1" applyBorder="1" applyAlignment="1">
      <alignment horizontal="centerContinuous"/>
    </xf>
    <xf numFmtId="167" fontId="8" fillId="0" borderId="0" xfId="151" applyNumberFormat="1" applyFont="1" applyFill="1" applyBorder="1"/>
    <xf numFmtId="44" fontId="6" fillId="35" borderId="1" xfId="185" applyFont="1" applyFill="1" applyBorder="1"/>
    <xf numFmtId="169" fontId="1" fillId="0" borderId="0" xfId="275" applyFont="1" applyFill="1" applyBorder="1"/>
    <xf numFmtId="251" fontId="1" fillId="11" borderId="30" xfId="260" applyNumberFormat="1" applyFill="1" applyBorder="1"/>
    <xf numFmtId="43" fontId="6" fillId="0" borderId="1" xfId="160" applyNumberFormat="1" applyFont="1" applyFill="1" applyBorder="1"/>
    <xf numFmtId="0" fontId="1" fillId="0" borderId="0" xfId="0" applyFont="1" applyFill="1" applyBorder="1" applyAlignment="1">
      <alignment horizontal="left" indent="1"/>
    </xf>
    <xf numFmtId="0" fontId="135" fillId="0" borderId="0" xfId="373" applyFont="1"/>
    <xf numFmtId="9" fontId="135" fillId="0" borderId="0" xfId="275" applyNumberFormat="1" applyFont="1" applyBorder="1"/>
    <xf numFmtId="9" fontId="173" fillId="0" borderId="0" xfId="275" applyNumberFormat="1" applyFont="1" applyBorder="1"/>
    <xf numFmtId="3" fontId="13" fillId="0" borderId="47" xfId="373" applyNumberFormat="1" applyFont="1" applyBorder="1"/>
    <xf numFmtId="167" fontId="16" fillId="0" borderId="29" xfId="162" applyNumberFormat="1" applyFont="1" applyFill="1" applyBorder="1"/>
    <xf numFmtId="167" fontId="15" fillId="8" borderId="35" xfId="151" applyNumberFormat="1" applyFont="1" applyFill="1" applyBorder="1"/>
    <xf numFmtId="174" fontId="144" fillId="0" borderId="1" xfId="160" applyNumberFormat="1" applyFont="1" applyFill="1" applyBorder="1"/>
    <xf numFmtId="167" fontId="150" fillId="0" borderId="1" xfId="160" applyNumberFormat="1" applyFont="1" applyFill="1" applyBorder="1" applyAlignment="1">
      <alignment horizontal="right"/>
    </xf>
    <xf numFmtId="167" fontId="150" fillId="0" borderId="3" xfId="160" applyNumberFormat="1" applyFont="1" applyFill="1" applyBorder="1" applyAlignment="1">
      <alignment horizontal="right"/>
    </xf>
    <xf numFmtId="3" fontId="144" fillId="0" borderId="1" xfId="275" applyNumberFormat="1" applyFont="1" applyFill="1" applyBorder="1"/>
    <xf numFmtId="3" fontId="144" fillId="0" borderId="3" xfId="275" applyNumberFormat="1" applyFont="1" applyFill="1" applyBorder="1"/>
    <xf numFmtId="3" fontId="51" fillId="0" borderId="1" xfId="275" applyNumberFormat="1" applyFont="1" applyFill="1" applyBorder="1" applyAlignment="1">
      <alignment horizontal="right"/>
    </xf>
    <xf numFmtId="3" fontId="6" fillId="0" borderId="0" xfId="275" applyNumberFormat="1" applyFont="1" applyFill="1" applyBorder="1"/>
    <xf numFmtId="43" fontId="6" fillId="0" borderId="0" xfId="160" applyNumberFormat="1" applyFont="1" applyFill="1" applyBorder="1"/>
    <xf numFmtId="0" fontId="174" fillId="21" borderId="0" xfId="0" applyFont="1" applyFill="1" applyBorder="1"/>
    <xf numFmtId="0" fontId="151" fillId="21" borderId="0" xfId="263" applyFont="1" applyFill="1" applyBorder="1"/>
    <xf numFmtId="0" fontId="156" fillId="21" borderId="0" xfId="263" applyFont="1" applyFill="1" applyBorder="1"/>
    <xf numFmtId="0" fontId="156" fillId="0" borderId="0" xfId="0" applyFont="1" applyFill="1" applyBorder="1" applyAlignment="1">
      <alignment horizontal="left"/>
    </xf>
    <xf numFmtId="0" fontId="151" fillId="23" borderId="0" xfId="0" applyFont="1" applyFill="1" applyBorder="1"/>
    <xf numFmtId="0" fontId="156" fillId="0" borderId="4" xfId="0" applyFont="1" applyFill="1" applyBorder="1" applyAlignment="1">
      <alignment horizontal="left"/>
    </xf>
    <xf numFmtId="0" fontId="175" fillId="0" borderId="0" xfId="0" applyFont="1" applyFill="1" applyBorder="1" applyAlignment="1">
      <alignment horizontal="left"/>
    </xf>
    <xf numFmtId="0" fontId="156" fillId="0" borderId="0" xfId="0" applyFont="1" applyBorder="1"/>
    <xf numFmtId="0" fontId="176" fillId="21" borderId="0" xfId="263" applyFont="1" applyFill="1" applyBorder="1"/>
    <xf numFmtId="0" fontId="176" fillId="21" borderId="0" xfId="0" applyFont="1" applyFill="1" applyBorder="1" applyAlignment="1">
      <alignment horizontal="left"/>
    </xf>
    <xf numFmtId="0" fontId="146" fillId="26" borderId="0" xfId="0" applyFont="1" applyFill="1" applyAlignment="1">
      <alignment vertical="top"/>
    </xf>
    <xf numFmtId="0" fontId="147" fillId="26" borderId="0" xfId="0" applyFont="1" applyFill="1" applyAlignment="1">
      <alignment vertical="top"/>
    </xf>
    <xf numFmtId="0" fontId="0" fillId="26" borderId="0" xfId="0" applyFill="1" applyAlignment="1">
      <alignment vertical="top"/>
    </xf>
    <xf numFmtId="0" fontId="0" fillId="26" borderId="42" xfId="0" applyFill="1" applyBorder="1" applyAlignment="1">
      <alignment vertical="top"/>
    </xf>
    <xf numFmtId="0" fontId="0" fillId="26" borderId="43" xfId="0" applyFill="1" applyBorder="1" applyAlignment="1">
      <alignment vertical="top"/>
    </xf>
    <xf numFmtId="0" fontId="146" fillId="26" borderId="0" xfId="0" applyFont="1" applyFill="1" applyAlignment="1">
      <alignment vertical="top"/>
    </xf>
    <xf numFmtId="0" fontId="146" fillId="26" borderId="44" xfId="0" applyFont="1" applyFill="1" applyBorder="1" applyAlignment="1">
      <alignment vertical="top"/>
    </xf>
    <xf numFmtId="0" fontId="146" fillId="26" borderId="45" xfId="0" applyFont="1" applyFill="1" applyBorder="1" applyAlignment="1">
      <alignment vertical="top"/>
    </xf>
    <xf numFmtId="0" fontId="146" fillId="26" borderId="46" xfId="0" applyFont="1" applyFill="1" applyBorder="1" applyAlignment="1">
      <alignment vertical="top"/>
    </xf>
    <xf numFmtId="0" fontId="147" fillId="26" borderId="0" xfId="0" applyFont="1" applyFill="1" applyAlignment="1">
      <alignment vertical="top"/>
    </xf>
    <xf numFmtId="0" fontId="0" fillId="26" borderId="0" xfId="0" applyFill="1" applyAlignment="1">
      <alignment vertical="top"/>
    </xf>
    <xf numFmtId="0" fontId="1" fillId="0" borderId="0" xfId="242"/>
    <xf numFmtId="0" fontId="1" fillId="26" borderId="0" xfId="255" applyFont="1" applyFill="1" applyAlignment="1">
      <alignment vertical="top"/>
    </xf>
    <xf numFmtId="0" fontId="1" fillId="26" borderId="0" xfId="242" applyFont="1" applyFill="1" applyAlignment="1">
      <alignment vertical="top"/>
    </xf>
    <xf numFmtId="2" fontId="1" fillId="0" borderId="0" xfId="242" applyNumberFormat="1" applyAlignment="1">
      <alignment horizontal="left"/>
    </xf>
    <xf numFmtId="0" fontId="1" fillId="0" borderId="0" xfId="242" applyNumberFormat="1" applyAlignment="1">
      <alignment horizontal="left"/>
    </xf>
    <xf numFmtId="1" fontId="1" fillId="0" borderId="0" xfId="242" applyNumberFormat="1" applyAlignment="1">
      <alignment horizontal="left"/>
    </xf>
    <xf numFmtId="0" fontId="1" fillId="0" borderId="0" xfId="242" applyFont="1"/>
    <xf numFmtId="231" fontId="1" fillId="0" borderId="0" xfId="242" applyNumberFormat="1" applyAlignment="1">
      <alignment horizontal="left"/>
    </xf>
    <xf numFmtId="49" fontId="1" fillId="0" borderId="0" xfId="242" applyNumberFormat="1"/>
  </cellXfs>
  <cellStyles count="416">
    <cellStyle name="-" xfId="1"/>
    <cellStyle name="_x000a_386grabber=M" xfId="2"/>
    <cellStyle name="_x000a_386grabber=M 2" xfId="3"/>
    <cellStyle name="_x000a_386grabber=M 2 2" xfId="4"/>
    <cellStyle name="_x000a_386grabber=M 2 2 2" xfId="5"/>
    <cellStyle name="_x000a_386grabber=M 3" xfId="6"/>
    <cellStyle name="_x000a_386grabber=M 4" xfId="7"/>
    <cellStyle name="_x000a_shell=progma" xfId="8"/>
    <cellStyle name="$ 1 decimal" xfId="9"/>
    <cellStyle name="%" xfId="10"/>
    <cellStyle name="% 2" xfId="11"/>
    <cellStyle name="%_OKSmdl" xfId="12"/>
    <cellStyle name="******************************************" xfId="13"/>
    <cellStyle name="_AN Model" xfId="14"/>
    <cellStyle name="_Audi-inc(1)" xfId="15"/>
    <cellStyle name="_BS " xfId="16"/>
    <cellStyle name="_Copy of AXL Model" xfId="375"/>
    <cellStyle name="_DCF " xfId="17"/>
    <cellStyle name="_DCF Valuation" xfId="376"/>
    <cellStyle name="_DTG Model" xfId="18"/>
    <cellStyle name="_Earnings Variance" xfId="377"/>
    <cellStyle name="_EPmdl" xfId="19"/>
    <cellStyle name="_Financial Model" xfId="20"/>
    <cellStyle name="_GT Model 3Q" xfId="21"/>
    <cellStyle name="_HOG.N_Pension Analyzer" xfId="378"/>
    <cellStyle name="_HTZ Model" xfId="22"/>
    <cellStyle name="_JCI_Model_Final" xfId="379"/>
    <cellStyle name="_NKAmdl" xfId="23"/>
    <cellStyle name="_PensionT(1)" xfId="24"/>
    <cellStyle name="_Qtr Model" xfId="380"/>
    <cellStyle name="_RRC Model PUB" xfId="25"/>
    <cellStyle name="_RRS1" xfId="26"/>
    <cellStyle name="_RRS1 2" xfId="381"/>
    <cellStyle name="_RRS1_1" xfId="27"/>
    <cellStyle name="_RRS1_AN Model" xfId="28"/>
    <cellStyle name="_RRS10" xfId="29"/>
    <cellStyle name="_RRS10 2" xfId="382"/>
    <cellStyle name="_RRS12" xfId="30"/>
    <cellStyle name="_RRS13" xfId="31"/>
    <cellStyle name="_RRS15" xfId="32"/>
    <cellStyle name="_RRS16" xfId="33"/>
    <cellStyle name="_RRS2" xfId="34"/>
    <cellStyle name="_RRS22" xfId="35"/>
    <cellStyle name="_RRS24" xfId="36"/>
    <cellStyle name="_RRS28" xfId="37"/>
    <cellStyle name="_RRS30" xfId="38"/>
    <cellStyle name="_RRS31" xfId="383"/>
    <cellStyle name="_RRS33" xfId="39"/>
    <cellStyle name="_RRS36" xfId="40"/>
    <cellStyle name="_RRS37" xfId="41"/>
    <cellStyle name="_RRS4" xfId="42"/>
    <cellStyle name="_RRS42" xfId="43"/>
    <cellStyle name="_RRS45" xfId="44"/>
    <cellStyle name="_RRS48" xfId="45"/>
    <cellStyle name="_RRS49" xfId="46"/>
    <cellStyle name="_RRS5" xfId="47"/>
    <cellStyle name="_RRS50" xfId="48"/>
    <cellStyle name="_RRS52" xfId="49"/>
    <cellStyle name="_RRS54" xfId="50"/>
    <cellStyle name="_RRS55" xfId="51"/>
    <cellStyle name="_RRS58" xfId="52"/>
    <cellStyle name="_RRS6" xfId="53"/>
    <cellStyle name="_RRS7" xfId="54"/>
    <cellStyle name="_RRS70" xfId="55"/>
    <cellStyle name="_RRS73" xfId="56"/>
    <cellStyle name="_RRS76" xfId="57"/>
    <cellStyle name="_RRS8" xfId="58"/>
    <cellStyle name="_RRS88" xfId="59"/>
    <cellStyle name="_RRS91" xfId="60"/>
    <cellStyle name="_RRS94" xfId="61"/>
    <cellStyle name="_SEmdl" xfId="62"/>
    <cellStyle name="_SUMMARY " xfId="63"/>
    <cellStyle name="_SUMMARY  2" xfId="64"/>
    <cellStyle name="_SUMMARY _OKSmdl" xfId="65"/>
    <cellStyle name="_SUMMARY _RRST1" xfId="66"/>
    <cellStyle name="_SUMMARY _RRST4" xfId="67"/>
    <cellStyle name="_SUMMARY _RRST7" xfId="68"/>
    <cellStyle name="_TEN_Model" xfId="384"/>
    <cellStyle name="_UPL Model Pub" xfId="69"/>
    <cellStyle name="_ZIP_Model" xfId="70"/>
    <cellStyle name="’Ê‰Ý [0.00]_GE 3 MINIMUM" xfId="71"/>
    <cellStyle name="’Ê‰Ý_GE 3 MINIMUM" xfId="72"/>
    <cellStyle name="£ BP" xfId="73"/>
    <cellStyle name="¥ JY" xfId="74"/>
    <cellStyle name="=C:\WINNT35\SYSTEM32\COMMAND.COM" xfId="75"/>
    <cellStyle name="=C:\WINNT35\SYSTEM32\COMMAND.COM 2" xfId="76"/>
    <cellStyle name="•W€_Comparables" xfId="77"/>
    <cellStyle name="•W_GE 3 MINIMUM" xfId="78"/>
    <cellStyle name="0" xfId="79"/>
    <cellStyle name="0%" xfId="80"/>
    <cellStyle name="0.0" xfId="81"/>
    <cellStyle name="0.0%" xfId="82"/>
    <cellStyle name="0.0_Diageo FRS 17 and Capacity" xfId="83"/>
    <cellStyle name="0.00" xfId="84"/>
    <cellStyle name="0.00%" xfId="85"/>
    <cellStyle name="0_Capex &amp; Depreciation " xfId="86"/>
    <cellStyle name="0_Capex &amp; Depreciation _ATLSmdl" xfId="87"/>
    <cellStyle name="0_Capex &amp; Depreciation _OKSmdl" xfId="88"/>
    <cellStyle name="0_Capex &amp; Depreciation _RRST1" xfId="89"/>
    <cellStyle name="0_Capex &amp; Depreciation _RRST13" xfId="90"/>
    <cellStyle name="0_Capex &amp; Depreciation _RRST16" xfId="91"/>
    <cellStyle name="0_Capex &amp; Depreciation _RRST22" xfId="92"/>
    <cellStyle name="0_Capex &amp; Depreciation _RRST25" xfId="93"/>
    <cellStyle name="0_Capex &amp; Depreciation _RRST3" xfId="94"/>
    <cellStyle name="0_Capex &amp; Depreciation _RRST4" xfId="95"/>
    <cellStyle name="0_Capex &amp; Depreciation _RRST7" xfId="96"/>
    <cellStyle name="0_Capex &amp; Depreciation _RRST9" xfId="97"/>
    <cellStyle name="0_OMV EP 2000-2015 Consolidated " xfId="98"/>
    <cellStyle name="0_OMV EP 2000-2015 Consolidated _ATLSmdl" xfId="99"/>
    <cellStyle name="0_Valuing BP " xfId="100"/>
    <cellStyle name="0_Valuing BP _ATLSmdl" xfId="101"/>
    <cellStyle name="0_Valuing BP _OKSmdl" xfId="102"/>
    <cellStyle name="0_Valuing BP _RRST1" xfId="103"/>
    <cellStyle name="0_Valuing BP _RRST13" xfId="104"/>
    <cellStyle name="0_Valuing BP _RRST16" xfId="105"/>
    <cellStyle name="0_Valuing BP _RRST22" xfId="106"/>
    <cellStyle name="0_Valuing BP _RRST25" xfId="107"/>
    <cellStyle name="0_Valuing BP _RRST3" xfId="108"/>
    <cellStyle name="0_Valuing BP _RRST4" xfId="109"/>
    <cellStyle name="0_Valuing BP _RRST7" xfId="110"/>
    <cellStyle name="0_Valuing BP _RRST9" xfId="111"/>
    <cellStyle name="1,comma" xfId="112"/>
    <cellStyle name="752131" xfId="113"/>
    <cellStyle name="A%" xfId="114"/>
    <cellStyle name="Acctg" xfId="115"/>
    <cellStyle name="Acinput" xfId="116"/>
    <cellStyle name="Acinput,," xfId="117"/>
    <cellStyle name="Acoutput" xfId="118"/>
    <cellStyle name="Acoutput,," xfId="119"/>
    <cellStyle name="Acoutput_CAScomps02" xfId="120"/>
    <cellStyle name="Actual Date" xfId="121"/>
    <cellStyle name="AFE" xfId="122"/>
    <cellStyle name="ales" xfId="123"/>
    <cellStyle name="Apershare" xfId="124"/>
    <cellStyle name="Aprice" xfId="125"/>
    <cellStyle name="AttributeFloatStyle" xfId="385"/>
    <cellStyle name="Band 2" xfId="126"/>
    <cellStyle name="Blue" xfId="127"/>
    <cellStyle name="Bold/Border" xfId="128"/>
    <cellStyle name="Border" xfId="386"/>
    <cellStyle name="Bullet" xfId="129"/>
    <cellStyle name="c_HardInc" xfId="130"/>
    <cellStyle name="c_HardInc " xfId="131"/>
    <cellStyle name="c_HardInc _ATLSmdl" xfId="132"/>
    <cellStyle name="c_HardInc _OKSmdl" xfId="133"/>
    <cellStyle name="c_HardInc _RRST1" xfId="134"/>
    <cellStyle name="c_HardInc _RRST13" xfId="135"/>
    <cellStyle name="c_HardInc _RRST16" xfId="136"/>
    <cellStyle name="c_HardInc _RRST22" xfId="137"/>
    <cellStyle name="c_HardInc _RRST25" xfId="138"/>
    <cellStyle name="c_HardInc _RRST3" xfId="139"/>
    <cellStyle name="c_HardInc _RRST4" xfId="140"/>
    <cellStyle name="c_HardInc _RRST7" xfId="141"/>
    <cellStyle name="c_HardInc _RRST9" xfId="142"/>
    <cellStyle name="C05_Style E Text" xfId="143"/>
    <cellStyle name="Cents" xfId="144"/>
    <cellStyle name="Changeable" xfId="145"/>
    <cellStyle name="Check" xfId="146"/>
    <cellStyle name="Colhead_left" xfId="147"/>
    <cellStyle name="ColHeading" xfId="148"/>
    <cellStyle name="ColumnHeadings" xfId="149"/>
    <cellStyle name="ColumnHeadings2" xfId="150"/>
    <cellStyle name="Comma" xfId="151" builtinId="3"/>
    <cellStyle name="Comma  - Style1" xfId="152"/>
    <cellStyle name="Comma  - Style2" xfId="153"/>
    <cellStyle name="Comma  - Style3" xfId="154"/>
    <cellStyle name="Comma  - Style4" xfId="155"/>
    <cellStyle name="Comma  - Style5" xfId="156"/>
    <cellStyle name="Comma  - Style6" xfId="157"/>
    <cellStyle name="Comma  - Style7" xfId="158"/>
    <cellStyle name="Comma  - Style8" xfId="159"/>
    <cellStyle name="Comma 10" xfId="160"/>
    <cellStyle name="Comma 11" xfId="161"/>
    <cellStyle name="Comma 12" xfId="162"/>
    <cellStyle name="Comma 13" xfId="163"/>
    <cellStyle name="Comma 14" xfId="164"/>
    <cellStyle name="Comma 2" xfId="165"/>
    <cellStyle name="Comma 2 2" xfId="166"/>
    <cellStyle name="Comma 2 3" xfId="167"/>
    <cellStyle name="Comma 3" xfId="168"/>
    <cellStyle name="Comma 3 2" xfId="169"/>
    <cellStyle name="Comma 4" xfId="170"/>
    <cellStyle name="Comma 4 2" xfId="171"/>
    <cellStyle name="Comma 5" xfId="172"/>
    <cellStyle name="Comma 6" xfId="173"/>
    <cellStyle name="Comma 7" xfId="174"/>
    <cellStyle name="Comma 8" xfId="175"/>
    <cellStyle name="Comma 9" xfId="176"/>
    <cellStyle name="Comma_DT Pensions Module Europe FAS87 2" xfId="177"/>
    <cellStyle name="Comma_Ford Pensions Template" xfId="178"/>
    <cellStyle name="Comma_Pension Module for US and Non-US Plans 2" xfId="179"/>
    <cellStyle name="Comma_Pensions Module Europe FAS87 2" xfId="180"/>
    <cellStyle name="Comment" xfId="181"/>
    <cellStyle name="Company" xfId="182"/>
    <cellStyle name="CompanyName" xfId="183"/>
    <cellStyle name="CurRatio" xfId="184"/>
    <cellStyle name="Currency" xfId="185" builtinId="4"/>
    <cellStyle name="Currency 2" xfId="186"/>
    <cellStyle name="Currency 2 2" xfId="187"/>
    <cellStyle name="Currency 3" xfId="188"/>
    <cellStyle name="Currency 4" xfId="189"/>
    <cellStyle name="Currency 5" xfId="190"/>
    <cellStyle name="Currency 6" xfId="191"/>
    <cellStyle name="Currency 7" xfId="192"/>
    <cellStyle name="Currency 8" xfId="415"/>
    <cellStyle name="Currency0" xfId="193"/>
    <cellStyle name="Currency2" xfId="194"/>
    <cellStyle name="CUS.Work.Area" xfId="195"/>
    <cellStyle name="Dash" xfId="196"/>
    <cellStyle name="Data" xfId="197"/>
    <cellStyle name="DataPercentStyle" xfId="387"/>
    <cellStyle name="DataStyle" xfId="388"/>
    <cellStyle name="Date" xfId="198"/>
    <cellStyle name="Date2" xfId="199"/>
    <cellStyle name="DateTime" xfId="200"/>
    <cellStyle name="Decimal" xfId="201"/>
    <cellStyle name="decimal 1" xfId="202"/>
    <cellStyle name="Dollar" xfId="203"/>
    <cellStyle name="Dollars" xfId="204"/>
    <cellStyle name="Euro" xfId="389"/>
    <cellStyle name="Fail" xfId="205"/>
    <cellStyle name="FieldName" xfId="206"/>
    <cellStyle name="FiscalPeriod" xfId="207"/>
    <cellStyle name="Fixed" xfId="208"/>
    <cellStyle name="FooterStyle" xfId="390"/>
    <cellStyle name="Footnote" xfId="209"/>
    <cellStyle name="Footnote8ital" xfId="391"/>
    <cellStyle name="G02 Table Text" xfId="210"/>
    <cellStyle name="G04_Main head" xfId="211"/>
    <cellStyle name="G05 Tab Head Bold" xfId="212"/>
    <cellStyle name="G05 Tab Head Light" xfId="213"/>
    <cellStyle name="Green" xfId="214"/>
    <cellStyle name="Grey" xfId="215"/>
    <cellStyle name="hard no" xfId="216"/>
    <cellStyle name="hardno" xfId="217"/>
    <cellStyle name="HEADER" xfId="218"/>
    <cellStyle name="Header1" xfId="219"/>
    <cellStyle name="Header2" xfId="220"/>
    <cellStyle name="HeaderStyle" xfId="392"/>
    <cellStyle name="Heading1" xfId="221"/>
    <cellStyle name="Heading11Bold" xfId="393"/>
    <cellStyle name="Heading12Bold" xfId="394"/>
    <cellStyle name="Heading2" xfId="222"/>
    <cellStyle name="Hidden" xfId="223"/>
    <cellStyle name="High" xfId="395"/>
    <cellStyle name="HIGHLIGHT" xfId="224"/>
    <cellStyle name="Input [yellow]" xfId="225"/>
    <cellStyle name="Input 2" xfId="396"/>
    <cellStyle name="InputBlueFont" xfId="226"/>
    <cellStyle name="InputKeepColour" xfId="227"/>
    <cellStyle name="InputVariColour" xfId="228"/>
    <cellStyle name="Integer" xfId="229"/>
    <cellStyle name="Italic" xfId="397"/>
    <cellStyle name="Item" xfId="230"/>
    <cellStyle name="ItemTypeClass" xfId="231"/>
    <cellStyle name="KP_Normal" xfId="232"/>
    <cellStyle name="MetricLabel" xfId="233"/>
    <cellStyle name="MetricLabelBlue" xfId="234"/>
    <cellStyle name="MetricValue" xfId="235"/>
    <cellStyle name="MonthYears" xfId="236"/>
    <cellStyle name="Nil" xfId="237"/>
    <cellStyle name="no dec" xfId="238"/>
    <cellStyle name="No.s to 1dp" xfId="398"/>
    <cellStyle name="NonPrintingArea" xfId="239"/>
    <cellStyle name="Normal" xfId="0" builtinId="0"/>
    <cellStyle name="Normal - Style1" xfId="240"/>
    <cellStyle name="Normal 10" xfId="413"/>
    <cellStyle name="Normal 112 3" xfId="241"/>
    <cellStyle name="Normal 2" xfId="242"/>
    <cellStyle name="Normal 2 2" xfId="243"/>
    <cellStyle name="Normal 3" xfId="244"/>
    <cellStyle name="Normal 3 2" xfId="399"/>
    <cellStyle name="Normal 4" xfId="245"/>
    <cellStyle name="Normal 4 2" xfId="373"/>
    <cellStyle name="Normal 5" xfId="246"/>
    <cellStyle name="Normal 6" xfId="247"/>
    <cellStyle name="Normal 6 2" xfId="248"/>
    <cellStyle name="Normal 7" xfId="249"/>
    <cellStyle name="Normal 7 2" xfId="250"/>
    <cellStyle name="Normal 8" xfId="251"/>
    <cellStyle name="Normal 9" xfId="252"/>
    <cellStyle name="Normal Bold" xfId="253"/>
    <cellStyle name="Normal_Deficits2" xfId="254"/>
    <cellStyle name="Normal_DisclaimerSheet Samples" xfId="255"/>
    <cellStyle name="Normal_Ford Pensions Template" xfId="256"/>
    <cellStyle name="Normal_GEOG" xfId="257"/>
    <cellStyle name="Normal_GM Pension Model 2" xfId="258"/>
    <cellStyle name="Normal_GM Ptax Walk" xfId="259"/>
    <cellStyle name="Normal_JCI_Model_Final" xfId="260"/>
    <cellStyle name="Normal_Pension Module FRS 17 2" xfId="261"/>
    <cellStyle name="Normal_Pensions US GAAP 120905 (2) 2" xfId="262"/>
    <cellStyle name="Normal_Qtr Model" xfId="263"/>
    <cellStyle name="Normal_US Pension Module 2" xfId="264"/>
    <cellStyle name="Normal_UTX pension Model  2" xfId="265"/>
    <cellStyle name="Normal10pt" xfId="400"/>
    <cellStyle name="Normal9pt" xfId="401"/>
    <cellStyle name="Normal-Blue" xfId="266"/>
    <cellStyle name="Normalny_Ferrum . Valuation . CA IB . 8" xfId="267"/>
    <cellStyle name="number" xfId="268"/>
    <cellStyle name="Œ…‹æØ‚è [0.00]_GE 3 MINIMUM" xfId="269"/>
    <cellStyle name="Œ…‹æØ‚è_GE 3 MINIMUM" xfId="270"/>
    <cellStyle name="outh America" xfId="271"/>
    <cellStyle name="p " xfId="272"/>
    <cellStyle name="Pass" xfId="273"/>
    <cellStyle name="pb_table_format_bottomonly" xfId="274"/>
    <cellStyle name="Percent" xfId="275" builtinId="5"/>
    <cellStyle name="Percent [2]" xfId="276"/>
    <cellStyle name="Percent 2" xfId="277"/>
    <cellStyle name="Percent 2 2" xfId="278"/>
    <cellStyle name="Percent 2 3" xfId="279"/>
    <cellStyle name="Percent 2 4" xfId="280"/>
    <cellStyle name="Percent 3" xfId="281"/>
    <cellStyle name="Percent 3 2" xfId="282"/>
    <cellStyle name="Percent 4" xfId="283"/>
    <cellStyle name="Percent 4 2" xfId="374"/>
    <cellStyle name="Percent 5" xfId="284"/>
    <cellStyle name="Percent 5 2" xfId="285"/>
    <cellStyle name="Percent 6" xfId="286"/>
    <cellStyle name="Percent 7" xfId="287"/>
    <cellStyle name="Percent_JCI_Model_Final" xfId="288"/>
    <cellStyle name="PercentChange" xfId="289"/>
    <cellStyle name="Price" xfId="402"/>
    <cellStyle name="ProtectedDates" xfId="290"/>
    <cellStyle name="Ratio" xfId="291"/>
    <cellStyle name="RatioX" xfId="292"/>
    <cellStyle name="RED" xfId="293"/>
    <cellStyle name="Restruct" xfId="294"/>
    <cellStyle name="Right" xfId="295"/>
    <cellStyle name="RRSInstruction" xfId="296"/>
    <cellStyle name="RRSInstruction 2" xfId="297"/>
    <cellStyle name="RRSInstruction 3" xfId="414"/>
    <cellStyle name="s_HardInc " xfId="298"/>
    <cellStyle name="s_HardInc _ATLSmdl" xfId="299"/>
    <cellStyle name="s_HardInc _OKSmdl" xfId="300"/>
    <cellStyle name="s_HardInc _RRST1" xfId="301"/>
    <cellStyle name="s_HardInc _RRST13" xfId="302"/>
    <cellStyle name="s_HardInc _RRST16" xfId="303"/>
    <cellStyle name="s_HardInc _RRST22" xfId="304"/>
    <cellStyle name="s_HardInc _RRST25" xfId="305"/>
    <cellStyle name="s_HardInc _RRST3" xfId="306"/>
    <cellStyle name="s_HardInc _RRST4" xfId="307"/>
    <cellStyle name="s_HardInc _RRST7" xfId="308"/>
    <cellStyle name="s_HardInc _RRST9" xfId="309"/>
    <cellStyle name="s_Valuation " xfId="310"/>
    <cellStyle name="s_Valuation _APLmdl" xfId="311"/>
    <cellStyle name="s_Valuation _ATLSmdl" xfId="312"/>
    <cellStyle name="s_Valuation _Financial Model" xfId="403"/>
    <cellStyle name="s_Valuation _IV1" xfId="404"/>
    <cellStyle name="s_Valuation _JCI_Model_Final" xfId="405"/>
    <cellStyle name="s_Valuation _OKSmdl" xfId="313"/>
    <cellStyle name="s_Valuation _RRS1" xfId="406"/>
    <cellStyle name="s_Valuation _RRS24" xfId="407"/>
    <cellStyle name="s_Valuation _RRS41" xfId="408"/>
    <cellStyle name="s_Valuation _RRST1" xfId="314"/>
    <cellStyle name="s_Valuation _RRST13" xfId="315"/>
    <cellStyle name="s_Valuation _RRST16" xfId="316"/>
    <cellStyle name="s_Valuation _RRST22" xfId="317"/>
    <cellStyle name="s_Valuation _RRST25" xfId="318"/>
    <cellStyle name="s_Valuation _RRST3" xfId="319"/>
    <cellStyle name="s_Valuation _RRST31" xfId="409"/>
    <cellStyle name="s_Valuation _RRST4" xfId="320"/>
    <cellStyle name="s_Valuation _RRST7" xfId="321"/>
    <cellStyle name="s_Valuation _RRST9" xfId="322"/>
    <cellStyle name="s_Valuation _TEN_Model" xfId="410"/>
    <cellStyle name="ScripFactor" xfId="323"/>
    <cellStyle name="SectionHeading" xfId="324"/>
    <cellStyle name="ssp " xfId="325"/>
    <cellStyle name="Standard" xfId="326"/>
    <cellStyle name="Style 1" xfId="327"/>
    <cellStyle name="Style 1 2" xfId="328"/>
    <cellStyle name="Style 1 3" xfId="411"/>
    <cellStyle name="Style 2" xfId="329"/>
    <cellStyle name="Style 2 2" xfId="330"/>
    <cellStyle name="Style 21" xfId="331"/>
    <cellStyle name="Style 22" xfId="332"/>
    <cellStyle name="Style 23" xfId="333"/>
    <cellStyle name="Style 24" xfId="334"/>
    <cellStyle name="Style 25" xfId="335"/>
    <cellStyle name="Style 26" xfId="336"/>
    <cellStyle name="Style 27" xfId="337"/>
    <cellStyle name="Style 28" xfId="338"/>
    <cellStyle name="Style 29" xfId="339"/>
    <cellStyle name="Style 30" xfId="340"/>
    <cellStyle name="Style 31" xfId="341"/>
    <cellStyle name="Style 32" xfId="342"/>
    <cellStyle name="Style 33" xfId="343"/>
    <cellStyle name="Style 34" xfId="344"/>
    <cellStyle name="Style 35" xfId="345"/>
    <cellStyle name="Style 36" xfId="346"/>
    <cellStyle name="Subhead" xfId="347"/>
    <cellStyle name="Subtotal_left" xfId="348"/>
    <cellStyle name="SwitchCell" xfId="349"/>
    <cellStyle name="TableBorder" xfId="350"/>
    <cellStyle name="TableColumnHeader" xfId="351"/>
    <cellStyle name="TableHeading" xfId="352"/>
    <cellStyle name="TableHighlight" xfId="353"/>
    <cellStyle name="TableNote" xfId="354"/>
    <cellStyle name="textbold" xfId="355"/>
    <cellStyle name="title1" xfId="356"/>
    <cellStyle name="title2" xfId="357"/>
    <cellStyle name="Titles" xfId="358"/>
    <cellStyle name="TOC" xfId="359"/>
    <cellStyle name="Top Line" xfId="360"/>
    <cellStyle name="Totals" xfId="361"/>
    <cellStyle name="underline 1 decimal" xfId="362"/>
    <cellStyle name="Unprot" xfId="363"/>
    <cellStyle name="Unprot$" xfId="364"/>
    <cellStyle name="Unprot_CurrencySKorea" xfId="365"/>
    <cellStyle name="Unprotect" xfId="366"/>
    <cellStyle name="UnProtectedCalc" xfId="367"/>
    <cellStyle name="Upload Only" xfId="368"/>
    <cellStyle name="Volume" xfId="412"/>
    <cellStyle name="Warburg" xfId="369"/>
    <cellStyle name="Year" xfId="370"/>
    <cellStyle name="콤마 [0]_#3이설 견적_준공내역총괄표 " xfId="371"/>
    <cellStyle name="콤마_#3이설 견적_준공내역총괄표 " xfId="37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customXml/item1.xml" Type="http://schemas.openxmlformats.org/officeDocument/2006/relationships/customXml"/>
<Relationship Id="rId18" Target="../customXml/item2.xml" Type="http://schemas.openxmlformats.org/officeDocument/2006/relationships/customXml"/>
<Relationship Id="rId19"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7</xdr:col>
      <xdr:colOff>390525</xdr:colOff>
      <xdr:row>206</xdr:row>
      <xdr:rowOff>104775</xdr:rowOff>
    </xdr:to>
    <xdr:pic>
      <xdr:nvPicPr>
        <xdr:cNvPr id="4959233" name="Picture 1" descr="C:\Users\guptevai\AppData\Local\Temp\MercuryPriceRatingHistoryChart\F.N_2018_03_14_00_10_3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260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printerSettings/printerSettings4.bin" Type="http://schemas.openxmlformats.org/officeDocument/2006/relationships/printerSettings"/>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00"/>
  <sheetViews>
    <sheetView showGridLines="0" tabSelected="1" workbookViewId="0">
      <selection activeCell="Z1" sqref="Z1"/>
    </sheetView>
  </sheetViews>
  <sheetFormatPr defaultRowHeight="12.75"/>
  <cols>
    <col min="1" max="1" width="25.7109375" style="132" customWidth="1"/>
    <col min="2" max="5" width="9.140625" style="132"/>
    <col min="6" max="6" width="18.7109375" style="132" customWidth="1"/>
    <col min="7" max="256" width="9.140625" style="132"/>
    <col min="257" max="257" width="100.7109375" style="132" customWidth="1"/>
    <col min="258" max="512" width="9.140625" style="132"/>
    <col min="513" max="513" width="100.7109375" style="132" customWidth="1"/>
    <col min="514" max="768" width="9.140625" style="132"/>
    <col min="769" max="769" width="100.7109375" style="132" customWidth="1"/>
    <col min="770" max="1024" width="9.140625" style="132"/>
    <col min="1025" max="1025" width="100.7109375" style="132" customWidth="1"/>
    <col min="1026" max="1280" width="9.140625" style="132"/>
    <col min="1281" max="1281" width="100.7109375" style="132" customWidth="1"/>
    <col min="1282" max="1536" width="9.140625" style="132"/>
    <col min="1537" max="1537" width="100.7109375" style="132" customWidth="1"/>
    <col min="1538" max="1792" width="9.140625" style="132"/>
    <col min="1793" max="1793" width="100.7109375" style="132" customWidth="1"/>
    <col min="1794" max="2048" width="9.140625" style="132"/>
    <col min="2049" max="2049" width="100.7109375" style="132" customWidth="1"/>
    <col min="2050" max="2304" width="9.140625" style="132"/>
    <col min="2305" max="2305" width="100.7109375" style="132" customWidth="1"/>
    <col min="2306" max="2560" width="9.140625" style="132"/>
    <col min="2561" max="2561" width="100.7109375" style="132" customWidth="1"/>
    <col min="2562" max="2816" width="9.140625" style="132"/>
    <col min="2817" max="2817" width="100.7109375" style="132" customWidth="1"/>
    <col min="2818" max="3072" width="9.140625" style="132"/>
    <col min="3073" max="3073" width="100.7109375" style="132" customWidth="1"/>
    <col min="3074" max="3328" width="9.140625" style="132"/>
    <col min="3329" max="3329" width="100.7109375" style="132" customWidth="1"/>
    <col min="3330" max="3584" width="9.140625" style="132"/>
    <col min="3585" max="3585" width="100.7109375" style="132" customWidth="1"/>
    <col min="3586" max="3840" width="9.140625" style="132"/>
    <col min="3841" max="3841" width="100.7109375" style="132" customWidth="1"/>
    <col min="3842" max="4096" width="9.140625" style="132"/>
    <col min="4097" max="4097" width="100.7109375" style="132" customWidth="1"/>
    <col min="4098" max="4352" width="9.140625" style="132"/>
    <col min="4353" max="4353" width="100.7109375" style="132" customWidth="1"/>
    <col min="4354" max="4608" width="9.140625" style="132"/>
    <col min="4609" max="4609" width="100.7109375" style="132" customWidth="1"/>
    <col min="4610" max="4864" width="9.140625" style="132"/>
    <col min="4865" max="4865" width="100.7109375" style="132" customWidth="1"/>
    <col min="4866" max="5120" width="9.140625" style="132"/>
    <col min="5121" max="5121" width="100.7109375" style="132" customWidth="1"/>
    <col min="5122" max="5376" width="9.140625" style="132"/>
    <col min="5377" max="5377" width="100.7109375" style="132" customWidth="1"/>
    <col min="5378" max="5632" width="9.140625" style="132"/>
    <col min="5633" max="5633" width="100.7109375" style="132" customWidth="1"/>
    <col min="5634" max="5888" width="9.140625" style="132"/>
    <col min="5889" max="5889" width="100.7109375" style="132" customWidth="1"/>
    <col min="5890" max="6144" width="9.140625" style="132"/>
    <col min="6145" max="6145" width="100.7109375" style="132" customWidth="1"/>
    <col min="6146" max="6400" width="9.140625" style="132"/>
    <col min="6401" max="6401" width="100.7109375" style="132" customWidth="1"/>
    <col min="6402" max="6656" width="9.140625" style="132"/>
    <col min="6657" max="6657" width="100.7109375" style="132" customWidth="1"/>
    <col min="6658" max="6912" width="9.140625" style="132"/>
    <col min="6913" max="6913" width="100.7109375" style="132" customWidth="1"/>
    <col min="6914" max="7168" width="9.140625" style="132"/>
    <col min="7169" max="7169" width="100.7109375" style="132" customWidth="1"/>
    <col min="7170" max="7424" width="9.140625" style="132"/>
    <col min="7425" max="7425" width="100.7109375" style="132" customWidth="1"/>
    <col min="7426" max="7680" width="9.140625" style="132"/>
    <col min="7681" max="7681" width="100.7109375" style="132" customWidth="1"/>
    <col min="7682" max="7936" width="9.140625" style="132"/>
    <col min="7937" max="7937" width="100.7109375" style="132" customWidth="1"/>
    <col min="7938" max="8192" width="9.140625" style="132"/>
    <col min="8193" max="8193" width="100.7109375" style="132" customWidth="1"/>
    <col min="8194" max="8448" width="9.140625" style="132"/>
    <col min="8449" max="8449" width="100.7109375" style="132" customWidth="1"/>
    <col min="8450" max="8704" width="9.140625" style="132"/>
    <col min="8705" max="8705" width="100.7109375" style="132" customWidth="1"/>
    <col min="8706" max="8960" width="9.140625" style="132"/>
    <col min="8961" max="8961" width="100.7109375" style="132" customWidth="1"/>
    <col min="8962" max="9216" width="9.140625" style="132"/>
    <col min="9217" max="9217" width="100.7109375" style="132" customWidth="1"/>
    <col min="9218" max="9472" width="9.140625" style="132"/>
    <col min="9473" max="9473" width="100.7109375" style="132" customWidth="1"/>
    <col min="9474" max="9728" width="9.140625" style="132"/>
    <col min="9729" max="9729" width="100.7109375" style="132" customWidth="1"/>
    <col min="9730" max="9984" width="9.140625" style="132"/>
    <col min="9985" max="9985" width="100.7109375" style="132" customWidth="1"/>
    <col min="9986" max="10240" width="9.140625" style="132"/>
    <col min="10241" max="10241" width="100.7109375" style="132" customWidth="1"/>
    <col min="10242" max="10496" width="9.140625" style="132"/>
    <col min="10497" max="10497" width="100.7109375" style="132" customWidth="1"/>
    <col min="10498" max="10752" width="9.140625" style="132"/>
    <col min="10753" max="10753" width="100.7109375" style="132" customWidth="1"/>
    <col min="10754" max="11008" width="9.140625" style="132"/>
    <col min="11009" max="11009" width="100.7109375" style="132" customWidth="1"/>
    <col min="11010" max="11264" width="9.140625" style="132"/>
    <col min="11265" max="11265" width="100.7109375" style="132" customWidth="1"/>
    <col min="11266" max="11520" width="9.140625" style="132"/>
    <col min="11521" max="11521" width="100.7109375" style="132" customWidth="1"/>
    <col min="11522" max="11776" width="9.140625" style="132"/>
    <col min="11777" max="11777" width="100.7109375" style="132" customWidth="1"/>
    <col min="11778" max="12032" width="9.140625" style="132"/>
    <col min="12033" max="12033" width="100.7109375" style="132" customWidth="1"/>
    <col min="12034" max="12288" width="9.140625" style="132"/>
    <col min="12289" max="12289" width="100.7109375" style="132" customWidth="1"/>
    <col min="12290" max="12544" width="9.140625" style="132"/>
    <col min="12545" max="12545" width="100.7109375" style="132" customWidth="1"/>
    <col min="12546" max="12800" width="9.140625" style="132"/>
    <col min="12801" max="12801" width="100.7109375" style="132" customWidth="1"/>
    <col min="12802" max="13056" width="9.140625" style="132"/>
    <col min="13057" max="13057" width="100.7109375" style="132" customWidth="1"/>
    <col min="13058" max="13312" width="9.140625" style="132"/>
    <col min="13313" max="13313" width="100.7109375" style="132" customWidth="1"/>
    <col min="13314" max="13568" width="9.140625" style="132"/>
    <col min="13569" max="13569" width="100.7109375" style="132" customWidth="1"/>
    <col min="13570" max="13824" width="9.140625" style="132"/>
    <col min="13825" max="13825" width="100.7109375" style="132" customWidth="1"/>
    <col min="13826" max="14080" width="9.140625" style="132"/>
    <col min="14081" max="14081" width="100.7109375" style="132" customWidth="1"/>
    <col min="14082" max="14336" width="9.140625" style="132"/>
    <col min="14337" max="14337" width="100.7109375" style="132" customWidth="1"/>
    <col min="14338" max="14592" width="9.140625" style="132"/>
    <col min="14593" max="14593" width="100.7109375" style="132" customWidth="1"/>
    <col min="14594" max="14848" width="9.140625" style="132"/>
    <col min="14849" max="14849" width="100.7109375" style="132" customWidth="1"/>
    <col min="14850" max="15104" width="9.140625" style="132"/>
    <col min="15105" max="15105" width="100.7109375" style="132" customWidth="1"/>
    <col min="15106" max="15360" width="9.140625" style="132"/>
    <col min="15361" max="15361" width="100.7109375" style="132" customWidth="1"/>
    <col min="15362" max="15616" width="9.140625" style="132"/>
    <col min="15617" max="15617" width="100.7109375" style="132" customWidth="1"/>
    <col min="15618" max="15872" width="9.140625" style="132"/>
    <col min="15873" max="15873" width="100.7109375" style="132" customWidth="1"/>
    <col min="15874" max="16128" width="9.140625" style="132"/>
    <col min="16129" max="16129" width="100.7109375" style="132" customWidth="1"/>
    <col min="16130" max="16384" width="9.140625" style="132"/>
  </cols>
  <sheetData>
    <row r="1" spans="1:8" ht="30" customHeight="1">
      <c r="A1" s="1128"/>
      <c r="B1" s="131"/>
      <c r="C1" s="131"/>
      <c r="D1" s="131"/>
      <c r="E1" s="131"/>
      <c r="F1" s="131"/>
      <c r="G1" s="131"/>
      <c r="H1" s="131"/>
    </row>
    <row r="2" spans="1:8" ht="14.25">
      <c r="A2" s="133" t="s">
        <v>390</v>
      </c>
      <c r="B2" s="131"/>
      <c r="C2" s="131"/>
      <c r="D2" s="131"/>
      <c r="E2" s="131"/>
      <c r="F2" s="131"/>
      <c r="G2" s="131"/>
      <c r="H2" s="131"/>
    </row>
    <row r="3" spans="1:8" ht="14.25">
      <c r="A3" s="133" t="s">
        <v>391</v>
      </c>
      <c r="B3" s="131"/>
      <c r="C3" s="131"/>
      <c r="D3" s="131"/>
      <c r="E3" s="131"/>
      <c r="F3" s="131"/>
      <c r="G3" s="131"/>
      <c r="H3" s="131"/>
    </row>
    <row r="4" spans="1:8" ht="14.25">
      <c r="A4" s="133" t="s">
        <v>392</v>
      </c>
      <c r="B4" s="131"/>
      <c r="C4" s="131"/>
      <c r="D4" s="131"/>
      <c r="E4" s="131"/>
      <c r="F4" s="131"/>
      <c r="G4" s="131"/>
      <c r="H4" s="131"/>
    </row>
    <row r="5" spans="1:8" ht="14.25">
      <c r="A5" s="133" t="s">
        <v>393</v>
      </c>
      <c r="B5" s="131"/>
      <c r="C5" s="131"/>
      <c r="D5" s="131"/>
      <c r="E5" s="131"/>
      <c r="F5" s="131"/>
      <c r="G5" s="131"/>
      <c r="H5" s="131"/>
    </row>
    <row r="6" spans="1:8" ht="14.25">
      <c r="A6" s="133"/>
      <c r="B6" s="131"/>
      <c r="C6" s="131"/>
      <c r="D6" s="131"/>
      <c r="E6" s="131"/>
      <c r="F6" s="131"/>
      <c r="G6" s="131"/>
      <c r="H6" s="131"/>
    </row>
    <row r="7" spans="1:8">
      <c r="A7" s="1128" t="s">
        <v>394</v>
      </c>
      <c r="B7" s="131"/>
      <c r="C7" s="131"/>
      <c r="D7" s="131"/>
      <c r="E7" s="131"/>
      <c r="F7" s="131"/>
      <c r="G7" s="131"/>
      <c r="H7" s="131"/>
    </row>
    <row r="8" spans="1:8">
      <c r="A8" s="1128" t="s">
        <v>1157</v>
      </c>
      <c r="B8" s="131"/>
      <c r="C8" s="131"/>
      <c r="D8" s="131"/>
      <c r="E8" s="131"/>
      <c r="F8" s="131"/>
      <c r="G8" s="131"/>
      <c r="H8" s="131"/>
    </row>
    <row r="9" spans="1:8">
      <c r="A9" s="1128"/>
      <c r="B9" s="131"/>
      <c r="C9" s="131"/>
      <c r="D9" s="131"/>
      <c r="E9" s="131"/>
      <c r="F9" s="131"/>
      <c r="G9" s="131"/>
      <c r="H9" s="131"/>
    </row>
    <row r="10" spans="1:8">
      <c r="A10" s="1129" t="s">
        <v>1158</v>
      </c>
      <c r="B10" s="131"/>
      <c r="C10" s="131"/>
      <c r="D10" s="131"/>
      <c r="E10" s="131"/>
      <c r="F10" s="131"/>
      <c r="G10" s="131"/>
      <c r="H10" s="131"/>
    </row>
    <row r="11" spans="1:8">
      <c r="A11" s="1129" t="s">
        <v>1159</v>
      </c>
      <c r="B11" s="131"/>
      <c r="C11" s="131"/>
      <c r="D11" s="131"/>
      <c r="E11" s="131"/>
      <c r="F11" s="131"/>
      <c r="G11" s="131"/>
      <c r="H11" s="131"/>
    </row>
    <row r="12" spans="1:8">
      <c r="A12" s="1129" t="s">
        <v>395</v>
      </c>
      <c r="B12" s="131"/>
      <c r="C12" s="131"/>
      <c r="D12" s="131"/>
      <c r="E12" s="131"/>
      <c r="F12" s="131"/>
      <c r="G12" s="131"/>
      <c r="H12" s="131"/>
    </row>
    <row r="13" spans="1:8">
      <c r="A13" s="1129" t="s">
        <v>396</v>
      </c>
      <c r="B13" s="131"/>
      <c r="C13" s="131"/>
      <c r="D13" s="131"/>
      <c r="E13" s="131"/>
      <c r="F13" s="131"/>
      <c r="G13" s="131"/>
      <c r="H13" s="131"/>
    </row>
    <row r="14" spans="1:8">
      <c r="A14" s="1129" t="s">
        <v>1160</v>
      </c>
      <c r="B14" s="131"/>
      <c r="C14" s="131"/>
      <c r="D14" s="131"/>
      <c r="E14" s="131"/>
      <c r="F14" s="131"/>
      <c r="G14" s="131"/>
      <c r="H14" s="131"/>
    </row>
    <row r="15" spans="1:8">
      <c r="A15" s="1129" t="s">
        <v>1161</v>
      </c>
      <c r="B15" s="131"/>
      <c r="C15" s="131"/>
      <c r="D15" s="131"/>
      <c r="E15" s="131"/>
      <c r="F15" s="131"/>
      <c r="G15" s="131"/>
      <c r="H15" s="131"/>
    </row>
    <row r="16" spans="1:8">
      <c r="A16" s="1129"/>
      <c r="B16" s="131"/>
      <c r="C16" s="131"/>
      <c r="D16" s="131"/>
      <c r="E16" s="131"/>
      <c r="F16" s="131"/>
      <c r="G16" s="131"/>
      <c r="H16" s="131"/>
    </row>
    <row r="17" spans="1:8">
      <c r="A17" s="1129" t="s">
        <v>387</v>
      </c>
      <c r="B17" s="131"/>
      <c r="C17" s="131"/>
      <c r="D17" s="131"/>
      <c r="E17" s="131"/>
      <c r="F17" s="131"/>
      <c r="G17" s="131"/>
      <c r="H17" s="131"/>
    </row>
    <row r="18" spans="1:8">
      <c r="A18" s="1129"/>
      <c r="B18" s="131"/>
      <c r="C18" s="131"/>
      <c r="D18" s="131"/>
      <c r="E18" s="131"/>
      <c r="F18" s="131"/>
      <c r="G18" s="131"/>
      <c r="H18" s="131"/>
    </row>
    <row r="19" spans="1:8">
      <c r="A19" s="1129" t="s">
        <v>388</v>
      </c>
      <c r="B19" s="131"/>
      <c r="C19" s="131"/>
      <c r="D19" s="131"/>
      <c r="E19" s="131"/>
      <c r="F19" s="131"/>
      <c r="G19" s="131"/>
      <c r="H19" s="131"/>
    </row>
    <row r="20" spans="1:8">
      <c r="A20" s="1128"/>
      <c r="B20" s="131"/>
      <c r="C20" s="131"/>
      <c r="D20" s="131"/>
      <c r="E20" s="131"/>
      <c r="F20" s="131"/>
      <c r="G20" s="131"/>
      <c r="H20" s="131"/>
    </row>
    <row r="21" spans="1:8">
      <c r="A21" s="134" t="s">
        <v>389</v>
      </c>
      <c r="B21" s="131"/>
      <c r="C21" s="131"/>
      <c r="D21" s="131"/>
      <c r="E21" s="131"/>
      <c r="F21" s="131"/>
      <c r="G21" s="131"/>
      <c r="H21" s="131"/>
    </row>
    <row r="22" spans="1:8">
      <c r="A22" s="1118"/>
      <c r="B22" s="1118"/>
      <c r="C22" s="1118"/>
      <c r="D22" s="1118"/>
      <c r="E22" s="1118"/>
      <c r="F22" s="1118"/>
      <c r="G22" s="1118"/>
      <c r="H22" s="1118"/>
    </row>
    <row r="23" spans="1:8">
      <c r="A23" s="1116" t="s">
        <v>664</v>
      </c>
      <c r="B23" s="1118"/>
      <c r="C23" s="1118"/>
      <c r="D23" s="1118"/>
      <c r="E23" s="1118"/>
      <c r="F23" s="1118"/>
      <c r="G23" s="1118"/>
      <c r="H23" s="1118"/>
    </row>
    <row r="24" spans="1:8">
      <c r="A24" s="1116" t="s">
        <v>665</v>
      </c>
      <c r="B24" s="1118"/>
      <c r="C24" s="1118"/>
      <c r="D24" s="1118"/>
      <c r="E24" s="1118"/>
      <c r="F24" s="1118"/>
      <c r="G24" s="1118"/>
      <c r="H24" s="1118"/>
    </row>
    <row r="25" spans="1:8">
      <c r="A25" s="1116" t="s">
        <v>666</v>
      </c>
      <c r="B25" s="1118"/>
      <c r="C25" s="1118"/>
      <c r="D25" s="1118"/>
      <c r="E25" s="1118"/>
      <c r="F25" s="1118"/>
      <c r="G25" s="1118"/>
      <c r="H25" s="1118"/>
    </row>
    <row r="26" spans="1:8">
      <c r="A26" s="1116" t="s">
        <v>667</v>
      </c>
      <c r="B26" s="1118"/>
      <c r="C26" s="1118"/>
      <c r="D26" s="1118"/>
      <c r="E26" s="1118"/>
      <c r="F26" s="1118"/>
      <c r="G26" s="1118"/>
      <c r="H26" s="1118"/>
    </row>
    <row r="27" spans="1:8">
      <c r="A27" s="1118"/>
      <c r="B27" s="1118"/>
      <c r="C27" s="1118"/>
      <c r="D27" s="1118"/>
      <c r="E27" s="1118"/>
      <c r="F27" s="1118"/>
      <c r="G27" s="1118"/>
      <c r="H27" s="1118"/>
    </row>
    <row r="28" spans="1:8">
      <c r="A28" s="1118"/>
      <c r="B28" s="1118"/>
      <c r="C28" s="1118"/>
      <c r="D28" s="1118"/>
      <c r="E28" s="1118"/>
      <c r="F28" s="1118"/>
      <c r="G28" s="1118"/>
      <c r="H28" s="1118"/>
    </row>
    <row r="29" spans="1:8">
      <c r="A29" s="1116" t="s">
        <v>659</v>
      </c>
      <c r="B29" s="1118"/>
      <c r="C29" s="1118"/>
      <c r="D29" s="1118"/>
      <c r="E29" s="1118"/>
      <c r="F29" s="1118"/>
      <c r="G29" s="1118"/>
      <c r="H29" s="1118"/>
    </row>
    <row r="30" spans="1:8">
      <c r="A30" s="1116" t="s">
        <v>660</v>
      </c>
      <c r="B30" s="1118"/>
      <c r="C30" s="1118"/>
      <c r="D30" s="1118"/>
      <c r="E30" s="1118"/>
      <c r="F30" s="1118"/>
      <c r="G30" s="1118"/>
      <c r="H30" s="1118"/>
    </row>
    <row r="31" spans="1:8">
      <c r="A31" s="1116" t="s">
        <v>661</v>
      </c>
      <c r="B31" s="1118"/>
      <c r="C31" s="1118"/>
      <c r="D31" s="1118"/>
      <c r="E31" s="1118"/>
      <c r="F31" s="1118"/>
      <c r="G31" s="1118"/>
      <c r="H31" s="1118"/>
    </row>
    <row r="32" spans="1:8">
      <c r="A32" s="1116" t="s">
        <v>662</v>
      </c>
      <c r="B32" s="1118"/>
      <c r="C32" s="1118"/>
      <c r="D32" s="1118"/>
      <c r="E32" s="1118"/>
      <c r="F32" s="1118"/>
      <c r="G32" s="1118"/>
      <c r="H32" s="1118"/>
    </row>
    <row r="33" spans="1:8">
      <c r="A33" s="1116" t="s">
        <v>663</v>
      </c>
      <c r="B33" s="1118"/>
      <c r="C33" s="1118"/>
      <c r="D33" s="1118"/>
      <c r="E33" s="1118"/>
      <c r="F33" s="1118"/>
      <c r="G33" s="1118"/>
      <c r="H33" s="1118"/>
    </row>
    <row r="34" spans="1:8">
      <c r="A34" s="1118"/>
      <c r="B34" s="1118"/>
      <c r="C34" s="1118"/>
      <c r="D34" s="1118"/>
      <c r="E34" s="1118"/>
      <c r="F34" s="1118"/>
      <c r="G34" s="1118"/>
      <c r="H34" s="1118"/>
    </row>
    <row r="35" spans="1:8">
      <c r="A35" s="1116" t="s">
        <v>655</v>
      </c>
      <c r="B35" s="1118"/>
      <c r="C35" s="1118"/>
      <c r="D35" s="1118"/>
      <c r="E35" s="1118"/>
      <c r="F35" s="1118"/>
      <c r="G35" s="1118"/>
      <c r="H35" s="1118"/>
    </row>
    <row r="36" spans="1:8">
      <c r="A36" s="1116" t="s">
        <v>656</v>
      </c>
      <c r="B36" s="1118"/>
      <c r="C36" s="1118"/>
      <c r="D36" s="1118"/>
      <c r="E36" s="1118"/>
      <c r="F36" s="1118"/>
      <c r="G36" s="1118"/>
      <c r="H36" s="1118"/>
    </row>
    <row r="37" spans="1:8">
      <c r="A37" s="1116" t="s">
        <v>657</v>
      </c>
      <c r="B37" s="1118"/>
      <c r="C37" s="1118"/>
      <c r="D37" s="1118"/>
      <c r="E37" s="1118"/>
      <c r="F37" s="1118"/>
      <c r="G37" s="1118"/>
      <c r="H37" s="1118"/>
    </row>
    <row r="38" spans="1:8">
      <c r="A38" s="1116" t="s">
        <v>658</v>
      </c>
      <c r="B38" s="1118"/>
      <c r="C38" s="1118"/>
      <c r="D38" s="1118"/>
      <c r="E38" s="1118"/>
      <c r="F38" s="1118"/>
      <c r="G38" s="1118"/>
      <c r="H38" s="1118"/>
    </row>
    <row r="39" spans="1:8">
      <c r="A39" s="1118"/>
      <c r="B39" s="1118"/>
      <c r="C39" s="1118"/>
      <c r="D39" s="1118"/>
      <c r="E39" s="1118"/>
      <c r="F39" s="1118"/>
      <c r="G39" s="1118"/>
      <c r="H39" s="1118"/>
    </row>
    <row r="40" spans="1:8">
      <c r="A40" s="1116" t="s">
        <v>649</v>
      </c>
      <c r="B40" s="1118"/>
      <c r="C40" s="1118"/>
      <c r="D40" s="1118"/>
      <c r="E40" s="1118"/>
      <c r="F40" s="1118"/>
      <c r="G40" s="1118"/>
      <c r="H40" s="1118"/>
    </row>
    <row r="41" spans="1:8">
      <c r="A41" s="1116" t="s">
        <v>650</v>
      </c>
      <c r="B41" s="1118"/>
      <c r="C41" s="1118"/>
      <c r="D41" s="1118"/>
      <c r="E41" s="1118"/>
      <c r="F41" s="1118"/>
      <c r="G41" s="1118"/>
      <c r="H41" s="1118"/>
    </row>
    <row r="42" spans="1:8">
      <c r="A42" s="1116" t="s">
        <v>651</v>
      </c>
      <c r="B42" s="1118"/>
      <c r="C42" s="1118"/>
      <c r="D42" s="1118"/>
      <c r="E42" s="1118"/>
      <c r="F42" s="1118"/>
      <c r="G42" s="1118"/>
      <c r="H42" s="1118"/>
    </row>
    <row r="43" spans="1:8">
      <c r="A43" s="1116" t="s">
        <v>652</v>
      </c>
      <c r="B43" s="1118"/>
      <c r="C43" s="1118"/>
      <c r="D43" s="1118"/>
      <c r="E43" s="1118"/>
      <c r="F43" s="1118"/>
      <c r="G43" s="1118"/>
      <c r="H43" s="1118"/>
    </row>
    <row r="44" spans="1:8">
      <c r="A44" s="1116" t="s">
        <v>653</v>
      </c>
      <c r="B44" s="1118"/>
      <c r="C44" s="1118"/>
      <c r="D44" s="1118"/>
      <c r="E44" s="1118"/>
      <c r="F44" s="1118"/>
      <c r="G44" s="1118"/>
      <c r="H44" s="1118"/>
    </row>
    <row r="45" spans="1:8">
      <c r="A45" s="1116" t="s">
        <v>654</v>
      </c>
      <c r="B45" s="1118"/>
      <c r="C45" s="1118"/>
      <c r="D45" s="1118"/>
      <c r="E45" s="1118"/>
      <c r="F45" s="1118"/>
      <c r="G45" s="1118"/>
      <c r="H45" s="1118"/>
    </row>
    <row r="46" spans="1:8">
      <c r="A46" s="1118"/>
      <c r="B46" s="1118"/>
      <c r="C46" s="1118"/>
      <c r="D46" s="1118"/>
      <c r="E46" s="1118"/>
      <c r="F46" s="1118"/>
      <c r="G46" s="1118"/>
      <c r="H46" s="1118"/>
    </row>
    <row r="47" spans="1:8" ht="15.75">
      <c r="A47" s="1117" t="s">
        <v>397</v>
      </c>
      <c r="B47" s="1118"/>
      <c r="C47" s="1118"/>
      <c r="D47" s="1118"/>
      <c r="E47" s="1118"/>
      <c r="F47" s="1118"/>
      <c r="G47" s="1118"/>
      <c r="H47" s="1118"/>
    </row>
    <row r="48" spans="1:8">
      <c r="A48" s="1118"/>
      <c r="B48" s="1118"/>
      <c r="C48" s="1118"/>
      <c r="D48" s="1118"/>
      <c r="E48" s="1118"/>
      <c r="F48" s="1118"/>
      <c r="G48" s="1118"/>
      <c r="H48" s="1118"/>
    </row>
    <row r="49" spans="1:8">
      <c r="A49" s="1116" t="s">
        <v>645</v>
      </c>
      <c r="B49" s="1118"/>
      <c r="C49" s="1118"/>
      <c r="D49" s="1118"/>
      <c r="E49" s="1118"/>
      <c r="F49" s="1118"/>
      <c r="G49" s="1118"/>
      <c r="H49" s="1118"/>
    </row>
    <row r="50" spans="1:8">
      <c r="A50" s="1116" t="s">
        <v>646</v>
      </c>
      <c r="B50" s="1118"/>
      <c r="C50" s="1118"/>
      <c r="D50" s="1118"/>
      <c r="E50" s="1118"/>
      <c r="F50" s="1118"/>
      <c r="G50" s="1118"/>
      <c r="H50" s="1118"/>
    </row>
    <row r="51" spans="1:8">
      <c r="A51" s="1116" t="s">
        <v>647</v>
      </c>
      <c r="B51" s="1118"/>
      <c r="C51" s="1118"/>
      <c r="D51" s="1118"/>
      <c r="E51" s="1118"/>
      <c r="F51" s="1118"/>
      <c r="G51" s="1118"/>
      <c r="H51" s="1118"/>
    </row>
    <row r="52" spans="1:8">
      <c r="A52" s="1116" t="s">
        <v>648</v>
      </c>
      <c r="B52" s="1118"/>
      <c r="C52" s="1118"/>
      <c r="D52" s="1118"/>
      <c r="E52" s="1118"/>
      <c r="F52" s="1118"/>
      <c r="G52" s="1118"/>
      <c r="H52" s="1118"/>
    </row>
    <row r="53" spans="1:8">
      <c r="A53" s="1118"/>
      <c r="B53" s="1118"/>
      <c r="C53" s="1118"/>
      <c r="D53" s="1118"/>
      <c r="E53" s="1118"/>
      <c r="F53" s="1118"/>
      <c r="G53" s="1118"/>
      <c r="H53" s="1118"/>
    </row>
    <row r="54" spans="1:8">
      <c r="A54" s="1116" t="s">
        <v>398</v>
      </c>
      <c r="B54" s="1118"/>
      <c r="C54" s="1118"/>
      <c r="D54" s="1118"/>
      <c r="E54" s="1118"/>
      <c r="F54" s="1118"/>
      <c r="G54" s="1118"/>
      <c r="H54" s="1118"/>
    </row>
    <row r="55" spans="1:8">
      <c r="A55" s="1118"/>
      <c r="B55" s="1118"/>
      <c r="C55" s="1118"/>
      <c r="D55" s="1118"/>
      <c r="E55" s="1118"/>
      <c r="F55" s="1118"/>
      <c r="G55" s="1118"/>
      <c r="H55" s="1118"/>
    </row>
    <row r="56" spans="1:8" ht="15.75">
      <c r="A56" s="1117" t="s">
        <v>399</v>
      </c>
      <c r="B56" s="1118"/>
      <c r="C56" s="1118"/>
      <c r="D56" s="1118"/>
      <c r="E56" s="1118"/>
      <c r="F56" s="1118"/>
      <c r="G56" s="1118"/>
      <c r="H56" s="1118"/>
    </row>
    <row r="57" spans="1:8">
      <c r="A57" s="1118"/>
      <c r="B57" s="1118"/>
      <c r="C57" s="1118"/>
      <c r="D57" s="1118"/>
      <c r="E57" s="1118"/>
      <c r="F57" s="1118"/>
      <c r="G57" s="1118"/>
      <c r="H57" s="1118"/>
    </row>
    <row r="58" spans="1:8">
      <c r="A58" s="1116" t="s">
        <v>643</v>
      </c>
      <c r="B58" s="1118"/>
      <c r="C58" s="1118"/>
      <c r="D58" s="1118"/>
      <c r="E58" s="1118"/>
      <c r="F58" s="1118"/>
      <c r="G58" s="1118"/>
      <c r="H58" s="1118"/>
    </row>
    <row r="59" spans="1:8">
      <c r="A59" s="1116" t="s">
        <v>644</v>
      </c>
      <c r="B59" s="1118"/>
      <c r="C59" s="1118"/>
      <c r="D59" s="1118"/>
      <c r="E59" s="1118"/>
      <c r="F59" s="1118"/>
      <c r="G59" s="1118"/>
      <c r="H59" s="1118"/>
    </row>
    <row r="60" spans="1:8">
      <c r="A60" s="1118"/>
      <c r="B60" s="1118"/>
      <c r="C60" s="1118"/>
      <c r="D60" s="1118"/>
      <c r="E60" s="1118"/>
      <c r="F60" s="1118"/>
      <c r="G60" s="1118"/>
      <c r="H60" s="1118"/>
    </row>
    <row r="61" spans="1:8" ht="15.75">
      <c r="A61" s="1117" t="s">
        <v>400</v>
      </c>
      <c r="B61" s="1118"/>
      <c r="C61" s="1118"/>
      <c r="D61" s="1118"/>
      <c r="E61" s="1118"/>
      <c r="F61" s="1118"/>
      <c r="G61" s="1118"/>
      <c r="H61" s="1118"/>
    </row>
    <row r="62" spans="1:8">
      <c r="A62" s="1118"/>
      <c r="B62" s="1118"/>
      <c r="C62" s="1118"/>
      <c r="D62" s="1118"/>
      <c r="E62" s="1118"/>
      <c r="F62" s="1118"/>
      <c r="G62" s="1118"/>
      <c r="H62" s="1118"/>
    </row>
    <row r="63" spans="1:8">
      <c r="A63" s="1116" t="s">
        <v>1177</v>
      </c>
      <c r="B63" s="1118"/>
      <c r="C63" s="1118"/>
      <c r="D63" s="1118"/>
      <c r="E63" s="1118"/>
      <c r="F63" s="1118"/>
      <c r="G63" s="1118"/>
      <c r="H63" s="1118"/>
    </row>
    <row r="64" spans="1:8">
      <c r="A64" s="1116" t="s">
        <v>1178</v>
      </c>
      <c r="B64" s="1118"/>
      <c r="C64" s="1118"/>
      <c r="D64" s="1118"/>
      <c r="E64" s="1118"/>
      <c r="F64" s="1118"/>
      <c r="G64" s="1118"/>
      <c r="H64" s="1118"/>
    </row>
    <row r="65" spans="1:8">
      <c r="A65" s="1118"/>
      <c r="B65" s="1118"/>
      <c r="C65" s="1118"/>
      <c r="D65" s="1118"/>
      <c r="E65" s="1118"/>
      <c r="F65" s="1118"/>
      <c r="G65" s="1118"/>
      <c r="H65" s="1118"/>
    </row>
    <row r="66" spans="1:8">
      <c r="A66" s="1116" t="s">
        <v>1175</v>
      </c>
      <c r="B66" s="1118"/>
      <c r="C66" s="1118"/>
      <c r="D66" s="1118"/>
      <c r="E66" s="1118"/>
      <c r="F66" s="1118"/>
      <c r="G66" s="1118"/>
      <c r="H66" s="1118"/>
    </row>
    <row r="67" spans="1:8">
      <c r="A67" s="1116" t="s">
        <v>1176</v>
      </c>
      <c r="B67" s="1118"/>
      <c r="C67" s="1118"/>
      <c r="D67" s="1118"/>
      <c r="E67" s="1118"/>
      <c r="F67" s="1118"/>
      <c r="G67" s="1118"/>
      <c r="H67" s="1118"/>
    </row>
    <row r="68" spans="1:8">
      <c r="A68" s="1118"/>
      <c r="B68" s="1118"/>
      <c r="C68" s="1118"/>
      <c r="D68" s="1118"/>
      <c r="E68" s="1118"/>
      <c r="F68" s="1118"/>
      <c r="G68" s="1118"/>
      <c r="H68" s="1118"/>
    </row>
    <row r="69" spans="1:8">
      <c r="A69" s="1116" t="s">
        <v>1173</v>
      </c>
      <c r="B69" s="1118"/>
      <c r="C69" s="1118"/>
      <c r="D69" s="1118"/>
      <c r="E69" s="1118"/>
      <c r="F69" s="1118"/>
      <c r="G69" s="1118"/>
      <c r="H69" s="1118"/>
    </row>
    <row r="70" spans="1:8">
      <c r="A70" s="1116" t="s">
        <v>1174</v>
      </c>
      <c r="B70" s="1118"/>
      <c r="C70" s="1118"/>
      <c r="D70" s="1118"/>
      <c r="E70" s="1118"/>
      <c r="F70" s="1118"/>
      <c r="G70" s="1118"/>
      <c r="H70" s="1118"/>
    </row>
    <row r="71" spans="1:8">
      <c r="A71" s="1118"/>
      <c r="B71" s="1118"/>
      <c r="C71" s="1118"/>
      <c r="D71" s="1118"/>
      <c r="E71" s="1118"/>
      <c r="F71" s="1118"/>
      <c r="G71" s="1118"/>
      <c r="H71" s="1118"/>
    </row>
    <row r="72" spans="1:8">
      <c r="A72" s="1116" t="s">
        <v>642</v>
      </c>
      <c r="B72" s="1118"/>
      <c r="C72" s="1118"/>
      <c r="D72" s="1118"/>
      <c r="E72" s="1118"/>
      <c r="F72" s="1118"/>
      <c r="G72" s="1118"/>
      <c r="H72" s="1118"/>
    </row>
    <row r="73" spans="1:8">
      <c r="A73" s="1116" t="s">
        <v>1172</v>
      </c>
      <c r="B73" s="1118"/>
      <c r="C73" s="1118"/>
      <c r="D73" s="1118"/>
      <c r="E73" s="1118"/>
      <c r="F73" s="1118"/>
      <c r="G73" s="1118"/>
      <c r="H73" s="1118"/>
    </row>
    <row r="74" spans="1:8">
      <c r="A74" s="1118"/>
      <c r="B74" s="1118"/>
      <c r="C74" s="1118"/>
      <c r="D74" s="1118"/>
      <c r="E74" s="1118"/>
      <c r="F74" s="1118"/>
      <c r="G74" s="1118"/>
      <c r="H74" s="1118"/>
    </row>
    <row r="75" spans="1:8">
      <c r="A75" s="1116" t="s">
        <v>641</v>
      </c>
      <c r="B75" s="1118"/>
      <c r="C75" s="1118"/>
      <c r="D75" s="1118"/>
      <c r="E75" s="1118"/>
      <c r="F75" s="1118"/>
      <c r="G75" s="1118"/>
      <c r="H75" s="1118"/>
    </row>
    <row r="76" spans="1:8">
      <c r="A76" s="1116" t="s">
        <v>1171</v>
      </c>
      <c r="B76" s="1118"/>
      <c r="C76" s="1118"/>
      <c r="D76" s="1118"/>
      <c r="E76" s="1118"/>
      <c r="F76" s="1118"/>
      <c r="G76" s="1118"/>
      <c r="H76" s="1118"/>
    </row>
    <row r="77" spans="1:8">
      <c r="A77" s="1118"/>
      <c r="B77" s="1118"/>
      <c r="C77" s="1118"/>
      <c r="D77" s="1118"/>
      <c r="E77" s="1118"/>
      <c r="F77" s="1118"/>
      <c r="G77" s="1118"/>
      <c r="H77" s="1118"/>
    </row>
    <row r="78" spans="1:8">
      <c r="A78" s="1116" t="s">
        <v>640</v>
      </c>
      <c r="B78" s="1118"/>
      <c r="C78" s="1118"/>
      <c r="D78" s="1118"/>
      <c r="E78" s="1118"/>
      <c r="F78" s="1118"/>
      <c r="G78" s="1118"/>
      <c r="H78" s="1118"/>
    </row>
    <row r="79" spans="1:8">
      <c r="A79" s="1116" t="s">
        <v>1170</v>
      </c>
      <c r="B79" s="1118"/>
      <c r="C79" s="1118"/>
      <c r="D79" s="1118"/>
      <c r="E79" s="1118"/>
      <c r="F79" s="1118"/>
      <c r="G79" s="1118"/>
      <c r="H79" s="1118"/>
    </row>
    <row r="80" spans="1:8">
      <c r="A80" s="1118"/>
      <c r="B80" s="1118"/>
      <c r="C80" s="1118"/>
      <c r="D80" s="1118"/>
      <c r="E80" s="1118"/>
      <c r="F80" s="1118"/>
      <c r="G80" s="1118"/>
      <c r="H80" s="1118"/>
    </row>
    <row r="81" spans="1:8">
      <c r="A81" s="1116" t="s">
        <v>638</v>
      </c>
      <c r="B81" s="1118"/>
      <c r="C81" s="1118"/>
      <c r="D81" s="1118"/>
      <c r="E81" s="1118"/>
      <c r="F81" s="1118"/>
      <c r="G81" s="1118"/>
      <c r="H81" s="1118"/>
    </row>
    <row r="82" spans="1:8">
      <c r="A82" s="1116" t="s">
        <v>639</v>
      </c>
      <c r="B82" s="1118"/>
      <c r="C82" s="1118"/>
      <c r="D82" s="1118"/>
      <c r="E82" s="1118"/>
      <c r="F82" s="1118"/>
      <c r="G82" s="1118"/>
      <c r="H82" s="1118"/>
    </row>
    <row r="83" spans="1:8">
      <c r="A83" s="1116" t="s">
        <v>1169</v>
      </c>
      <c r="B83" s="1118"/>
      <c r="C83" s="1118"/>
      <c r="D83" s="1118"/>
      <c r="E83" s="1118"/>
      <c r="F83" s="1118"/>
      <c r="G83" s="1118"/>
      <c r="H83" s="1118"/>
    </row>
    <row r="84" spans="1:8">
      <c r="A84" s="1118"/>
      <c r="B84" s="1118"/>
      <c r="C84" s="1118"/>
      <c r="D84" s="1118"/>
      <c r="E84" s="1118"/>
      <c r="F84" s="1118"/>
      <c r="G84" s="1118"/>
      <c r="H84" s="1118"/>
    </row>
    <row r="85" spans="1:8">
      <c r="A85" s="1116" t="s">
        <v>1162</v>
      </c>
      <c r="B85" s="1118"/>
      <c r="C85" s="1118"/>
      <c r="D85" s="1118"/>
      <c r="E85" s="1118"/>
      <c r="F85" s="1118"/>
      <c r="G85" s="1118"/>
      <c r="H85" s="1118"/>
    </row>
    <row r="86" spans="1:8">
      <c r="A86" s="1118"/>
      <c r="B86" s="1118"/>
      <c r="C86" s="1118"/>
      <c r="D86" s="1118"/>
      <c r="E86" s="1118"/>
      <c r="F86" s="1118"/>
      <c r="G86" s="1118"/>
      <c r="H86" s="1118"/>
    </row>
    <row r="87" spans="1:8">
      <c r="A87" s="1116" t="s">
        <v>633</v>
      </c>
      <c r="B87" s="1118"/>
      <c r="C87" s="1118"/>
      <c r="D87" s="1118"/>
      <c r="E87" s="1118"/>
      <c r="F87" s="1118"/>
      <c r="G87" s="1118"/>
      <c r="H87" s="1118"/>
    </row>
    <row r="88" spans="1:8">
      <c r="A88" s="1116" t="s">
        <v>634</v>
      </c>
      <c r="B88" s="1118"/>
      <c r="C88" s="1118"/>
      <c r="D88" s="1118"/>
      <c r="E88" s="1118"/>
      <c r="F88" s="1118"/>
      <c r="G88" s="1118"/>
      <c r="H88" s="1118"/>
    </row>
    <row r="89" spans="1:8">
      <c r="A89" s="1116" t="s">
        <v>635</v>
      </c>
      <c r="B89" s="1118"/>
      <c r="C89" s="1118"/>
      <c r="D89" s="1118"/>
      <c r="E89" s="1118"/>
      <c r="F89" s="1118"/>
      <c r="G89" s="1118"/>
      <c r="H89" s="1118"/>
    </row>
    <row r="90" spans="1:8">
      <c r="A90" s="1116" t="s">
        <v>636</v>
      </c>
      <c r="B90" s="1118"/>
      <c r="C90" s="1118"/>
      <c r="D90" s="1118"/>
      <c r="E90" s="1118"/>
      <c r="F90" s="1118"/>
      <c r="G90" s="1118"/>
      <c r="H90" s="1118"/>
    </row>
    <row r="91" spans="1:8">
      <c r="A91" s="1116" t="s">
        <v>637</v>
      </c>
      <c r="B91" s="1118"/>
      <c r="C91" s="1118"/>
      <c r="D91" s="1118"/>
      <c r="E91" s="1118"/>
      <c r="F91" s="1118"/>
      <c r="G91" s="1118"/>
      <c r="H91" s="1118"/>
    </row>
    <row r="92" spans="1:8">
      <c r="A92" s="1116" t="s">
        <v>525</v>
      </c>
      <c r="B92" s="1118"/>
      <c r="C92" s="1118"/>
      <c r="D92" s="1118"/>
      <c r="E92" s="1118"/>
      <c r="F92" s="1118"/>
      <c r="G92" s="1118"/>
      <c r="H92" s="1118"/>
    </row>
    <row r="93" spans="1:8">
      <c r="A93" s="1118"/>
      <c r="B93" s="1118"/>
      <c r="C93" s="1118"/>
      <c r="D93" s="1118"/>
      <c r="E93" s="1118"/>
      <c r="F93" s="1118"/>
      <c r="G93" s="1118"/>
      <c r="H93" s="1118"/>
    </row>
    <row r="94" spans="1:8">
      <c r="A94" s="1116" t="s">
        <v>626</v>
      </c>
      <c r="B94" s="1118"/>
      <c r="C94" s="1118"/>
      <c r="D94" s="1118"/>
      <c r="E94" s="1118"/>
      <c r="F94" s="1118"/>
      <c r="G94" s="1118"/>
      <c r="H94" s="1118"/>
    </row>
    <row r="95" spans="1:8">
      <c r="A95" s="1116" t="s">
        <v>627</v>
      </c>
      <c r="B95" s="1118"/>
      <c r="C95" s="1118"/>
      <c r="D95" s="1118"/>
      <c r="E95" s="1118"/>
      <c r="F95" s="1118"/>
      <c r="G95" s="1118"/>
      <c r="H95" s="1118"/>
    </row>
    <row r="96" spans="1:8">
      <c r="A96" s="1116" t="s">
        <v>628</v>
      </c>
      <c r="B96" s="1118"/>
      <c r="C96" s="1118"/>
      <c r="D96" s="1118"/>
      <c r="E96" s="1118"/>
      <c r="F96" s="1118"/>
      <c r="G96" s="1118"/>
      <c r="H96" s="1118"/>
    </row>
    <row r="97" spans="1:8">
      <c r="A97" s="1116" t="s">
        <v>629</v>
      </c>
      <c r="B97" s="1118"/>
      <c r="C97" s="1118"/>
      <c r="D97" s="1118"/>
      <c r="E97" s="1118"/>
      <c r="F97" s="1118"/>
      <c r="G97" s="1118"/>
      <c r="H97" s="1118"/>
    </row>
    <row r="98" spans="1:8">
      <c r="A98" s="1116" t="s">
        <v>630</v>
      </c>
      <c r="B98" s="1118"/>
      <c r="C98" s="1118"/>
      <c r="D98" s="1118"/>
      <c r="E98" s="1118"/>
      <c r="F98" s="1118"/>
      <c r="G98" s="1118"/>
      <c r="H98" s="1118"/>
    </row>
    <row r="99" spans="1:8">
      <c r="A99" s="1116" t="s">
        <v>631</v>
      </c>
      <c r="B99" s="1118"/>
      <c r="C99" s="1118"/>
      <c r="D99" s="1118"/>
      <c r="E99" s="1118"/>
      <c r="F99" s="1118"/>
      <c r="G99" s="1118"/>
      <c r="H99" s="1118"/>
    </row>
    <row r="100" spans="1:8">
      <c r="A100" s="1116" t="s">
        <v>632</v>
      </c>
      <c r="B100" s="1118"/>
      <c r="C100" s="1118"/>
      <c r="D100" s="1118"/>
      <c r="E100" s="1118"/>
      <c r="F100" s="1118"/>
      <c r="G100" s="1118"/>
      <c r="H100" s="1118"/>
    </row>
    <row r="101" spans="1:8">
      <c r="A101" s="1118"/>
      <c r="B101" s="1118"/>
      <c r="C101" s="1118"/>
      <c r="D101" s="1118"/>
      <c r="E101" s="1118"/>
      <c r="F101" s="1118"/>
      <c r="G101" s="1118"/>
      <c r="H101" s="1118"/>
    </row>
    <row r="102" spans="1:8">
      <c r="A102" s="1116" t="s">
        <v>624</v>
      </c>
      <c r="B102" s="1118"/>
      <c r="C102" s="1118"/>
      <c r="D102" s="1118"/>
      <c r="E102" s="1118"/>
      <c r="F102" s="1118"/>
      <c r="G102" s="1118"/>
      <c r="H102" s="1118"/>
    </row>
    <row r="103" spans="1:8">
      <c r="A103" s="1116" t="s">
        <v>625</v>
      </c>
      <c r="B103" s="1118"/>
      <c r="C103" s="1118"/>
      <c r="D103" s="1118"/>
      <c r="E103" s="1118"/>
      <c r="F103" s="1118"/>
      <c r="G103" s="1118"/>
      <c r="H103" s="1118"/>
    </row>
    <row r="104" spans="1:8">
      <c r="A104" s="1118"/>
      <c r="B104" s="1118"/>
      <c r="C104" s="1118"/>
      <c r="D104" s="1118"/>
      <c r="E104" s="1118"/>
      <c r="F104" s="1118"/>
      <c r="G104" s="1118"/>
      <c r="H104" s="1118"/>
    </row>
    <row r="105" spans="1:8" ht="15.75">
      <c r="A105" s="1117" t="s">
        <v>401</v>
      </c>
      <c r="B105" s="1118"/>
      <c r="C105" s="1118"/>
      <c r="D105" s="1118"/>
      <c r="E105" s="1118"/>
      <c r="F105" s="1118"/>
      <c r="G105" s="1118"/>
      <c r="H105" s="1118"/>
    </row>
    <row r="106" spans="1:8">
      <c r="A106" s="1118"/>
      <c r="B106" s="1118"/>
      <c r="C106" s="1118"/>
      <c r="D106" s="1118"/>
      <c r="E106" s="1118"/>
      <c r="F106" s="1118"/>
      <c r="G106" s="1118"/>
      <c r="H106" s="1118"/>
    </row>
    <row r="107" spans="1:8">
      <c r="A107" s="1116" t="s">
        <v>615</v>
      </c>
      <c r="B107" s="1118"/>
      <c r="C107" s="1118"/>
      <c r="D107" s="1118"/>
      <c r="E107" s="1118"/>
      <c r="F107" s="1118"/>
      <c r="G107" s="1118"/>
      <c r="H107" s="1118"/>
    </row>
    <row r="108" spans="1:8">
      <c r="A108" s="1116" t="s">
        <v>616</v>
      </c>
      <c r="B108" s="1118"/>
      <c r="C108" s="1118"/>
      <c r="D108" s="1118"/>
      <c r="E108" s="1118"/>
      <c r="F108" s="1118"/>
      <c r="G108" s="1118"/>
      <c r="H108" s="1118"/>
    </row>
    <row r="109" spans="1:8">
      <c r="A109" s="1116" t="s">
        <v>617</v>
      </c>
      <c r="B109" s="1118"/>
      <c r="C109" s="1118"/>
      <c r="D109" s="1118"/>
      <c r="E109" s="1118"/>
      <c r="F109" s="1118"/>
      <c r="G109" s="1118"/>
      <c r="H109" s="1118"/>
    </row>
    <row r="110" spans="1:8">
      <c r="A110" s="1116" t="s">
        <v>618</v>
      </c>
      <c r="B110" s="1118"/>
      <c r="C110" s="1118"/>
      <c r="D110" s="1118"/>
      <c r="E110" s="1118"/>
      <c r="F110" s="1118"/>
      <c r="G110" s="1118"/>
      <c r="H110" s="1118"/>
    </row>
    <row r="111" spans="1:8">
      <c r="A111" s="1116" t="s">
        <v>619</v>
      </c>
      <c r="B111" s="1118"/>
      <c r="C111" s="1118"/>
      <c r="D111" s="1118"/>
      <c r="E111" s="1118"/>
      <c r="F111" s="1118"/>
      <c r="G111" s="1118"/>
      <c r="H111" s="1118"/>
    </row>
    <row r="112" spans="1:8">
      <c r="A112" s="1116" t="s">
        <v>620</v>
      </c>
      <c r="B112" s="1118"/>
      <c r="C112" s="1118"/>
      <c r="D112" s="1118"/>
      <c r="E112" s="1118"/>
      <c r="F112" s="1118"/>
      <c r="G112" s="1118"/>
      <c r="H112" s="1118"/>
    </row>
    <row r="113" spans="1:8">
      <c r="A113" s="1116" t="s">
        <v>621</v>
      </c>
      <c r="B113" s="1118"/>
      <c r="C113" s="1118"/>
      <c r="D113" s="1118"/>
      <c r="E113" s="1118"/>
      <c r="F113" s="1118"/>
      <c r="G113" s="1118"/>
      <c r="H113" s="1118"/>
    </row>
    <row r="114" spans="1:8">
      <c r="A114" s="1116" t="s">
        <v>622</v>
      </c>
      <c r="B114" s="1118"/>
      <c r="C114" s="1118"/>
      <c r="D114" s="1118"/>
      <c r="E114" s="1118"/>
      <c r="F114" s="1118"/>
      <c r="G114" s="1118"/>
      <c r="H114" s="1118"/>
    </row>
    <row r="115" spans="1:8">
      <c r="A115" s="1116" t="s">
        <v>623</v>
      </c>
      <c r="B115" s="1118"/>
      <c r="C115" s="1118"/>
      <c r="D115" s="1118"/>
      <c r="E115" s="1118"/>
      <c r="F115" s="1118"/>
      <c r="G115" s="1118"/>
      <c r="H115" s="1118"/>
    </row>
    <row r="116" spans="1:8">
      <c r="A116" s="1118"/>
      <c r="B116" s="1118"/>
      <c r="C116" s="1118"/>
      <c r="D116" s="1118"/>
      <c r="E116" s="1118"/>
      <c r="F116" s="1118"/>
      <c r="G116" s="1118"/>
      <c r="H116" s="1118"/>
    </row>
    <row r="117" spans="1:8" ht="15.75">
      <c r="A117" s="1125" t="s">
        <v>402</v>
      </c>
      <c r="B117" s="1125"/>
      <c r="C117" s="1125"/>
      <c r="D117" s="1125"/>
      <c r="E117" s="1125"/>
      <c r="F117" s="1125"/>
      <c r="G117" s="1125"/>
      <c r="H117" s="1125"/>
    </row>
    <row r="118" spans="1:8">
      <c r="A118" s="1121" t="s">
        <v>1163</v>
      </c>
      <c r="B118" s="1121"/>
      <c r="C118" s="1121"/>
      <c r="D118" s="1121"/>
      <c r="E118" s="1121"/>
      <c r="F118" s="1121"/>
      <c r="G118" s="1121"/>
      <c r="H118" s="1121"/>
    </row>
    <row r="119" spans="1:8">
      <c r="A119" s="1126"/>
      <c r="B119" s="1126"/>
      <c r="C119" s="1126"/>
      <c r="D119" s="1126"/>
      <c r="E119" s="1126"/>
      <c r="F119" s="1126"/>
      <c r="G119" s="1126"/>
      <c r="H119" s="1126"/>
    </row>
    <row r="120" spans="1:8">
      <c r="A120" s="1121" t="s">
        <v>613</v>
      </c>
      <c r="B120" s="1121"/>
      <c r="C120" s="1121"/>
      <c r="D120" s="1121"/>
      <c r="E120" s="1121"/>
      <c r="F120" s="1121"/>
      <c r="G120" s="1121"/>
      <c r="H120" s="1121"/>
    </row>
    <row r="121" spans="1:8">
      <c r="A121" s="1116" t="s">
        <v>614</v>
      </c>
      <c r="B121" s="1116"/>
      <c r="C121" s="1116"/>
      <c r="D121" s="1116"/>
      <c r="E121" s="1116"/>
      <c r="F121" s="1116"/>
      <c r="G121" s="1116"/>
      <c r="H121" s="1116"/>
    </row>
    <row r="122" spans="1:8">
      <c r="A122" s="1126"/>
      <c r="B122" s="1126"/>
      <c r="C122" s="1126"/>
      <c r="D122" s="1126"/>
      <c r="E122" s="1126"/>
      <c r="F122" s="1126"/>
      <c r="G122" s="1126"/>
      <c r="H122" s="1126"/>
    </row>
    <row r="123" spans="1:8">
      <c r="A123" s="1121" t="s">
        <v>606</v>
      </c>
      <c r="B123" s="1121"/>
      <c r="C123" s="1121"/>
      <c r="D123" s="1121"/>
      <c r="E123" s="1121"/>
      <c r="F123" s="1121"/>
      <c r="G123" s="1121"/>
      <c r="H123" s="1121"/>
    </row>
    <row r="124" spans="1:8">
      <c r="A124" s="1116" t="s">
        <v>607</v>
      </c>
      <c r="B124" s="1116"/>
      <c r="C124" s="1116"/>
      <c r="D124" s="1116"/>
      <c r="E124" s="1116"/>
      <c r="F124" s="1116"/>
      <c r="G124" s="1116"/>
      <c r="H124" s="1116"/>
    </row>
    <row r="125" spans="1:8">
      <c r="A125" s="1116" t="s">
        <v>608</v>
      </c>
      <c r="B125" s="1116"/>
      <c r="C125" s="1116"/>
      <c r="D125" s="1116"/>
      <c r="E125" s="1116"/>
      <c r="F125" s="1116"/>
      <c r="G125" s="1116"/>
      <c r="H125" s="1116"/>
    </row>
    <row r="126" spans="1:8">
      <c r="A126" s="1116" t="s">
        <v>609</v>
      </c>
      <c r="B126" s="1116"/>
      <c r="C126" s="1116"/>
      <c r="D126" s="1116"/>
      <c r="E126" s="1116"/>
      <c r="F126" s="1116"/>
      <c r="G126" s="1116"/>
      <c r="H126" s="1116"/>
    </row>
    <row r="127" spans="1:8">
      <c r="A127" s="1116" t="s">
        <v>610</v>
      </c>
      <c r="B127" s="1116"/>
      <c r="C127" s="1116"/>
      <c r="D127" s="1116"/>
      <c r="E127" s="1116"/>
      <c r="F127" s="1116"/>
      <c r="G127" s="1116"/>
      <c r="H127" s="1116"/>
    </row>
    <row r="128" spans="1:8">
      <c r="A128" s="1116" t="s">
        <v>611</v>
      </c>
      <c r="B128" s="1116"/>
      <c r="C128" s="1116"/>
      <c r="D128" s="1116"/>
      <c r="E128" s="1116"/>
      <c r="F128" s="1116"/>
      <c r="G128" s="1116"/>
      <c r="H128" s="1116"/>
    </row>
    <row r="129" spans="1:8">
      <c r="A129" s="1116" t="s">
        <v>612</v>
      </c>
      <c r="B129" s="1116"/>
      <c r="C129" s="1116"/>
      <c r="D129" s="1116"/>
      <c r="E129" s="1116"/>
      <c r="F129" s="1116"/>
      <c r="G129" s="1116"/>
      <c r="H129" s="1116"/>
    </row>
    <row r="130" spans="1:8">
      <c r="A130" s="1119"/>
      <c r="B130" s="1119"/>
      <c r="C130" s="1119"/>
      <c r="D130" s="1119"/>
      <c r="E130" s="1119"/>
      <c r="F130" s="1119"/>
      <c r="G130" s="1119"/>
      <c r="H130" s="1119"/>
    </row>
    <row r="131" spans="1:8">
      <c r="A131" s="135"/>
      <c r="B131" s="1122" t="s">
        <v>403</v>
      </c>
      <c r="C131" s="1123"/>
      <c r="D131" s="1122" t="s">
        <v>404</v>
      </c>
      <c r="E131" s="1124"/>
      <c r="F131" s="1123"/>
      <c r="G131" s="1122" t="s">
        <v>405</v>
      </c>
      <c r="H131" s="1123"/>
    </row>
    <row r="132" spans="1:8">
      <c r="A132" s="135" t="s">
        <v>406</v>
      </c>
      <c r="B132" s="135" t="s">
        <v>174</v>
      </c>
      <c r="C132" s="135" t="s">
        <v>407</v>
      </c>
      <c r="D132" s="135" t="s">
        <v>174</v>
      </c>
      <c r="E132" s="135" t="s">
        <v>408</v>
      </c>
      <c r="F132" s="135" t="s">
        <v>409</v>
      </c>
      <c r="G132" s="135" t="s">
        <v>174</v>
      </c>
      <c r="H132" s="135" t="s">
        <v>410</v>
      </c>
    </row>
    <row r="133" spans="1:8">
      <c r="A133" s="135" t="s">
        <v>411</v>
      </c>
      <c r="B133" s="135">
        <v>1175</v>
      </c>
      <c r="C133" s="136">
        <v>0.37</v>
      </c>
      <c r="D133" s="135">
        <v>315</v>
      </c>
      <c r="E133" s="136">
        <v>0.41</v>
      </c>
      <c r="F133" s="136">
        <v>0.27</v>
      </c>
      <c r="G133" s="135">
        <v>555</v>
      </c>
      <c r="H133" s="136">
        <v>0.39</v>
      </c>
    </row>
    <row r="134" spans="1:8">
      <c r="A134" s="135" t="s">
        <v>412</v>
      </c>
      <c r="B134" s="135">
        <v>1369</v>
      </c>
      <c r="C134" s="136">
        <v>0.43</v>
      </c>
      <c r="D134" s="135">
        <v>357</v>
      </c>
      <c r="E134" s="136">
        <v>0.47</v>
      </c>
      <c r="F134" s="136">
        <v>0.26</v>
      </c>
      <c r="G134" s="135">
        <v>643</v>
      </c>
      <c r="H134" s="136">
        <v>0.45</v>
      </c>
    </row>
    <row r="135" spans="1:8">
      <c r="A135" s="135" t="s">
        <v>413</v>
      </c>
      <c r="B135" s="135">
        <v>53</v>
      </c>
      <c r="C135" s="136">
        <v>0.02</v>
      </c>
      <c r="D135" s="135">
        <v>5</v>
      </c>
      <c r="E135" s="136">
        <v>0.01</v>
      </c>
      <c r="F135" s="136">
        <v>0.09</v>
      </c>
      <c r="G135" s="135">
        <v>7</v>
      </c>
      <c r="H135" s="136">
        <v>0</v>
      </c>
    </row>
    <row r="136" spans="1:8">
      <c r="A136" s="135" t="s">
        <v>414</v>
      </c>
      <c r="B136" s="135">
        <v>552</v>
      </c>
      <c r="C136" s="136">
        <v>0.18</v>
      </c>
      <c r="D136" s="135">
        <v>87</v>
      </c>
      <c r="E136" s="136">
        <v>0.11</v>
      </c>
      <c r="F136" s="136">
        <v>0.16</v>
      </c>
      <c r="G136" s="135">
        <v>222</v>
      </c>
      <c r="H136" s="136">
        <v>0.16</v>
      </c>
    </row>
    <row r="137" spans="1:8">
      <c r="A137" s="135" t="s">
        <v>110</v>
      </c>
      <c r="B137" s="137">
        <v>3149</v>
      </c>
      <c r="C137" s="135"/>
      <c r="D137" s="135">
        <v>764</v>
      </c>
      <c r="E137" s="135"/>
      <c r="F137" s="135"/>
      <c r="G137" s="135">
        <v>1427</v>
      </c>
      <c r="H137" s="135"/>
    </row>
    <row r="138" spans="1:8">
      <c r="A138" s="1120"/>
      <c r="B138" s="1120"/>
      <c r="C138" s="1120"/>
      <c r="D138" s="1120"/>
      <c r="E138" s="1120"/>
      <c r="F138" s="1120"/>
      <c r="G138" s="1120"/>
      <c r="H138" s="1120"/>
    </row>
    <row r="139" spans="1:8">
      <c r="A139" s="1121" t="s">
        <v>605</v>
      </c>
      <c r="B139" s="1121"/>
      <c r="C139" s="1121"/>
      <c r="D139" s="1121"/>
      <c r="E139" s="1121"/>
      <c r="F139" s="1121"/>
      <c r="G139" s="1121"/>
      <c r="H139" s="1121"/>
    </row>
    <row r="140" spans="1:8">
      <c r="A140" s="1116" t="s">
        <v>1166</v>
      </c>
      <c r="B140" s="1116"/>
      <c r="C140" s="1116"/>
      <c r="D140" s="1116"/>
      <c r="E140" s="1116"/>
      <c r="F140" s="1116"/>
      <c r="G140" s="1116"/>
      <c r="H140" s="1116"/>
    </row>
    <row r="141" spans="1:8">
      <c r="A141" s="1116" t="s">
        <v>1167</v>
      </c>
      <c r="B141" s="1116"/>
      <c r="C141" s="1116"/>
      <c r="D141" s="1116"/>
      <c r="E141" s="1116"/>
      <c r="F141" s="1116"/>
      <c r="G141" s="1116"/>
      <c r="H141" s="1116"/>
    </row>
    <row r="142" spans="1:8">
      <c r="A142" s="1116" t="s">
        <v>1168</v>
      </c>
      <c r="B142" s="1116"/>
      <c r="C142" s="1116"/>
      <c r="D142" s="1116"/>
      <c r="E142" s="1116"/>
      <c r="F142" s="1116"/>
      <c r="G142" s="1116"/>
      <c r="H142" s="1116"/>
    </row>
    <row r="143" spans="1:8">
      <c r="A143" s="1118"/>
      <c r="B143" s="1118"/>
      <c r="C143" s="1118"/>
      <c r="D143" s="1118"/>
      <c r="E143" s="1118"/>
      <c r="F143" s="1118"/>
      <c r="G143" s="1118"/>
      <c r="H143" s="1118"/>
    </row>
    <row r="144" spans="1:8" ht="15.75">
      <c r="A144" s="1117" t="s">
        <v>415</v>
      </c>
      <c r="B144" s="1118"/>
      <c r="C144" s="1118"/>
      <c r="D144" s="1118"/>
      <c r="E144" s="1118"/>
      <c r="F144" s="1118"/>
      <c r="G144" s="1118"/>
      <c r="H144" s="1118"/>
    </row>
    <row r="145" spans="1:8">
      <c r="A145" s="1118"/>
      <c r="B145" s="1118"/>
      <c r="C145" s="1118"/>
      <c r="D145" s="1118"/>
      <c r="E145" s="1118"/>
      <c r="F145" s="1118"/>
      <c r="G145" s="1118"/>
      <c r="H145" s="1118"/>
    </row>
    <row r="146" spans="1:8">
      <c r="A146" s="1116" t="s">
        <v>603</v>
      </c>
      <c r="B146" s="1118"/>
      <c r="C146" s="1118"/>
      <c r="D146" s="1118"/>
      <c r="E146" s="1118"/>
      <c r="F146" s="1118"/>
      <c r="G146" s="1118"/>
      <c r="H146" s="1118"/>
    </row>
    <row r="147" spans="1:8">
      <c r="A147" s="1116" t="s">
        <v>604</v>
      </c>
      <c r="B147" s="1118"/>
      <c r="C147" s="1118"/>
      <c r="D147" s="1118"/>
      <c r="E147" s="1118"/>
      <c r="F147" s="1118"/>
      <c r="G147" s="1118"/>
      <c r="H147" s="1118"/>
    </row>
    <row r="148" spans="1:8">
      <c r="A148" s="1118"/>
      <c r="B148" s="1118"/>
      <c r="C148" s="1118"/>
      <c r="D148" s="1118"/>
      <c r="E148" s="1118"/>
      <c r="F148" s="1118"/>
      <c r="G148" s="1118"/>
      <c r="H148" s="1118"/>
    </row>
    <row r="149" spans="1:8">
      <c r="A149" s="1116" t="s">
        <v>600</v>
      </c>
      <c r="B149" s="1118"/>
      <c r="C149" s="1118"/>
      <c r="D149" s="1118"/>
      <c r="E149" s="1118"/>
      <c r="F149" s="1118"/>
      <c r="G149" s="1118"/>
      <c r="H149" s="1118"/>
    </row>
    <row r="150" spans="1:8">
      <c r="A150" s="1116" t="s">
        <v>601</v>
      </c>
      <c r="B150" s="1118"/>
      <c r="C150" s="1118"/>
      <c r="D150" s="1118"/>
      <c r="E150" s="1118"/>
      <c r="F150" s="1118"/>
      <c r="G150" s="1118"/>
      <c r="H150" s="1118"/>
    </row>
    <row r="151" spans="1:8">
      <c r="A151" s="1116" t="s">
        <v>602</v>
      </c>
      <c r="B151" s="1118"/>
      <c r="C151" s="1118"/>
      <c r="D151" s="1118"/>
      <c r="E151" s="1118"/>
      <c r="F151" s="1118"/>
      <c r="G151" s="1118"/>
      <c r="H151" s="1118"/>
    </row>
    <row r="152" spans="1:8">
      <c r="A152" s="1118"/>
      <c r="B152" s="1118"/>
      <c r="C152" s="1118"/>
      <c r="D152" s="1118"/>
      <c r="E152" s="1118"/>
      <c r="F152" s="1118"/>
      <c r="G152" s="1118"/>
      <c r="H152" s="1118"/>
    </row>
    <row r="153" spans="1:8">
      <c r="A153" s="1116" t="s">
        <v>597</v>
      </c>
      <c r="B153" s="1118"/>
      <c r="C153" s="1118"/>
      <c r="D153" s="1118"/>
      <c r="E153" s="1118"/>
      <c r="F153" s="1118"/>
      <c r="G153" s="1118"/>
      <c r="H153" s="1118"/>
    </row>
    <row r="154" spans="1:8">
      <c r="A154" s="1116" t="s">
        <v>598</v>
      </c>
      <c r="B154" s="1118"/>
      <c r="C154" s="1118"/>
      <c r="D154" s="1118"/>
      <c r="E154" s="1118"/>
      <c r="F154" s="1118"/>
      <c r="G154" s="1118"/>
      <c r="H154" s="1118"/>
    </row>
    <row r="155" spans="1:8">
      <c r="A155" s="1116" t="s">
        <v>599</v>
      </c>
      <c r="B155" s="1118"/>
      <c r="C155" s="1118"/>
      <c r="D155" s="1118"/>
      <c r="E155" s="1118"/>
      <c r="F155" s="1118"/>
      <c r="G155" s="1118"/>
      <c r="H155" s="1118"/>
    </row>
    <row r="156" spans="1:8">
      <c r="A156" s="1118"/>
      <c r="B156" s="1118"/>
      <c r="C156" s="1118"/>
      <c r="D156" s="1118"/>
      <c r="E156" s="1118"/>
      <c r="F156" s="1118"/>
      <c r="G156" s="1118"/>
      <c r="H156" s="1118"/>
    </row>
    <row r="157" spans="1:8">
      <c r="A157" s="1116" t="s">
        <v>594</v>
      </c>
      <c r="B157" s="1118"/>
      <c r="C157" s="1118"/>
      <c r="D157" s="1118"/>
      <c r="E157" s="1118"/>
      <c r="F157" s="1118"/>
      <c r="G157" s="1118"/>
      <c r="H157" s="1118"/>
    </row>
    <row r="158" spans="1:8">
      <c r="A158" s="1116" t="s">
        <v>595</v>
      </c>
      <c r="B158" s="1118"/>
      <c r="C158" s="1118"/>
      <c r="D158" s="1118"/>
      <c r="E158" s="1118"/>
      <c r="F158" s="1118"/>
      <c r="G158" s="1118"/>
      <c r="H158" s="1118"/>
    </row>
    <row r="159" spans="1:8">
      <c r="A159" s="1116" t="s">
        <v>596</v>
      </c>
      <c r="B159" s="1118"/>
      <c r="C159" s="1118"/>
      <c r="D159" s="1118"/>
      <c r="E159" s="1118"/>
      <c r="F159" s="1118"/>
      <c r="G159" s="1118"/>
      <c r="H159" s="1118"/>
    </row>
    <row r="160" spans="1:8">
      <c r="A160" s="1118"/>
      <c r="B160" s="1118"/>
      <c r="C160" s="1118"/>
      <c r="D160" s="1118"/>
      <c r="E160" s="1118"/>
      <c r="F160" s="1118"/>
      <c r="G160" s="1118"/>
      <c r="H160" s="1118"/>
    </row>
    <row r="161" spans="1:8">
      <c r="A161" s="1116" t="s">
        <v>592</v>
      </c>
      <c r="B161" s="1118"/>
      <c r="C161" s="1118"/>
      <c r="D161" s="1118"/>
      <c r="E161" s="1118"/>
      <c r="F161" s="1118"/>
      <c r="G161" s="1118"/>
      <c r="H161" s="1118"/>
    </row>
    <row r="162" spans="1:8">
      <c r="A162" s="1116" t="s">
        <v>593</v>
      </c>
      <c r="B162" s="1118"/>
      <c r="C162" s="1118"/>
      <c r="D162" s="1118"/>
      <c r="E162" s="1118"/>
      <c r="F162" s="1118"/>
      <c r="G162" s="1118"/>
      <c r="H162" s="1118"/>
    </row>
    <row r="163" spans="1:8">
      <c r="A163" s="1118"/>
      <c r="B163" s="1118"/>
      <c r="C163" s="1118"/>
      <c r="D163" s="1118"/>
      <c r="E163" s="1118"/>
      <c r="F163" s="1118"/>
      <c r="G163" s="1118"/>
      <c r="H163" s="1118"/>
    </row>
    <row r="164" spans="1:8" ht="15.75">
      <c r="A164" s="1117" t="s">
        <v>416</v>
      </c>
      <c r="B164" s="1118"/>
      <c r="C164" s="1118"/>
      <c r="D164" s="1118"/>
      <c r="E164" s="1118"/>
      <c r="F164" s="1118"/>
      <c r="G164" s="1118"/>
      <c r="H164" s="1118"/>
    </row>
    <row r="165" spans="1:8">
      <c r="A165" s="1118"/>
      <c r="B165" s="1118"/>
      <c r="C165" s="1118"/>
      <c r="D165" s="1118"/>
      <c r="E165" s="1118"/>
      <c r="F165" s="1118"/>
      <c r="G165" s="1118"/>
      <c r="H165" s="1118"/>
    </row>
    <row r="166" spans="1:8">
      <c r="A166" s="1116" t="s">
        <v>590</v>
      </c>
      <c r="B166" s="1118"/>
      <c r="C166" s="1118"/>
      <c r="D166" s="1118"/>
      <c r="E166" s="1118"/>
      <c r="F166" s="1118"/>
      <c r="G166" s="1118"/>
      <c r="H166" s="1118"/>
    </row>
    <row r="167" spans="1:8">
      <c r="A167" s="1116" t="s">
        <v>591</v>
      </c>
      <c r="B167" s="1118"/>
      <c r="C167" s="1118"/>
      <c r="D167" s="1118"/>
      <c r="E167" s="1118"/>
      <c r="F167" s="1118"/>
      <c r="G167" s="1118"/>
      <c r="H167" s="1118"/>
    </row>
    <row r="168" spans="1:8">
      <c r="A168" s="1118"/>
      <c r="B168" s="1118"/>
      <c r="C168" s="1118"/>
      <c r="D168" s="1118"/>
      <c r="E168" s="1118"/>
      <c r="F168" s="1118"/>
      <c r="G168" s="1118"/>
      <c r="H168" s="1118"/>
    </row>
    <row r="169" spans="1:8">
      <c r="A169" s="1116" t="s">
        <v>588</v>
      </c>
      <c r="B169" s="1118"/>
      <c r="C169" s="1118"/>
      <c r="D169" s="1118"/>
      <c r="E169" s="1118"/>
      <c r="F169" s="1118"/>
      <c r="G169" s="1118"/>
      <c r="H169" s="1118"/>
    </row>
    <row r="170" spans="1:8">
      <c r="A170" s="1116" t="s">
        <v>589</v>
      </c>
      <c r="B170" s="1118"/>
      <c r="C170" s="1118"/>
      <c r="D170" s="1118"/>
      <c r="E170" s="1118"/>
      <c r="F170" s="1118"/>
      <c r="G170" s="1118"/>
      <c r="H170" s="1118"/>
    </row>
    <row r="171" spans="1:8">
      <c r="A171" s="1118"/>
      <c r="B171" s="1118"/>
      <c r="C171" s="1118"/>
      <c r="D171" s="1118"/>
      <c r="E171" s="1118"/>
      <c r="F171" s="1118"/>
      <c r="G171" s="1118"/>
      <c r="H171" s="1118"/>
    </row>
    <row r="172" spans="1:8">
      <c r="A172" s="1116" t="s">
        <v>586</v>
      </c>
      <c r="B172" s="1118"/>
      <c r="C172" s="1118"/>
      <c r="D172" s="1118"/>
      <c r="E172" s="1118"/>
      <c r="F172" s="1118"/>
      <c r="G172" s="1118"/>
      <c r="H172" s="1118"/>
    </row>
    <row r="173" spans="1:8">
      <c r="A173" s="1116" t="s">
        <v>587</v>
      </c>
      <c r="B173" s="1118"/>
      <c r="C173" s="1118"/>
      <c r="D173" s="1118"/>
      <c r="E173" s="1118"/>
      <c r="F173" s="1118"/>
      <c r="G173" s="1118"/>
      <c r="H173" s="1118"/>
    </row>
    <row r="174" spans="1:8">
      <c r="A174" s="1118"/>
      <c r="B174" s="1118"/>
      <c r="C174" s="1118"/>
      <c r="D174" s="1118"/>
      <c r="E174" s="1118"/>
      <c r="F174" s="1118"/>
      <c r="G174" s="1118"/>
      <c r="H174" s="1118"/>
    </row>
    <row r="175" spans="1:8">
      <c r="A175" s="1116" t="s">
        <v>583</v>
      </c>
      <c r="B175" s="1118"/>
      <c r="C175" s="1118"/>
      <c r="D175" s="1118"/>
      <c r="E175" s="1118"/>
      <c r="F175" s="1118"/>
      <c r="G175" s="1118"/>
      <c r="H175" s="1118"/>
    </row>
    <row r="176" spans="1:8">
      <c r="A176" s="1116" t="s">
        <v>584</v>
      </c>
      <c r="B176" s="1118"/>
      <c r="C176" s="1118"/>
      <c r="D176" s="1118"/>
      <c r="E176" s="1118"/>
      <c r="F176" s="1118"/>
      <c r="G176" s="1118"/>
      <c r="H176" s="1118"/>
    </row>
    <row r="177" spans="1:8">
      <c r="A177" s="1116" t="s">
        <v>585</v>
      </c>
      <c r="B177" s="1118"/>
      <c r="C177" s="1118"/>
      <c r="D177" s="1118"/>
      <c r="E177" s="1118"/>
      <c r="F177" s="1118"/>
      <c r="G177" s="1118"/>
      <c r="H177" s="1118"/>
    </row>
    <row r="178" spans="1:8">
      <c r="A178" s="1118"/>
      <c r="B178" s="1118"/>
      <c r="C178" s="1118"/>
      <c r="D178" s="1118"/>
      <c r="E178" s="1118"/>
      <c r="F178" s="1118"/>
      <c r="G178" s="1118"/>
      <c r="H178" s="1118"/>
    </row>
    <row r="179" spans="1:8">
      <c r="A179" s="1118"/>
      <c r="B179" s="1118"/>
      <c r="C179" s="1118"/>
      <c r="D179" s="1118"/>
      <c r="E179" s="1118"/>
      <c r="F179" s="1118"/>
      <c r="G179" s="1118"/>
      <c r="H179" s="1118"/>
    </row>
    <row r="180" spans="1:8">
      <c r="A180" s="1116" t="s">
        <v>417</v>
      </c>
      <c r="B180" s="1118"/>
      <c r="C180" s="1118"/>
      <c r="D180" s="1118"/>
      <c r="E180" s="1118"/>
      <c r="F180" s="1118"/>
      <c r="G180" s="1118"/>
      <c r="H180" s="1118"/>
    </row>
    <row r="181" spans="1:8">
      <c r="A181" s="1118"/>
      <c r="B181" s="1118"/>
      <c r="C181" s="1118"/>
      <c r="D181" s="1118"/>
      <c r="E181" s="1118"/>
      <c r="F181" s="1118"/>
      <c r="G181" s="1118"/>
      <c r="H181" s="1118"/>
    </row>
    <row r="182" spans="1:8" ht="15.75">
      <c r="A182" s="1117" t="s">
        <v>418</v>
      </c>
      <c r="B182" s="1118"/>
      <c r="C182" s="1118"/>
      <c r="D182" s="1118"/>
      <c r="E182" s="1118"/>
      <c r="F182" s="1118"/>
      <c r="G182" s="1118"/>
      <c r="H182" s="1118"/>
    </row>
    <row r="183" spans="1:8">
      <c r="A183" s="1118"/>
      <c r="B183" s="1118"/>
      <c r="C183" s="1118"/>
      <c r="D183" s="1118"/>
      <c r="E183" s="1118"/>
      <c r="F183" s="1118"/>
      <c r="G183" s="1118"/>
      <c r="H183" s="1118"/>
    </row>
    <row r="184" spans="1:8">
      <c r="A184" s="1118"/>
      <c r="B184" s="1118"/>
      <c r="C184" s="1118"/>
      <c r="D184" s="1118"/>
      <c r="E184" s="1118"/>
      <c r="F184" s="1118"/>
      <c r="G184" s="1118"/>
      <c r="H184" s="1118"/>
    </row>
    <row r="185" spans="1:8">
      <c r="A185" s="1118"/>
      <c r="B185" s="1118"/>
      <c r="C185" s="1118"/>
      <c r="D185" s="1118"/>
      <c r="E185" s="1118"/>
      <c r="F185" s="1118"/>
      <c r="G185" s="1118"/>
      <c r="H185" s="1118"/>
    </row>
    <row r="186" spans="1:8">
      <c r="A186" s="1118"/>
      <c r="B186" s="1118"/>
      <c r="C186" s="1118"/>
      <c r="D186" s="1118"/>
      <c r="E186" s="1118"/>
      <c r="F186" s="1118"/>
      <c r="G186" s="1118"/>
      <c r="H186" s="1118"/>
    </row>
    <row r="187" spans="1:8">
      <c r="A187" s="1118"/>
      <c r="B187" s="1118"/>
      <c r="C187" s="1118"/>
      <c r="D187" s="1118"/>
      <c r="E187" s="1118"/>
      <c r="F187" s="1118"/>
      <c r="G187" s="1118"/>
      <c r="H187" s="1118"/>
    </row>
    <row r="188" spans="1:8">
      <c r="A188" s="1118"/>
      <c r="B188" s="1118"/>
      <c r="C188" s="1118"/>
      <c r="D188" s="1118"/>
      <c r="E188" s="1118"/>
      <c r="F188" s="1118"/>
      <c r="G188" s="1118"/>
      <c r="H188" s="1118"/>
    </row>
    <row r="189" spans="1:8">
      <c r="A189" s="1118"/>
      <c r="B189" s="1118"/>
      <c r="C189" s="1118"/>
      <c r="D189" s="1118"/>
      <c r="E189" s="1118"/>
      <c r="F189" s="1118"/>
      <c r="G189" s="1118"/>
      <c r="H189" s="1118"/>
    </row>
    <row r="190" spans="1:8">
      <c r="A190" s="1118"/>
      <c r="B190" s="1118"/>
      <c r="C190" s="1118"/>
      <c r="D190" s="1118"/>
      <c r="E190" s="1118"/>
      <c r="F190" s="1118"/>
      <c r="G190" s="1118"/>
      <c r="H190" s="1118"/>
    </row>
    <row r="191" spans="1:8">
      <c r="A191" s="1118"/>
      <c r="B191" s="1118"/>
      <c r="C191" s="1118"/>
      <c r="D191" s="1118"/>
      <c r="E191" s="1118"/>
      <c r="F191" s="1118"/>
      <c r="G191" s="1118"/>
      <c r="H191" s="1118"/>
    </row>
    <row r="192" spans="1:8">
      <c r="A192" s="1118"/>
      <c r="B192" s="1118"/>
      <c r="C192" s="1118"/>
      <c r="D192" s="1118"/>
      <c r="E192" s="1118"/>
      <c r="F192" s="1118"/>
      <c r="G192" s="1118"/>
      <c r="H192" s="1118"/>
    </row>
    <row r="193" spans="1:8">
      <c r="A193" s="1118"/>
      <c r="B193" s="1118"/>
      <c r="C193" s="1118"/>
      <c r="D193" s="1118"/>
      <c r="E193" s="1118"/>
      <c r="F193" s="1118"/>
      <c r="G193" s="1118"/>
      <c r="H193" s="1118"/>
    </row>
    <row r="194" spans="1:8">
      <c r="A194" s="1118"/>
      <c r="B194" s="1118"/>
      <c r="C194" s="1118"/>
      <c r="D194" s="1118"/>
      <c r="E194" s="1118"/>
      <c r="F194" s="1118"/>
      <c r="G194" s="1118"/>
      <c r="H194" s="1118"/>
    </row>
    <row r="195" spans="1:8">
      <c r="A195" s="1118"/>
      <c r="B195" s="1118"/>
      <c r="C195" s="1118"/>
      <c r="D195" s="1118"/>
      <c r="E195" s="1118"/>
      <c r="F195" s="1118"/>
      <c r="G195" s="1118"/>
      <c r="H195" s="1118"/>
    </row>
    <row r="196" spans="1:8">
      <c r="A196" s="1118"/>
      <c r="B196" s="1118"/>
      <c r="C196" s="1118"/>
      <c r="D196" s="1118"/>
      <c r="E196" s="1118"/>
      <c r="F196" s="1118"/>
      <c r="G196" s="1118"/>
      <c r="H196" s="1118"/>
    </row>
    <row r="197" spans="1:8">
      <c r="A197" s="1118"/>
      <c r="B197" s="1118"/>
      <c r="C197" s="1118"/>
      <c r="D197" s="1118"/>
      <c r="E197" s="1118"/>
      <c r="F197" s="1118"/>
      <c r="G197" s="1118"/>
      <c r="H197" s="1118"/>
    </row>
    <row r="198" spans="1:8">
      <c r="A198" s="1118"/>
      <c r="B198" s="1118"/>
      <c r="C198" s="1118"/>
      <c r="D198" s="1118"/>
      <c r="E198" s="1118"/>
      <c r="F198" s="1118"/>
      <c r="G198" s="1118"/>
      <c r="H198" s="1118"/>
    </row>
    <row r="199" spans="1:8">
      <c r="A199" s="1118"/>
      <c r="B199" s="1118"/>
      <c r="C199" s="1118"/>
      <c r="D199" s="1118"/>
      <c r="E199" s="1118"/>
      <c r="F199" s="1118"/>
      <c r="G199" s="1118"/>
      <c r="H199" s="1118"/>
    </row>
    <row r="200" spans="1:8">
      <c r="A200" s="1118"/>
      <c r="B200" s="1118"/>
      <c r="C200" s="1118"/>
      <c r="D200" s="1118"/>
      <c r="E200" s="1118"/>
      <c r="F200" s="1118"/>
      <c r="G200" s="1118"/>
      <c r="H200" s="1118"/>
    </row>
    <row r="201" spans="1:8">
      <c r="A201" s="1118"/>
      <c r="B201" s="1118"/>
      <c r="C201" s="1118"/>
      <c r="D201" s="1118"/>
      <c r="E201" s="1118"/>
      <c r="F201" s="1118"/>
      <c r="G201" s="1118"/>
      <c r="H201" s="1118"/>
    </row>
    <row r="202" spans="1:8">
      <c r="A202" s="1118"/>
      <c r="B202" s="1118"/>
      <c r="C202" s="1118"/>
      <c r="D202" s="1118"/>
      <c r="E202" s="1118"/>
      <c r="F202" s="1118"/>
      <c r="G202" s="1118"/>
      <c r="H202" s="1118"/>
    </row>
    <row r="203" spans="1:8">
      <c r="A203" s="1118"/>
      <c r="B203" s="1118"/>
      <c r="C203" s="1118"/>
      <c r="D203" s="1118"/>
      <c r="E203" s="1118"/>
      <c r="F203" s="1118"/>
      <c r="G203" s="1118"/>
      <c r="H203" s="1118"/>
    </row>
    <row r="204" spans="1:8">
      <c r="A204" s="1118"/>
      <c r="B204" s="1118"/>
      <c r="C204" s="1118"/>
      <c r="D204" s="1118"/>
      <c r="E204" s="1118"/>
      <c r="F204" s="1118"/>
      <c r="G204" s="1118"/>
      <c r="H204" s="1118"/>
    </row>
    <row r="205" spans="1:8">
      <c r="A205" s="1118"/>
      <c r="B205" s="1118"/>
      <c r="C205" s="1118"/>
      <c r="D205" s="1118"/>
      <c r="E205" s="1118"/>
      <c r="F205" s="1118"/>
      <c r="G205" s="1118"/>
      <c r="H205" s="1118"/>
    </row>
    <row r="206" spans="1:8">
      <c r="A206" s="1118"/>
      <c r="B206" s="1118"/>
      <c r="C206" s="1118"/>
      <c r="D206" s="1118"/>
      <c r="E206" s="1118"/>
      <c r="F206" s="1118"/>
      <c r="G206" s="1118"/>
      <c r="H206" s="1118"/>
    </row>
    <row r="207" spans="1:8">
      <c r="A207" s="1118"/>
      <c r="B207" s="1118"/>
      <c r="C207" s="1118"/>
      <c r="D207" s="1118"/>
      <c r="E207" s="1118"/>
      <c r="F207" s="1118"/>
      <c r="G207" s="1118"/>
      <c r="H207" s="1118"/>
    </row>
    <row r="208" spans="1:8">
      <c r="A208" s="1118"/>
      <c r="B208" s="1118"/>
      <c r="C208" s="1118"/>
      <c r="D208" s="1118"/>
      <c r="E208" s="1118"/>
      <c r="F208" s="1118"/>
      <c r="G208" s="1118"/>
      <c r="H208" s="1118"/>
    </row>
    <row r="209" spans="1:8" ht="15.75">
      <c r="A209" s="1117" t="s">
        <v>419</v>
      </c>
      <c r="B209" s="1118"/>
      <c r="C209" s="1118"/>
      <c r="D209" s="1118"/>
      <c r="E209" s="1118"/>
      <c r="F209" s="1118"/>
      <c r="G209" s="1118"/>
      <c r="H209" s="1118"/>
    </row>
    <row r="210" spans="1:8">
      <c r="A210" s="1118"/>
      <c r="B210" s="1118"/>
      <c r="C210" s="1118"/>
      <c r="D210" s="1118"/>
      <c r="E210" s="1118"/>
      <c r="F210" s="1118"/>
      <c r="G210" s="1118"/>
      <c r="H210" s="1118"/>
    </row>
    <row r="211" spans="1:8">
      <c r="A211" s="1116" t="s">
        <v>578</v>
      </c>
      <c r="B211" s="1118"/>
      <c r="C211" s="1118"/>
      <c r="D211" s="1118"/>
      <c r="E211" s="1118"/>
      <c r="F211" s="1118"/>
      <c r="G211" s="1118"/>
      <c r="H211" s="1118"/>
    </row>
    <row r="212" spans="1:8">
      <c r="A212" s="1116" t="s">
        <v>579</v>
      </c>
      <c r="B212" s="1118"/>
      <c r="C212" s="1118"/>
      <c r="D212" s="1118"/>
      <c r="E212" s="1118"/>
      <c r="F212" s="1118"/>
      <c r="G212" s="1118"/>
      <c r="H212" s="1118"/>
    </row>
    <row r="213" spans="1:8">
      <c r="A213" s="1116" t="s">
        <v>580</v>
      </c>
      <c r="B213" s="1118"/>
      <c r="C213" s="1118"/>
      <c r="D213" s="1118"/>
      <c r="E213" s="1118"/>
      <c r="F213" s="1118"/>
      <c r="G213" s="1118"/>
      <c r="H213" s="1118"/>
    </row>
    <row r="214" spans="1:8">
      <c r="A214" s="1116" t="s">
        <v>581</v>
      </c>
      <c r="B214" s="1118"/>
      <c r="C214" s="1118"/>
      <c r="D214" s="1118"/>
      <c r="E214" s="1118"/>
      <c r="F214" s="1118"/>
      <c r="G214" s="1118"/>
      <c r="H214" s="1118"/>
    </row>
    <row r="215" spans="1:8">
      <c r="A215" s="1116" t="s">
        <v>582</v>
      </c>
      <c r="B215" s="1118"/>
      <c r="C215" s="1118"/>
      <c r="D215" s="1118"/>
      <c r="E215" s="1118"/>
      <c r="F215" s="1118"/>
      <c r="G215" s="1118"/>
      <c r="H215" s="1118"/>
    </row>
    <row r="216" spans="1:8">
      <c r="A216" s="1118"/>
      <c r="B216" s="1118"/>
      <c r="C216" s="1118"/>
      <c r="D216" s="1118"/>
      <c r="E216" s="1118"/>
      <c r="F216" s="1118"/>
      <c r="G216" s="1118"/>
      <c r="H216" s="1118"/>
    </row>
    <row r="217" spans="1:8">
      <c r="A217" s="1116" t="s">
        <v>575</v>
      </c>
      <c r="B217" s="1118"/>
      <c r="C217" s="1118"/>
      <c r="D217" s="1118"/>
      <c r="E217" s="1118"/>
      <c r="F217" s="1118"/>
      <c r="G217" s="1118"/>
      <c r="H217" s="1118"/>
    </row>
    <row r="218" spans="1:8">
      <c r="A218" s="1116" t="s">
        <v>576</v>
      </c>
      <c r="B218" s="1118"/>
      <c r="C218" s="1118"/>
      <c r="D218" s="1118"/>
      <c r="E218" s="1118"/>
      <c r="F218" s="1118"/>
      <c r="G218" s="1118"/>
      <c r="H218" s="1118"/>
    </row>
    <row r="219" spans="1:8">
      <c r="A219" s="1116" t="s">
        <v>577</v>
      </c>
      <c r="B219" s="1118"/>
      <c r="C219" s="1118"/>
      <c r="D219" s="1118"/>
      <c r="E219" s="1118"/>
      <c r="F219" s="1118"/>
      <c r="G219" s="1118"/>
      <c r="H219" s="1118"/>
    </row>
    <row r="220" spans="1:8" ht="15.75">
      <c r="A220" s="1117" t="s">
        <v>420</v>
      </c>
      <c r="B220" s="1118"/>
      <c r="C220" s="1118"/>
      <c r="D220" s="1118"/>
      <c r="E220" s="1118"/>
      <c r="F220" s="1118"/>
      <c r="G220" s="1118"/>
      <c r="H220" s="1118"/>
    </row>
    <row r="221" spans="1:8">
      <c r="A221" s="1118"/>
      <c r="B221" s="1118"/>
      <c r="C221" s="1118"/>
      <c r="D221" s="1118"/>
      <c r="E221" s="1118"/>
      <c r="F221" s="1118"/>
      <c r="G221" s="1118"/>
      <c r="H221" s="1118"/>
    </row>
    <row r="222" spans="1:8">
      <c r="A222" s="1116" t="s">
        <v>1164</v>
      </c>
      <c r="B222" s="1118"/>
      <c r="C222" s="1118"/>
      <c r="D222" s="1118"/>
      <c r="E222" s="1118"/>
      <c r="F222" s="1118"/>
      <c r="G222" s="1118"/>
      <c r="H222" s="1118"/>
    </row>
    <row r="223" spans="1:8">
      <c r="A223" s="1116" t="s">
        <v>1165</v>
      </c>
      <c r="B223" s="1118"/>
      <c r="C223" s="1118"/>
      <c r="D223" s="1118"/>
      <c r="E223" s="1118"/>
      <c r="F223" s="1118"/>
      <c r="G223" s="1118"/>
      <c r="H223" s="1118"/>
    </row>
    <row r="224" spans="1:8">
      <c r="A224" s="1118"/>
      <c r="B224" s="1118"/>
      <c r="C224" s="1118"/>
      <c r="D224" s="1118"/>
      <c r="E224" s="1118"/>
      <c r="F224" s="1118"/>
      <c r="G224" s="1118"/>
      <c r="H224" s="1118"/>
    </row>
    <row r="225" spans="1:8">
      <c r="A225" s="1116" t="s">
        <v>568</v>
      </c>
      <c r="B225" s="1118"/>
      <c r="C225" s="1118"/>
      <c r="D225" s="1118"/>
      <c r="E225" s="1118"/>
      <c r="F225" s="1118"/>
      <c r="G225" s="1118"/>
      <c r="H225" s="1118"/>
    </row>
    <row r="226" spans="1:8">
      <c r="A226" s="1116" t="s">
        <v>569</v>
      </c>
      <c r="B226" s="1118"/>
      <c r="C226" s="1118"/>
      <c r="D226" s="1118"/>
      <c r="E226" s="1118"/>
      <c r="F226" s="1118"/>
      <c r="G226" s="1118"/>
      <c r="H226" s="1118"/>
    </row>
    <row r="227" spans="1:8">
      <c r="A227" s="1116" t="s">
        <v>570</v>
      </c>
      <c r="B227" s="1118"/>
      <c r="C227" s="1118"/>
      <c r="D227" s="1118"/>
      <c r="E227" s="1118"/>
      <c r="F227" s="1118"/>
      <c r="G227" s="1118"/>
      <c r="H227" s="1118"/>
    </row>
    <row r="228" spans="1:8">
      <c r="A228" s="1116" t="s">
        <v>571</v>
      </c>
      <c r="B228" s="1118"/>
      <c r="C228" s="1118"/>
      <c r="D228" s="1118"/>
      <c r="E228" s="1118"/>
      <c r="F228" s="1118"/>
      <c r="G228" s="1118"/>
      <c r="H228" s="1118"/>
    </row>
    <row r="229" spans="1:8">
      <c r="A229" s="1116" t="s">
        <v>572</v>
      </c>
      <c r="B229" s="1118"/>
      <c r="C229" s="1118"/>
      <c r="D229" s="1118"/>
      <c r="E229" s="1118"/>
      <c r="F229" s="1118"/>
      <c r="G229" s="1118"/>
      <c r="H229" s="1118"/>
    </row>
    <row r="230" spans="1:8">
      <c r="A230" s="1116" t="s">
        <v>573</v>
      </c>
      <c r="B230" s="1118"/>
      <c r="C230" s="1118"/>
      <c r="D230" s="1118"/>
      <c r="E230" s="1118"/>
      <c r="F230" s="1118"/>
      <c r="G230" s="1118"/>
      <c r="H230" s="1118"/>
    </row>
    <row r="231" spans="1:8">
      <c r="A231" s="1116" t="s">
        <v>574</v>
      </c>
      <c r="B231" s="1118"/>
      <c r="C231" s="1118"/>
      <c r="D231" s="1118"/>
      <c r="E231" s="1118"/>
      <c r="F231" s="1118"/>
      <c r="G231" s="1118"/>
      <c r="H231" s="1118"/>
    </row>
    <row r="232" spans="1:8">
      <c r="A232" s="1118"/>
      <c r="B232" s="1118"/>
      <c r="C232" s="1118"/>
      <c r="D232" s="1118"/>
      <c r="E232" s="1118"/>
      <c r="F232" s="1118"/>
      <c r="G232" s="1118"/>
      <c r="H232" s="1118"/>
    </row>
    <row r="233" spans="1:8">
      <c r="A233" s="1116" t="s">
        <v>565</v>
      </c>
      <c r="B233" s="1118"/>
      <c r="C233" s="1118"/>
      <c r="D233" s="1118"/>
      <c r="E233" s="1118"/>
      <c r="F233" s="1118"/>
      <c r="G233" s="1118"/>
      <c r="H233" s="1118"/>
    </row>
    <row r="234" spans="1:8">
      <c r="A234" s="1116" t="s">
        <v>566</v>
      </c>
      <c r="B234" s="1118"/>
      <c r="C234" s="1118"/>
      <c r="D234" s="1118"/>
      <c r="E234" s="1118"/>
      <c r="F234" s="1118"/>
      <c r="G234" s="1118"/>
      <c r="H234" s="1118"/>
    </row>
    <row r="235" spans="1:8">
      <c r="A235" s="1116" t="s">
        <v>567</v>
      </c>
      <c r="B235" s="1118"/>
      <c r="C235" s="1118"/>
      <c r="D235" s="1118"/>
      <c r="E235" s="1118"/>
      <c r="F235" s="1118"/>
      <c r="G235" s="1118"/>
      <c r="H235" s="1118"/>
    </row>
    <row r="236" spans="1:8">
      <c r="A236" s="1118"/>
      <c r="B236" s="1118"/>
      <c r="C236" s="1118"/>
      <c r="D236" s="1118"/>
      <c r="E236" s="1118"/>
      <c r="F236" s="1118"/>
      <c r="G236" s="1118"/>
      <c r="H236" s="1118"/>
    </row>
    <row r="237" spans="1:8">
      <c r="A237" s="1116" t="s">
        <v>560</v>
      </c>
      <c r="B237" s="1118"/>
      <c r="C237" s="1118"/>
      <c r="D237" s="1118"/>
      <c r="E237" s="1118"/>
      <c r="F237" s="1118"/>
      <c r="G237" s="1118"/>
      <c r="H237" s="1118"/>
    </row>
    <row r="238" spans="1:8">
      <c r="A238" s="1116" t="s">
        <v>561</v>
      </c>
      <c r="B238" s="1118"/>
      <c r="C238" s="1118"/>
      <c r="D238" s="1118"/>
      <c r="E238" s="1118"/>
      <c r="F238" s="1118"/>
      <c r="G238" s="1118"/>
      <c r="H238" s="1118"/>
    </row>
    <row r="239" spans="1:8">
      <c r="A239" s="1116" t="s">
        <v>562</v>
      </c>
      <c r="B239" s="1118"/>
      <c r="C239" s="1118"/>
      <c r="D239" s="1118"/>
      <c r="E239" s="1118"/>
      <c r="F239" s="1118"/>
      <c r="G239" s="1118"/>
      <c r="H239" s="1118"/>
    </row>
    <row r="240" spans="1:8">
      <c r="A240" s="1116" t="s">
        <v>563</v>
      </c>
      <c r="B240" s="1118"/>
      <c r="C240" s="1118"/>
      <c r="D240" s="1118"/>
      <c r="E240" s="1118"/>
      <c r="F240" s="1118"/>
      <c r="G240" s="1118"/>
      <c r="H240" s="1118"/>
    </row>
    <row r="241" spans="1:8">
      <c r="A241" s="1116" t="s">
        <v>564</v>
      </c>
      <c r="B241" s="1118"/>
      <c r="C241" s="1118"/>
      <c r="D241" s="1118"/>
      <c r="E241" s="1118"/>
      <c r="F241" s="1118"/>
      <c r="G241" s="1118"/>
      <c r="H241" s="1118"/>
    </row>
    <row r="242" spans="1:8">
      <c r="A242" s="1118"/>
      <c r="B242" s="1118"/>
      <c r="C242" s="1118"/>
      <c r="D242" s="1118"/>
      <c r="E242" s="1118"/>
      <c r="F242" s="1118"/>
      <c r="G242" s="1118"/>
      <c r="H242" s="1118"/>
    </row>
    <row r="243" spans="1:8">
      <c r="A243" s="1116" t="s">
        <v>554</v>
      </c>
      <c r="B243" s="1118"/>
      <c r="C243" s="1118"/>
      <c r="D243" s="1118"/>
      <c r="E243" s="1118"/>
      <c r="F243" s="1118"/>
      <c r="G243" s="1118"/>
      <c r="H243" s="1118"/>
    </row>
    <row r="244" spans="1:8">
      <c r="A244" s="1116" t="s">
        <v>555</v>
      </c>
      <c r="B244" s="1118"/>
      <c r="C244" s="1118"/>
      <c r="D244" s="1118"/>
      <c r="E244" s="1118"/>
      <c r="F244" s="1118"/>
      <c r="G244" s="1118"/>
      <c r="H244" s="1118"/>
    </row>
    <row r="245" spans="1:8">
      <c r="A245" s="1116" t="s">
        <v>556</v>
      </c>
      <c r="B245" s="1118"/>
      <c r="C245" s="1118"/>
      <c r="D245" s="1118"/>
      <c r="E245" s="1118"/>
      <c r="F245" s="1118"/>
      <c r="G245" s="1118"/>
      <c r="H245" s="1118"/>
    </row>
    <row r="246" spans="1:8">
      <c r="A246" s="1116" t="s">
        <v>557</v>
      </c>
      <c r="B246" s="1118"/>
      <c r="C246" s="1118"/>
      <c r="D246" s="1118"/>
      <c r="E246" s="1118"/>
      <c r="F246" s="1118"/>
      <c r="G246" s="1118"/>
      <c r="H246" s="1118"/>
    </row>
    <row r="247" spans="1:8">
      <c r="A247" s="1116" t="s">
        <v>558</v>
      </c>
      <c r="B247" s="1118"/>
      <c r="C247" s="1118"/>
      <c r="D247" s="1118"/>
      <c r="E247" s="1118"/>
      <c r="F247" s="1118"/>
      <c r="G247" s="1118"/>
      <c r="H247" s="1118"/>
    </row>
    <row r="248" spans="1:8">
      <c r="A248" s="1116" t="s">
        <v>559</v>
      </c>
      <c r="B248" s="1118"/>
      <c r="C248" s="1118"/>
      <c r="D248" s="1118"/>
      <c r="E248" s="1118"/>
      <c r="F248" s="1118"/>
      <c r="G248" s="1118"/>
      <c r="H248" s="1118"/>
    </row>
    <row r="249" spans="1:8">
      <c r="A249" s="1118"/>
      <c r="B249" s="1118"/>
      <c r="C249" s="1118"/>
      <c r="D249" s="1118"/>
      <c r="E249" s="1118"/>
      <c r="F249" s="1118"/>
      <c r="G249" s="1118"/>
      <c r="H249" s="1118"/>
    </row>
    <row r="250" spans="1:8">
      <c r="A250" s="1116" t="s">
        <v>544</v>
      </c>
      <c r="B250" s="1118"/>
      <c r="C250" s="1118"/>
      <c r="D250" s="1118"/>
      <c r="E250" s="1118"/>
      <c r="F250" s="1118"/>
      <c r="G250" s="1118"/>
      <c r="H250" s="1118"/>
    </row>
    <row r="251" spans="1:8">
      <c r="A251" s="1116" t="s">
        <v>545</v>
      </c>
      <c r="B251" s="1118"/>
      <c r="C251" s="1118"/>
      <c r="D251" s="1118"/>
      <c r="E251" s="1118"/>
      <c r="F251" s="1118"/>
      <c r="G251" s="1118"/>
      <c r="H251" s="1118"/>
    </row>
    <row r="252" spans="1:8">
      <c r="A252" s="1116" t="s">
        <v>546</v>
      </c>
      <c r="B252" s="1118"/>
      <c r="C252" s="1118"/>
      <c r="D252" s="1118"/>
      <c r="E252" s="1118"/>
      <c r="F252" s="1118"/>
      <c r="G252" s="1118"/>
      <c r="H252" s="1118"/>
    </row>
    <row r="253" spans="1:8">
      <c r="A253" s="1116" t="s">
        <v>547</v>
      </c>
      <c r="B253" s="1118"/>
      <c r="C253" s="1118"/>
      <c r="D253" s="1118"/>
      <c r="E253" s="1118"/>
      <c r="F253" s="1118"/>
      <c r="G253" s="1118"/>
      <c r="H253" s="1118"/>
    </row>
    <row r="254" spans="1:8">
      <c r="A254" s="1116" t="s">
        <v>548</v>
      </c>
      <c r="B254" s="1118"/>
      <c r="C254" s="1118"/>
      <c r="D254" s="1118"/>
      <c r="E254" s="1118"/>
      <c r="F254" s="1118"/>
      <c r="G254" s="1118"/>
      <c r="H254" s="1118"/>
    </row>
    <row r="255" spans="1:8">
      <c r="A255" s="1116" t="s">
        <v>549</v>
      </c>
      <c r="B255" s="1118"/>
      <c r="C255" s="1118"/>
      <c r="D255" s="1118"/>
      <c r="E255" s="1118"/>
      <c r="F255" s="1118"/>
      <c r="G255" s="1118"/>
      <c r="H255" s="1118"/>
    </row>
    <row r="256" spans="1:8">
      <c r="A256" s="1116" t="s">
        <v>550</v>
      </c>
      <c r="B256" s="1118"/>
      <c r="C256" s="1118"/>
      <c r="D256" s="1118"/>
      <c r="E256" s="1118"/>
      <c r="F256" s="1118"/>
      <c r="G256" s="1118"/>
      <c r="H256" s="1118"/>
    </row>
    <row r="257" spans="1:8">
      <c r="A257" s="1116" t="s">
        <v>551</v>
      </c>
      <c r="B257" s="1118"/>
      <c r="C257" s="1118"/>
      <c r="D257" s="1118"/>
      <c r="E257" s="1118"/>
      <c r="F257" s="1118"/>
      <c r="G257" s="1118"/>
      <c r="H257" s="1118"/>
    </row>
    <row r="258" spans="1:8">
      <c r="A258" s="1116" t="s">
        <v>552</v>
      </c>
      <c r="B258" s="1118"/>
      <c r="C258" s="1118"/>
      <c r="D258" s="1118"/>
      <c r="E258" s="1118"/>
      <c r="F258" s="1118"/>
      <c r="G258" s="1118"/>
      <c r="H258" s="1118"/>
    </row>
    <row r="259" spans="1:8">
      <c r="A259" s="1116" t="s">
        <v>553</v>
      </c>
      <c r="B259" s="1118"/>
      <c r="C259" s="1118"/>
      <c r="D259" s="1118"/>
      <c r="E259" s="1118"/>
      <c r="F259" s="1118"/>
      <c r="G259" s="1118"/>
      <c r="H259" s="1118"/>
    </row>
    <row r="260" spans="1:8">
      <c r="A260" s="1118"/>
      <c r="B260" s="1118"/>
      <c r="C260" s="1118"/>
      <c r="D260" s="1118"/>
      <c r="E260" s="1118"/>
      <c r="F260" s="1118"/>
      <c r="G260" s="1118"/>
      <c r="H260" s="1118"/>
    </row>
    <row r="261" spans="1:8">
      <c r="A261" s="1116" t="s">
        <v>542</v>
      </c>
      <c r="B261" s="1118"/>
      <c r="C261" s="1118"/>
      <c r="D261" s="1118"/>
      <c r="E261" s="1118"/>
      <c r="F261" s="1118"/>
      <c r="G261" s="1118"/>
      <c r="H261" s="1118"/>
    </row>
    <row r="262" spans="1:8">
      <c r="A262" s="1116" t="s">
        <v>543</v>
      </c>
      <c r="B262" s="1118"/>
      <c r="C262" s="1118"/>
      <c r="D262" s="1118"/>
      <c r="E262" s="1118"/>
      <c r="F262" s="1118"/>
      <c r="G262" s="1118"/>
      <c r="H262" s="1118"/>
    </row>
    <row r="263" spans="1:8">
      <c r="A263" s="1118"/>
      <c r="B263" s="1118"/>
      <c r="C263" s="1118"/>
      <c r="D263" s="1118"/>
      <c r="E263" s="1118"/>
      <c r="F263" s="1118"/>
      <c r="G263" s="1118"/>
      <c r="H263" s="1118"/>
    </row>
    <row r="264" spans="1:8">
      <c r="A264" s="1116" t="s">
        <v>526</v>
      </c>
      <c r="B264" s="1118"/>
      <c r="C264" s="1118"/>
      <c r="D264" s="1118"/>
      <c r="E264" s="1118"/>
      <c r="F264" s="1118"/>
      <c r="G264" s="1118"/>
      <c r="H264" s="1118"/>
    </row>
    <row r="265" spans="1:8">
      <c r="A265" s="1116" t="s">
        <v>527</v>
      </c>
      <c r="B265" s="1118"/>
      <c r="C265" s="1118"/>
      <c r="D265" s="1118"/>
      <c r="E265" s="1118"/>
      <c r="F265" s="1118"/>
      <c r="G265" s="1118"/>
      <c r="H265" s="1118"/>
    </row>
    <row r="266" spans="1:8">
      <c r="A266" s="1116" t="s">
        <v>528</v>
      </c>
      <c r="B266" s="1118"/>
      <c r="C266" s="1118"/>
      <c r="D266" s="1118"/>
      <c r="E266" s="1118"/>
      <c r="F266" s="1118"/>
      <c r="G266" s="1118"/>
      <c r="H266" s="1118"/>
    </row>
    <row r="267" spans="1:8">
      <c r="A267" s="1116" t="s">
        <v>529</v>
      </c>
      <c r="B267" s="1118"/>
      <c r="C267" s="1118"/>
      <c r="D267" s="1118"/>
      <c r="E267" s="1118"/>
      <c r="F267" s="1118"/>
      <c r="G267" s="1118"/>
      <c r="H267" s="1118"/>
    </row>
    <row r="268" spans="1:8">
      <c r="A268" s="1116" t="s">
        <v>530</v>
      </c>
      <c r="B268" s="1118"/>
      <c r="C268" s="1118"/>
      <c r="D268" s="1118"/>
      <c r="E268" s="1118"/>
      <c r="F268" s="1118"/>
      <c r="G268" s="1118"/>
      <c r="H268" s="1118"/>
    </row>
    <row r="269" spans="1:8">
      <c r="A269" s="1116" t="s">
        <v>531</v>
      </c>
      <c r="B269" s="1118"/>
      <c r="C269" s="1118"/>
      <c r="D269" s="1118"/>
      <c r="E269" s="1118"/>
      <c r="F269" s="1118"/>
      <c r="G269" s="1118"/>
      <c r="H269" s="1118"/>
    </row>
    <row r="270" spans="1:8">
      <c r="A270" s="1116" t="s">
        <v>532</v>
      </c>
      <c r="B270" s="1118"/>
      <c r="C270" s="1118"/>
      <c r="D270" s="1118"/>
      <c r="E270" s="1118"/>
      <c r="F270" s="1118"/>
      <c r="G270" s="1118"/>
      <c r="H270" s="1118"/>
    </row>
    <row r="271" spans="1:8">
      <c r="A271" s="1116" t="s">
        <v>533</v>
      </c>
      <c r="B271" s="1118"/>
      <c r="C271" s="1118"/>
      <c r="D271" s="1118"/>
      <c r="E271" s="1118"/>
      <c r="F271" s="1118"/>
      <c r="G271" s="1118"/>
      <c r="H271" s="1118"/>
    </row>
    <row r="272" spans="1:8">
      <c r="A272" s="1116" t="s">
        <v>534</v>
      </c>
      <c r="B272" s="1118"/>
      <c r="C272" s="1118"/>
      <c r="D272" s="1118"/>
      <c r="E272" s="1118"/>
      <c r="F272" s="1118"/>
      <c r="G272" s="1118"/>
      <c r="H272" s="1118"/>
    </row>
    <row r="273" spans="1:8">
      <c r="A273" s="1116" t="s">
        <v>535</v>
      </c>
      <c r="B273" s="1118"/>
      <c r="C273" s="1118"/>
      <c r="D273" s="1118"/>
      <c r="E273" s="1118"/>
      <c r="F273" s="1118"/>
      <c r="G273" s="1118"/>
      <c r="H273" s="1118"/>
    </row>
    <row r="274" spans="1:8">
      <c r="A274" s="1116" t="s">
        <v>536</v>
      </c>
      <c r="B274" s="1118"/>
      <c r="C274" s="1118"/>
      <c r="D274" s="1118"/>
      <c r="E274" s="1118"/>
      <c r="F274" s="1118"/>
      <c r="G274" s="1118"/>
      <c r="H274" s="1118"/>
    </row>
    <row r="275" spans="1:8">
      <c r="A275" s="1116" t="s">
        <v>537</v>
      </c>
      <c r="B275" s="1118"/>
      <c r="C275" s="1118"/>
      <c r="D275" s="1118"/>
      <c r="E275" s="1118"/>
      <c r="F275" s="1118"/>
      <c r="G275" s="1118"/>
      <c r="H275" s="1118"/>
    </row>
    <row r="276" spans="1:8">
      <c r="A276" s="1116" t="s">
        <v>538</v>
      </c>
      <c r="B276" s="1118"/>
      <c r="C276" s="1118"/>
      <c r="D276" s="1118"/>
      <c r="E276" s="1118"/>
      <c r="F276" s="1118"/>
      <c r="G276" s="1118"/>
      <c r="H276" s="1118"/>
    </row>
    <row r="277" spans="1:8">
      <c r="A277" s="1116" t="s">
        <v>539</v>
      </c>
      <c r="B277" s="1118"/>
      <c r="C277" s="1118"/>
      <c r="D277" s="1118"/>
      <c r="E277" s="1118"/>
      <c r="F277" s="1118"/>
      <c r="G277" s="1118"/>
      <c r="H277" s="1118"/>
    </row>
    <row r="278" spans="1:8">
      <c r="A278" s="1116" t="s">
        <v>540</v>
      </c>
      <c r="B278" s="1118"/>
      <c r="C278" s="1118"/>
      <c r="D278" s="1118"/>
      <c r="E278" s="1118"/>
      <c r="F278" s="1118"/>
      <c r="G278" s="1118"/>
      <c r="H278" s="1118"/>
    </row>
    <row r="279" spans="1:8">
      <c r="A279" s="1116" t="s">
        <v>541</v>
      </c>
      <c r="B279" s="1118"/>
      <c r="C279" s="1118"/>
      <c r="D279" s="1118"/>
      <c r="E279" s="1118"/>
      <c r="F279" s="1118"/>
      <c r="G279" s="1118"/>
      <c r="H279" s="1118"/>
    </row>
    <row r="280" spans="1:8">
      <c r="A280" s="1118"/>
      <c r="B280" s="1118"/>
      <c r="C280" s="1118"/>
      <c r="D280" s="1118"/>
      <c r="E280" s="1118"/>
      <c r="F280" s="1118"/>
      <c r="G280" s="1118"/>
      <c r="H280" s="1118"/>
    </row>
    <row r="281" spans="1:8">
      <c r="A281" s="1116" t="s">
        <v>519</v>
      </c>
      <c r="B281" s="1118"/>
      <c r="C281" s="1118"/>
      <c r="D281" s="1118"/>
      <c r="E281" s="1118"/>
      <c r="F281" s="1118"/>
      <c r="G281" s="1118"/>
      <c r="H281" s="1118"/>
    </row>
    <row r="282" spans="1:8">
      <c r="A282" s="1116" t="s">
        <v>520</v>
      </c>
      <c r="B282" s="1118"/>
      <c r="C282" s="1118"/>
      <c r="D282" s="1118"/>
      <c r="E282" s="1118"/>
      <c r="F282" s="1118"/>
      <c r="G282" s="1118"/>
      <c r="H282" s="1118"/>
    </row>
    <row r="283" spans="1:8">
      <c r="A283" s="1116" t="s">
        <v>521</v>
      </c>
      <c r="B283" s="1118"/>
      <c r="C283" s="1118"/>
      <c r="D283" s="1118"/>
      <c r="E283" s="1118"/>
      <c r="F283" s="1118"/>
      <c r="G283" s="1118"/>
      <c r="H283" s="1118"/>
    </row>
    <row r="284" spans="1:8">
      <c r="A284" s="1116" t="s">
        <v>522</v>
      </c>
      <c r="B284" s="1118"/>
      <c r="C284" s="1118"/>
      <c r="D284" s="1118"/>
      <c r="E284" s="1118"/>
      <c r="F284" s="1118"/>
      <c r="G284" s="1118"/>
      <c r="H284" s="1118"/>
    </row>
    <row r="285" spans="1:8">
      <c r="A285" s="1116" t="s">
        <v>523</v>
      </c>
      <c r="B285" s="1118"/>
      <c r="C285" s="1118"/>
      <c r="D285" s="1118"/>
      <c r="E285" s="1118"/>
      <c r="F285" s="1118"/>
      <c r="G285" s="1118"/>
      <c r="H285" s="1118"/>
    </row>
    <row r="286" spans="1:8">
      <c r="A286" s="1116" t="s">
        <v>524</v>
      </c>
      <c r="B286" s="1118"/>
      <c r="C286" s="1118"/>
      <c r="D286" s="1118"/>
      <c r="E286" s="1118"/>
      <c r="F286" s="1118"/>
      <c r="G286" s="1118"/>
      <c r="H286" s="1118"/>
    </row>
    <row r="287" spans="1:8">
      <c r="A287" s="1116" t="s">
        <v>525</v>
      </c>
      <c r="B287" s="1118"/>
      <c r="C287" s="1118"/>
      <c r="D287" s="1118"/>
      <c r="E287" s="1118"/>
      <c r="F287" s="1118"/>
      <c r="G287" s="1118"/>
      <c r="H287" s="1118"/>
    </row>
    <row r="288" spans="1:8">
      <c r="A288" s="1118"/>
      <c r="B288" s="1118"/>
      <c r="C288" s="1118"/>
      <c r="D288" s="1118"/>
      <c r="E288" s="1118"/>
      <c r="F288" s="1118"/>
      <c r="G288" s="1118"/>
      <c r="H288" s="1118"/>
    </row>
    <row r="289" spans="1:8">
      <c r="A289" s="1116" t="s">
        <v>510</v>
      </c>
      <c r="B289" s="1118"/>
      <c r="C289" s="1118"/>
      <c r="D289" s="1118"/>
      <c r="E289" s="1118"/>
      <c r="F289" s="1118"/>
      <c r="G289" s="1118"/>
      <c r="H289" s="1118"/>
    </row>
    <row r="290" spans="1:8">
      <c r="A290" s="1116" t="s">
        <v>511</v>
      </c>
      <c r="B290" s="1118"/>
      <c r="C290" s="1118"/>
      <c r="D290" s="1118"/>
      <c r="E290" s="1118"/>
      <c r="F290" s="1118"/>
      <c r="G290" s="1118"/>
      <c r="H290" s="1118"/>
    </row>
    <row r="291" spans="1:8">
      <c r="A291" s="1116" t="s">
        <v>512</v>
      </c>
      <c r="B291" s="1118"/>
      <c r="C291" s="1118"/>
      <c r="D291" s="1118"/>
      <c r="E291" s="1118"/>
      <c r="F291" s="1118"/>
      <c r="G291" s="1118"/>
      <c r="H291" s="1118"/>
    </row>
    <row r="292" spans="1:8">
      <c r="A292" s="1116" t="s">
        <v>513</v>
      </c>
      <c r="B292" s="1118"/>
      <c r="C292" s="1118"/>
      <c r="D292" s="1118"/>
      <c r="E292" s="1118"/>
      <c r="F292" s="1118"/>
      <c r="G292" s="1118"/>
      <c r="H292" s="1118"/>
    </row>
    <row r="293" spans="1:8">
      <c r="A293" s="1116" t="s">
        <v>514</v>
      </c>
      <c r="B293" s="1118"/>
      <c r="C293" s="1118"/>
      <c r="D293" s="1118"/>
      <c r="E293" s="1118"/>
      <c r="F293" s="1118"/>
      <c r="G293" s="1118"/>
      <c r="H293" s="1118"/>
    </row>
    <row r="294" spans="1:8">
      <c r="A294" s="1116" t="s">
        <v>515</v>
      </c>
      <c r="B294" s="1118"/>
      <c r="C294" s="1118"/>
      <c r="D294" s="1118"/>
      <c r="E294" s="1118"/>
      <c r="F294" s="1118"/>
      <c r="G294" s="1118"/>
      <c r="H294" s="1118"/>
    </row>
    <row r="295" spans="1:8">
      <c r="A295" s="1116" t="s">
        <v>516</v>
      </c>
      <c r="B295" s="1118"/>
      <c r="C295" s="1118"/>
      <c r="D295" s="1118"/>
      <c r="E295" s="1118"/>
      <c r="F295" s="1118"/>
      <c r="G295" s="1118"/>
      <c r="H295" s="1118"/>
    </row>
    <row r="296" spans="1:8">
      <c r="A296" s="1116" t="s">
        <v>517</v>
      </c>
      <c r="B296" s="1118"/>
      <c r="C296" s="1118"/>
      <c r="D296" s="1118"/>
      <c r="E296" s="1118"/>
      <c r="F296" s="1118"/>
      <c r="G296" s="1118"/>
      <c r="H296" s="1118"/>
    </row>
    <row r="297" spans="1:8">
      <c r="A297" s="1116" t="s">
        <v>518</v>
      </c>
      <c r="B297" s="1118"/>
      <c r="C297" s="1118"/>
      <c r="D297" s="1118"/>
      <c r="E297" s="1118"/>
      <c r="F297" s="1118"/>
      <c r="G297" s="1118"/>
      <c r="H297" s="1118"/>
    </row>
    <row r="298" spans="1:8">
      <c r="A298" s="1118"/>
      <c r="B298" s="1118"/>
      <c r="C298" s="1118"/>
      <c r="D298" s="1118"/>
      <c r="E298" s="1118"/>
      <c r="F298" s="1118"/>
      <c r="G298" s="1118"/>
      <c r="H298" s="1118"/>
    </row>
    <row r="299" spans="1:8">
      <c r="A299" s="1116" t="s">
        <v>503</v>
      </c>
      <c r="B299" s="1118"/>
      <c r="C299" s="1118"/>
      <c r="D299" s="1118"/>
      <c r="E299" s="1118"/>
      <c r="F299" s="1118"/>
      <c r="G299" s="1118"/>
      <c r="H299" s="1118"/>
    </row>
    <row r="300" spans="1:8">
      <c r="A300" s="1116" t="s">
        <v>504</v>
      </c>
      <c r="B300" s="1118"/>
      <c r="C300" s="1118"/>
      <c r="D300" s="1118"/>
      <c r="E300" s="1118"/>
      <c r="F300" s="1118"/>
      <c r="G300" s="1118"/>
      <c r="H300" s="1118"/>
    </row>
    <row r="301" spans="1:8">
      <c r="A301" s="1116" t="s">
        <v>505</v>
      </c>
      <c r="B301" s="1118"/>
      <c r="C301" s="1118"/>
      <c r="D301" s="1118"/>
      <c r="E301" s="1118"/>
      <c r="F301" s="1118"/>
      <c r="G301" s="1118"/>
      <c r="H301" s="1118"/>
    </row>
    <row r="302" spans="1:8">
      <c r="A302" s="1116" t="s">
        <v>506</v>
      </c>
      <c r="B302" s="1118"/>
      <c r="C302" s="1118"/>
      <c r="D302" s="1118"/>
      <c r="E302" s="1118"/>
      <c r="F302" s="1118"/>
      <c r="G302" s="1118"/>
      <c r="H302" s="1118"/>
    </row>
    <row r="303" spans="1:8">
      <c r="A303" s="1116" t="s">
        <v>507</v>
      </c>
      <c r="B303" s="1118"/>
      <c r="C303" s="1118"/>
      <c r="D303" s="1118"/>
      <c r="E303" s="1118"/>
      <c r="F303" s="1118"/>
      <c r="G303" s="1118"/>
      <c r="H303" s="1118"/>
    </row>
    <row r="304" spans="1:8">
      <c r="A304" s="1116" t="s">
        <v>508</v>
      </c>
      <c r="B304" s="1118"/>
      <c r="C304" s="1118"/>
      <c r="D304" s="1118"/>
      <c r="E304" s="1118"/>
      <c r="F304" s="1118"/>
      <c r="G304" s="1118"/>
      <c r="H304" s="1118"/>
    </row>
    <row r="305" spans="1:8">
      <c r="A305" s="1116" t="s">
        <v>509</v>
      </c>
      <c r="B305" s="1118"/>
      <c r="C305" s="1118"/>
      <c r="D305" s="1118"/>
      <c r="E305" s="1118"/>
      <c r="F305" s="1118"/>
      <c r="G305" s="1118"/>
      <c r="H305" s="1118"/>
    </row>
    <row r="306" spans="1:8">
      <c r="A306" s="1118"/>
      <c r="B306" s="1118"/>
      <c r="C306" s="1118"/>
      <c r="D306" s="1118"/>
      <c r="E306" s="1118"/>
      <c r="F306" s="1118"/>
      <c r="G306" s="1118"/>
      <c r="H306" s="1118"/>
    </row>
    <row r="307" spans="1:8">
      <c r="A307" s="1116" t="s">
        <v>500</v>
      </c>
      <c r="B307" s="1118"/>
      <c r="C307" s="1118"/>
      <c r="D307" s="1118"/>
      <c r="E307" s="1118"/>
      <c r="F307" s="1118"/>
      <c r="G307" s="1118"/>
      <c r="H307" s="1118"/>
    </row>
    <row r="308" spans="1:8">
      <c r="A308" s="1116" t="s">
        <v>501</v>
      </c>
      <c r="B308" s="1118"/>
      <c r="C308" s="1118"/>
      <c r="D308" s="1118"/>
      <c r="E308" s="1118"/>
      <c r="F308" s="1118"/>
      <c r="G308" s="1118"/>
      <c r="H308" s="1118"/>
    </row>
    <row r="309" spans="1:8">
      <c r="A309" s="1116" t="s">
        <v>502</v>
      </c>
      <c r="B309" s="1118"/>
      <c r="C309" s="1118"/>
      <c r="D309" s="1118"/>
      <c r="E309" s="1118"/>
      <c r="F309" s="1118"/>
      <c r="G309" s="1118"/>
      <c r="H309" s="1118"/>
    </row>
    <row r="310" spans="1:8">
      <c r="A310" s="1118"/>
      <c r="B310" s="1118"/>
      <c r="C310" s="1118"/>
      <c r="D310" s="1118"/>
      <c r="E310" s="1118"/>
      <c r="F310" s="1118"/>
      <c r="G310" s="1118"/>
      <c r="H310" s="1118"/>
    </row>
    <row r="311" spans="1:8">
      <c r="A311" s="1116" t="s">
        <v>498</v>
      </c>
      <c r="B311" s="1118"/>
      <c r="C311" s="1118"/>
      <c r="D311" s="1118"/>
      <c r="E311" s="1118"/>
      <c r="F311" s="1118"/>
      <c r="G311" s="1118"/>
      <c r="H311" s="1118"/>
    </row>
    <row r="312" spans="1:8">
      <c r="A312" s="1116" t="s">
        <v>499</v>
      </c>
      <c r="B312" s="1118"/>
      <c r="C312" s="1118"/>
      <c r="D312" s="1118"/>
      <c r="E312" s="1118"/>
      <c r="F312" s="1118"/>
      <c r="G312" s="1118"/>
      <c r="H312" s="1118"/>
    </row>
    <row r="313" spans="1:8">
      <c r="A313" s="1118"/>
      <c r="B313" s="1118"/>
      <c r="C313" s="1118"/>
      <c r="D313" s="1118"/>
      <c r="E313" s="1118"/>
      <c r="F313" s="1118"/>
      <c r="G313" s="1118"/>
      <c r="H313" s="1118"/>
    </row>
    <row r="314" spans="1:8">
      <c r="A314" s="1116" t="s">
        <v>485</v>
      </c>
      <c r="B314" s="1118"/>
      <c r="C314" s="1118"/>
      <c r="D314" s="1118"/>
      <c r="E314" s="1118"/>
      <c r="F314" s="1118"/>
      <c r="G314" s="1118"/>
      <c r="H314" s="1118"/>
    </row>
    <row r="315" spans="1:8">
      <c r="A315" s="1116" t="s">
        <v>486</v>
      </c>
      <c r="B315" s="1118"/>
      <c r="C315" s="1118"/>
      <c r="D315" s="1118"/>
      <c r="E315" s="1118"/>
      <c r="F315" s="1118"/>
      <c r="G315" s="1118"/>
      <c r="H315" s="1118"/>
    </row>
    <row r="316" spans="1:8">
      <c r="A316" s="1116" t="s">
        <v>487</v>
      </c>
      <c r="B316" s="1118"/>
      <c r="C316" s="1118"/>
      <c r="D316" s="1118"/>
      <c r="E316" s="1118"/>
      <c r="F316" s="1118"/>
      <c r="G316" s="1118"/>
      <c r="H316" s="1118"/>
    </row>
    <row r="317" spans="1:8">
      <c r="A317" s="1116" t="s">
        <v>488</v>
      </c>
      <c r="B317" s="1118"/>
      <c r="C317" s="1118"/>
      <c r="D317" s="1118"/>
      <c r="E317" s="1118"/>
      <c r="F317" s="1118"/>
      <c r="G317" s="1118"/>
      <c r="H317" s="1118"/>
    </row>
    <row r="318" spans="1:8">
      <c r="A318" s="1116" t="s">
        <v>489</v>
      </c>
      <c r="B318" s="1118"/>
      <c r="C318" s="1118"/>
      <c r="D318" s="1118"/>
      <c r="E318" s="1118"/>
      <c r="F318" s="1118"/>
      <c r="G318" s="1118"/>
      <c r="H318" s="1118"/>
    </row>
    <row r="319" spans="1:8">
      <c r="A319" s="1116" t="s">
        <v>490</v>
      </c>
      <c r="B319" s="1118"/>
      <c r="C319" s="1118"/>
      <c r="D319" s="1118"/>
      <c r="E319" s="1118"/>
      <c r="F319" s="1118"/>
      <c r="G319" s="1118"/>
      <c r="H319" s="1118"/>
    </row>
    <row r="320" spans="1:8">
      <c r="A320" s="1116" t="s">
        <v>491</v>
      </c>
      <c r="B320" s="1118"/>
      <c r="C320" s="1118"/>
      <c r="D320" s="1118"/>
      <c r="E320" s="1118"/>
      <c r="F320" s="1118"/>
      <c r="G320" s="1118"/>
      <c r="H320" s="1118"/>
    </row>
    <row r="321" spans="1:8">
      <c r="A321" s="1116" t="s">
        <v>492</v>
      </c>
      <c r="B321" s="1118"/>
      <c r="C321" s="1118"/>
      <c r="D321" s="1118"/>
      <c r="E321" s="1118"/>
      <c r="F321" s="1118"/>
      <c r="G321" s="1118"/>
      <c r="H321" s="1118"/>
    </row>
    <row r="322" spans="1:8">
      <c r="A322" s="1116" t="s">
        <v>493</v>
      </c>
      <c r="B322" s="1118"/>
      <c r="C322" s="1118"/>
      <c r="D322" s="1118"/>
      <c r="E322" s="1118"/>
      <c r="F322" s="1118"/>
      <c r="G322" s="1118"/>
      <c r="H322" s="1118"/>
    </row>
    <row r="323" spans="1:8">
      <c r="A323" s="1116" t="s">
        <v>494</v>
      </c>
      <c r="B323" s="1118"/>
      <c r="C323" s="1118"/>
      <c r="D323" s="1118"/>
      <c r="E323" s="1118"/>
      <c r="F323" s="1118"/>
      <c r="G323" s="1118"/>
      <c r="H323" s="1118"/>
    </row>
    <row r="324" spans="1:8">
      <c r="A324" s="1116" t="s">
        <v>495</v>
      </c>
      <c r="B324" s="1118"/>
      <c r="C324" s="1118"/>
      <c r="D324" s="1118"/>
      <c r="E324" s="1118"/>
      <c r="F324" s="1118"/>
      <c r="G324" s="1118"/>
      <c r="H324" s="1118"/>
    </row>
    <row r="325" spans="1:8">
      <c r="A325" s="1116" t="s">
        <v>496</v>
      </c>
      <c r="B325" s="1118"/>
      <c r="C325" s="1118"/>
      <c r="D325" s="1118"/>
      <c r="E325" s="1118"/>
      <c r="F325" s="1118"/>
      <c r="G325" s="1118"/>
      <c r="H325" s="1118"/>
    </row>
    <row r="326" spans="1:8">
      <c r="A326" s="1116" t="s">
        <v>497</v>
      </c>
      <c r="B326" s="1118"/>
      <c r="C326" s="1118"/>
      <c r="D326" s="1118"/>
      <c r="E326" s="1118"/>
      <c r="F326" s="1118"/>
      <c r="G326" s="1118"/>
      <c r="H326" s="1118"/>
    </row>
    <row r="327" spans="1:8">
      <c r="A327" s="1118"/>
      <c r="B327" s="1118"/>
      <c r="C327" s="1118"/>
      <c r="D327" s="1118"/>
      <c r="E327" s="1118"/>
      <c r="F327" s="1118"/>
      <c r="G327" s="1118"/>
      <c r="H327" s="1118"/>
    </row>
    <row r="328" spans="1:8">
      <c r="A328" s="1116" t="s">
        <v>477</v>
      </c>
      <c r="B328" s="1118"/>
      <c r="C328" s="1118"/>
      <c r="D328" s="1118"/>
      <c r="E328" s="1118"/>
      <c r="F328" s="1118"/>
      <c r="G328" s="1118"/>
      <c r="H328" s="1118"/>
    </row>
    <row r="329" spans="1:8">
      <c r="A329" s="1116" t="s">
        <v>478</v>
      </c>
      <c r="B329" s="1118"/>
      <c r="C329" s="1118"/>
      <c r="D329" s="1118"/>
      <c r="E329" s="1118"/>
      <c r="F329" s="1118"/>
      <c r="G329" s="1118"/>
      <c r="H329" s="1118"/>
    </row>
    <row r="330" spans="1:8">
      <c r="A330" s="1116" t="s">
        <v>479</v>
      </c>
      <c r="B330" s="1118"/>
      <c r="C330" s="1118"/>
      <c r="D330" s="1118"/>
      <c r="E330" s="1118"/>
      <c r="F330" s="1118"/>
      <c r="G330" s="1118"/>
      <c r="H330" s="1118"/>
    </row>
    <row r="331" spans="1:8">
      <c r="A331" s="1116" t="s">
        <v>480</v>
      </c>
      <c r="B331" s="1118"/>
      <c r="C331" s="1118"/>
      <c r="D331" s="1118"/>
      <c r="E331" s="1118"/>
      <c r="F331" s="1118"/>
      <c r="G331" s="1118"/>
      <c r="H331" s="1118"/>
    </row>
    <row r="332" spans="1:8">
      <c r="A332" s="1116" t="s">
        <v>481</v>
      </c>
      <c r="B332" s="1118"/>
      <c r="C332" s="1118"/>
      <c r="D332" s="1118"/>
      <c r="E332" s="1118"/>
      <c r="F332" s="1118"/>
      <c r="G332" s="1118"/>
      <c r="H332" s="1118"/>
    </row>
    <row r="333" spans="1:8">
      <c r="A333" s="1116" t="s">
        <v>482</v>
      </c>
      <c r="B333" s="1118"/>
      <c r="C333" s="1118"/>
      <c r="D333" s="1118"/>
      <c r="E333" s="1118"/>
      <c r="F333" s="1118"/>
      <c r="G333" s="1118"/>
      <c r="H333" s="1118"/>
    </row>
    <row r="334" spans="1:8">
      <c r="A334" s="1116" t="s">
        <v>483</v>
      </c>
      <c r="B334" s="1118"/>
      <c r="C334" s="1118"/>
      <c r="D334" s="1118"/>
      <c r="E334" s="1118"/>
      <c r="F334" s="1118"/>
      <c r="G334" s="1118"/>
      <c r="H334" s="1118"/>
    </row>
    <row r="335" spans="1:8">
      <c r="A335" s="1116" t="s">
        <v>484</v>
      </c>
      <c r="B335" s="1118"/>
      <c r="C335" s="1118"/>
      <c r="D335" s="1118"/>
      <c r="E335" s="1118"/>
      <c r="F335" s="1118"/>
      <c r="G335" s="1118"/>
      <c r="H335" s="1118"/>
    </row>
    <row r="336" spans="1:8">
      <c r="A336" s="1118"/>
      <c r="B336" s="1118"/>
      <c r="C336" s="1118"/>
      <c r="D336" s="1118"/>
      <c r="E336" s="1118"/>
      <c r="F336" s="1118"/>
      <c r="G336" s="1118"/>
      <c r="H336" s="1118"/>
    </row>
    <row r="337" spans="1:8">
      <c r="A337" s="1116" t="s">
        <v>442</v>
      </c>
      <c r="B337" s="1118"/>
      <c r="C337" s="1118"/>
      <c r="D337" s="1118"/>
      <c r="E337" s="1118"/>
      <c r="F337" s="1118"/>
      <c r="G337" s="1118"/>
      <c r="H337" s="1118"/>
    </row>
    <row r="338" spans="1:8">
      <c r="A338" s="1116" t="s">
        <v>443</v>
      </c>
      <c r="B338" s="1118"/>
      <c r="C338" s="1118"/>
      <c r="D338" s="1118"/>
      <c r="E338" s="1118"/>
      <c r="F338" s="1118"/>
      <c r="G338" s="1118"/>
      <c r="H338" s="1118"/>
    </row>
    <row r="339" spans="1:8">
      <c r="A339" s="1116" t="s">
        <v>444</v>
      </c>
      <c r="B339" s="1118"/>
      <c r="C339" s="1118"/>
      <c r="D339" s="1118"/>
      <c r="E339" s="1118"/>
      <c r="F339" s="1118"/>
      <c r="G339" s="1118"/>
      <c r="H339" s="1118"/>
    </row>
    <row r="340" spans="1:8">
      <c r="A340" s="1116" t="s">
        <v>445</v>
      </c>
      <c r="B340" s="1118"/>
      <c r="C340" s="1118"/>
      <c r="D340" s="1118"/>
      <c r="E340" s="1118"/>
      <c r="F340" s="1118"/>
      <c r="G340" s="1118"/>
      <c r="H340" s="1118"/>
    </row>
    <row r="341" spans="1:8">
      <c r="A341" s="1116" t="s">
        <v>446</v>
      </c>
      <c r="B341" s="1118"/>
      <c r="C341" s="1118"/>
      <c r="D341" s="1118"/>
      <c r="E341" s="1118"/>
      <c r="F341" s="1118"/>
      <c r="G341" s="1118"/>
      <c r="H341" s="1118"/>
    </row>
    <row r="342" spans="1:8">
      <c r="A342" s="1116" t="s">
        <v>447</v>
      </c>
      <c r="B342" s="1118"/>
      <c r="C342" s="1118"/>
      <c r="D342" s="1118"/>
      <c r="E342" s="1118"/>
      <c r="F342" s="1118"/>
      <c r="G342" s="1118"/>
      <c r="H342" s="1118"/>
    </row>
    <row r="343" spans="1:8">
      <c r="A343" s="1116" t="s">
        <v>448</v>
      </c>
      <c r="B343" s="1118"/>
      <c r="C343" s="1118"/>
      <c r="D343" s="1118"/>
      <c r="E343" s="1118"/>
      <c r="F343" s="1118"/>
      <c r="G343" s="1118"/>
      <c r="H343" s="1118"/>
    </row>
    <row r="344" spans="1:8">
      <c r="A344" s="1116" t="s">
        <v>449</v>
      </c>
      <c r="B344" s="1118"/>
      <c r="C344" s="1118"/>
      <c r="D344" s="1118"/>
      <c r="E344" s="1118"/>
      <c r="F344" s="1118"/>
      <c r="G344" s="1118"/>
      <c r="H344" s="1118"/>
    </row>
    <row r="345" spans="1:8">
      <c r="A345" s="1116" t="s">
        <v>450</v>
      </c>
      <c r="B345" s="1118"/>
      <c r="C345" s="1118"/>
      <c r="D345" s="1118"/>
      <c r="E345" s="1118"/>
      <c r="F345" s="1118"/>
      <c r="G345" s="1118"/>
      <c r="H345" s="1118"/>
    </row>
    <row r="346" spans="1:8">
      <c r="A346" s="1116" t="s">
        <v>451</v>
      </c>
      <c r="B346" s="1118"/>
      <c r="C346" s="1118"/>
      <c r="D346" s="1118"/>
      <c r="E346" s="1118"/>
      <c r="F346" s="1118"/>
      <c r="G346" s="1118"/>
      <c r="H346" s="1118"/>
    </row>
    <row r="347" spans="1:8">
      <c r="A347" s="1116" t="s">
        <v>452</v>
      </c>
      <c r="B347" s="1118"/>
      <c r="C347" s="1118"/>
      <c r="D347" s="1118"/>
      <c r="E347" s="1118"/>
      <c r="F347" s="1118"/>
      <c r="G347" s="1118"/>
      <c r="H347" s="1118"/>
    </row>
    <row r="348" spans="1:8">
      <c r="A348" s="1116" t="s">
        <v>453</v>
      </c>
      <c r="B348" s="1118"/>
      <c r="C348" s="1118"/>
      <c r="D348" s="1118"/>
      <c r="E348" s="1118"/>
      <c r="F348" s="1118"/>
      <c r="G348" s="1118"/>
      <c r="H348" s="1118"/>
    </row>
    <row r="349" spans="1:8">
      <c r="A349" s="1116" t="s">
        <v>454</v>
      </c>
      <c r="B349" s="1118"/>
      <c r="C349" s="1118"/>
      <c r="D349" s="1118"/>
      <c r="E349" s="1118"/>
      <c r="F349" s="1118"/>
      <c r="G349" s="1118"/>
      <c r="H349" s="1118"/>
    </row>
    <row r="350" spans="1:8">
      <c r="A350" s="1116" t="s">
        <v>455</v>
      </c>
      <c r="B350" s="1118"/>
      <c r="C350" s="1118"/>
      <c r="D350" s="1118"/>
      <c r="E350" s="1118"/>
      <c r="F350" s="1118"/>
      <c r="G350" s="1118"/>
      <c r="H350" s="1118"/>
    </row>
    <row r="351" spans="1:8">
      <c r="A351" s="1116" t="s">
        <v>456</v>
      </c>
      <c r="B351" s="1118"/>
      <c r="C351" s="1118"/>
      <c r="D351" s="1118"/>
      <c r="E351" s="1118"/>
      <c r="F351" s="1118"/>
      <c r="G351" s="1118"/>
      <c r="H351" s="1118"/>
    </row>
    <row r="352" spans="1:8">
      <c r="A352" s="1116" t="s">
        <v>457</v>
      </c>
      <c r="B352" s="1118"/>
      <c r="C352" s="1118"/>
      <c r="D352" s="1118"/>
      <c r="E352" s="1118"/>
      <c r="F352" s="1118"/>
      <c r="G352" s="1118"/>
      <c r="H352" s="1118"/>
    </row>
    <row r="353" spans="1:8">
      <c r="A353" s="1116" t="s">
        <v>458</v>
      </c>
      <c r="B353" s="1118"/>
      <c r="C353" s="1118"/>
      <c r="D353" s="1118"/>
      <c r="E353" s="1118"/>
      <c r="F353" s="1118"/>
      <c r="G353" s="1118"/>
      <c r="H353" s="1118"/>
    </row>
    <row r="354" spans="1:8">
      <c r="A354" s="1116" t="s">
        <v>459</v>
      </c>
      <c r="B354" s="1118"/>
      <c r="C354" s="1118"/>
      <c r="D354" s="1118"/>
      <c r="E354" s="1118"/>
      <c r="F354" s="1118"/>
      <c r="G354" s="1118"/>
      <c r="H354" s="1118"/>
    </row>
    <row r="355" spans="1:8">
      <c r="A355" s="1116" t="s">
        <v>460</v>
      </c>
      <c r="B355" s="1118"/>
      <c r="C355" s="1118"/>
      <c r="D355" s="1118"/>
      <c r="E355" s="1118"/>
      <c r="F355" s="1118"/>
      <c r="G355" s="1118"/>
      <c r="H355" s="1118"/>
    </row>
    <row r="356" spans="1:8">
      <c r="A356" s="1116" t="s">
        <v>461</v>
      </c>
      <c r="B356" s="1118"/>
      <c r="C356" s="1118"/>
      <c r="D356" s="1118"/>
      <c r="E356" s="1118"/>
      <c r="F356" s="1118"/>
      <c r="G356" s="1118"/>
      <c r="H356" s="1118"/>
    </row>
    <row r="357" spans="1:8">
      <c r="A357" s="1116" t="s">
        <v>462</v>
      </c>
      <c r="B357" s="1118"/>
      <c r="C357" s="1118"/>
      <c r="D357" s="1118"/>
      <c r="E357" s="1118"/>
      <c r="F357" s="1118"/>
      <c r="G357" s="1118"/>
      <c r="H357" s="1118"/>
    </row>
    <row r="358" spans="1:8">
      <c r="A358" s="1116" t="s">
        <v>463</v>
      </c>
      <c r="B358" s="1118"/>
      <c r="C358" s="1118"/>
      <c r="D358" s="1118"/>
      <c r="E358" s="1118"/>
      <c r="F358" s="1118"/>
      <c r="G358" s="1118"/>
      <c r="H358" s="1118"/>
    </row>
    <row r="359" spans="1:8">
      <c r="A359" s="1116" t="s">
        <v>464</v>
      </c>
      <c r="B359" s="1118"/>
      <c r="C359" s="1118"/>
      <c r="D359" s="1118"/>
      <c r="E359" s="1118"/>
      <c r="F359" s="1118"/>
      <c r="G359" s="1118"/>
      <c r="H359" s="1118"/>
    </row>
    <row r="360" spans="1:8">
      <c r="A360" s="1116" t="s">
        <v>465</v>
      </c>
      <c r="B360" s="1118"/>
      <c r="C360" s="1118"/>
      <c r="D360" s="1118"/>
      <c r="E360" s="1118"/>
      <c r="F360" s="1118"/>
      <c r="G360" s="1118"/>
      <c r="H360" s="1118"/>
    </row>
    <row r="361" spans="1:8">
      <c r="A361" s="1116" t="s">
        <v>466</v>
      </c>
      <c r="B361" s="1118"/>
      <c r="C361" s="1118"/>
      <c r="D361" s="1118"/>
      <c r="E361" s="1118"/>
      <c r="F361" s="1118"/>
      <c r="G361" s="1118"/>
      <c r="H361" s="1118"/>
    </row>
    <row r="362" spans="1:8">
      <c r="A362" s="1116" t="s">
        <v>467</v>
      </c>
      <c r="B362" s="1118"/>
      <c r="C362" s="1118"/>
      <c r="D362" s="1118"/>
      <c r="E362" s="1118"/>
      <c r="F362" s="1118"/>
      <c r="G362" s="1118"/>
      <c r="H362" s="1118"/>
    </row>
    <row r="363" spans="1:8">
      <c r="A363" s="1116" t="s">
        <v>468</v>
      </c>
      <c r="B363" s="1118"/>
      <c r="C363" s="1118"/>
      <c r="D363" s="1118"/>
      <c r="E363" s="1118"/>
      <c r="F363" s="1118"/>
      <c r="G363" s="1118"/>
      <c r="H363" s="1118"/>
    </row>
    <row r="364" spans="1:8">
      <c r="A364" s="1116" t="s">
        <v>469</v>
      </c>
      <c r="B364" s="1118"/>
      <c r="C364" s="1118"/>
      <c r="D364" s="1118"/>
      <c r="E364" s="1118"/>
      <c r="F364" s="1118"/>
      <c r="G364" s="1118"/>
      <c r="H364" s="1118"/>
    </row>
    <row r="365" spans="1:8">
      <c r="A365" s="1116" t="s">
        <v>470</v>
      </c>
      <c r="B365" s="1118"/>
      <c r="C365" s="1118"/>
      <c r="D365" s="1118"/>
      <c r="E365" s="1118"/>
      <c r="F365" s="1118"/>
      <c r="G365" s="1118"/>
      <c r="H365" s="1118"/>
    </row>
    <row r="366" spans="1:8">
      <c r="A366" s="1116" t="s">
        <v>471</v>
      </c>
      <c r="B366" s="1118"/>
      <c r="C366" s="1118"/>
      <c r="D366" s="1118"/>
      <c r="E366" s="1118"/>
      <c r="F366" s="1118"/>
      <c r="G366" s="1118"/>
      <c r="H366" s="1118"/>
    </row>
    <row r="367" spans="1:8">
      <c r="A367" s="1116" t="s">
        <v>472</v>
      </c>
      <c r="B367" s="1118"/>
      <c r="C367" s="1118"/>
      <c r="D367" s="1118"/>
      <c r="E367" s="1118"/>
      <c r="F367" s="1118"/>
      <c r="G367" s="1118"/>
      <c r="H367" s="1118"/>
    </row>
    <row r="368" spans="1:8">
      <c r="A368" s="1116" t="s">
        <v>473</v>
      </c>
      <c r="B368" s="1118"/>
      <c r="C368" s="1118"/>
      <c r="D368" s="1118"/>
      <c r="E368" s="1118"/>
      <c r="F368" s="1118"/>
      <c r="G368" s="1118"/>
      <c r="H368" s="1118"/>
    </row>
    <row r="369" spans="1:8">
      <c r="A369" s="1116" t="s">
        <v>474</v>
      </c>
      <c r="B369" s="1118"/>
      <c r="C369" s="1118"/>
      <c r="D369" s="1118"/>
      <c r="E369" s="1118"/>
      <c r="F369" s="1118"/>
      <c r="G369" s="1118"/>
      <c r="H369" s="1118"/>
    </row>
    <row r="370" spans="1:8">
      <c r="A370" s="1116" t="s">
        <v>475</v>
      </c>
      <c r="B370" s="1118"/>
      <c r="C370" s="1118"/>
      <c r="D370" s="1118"/>
      <c r="E370" s="1118"/>
      <c r="F370" s="1118"/>
      <c r="G370" s="1118"/>
      <c r="H370" s="1118"/>
    </row>
    <row r="371" spans="1:8">
      <c r="A371" s="1116" t="s">
        <v>476</v>
      </c>
      <c r="B371" s="1118"/>
      <c r="C371" s="1118"/>
      <c r="D371" s="1118"/>
      <c r="E371" s="1118"/>
      <c r="F371" s="1118"/>
      <c r="G371" s="1118"/>
      <c r="H371" s="1118"/>
    </row>
    <row r="372" spans="1:8">
      <c r="A372" s="1118"/>
      <c r="B372" s="1118"/>
      <c r="C372" s="1118"/>
      <c r="D372" s="1118"/>
      <c r="E372" s="1118"/>
      <c r="F372" s="1118"/>
      <c r="G372" s="1118"/>
      <c r="H372" s="1118"/>
    </row>
    <row r="373" spans="1:8">
      <c r="A373" s="1116" t="s">
        <v>434</v>
      </c>
      <c r="B373" s="1118"/>
      <c r="C373" s="1118"/>
      <c r="D373" s="1118"/>
      <c r="E373" s="1118"/>
      <c r="F373" s="1118"/>
      <c r="G373" s="1118"/>
      <c r="H373" s="1118"/>
    </row>
    <row r="374" spans="1:8">
      <c r="A374" s="1116" t="s">
        <v>438</v>
      </c>
      <c r="B374" s="1118"/>
      <c r="C374" s="1118"/>
      <c r="D374" s="1118"/>
      <c r="E374" s="1118"/>
      <c r="F374" s="1118"/>
      <c r="G374" s="1118"/>
      <c r="H374" s="1118"/>
    </row>
    <row r="375" spans="1:8">
      <c r="A375" s="1116" t="s">
        <v>439</v>
      </c>
      <c r="B375" s="1118"/>
      <c r="C375" s="1118"/>
      <c r="D375" s="1118"/>
      <c r="E375" s="1118"/>
      <c r="F375" s="1118"/>
      <c r="G375" s="1118"/>
      <c r="H375" s="1118"/>
    </row>
    <row r="376" spans="1:8">
      <c r="A376" s="1116" t="s">
        <v>440</v>
      </c>
      <c r="B376" s="1118"/>
      <c r="C376" s="1118"/>
      <c r="D376" s="1118"/>
      <c r="E376" s="1118"/>
      <c r="F376" s="1118"/>
      <c r="G376" s="1118"/>
      <c r="H376" s="1118"/>
    </row>
    <row r="377" spans="1:8">
      <c r="A377" s="1116" t="s">
        <v>441</v>
      </c>
      <c r="B377" s="1118"/>
      <c r="C377" s="1118"/>
      <c r="D377" s="1118"/>
      <c r="E377" s="1118"/>
      <c r="F377" s="1118"/>
      <c r="G377" s="1118"/>
      <c r="H377" s="1118"/>
    </row>
    <row r="378" spans="1:8">
      <c r="A378" s="1118"/>
      <c r="B378" s="1118"/>
      <c r="C378" s="1118"/>
      <c r="D378" s="1118"/>
      <c r="E378" s="1118"/>
      <c r="F378" s="1118"/>
      <c r="G378" s="1118"/>
      <c r="H378" s="1118"/>
    </row>
    <row r="379" spans="1:8">
      <c r="A379" s="1116" t="s">
        <v>434</v>
      </c>
      <c r="B379" s="1118"/>
      <c r="C379" s="1118"/>
      <c r="D379" s="1118"/>
      <c r="E379" s="1118"/>
      <c r="F379" s="1118"/>
      <c r="G379" s="1118"/>
      <c r="H379" s="1118"/>
    </row>
    <row r="380" spans="1:8">
      <c r="A380" s="1116" t="s">
        <v>435</v>
      </c>
      <c r="B380" s="1118"/>
      <c r="C380" s="1118"/>
      <c r="D380" s="1118"/>
      <c r="E380" s="1118"/>
      <c r="F380" s="1118"/>
      <c r="G380" s="1118"/>
      <c r="H380" s="1118"/>
    </row>
    <row r="381" spans="1:8">
      <c r="A381" s="1116" t="s">
        <v>436</v>
      </c>
      <c r="B381" s="1118"/>
      <c r="C381" s="1118"/>
      <c r="D381" s="1118"/>
      <c r="E381" s="1118"/>
      <c r="F381" s="1118"/>
      <c r="G381" s="1118"/>
      <c r="H381" s="1118"/>
    </row>
    <row r="382" spans="1:8">
      <c r="A382" s="1116" t="s">
        <v>437</v>
      </c>
      <c r="B382" s="1118"/>
      <c r="C382" s="1118"/>
      <c r="D382" s="1118"/>
      <c r="E382" s="1118"/>
      <c r="F382" s="1118"/>
      <c r="G382" s="1118"/>
      <c r="H382" s="1118"/>
    </row>
    <row r="383" spans="1:8">
      <c r="A383" s="1118"/>
      <c r="B383" s="1118"/>
      <c r="C383" s="1118"/>
      <c r="D383" s="1118"/>
      <c r="E383" s="1118"/>
      <c r="F383" s="1118"/>
      <c r="G383" s="1118"/>
      <c r="H383" s="1118"/>
    </row>
    <row r="384" spans="1:8">
      <c r="A384" s="1116" t="s">
        <v>428</v>
      </c>
      <c r="B384" s="1118"/>
      <c r="C384" s="1118"/>
      <c r="D384" s="1118"/>
      <c r="E384" s="1118"/>
      <c r="F384" s="1118"/>
      <c r="G384" s="1118"/>
      <c r="H384" s="1118"/>
    </row>
    <row r="385" spans="1:8">
      <c r="A385" s="1116" t="s">
        <v>429</v>
      </c>
      <c r="B385" s="1118"/>
      <c r="C385" s="1118"/>
      <c r="D385" s="1118"/>
      <c r="E385" s="1118"/>
      <c r="F385" s="1118"/>
      <c r="G385" s="1118"/>
      <c r="H385" s="1118"/>
    </row>
    <row r="386" spans="1:8">
      <c r="A386" s="1116" t="s">
        <v>430</v>
      </c>
      <c r="B386" s="1118"/>
      <c r="C386" s="1118"/>
      <c r="D386" s="1118"/>
      <c r="E386" s="1118"/>
      <c r="F386" s="1118"/>
      <c r="G386" s="1118"/>
      <c r="H386" s="1118"/>
    </row>
    <row r="387" spans="1:8">
      <c r="A387" s="1116" t="s">
        <v>431</v>
      </c>
      <c r="B387" s="1118"/>
      <c r="C387" s="1118"/>
      <c r="D387" s="1118"/>
      <c r="E387" s="1118"/>
      <c r="F387" s="1118"/>
      <c r="G387" s="1118"/>
      <c r="H387" s="1118"/>
    </row>
    <row r="388" spans="1:8">
      <c r="A388" s="1116" t="s">
        <v>432</v>
      </c>
      <c r="B388" s="1118"/>
      <c r="C388" s="1118"/>
      <c r="D388" s="1118"/>
      <c r="E388" s="1118"/>
      <c r="F388" s="1118"/>
      <c r="G388" s="1118"/>
      <c r="H388" s="1118"/>
    </row>
    <row r="389" spans="1:8">
      <c r="A389" s="1116" t="s">
        <v>433</v>
      </c>
      <c r="B389" s="1118"/>
      <c r="C389" s="1118"/>
      <c r="D389" s="1118"/>
      <c r="E389" s="1118"/>
      <c r="F389" s="1118"/>
      <c r="G389" s="1118"/>
      <c r="H389" s="1118"/>
    </row>
    <row r="390" spans="1:8">
      <c r="A390" s="1118"/>
      <c r="B390" s="1118"/>
      <c r="C390" s="1118"/>
      <c r="D390" s="1118"/>
      <c r="E390" s="1118"/>
      <c r="F390" s="1118"/>
      <c r="G390" s="1118"/>
      <c r="H390" s="1118"/>
    </row>
    <row r="391" spans="1:8">
      <c r="A391" s="1116" t="s">
        <v>423</v>
      </c>
      <c r="B391" s="1118"/>
      <c r="C391" s="1118"/>
      <c r="D391" s="1118"/>
      <c r="E391" s="1118"/>
      <c r="F391" s="1118"/>
      <c r="G391" s="1118"/>
      <c r="H391" s="1118"/>
    </row>
    <row r="392" spans="1:8">
      <c r="A392" s="1116" t="s">
        <v>424</v>
      </c>
      <c r="B392" s="1118"/>
      <c r="C392" s="1118"/>
      <c r="D392" s="1118"/>
      <c r="E392" s="1118"/>
      <c r="F392" s="1118"/>
      <c r="G392" s="1118"/>
      <c r="H392" s="1118"/>
    </row>
    <row r="393" spans="1:8">
      <c r="A393" s="1116" t="s">
        <v>425</v>
      </c>
      <c r="B393" s="1118"/>
      <c r="C393" s="1118"/>
      <c r="D393" s="1118"/>
      <c r="E393" s="1118"/>
      <c r="F393" s="1118"/>
      <c r="G393" s="1118"/>
      <c r="H393" s="1118"/>
    </row>
    <row r="394" spans="1:8">
      <c r="A394" s="1116" t="s">
        <v>426</v>
      </c>
      <c r="B394" s="1118"/>
      <c r="C394" s="1118"/>
      <c r="D394" s="1118"/>
      <c r="E394" s="1118"/>
      <c r="F394" s="1118"/>
      <c r="G394" s="1118"/>
      <c r="H394" s="1118"/>
    </row>
    <row r="395" spans="1:8">
      <c r="A395" s="1116" t="s">
        <v>427</v>
      </c>
      <c r="B395" s="1118"/>
      <c r="C395" s="1118"/>
      <c r="D395" s="1118"/>
      <c r="E395" s="1118"/>
      <c r="F395" s="1118"/>
      <c r="G395" s="1118"/>
      <c r="H395" s="1118"/>
    </row>
    <row r="396" spans="1:8">
      <c r="A396" s="1118"/>
      <c r="B396" s="1118"/>
      <c r="C396" s="1118"/>
      <c r="D396" s="1118"/>
      <c r="E396" s="1118"/>
      <c r="F396" s="1118"/>
      <c r="G396" s="1118"/>
      <c r="H396" s="1118"/>
    </row>
    <row r="397" spans="1:8">
      <c r="A397" s="1116" t="s">
        <v>421</v>
      </c>
      <c r="B397" s="1118"/>
      <c r="C397" s="1118"/>
      <c r="D397" s="1118"/>
      <c r="E397" s="1118"/>
      <c r="F397" s="1118"/>
      <c r="G397" s="1118"/>
      <c r="H397" s="1118"/>
    </row>
    <row r="398" spans="1:8">
      <c r="A398" s="1116" t="s">
        <v>422</v>
      </c>
      <c r="B398" s="1118"/>
      <c r="C398" s="1118"/>
      <c r="D398" s="1118"/>
      <c r="E398" s="1118"/>
      <c r="F398" s="1118"/>
      <c r="G398" s="1118"/>
      <c r="H398" s="1118"/>
    </row>
    <row r="400" spans="1:8">
      <c r="A400" s="132" t="s">
        <v>1179</v>
      </c>
    </row>
  </sheetData>
  <mergeCells count="12">
    <mergeCell ref="A138:H138"/>
    <mergeCell ref="A139:H139"/>
    <mergeCell ref="B131:C131"/>
    <mergeCell ref="D131:F131"/>
    <mergeCell ref="G131:H131"/>
    <mergeCell ref="A117:H117"/>
    <mergeCell ref="A118:H118"/>
    <mergeCell ref="A119:H119"/>
    <mergeCell ref="A120:H120"/>
    <mergeCell ref="A122:H122"/>
    <mergeCell ref="A123:H123"/>
    <mergeCell ref="A130:H130"/>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6" tint="-0.249977111117893"/>
    <pageSetUpPr fitToPage="1"/>
  </sheetPr>
  <dimension ref="B3:W56"/>
  <sheetViews>
    <sheetView showGridLines="0" workbookViewId="0">
      <selection activeCell="C39" sqref="C39"/>
    </sheetView>
  </sheetViews>
  <sheetFormatPr defaultRowHeight="12"/>
  <cols>
    <col min="1" max="1" width="9.140625" style="906"/>
    <col min="2" max="2" width="9.7109375" style="906" customWidth="1"/>
    <col min="3" max="3" width="19.5703125" style="906" customWidth="1"/>
    <col min="4" max="4" width="21.28515625" style="906" customWidth="1"/>
    <col min="5" max="5" width="13" style="906" customWidth="1"/>
    <col min="6" max="6" width="2" style="906" customWidth="1"/>
    <col min="7" max="7" width="10" style="906" customWidth="1"/>
    <col min="8" max="8" width="1.7109375" style="906" customWidth="1"/>
    <col min="9" max="9" width="9.140625" style="906"/>
    <col min="10" max="10" width="1.7109375" style="906" customWidth="1"/>
    <col min="11" max="11" width="9.140625" style="906"/>
    <col min="12" max="12" width="1.7109375" style="906" customWidth="1"/>
    <col min="13" max="13" width="9.140625" style="906" customWidth="1"/>
    <col min="14" max="14" width="1.7109375" style="906" customWidth="1"/>
    <col min="15" max="15" width="9.28515625" style="906" customWidth="1"/>
    <col min="16" max="16" width="1.7109375" style="906" customWidth="1"/>
    <col min="17" max="17" width="9.7109375" style="906" customWidth="1"/>
    <col min="18" max="257" width="9.140625" style="906"/>
    <col min="258" max="258" width="9.7109375" style="906" customWidth="1"/>
    <col min="259" max="259" width="19.5703125" style="906" customWidth="1"/>
    <col min="260" max="260" width="21.28515625" style="906" customWidth="1"/>
    <col min="261" max="261" width="13" style="906" customWidth="1"/>
    <col min="262" max="262" width="2" style="906" customWidth="1"/>
    <col min="263" max="263" width="10" style="906" customWidth="1"/>
    <col min="264" max="264" width="1.7109375" style="906" customWidth="1"/>
    <col min="265" max="265" width="9.140625" style="906"/>
    <col min="266" max="266" width="1.7109375" style="906" customWidth="1"/>
    <col min="267" max="267" width="9.140625" style="906"/>
    <col min="268" max="268" width="1.7109375" style="906" customWidth="1"/>
    <col min="269" max="269" width="9.140625" style="906" customWidth="1"/>
    <col min="270" max="270" width="1.7109375" style="906" customWidth="1"/>
    <col min="271" max="271" width="9.28515625" style="906" customWidth="1"/>
    <col min="272" max="272" width="1.7109375" style="906" customWidth="1"/>
    <col min="273" max="273" width="9.7109375" style="906" customWidth="1"/>
    <col min="274" max="513" width="9.140625" style="906"/>
    <col min="514" max="514" width="9.7109375" style="906" customWidth="1"/>
    <col min="515" max="515" width="19.5703125" style="906" customWidth="1"/>
    <col min="516" max="516" width="21.28515625" style="906" customWidth="1"/>
    <col min="517" max="517" width="13" style="906" customWidth="1"/>
    <col min="518" max="518" width="2" style="906" customWidth="1"/>
    <col min="519" max="519" width="10" style="906" customWidth="1"/>
    <col min="520" max="520" width="1.7109375" style="906" customWidth="1"/>
    <col min="521" max="521" width="9.140625" style="906"/>
    <col min="522" max="522" width="1.7109375" style="906" customWidth="1"/>
    <col min="523" max="523" width="9.140625" style="906"/>
    <col min="524" max="524" width="1.7109375" style="906" customWidth="1"/>
    <col min="525" max="525" width="9.140625" style="906" customWidth="1"/>
    <col min="526" max="526" width="1.7109375" style="906" customWidth="1"/>
    <col min="527" max="527" width="9.28515625" style="906" customWidth="1"/>
    <col min="528" max="528" width="1.7109375" style="906" customWidth="1"/>
    <col min="529" max="529" width="9.7109375" style="906" customWidth="1"/>
    <col min="530" max="769" width="9.140625" style="906"/>
    <col min="770" max="770" width="9.7109375" style="906" customWidth="1"/>
    <col min="771" max="771" width="19.5703125" style="906" customWidth="1"/>
    <col min="772" max="772" width="21.28515625" style="906" customWidth="1"/>
    <col min="773" max="773" width="13" style="906" customWidth="1"/>
    <col min="774" max="774" width="2" style="906" customWidth="1"/>
    <col min="775" max="775" width="10" style="906" customWidth="1"/>
    <col min="776" max="776" width="1.7109375" style="906" customWidth="1"/>
    <col min="777" max="777" width="9.140625" style="906"/>
    <col min="778" max="778" width="1.7109375" style="906" customWidth="1"/>
    <col min="779" max="779" width="9.140625" style="906"/>
    <col min="780" max="780" width="1.7109375" style="906" customWidth="1"/>
    <col min="781" max="781" width="9.140625" style="906" customWidth="1"/>
    <col min="782" max="782" width="1.7109375" style="906" customWidth="1"/>
    <col min="783" max="783" width="9.28515625" style="906" customWidth="1"/>
    <col min="784" max="784" width="1.7109375" style="906" customWidth="1"/>
    <col min="785" max="785" width="9.7109375" style="906" customWidth="1"/>
    <col min="786" max="1025" width="9.140625" style="906"/>
    <col min="1026" max="1026" width="9.7109375" style="906" customWidth="1"/>
    <col min="1027" max="1027" width="19.5703125" style="906" customWidth="1"/>
    <col min="1028" max="1028" width="21.28515625" style="906" customWidth="1"/>
    <col min="1029" max="1029" width="13" style="906" customWidth="1"/>
    <col min="1030" max="1030" width="2" style="906" customWidth="1"/>
    <col min="1031" max="1031" width="10" style="906" customWidth="1"/>
    <col min="1032" max="1032" width="1.7109375" style="906" customWidth="1"/>
    <col min="1033" max="1033" width="9.140625" style="906"/>
    <col min="1034" max="1034" width="1.7109375" style="906" customWidth="1"/>
    <col min="1035" max="1035" width="9.140625" style="906"/>
    <col min="1036" max="1036" width="1.7109375" style="906" customWidth="1"/>
    <col min="1037" max="1037" width="9.140625" style="906" customWidth="1"/>
    <col min="1038" max="1038" width="1.7109375" style="906" customWidth="1"/>
    <col min="1039" max="1039" width="9.28515625" style="906" customWidth="1"/>
    <col min="1040" max="1040" width="1.7109375" style="906" customWidth="1"/>
    <col min="1041" max="1041" width="9.7109375" style="906" customWidth="1"/>
    <col min="1042" max="1281" width="9.140625" style="906"/>
    <col min="1282" max="1282" width="9.7109375" style="906" customWidth="1"/>
    <col min="1283" max="1283" width="19.5703125" style="906" customWidth="1"/>
    <col min="1284" max="1284" width="21.28515625" style="906" customWidth="1"/>
    <col min="1285" max="1285" width="13" style="906" customWidth="1"/>
    <col min="1286" max="1286" width="2" style="906" customWidth="1"/>
    <col min="1287" max="1287" width="10" style="906" customWidth="1"/>
    <col min="1288" max="1288" width="1.7109375" style="906" customWidth="1"/>
    <col min="1289" max="1289" width="9.140625" style="906"/>
    <col min="1290" max="1290" width="1.7109375" style="906" customWidth="1"/>
    <col min="1291" max="1291" width="9.140625" style="906"/>
    <col min="1292" max="1292" width="1.7109375" style="906" customWidth="1"/>
    <col min="1293" max="1293" width="9.140625" style="906" customWidth="1"/>
    <col min="1294" max="1294" width="1.7109375" style="906" customWidth="1"/>
    <col min="1295" max="1295" width="9.28515625" style="906" customWidth="1"/>
    <col min="1296" max="1296" width="1.7109375" style="906" customWidth="1"/>
    <col min="1297" max="1297" width="9.7109375" style="906" customWidth="1"/>
    <col min="1298" max="1537" width="9.140625" style="906"/>
    <col min="1538" max="1538" width="9.7109375" style="906" customWidth="1"/>
    <col min="1539" max="1539" width="19.5703125" style="906" customWidth="1"/>
    <col min="1540" max="1540" width="21.28515625" style="906" customWidth="1"/>
    <col min="1541" max="1541" width="13" style="906" customWidth="1"/>
    <col min="1542" max="1542" width="2" style="906" customWidth="1"/>
    <col min="1543" max="1543" width="10" style="906" customWidth="1"/>
    <col min="1544" max="1544" width="1.7109375" style="906" customWidth="1"/>
    <col min="1545" max="1545" width="9.140625" style="906"/>
    <col min="1546" max="1546" width="1.7109375" style="906" customWidth="1"/>
    <col min="1547" max="1547" width="9.140625" style="906"/>
    <col min="1548" max="1548" width="1.7109375" style="906" customWidth="1"/>
    <col min="1549" max="1549" width="9.140625" style="906" customWidth="1"/>
    <col min="1550" max="1550" width="1.7109375" style="906" customWidth="1"/>
    <col min="1551" max="1551" width="9.28515625" style="906" customWidth="1"/>
    <col min="1552" max="1552" width="1.7109375" style="906" customWidth="1"/>
    <col min="1553" max="1553" width="9.7109375" style="906" customWidth="1"/>
    <col min="1554" max="1793" width="9.140625" style="906"/>
    <col min="1794" max="1794" width="9.7109375" style="906" customWidth="1"/>
    <col min="1795" max="1795" width="19.5703125" style="906" customWidth="1"/>
    <col min="1796" max="1796" width="21.28515625" style="906" customWidth="1"/>
    <col min="1797" max="1797" width="13" style="906" customWidth="1"/>
    <col min="1798" max="1798" width="2" style="906" customWidth="1"/>
    <col min="1799" max="1799" width="10" style="906" customWidth="1"/>
    <col min="1800" max="1800" width="1.7109375" style="906" customWidth="1"/>
    <col min="1801" max="1801" width="9.140625" style="906"/>
    <col min="1802" max="1802" width="1.7109375" style="906" customWidth="1"/>
    <col min="1803" max="1803" width="9.140625" style="906"/>
    <col min="1804" max="1804" width="1.7109375" style="906" customWidth="1"/>
    <col min="1805" max="1805" width="9.140625" style="906" customWidth="1"/>
    <col min="1806" max="1806" width="1.7109375" style="906" customWidth="1"/>
    <col min="1807" max="1807" width="9.28515625" style="906" customWidth="1"/>
    <col min="1808" max="1808" width="1.7109375" style="906" customWidth="1"/>
    <col min="1809" max="1809" width="9.7109375" style="906" customWidth="1"/>
    <col min="1810" max="2049" width="9.140625" style="906"/>
    <col min="2050" max="2050" width="9.7109375" style="906" customWidth="1"/>
    <col min="2051" max="2051" width="19.5703125" style="906" customWidth="1"/>
    <col min="2052" max="2052" width="21.28515625" style="906" customWidth="1"/>
    <col min="2053" max="2053" width="13" style="906" customWidth="1"/>
    <col min="2054" max="2054" width="2" style="906" customWidth="1"/>
    <col min="2055" max="2055" width="10" style="906" customWidth="1"/>
    <col min="2056" max="2056" width="1.7109375" style="906" customWidth="1"/>
    <col min="2057" max="2057" width="9.140625" style="906"/>
    <col min="2058" max="2058" width="1.7109375" style="906" customWidth="1"/>
    <col min="2059" max="2059" width="9.140625" style="906"/>
    <col min="2060" max="2060" width="1.7109375" style="906" customWidth="1"/>
    <col min="2061" max="2061" width="9.140625" style="906" customWidth="1"/>
    <col min="2062" max="2062" width="1.7109375" style="906" customWidth="1"/>
    <col min="2063" max="2063" width="9.28515625" style="906" customWidth="1"/>
    <col min="2064" max="2064" width="1.7109375" style="906" customWidth="1"/>
    <col min="2065" max="2065" width="9.7109375" style="906" customWidth="1"/>
    <col min="2066" max="2305" width="9.140625" style="906"/>
    <col min="2306" max="2306" width="9.7109375" style="906" customWidth="1"/>
    <col min="2307" max="2307" width="19.5703125" style="906" customWidth="1"/>
    <col min="2308" max="2308" width="21.28515625" style="906" customWidth="1"/>
    <col min="2309" max="2309" width="13" style="906" customWidth="1"/>
    <col min="2310" max="2310" width="2" style="906" customWidth="1"/>
    <col min="2311" max="2311" width="10" style="906" customWidth="1"/>
    <col min="2312" max="2312" width="1.7109375" style="906" customWidth="1"/>
    <col min="2313" max="2313" width="9.140625" style="906"/>
    <col min="2314" max="2314" width="1.7109375" style="906" customWidth="1"/>
    <col min="2315" max="2315" width="9.140625" style="906"/>
    <col min="2316" max="2316" width="1.7109375" style="906" customWidth="1"/>
    <col min="2317" max="2317" width="9.140625" style="906" customWidth="1"/>
    <col min="2318" max="2318" width="1.7109375" style="906" customWidth="1"/>
    <col min="2319" max="2319" width="9.28515625" style="906" customWidth="1"/>
    <col min="2320" max="2320" width="1.7109375" style="906" customWidth="1"/>
    <col min="2321" max="2321" width="9.7109375" style="906" customWidth="1"/>
    <col min="2322" max="2561" width="9.140625" style="906"/>
    <col min="2562" max="2562" width="9.7109375" style="906" customWidth="1"/>
    <col min="2563" max="2563" width="19.5703125" style="906" customWidth="1"/>
    <col min="2564" max="2564" width="21.28515625" style="906" customWidth="1"/>
    <col min="2565" max="2565" width="13" style="906" customWidth="1"/>
    <col min="2566" max="2566" width="2" style="906" customWidth="1"/>
    <col min="2567" max="2567" width="10" style="906" customWidth="1"/>
    <col min="2568" max="2568" width="1.7109375" style="906" customWidth="1"/>
    <col min="2569" max="2569" width="9.140625" style="906"/>
    <col min="2570" max="2570" width="1.7109375" style="906" customWidth="1"/>
    <col min="2571" max="2571" width="9.140625" style="906"/>
    <col min="2572" max="2572" width="1.7109375" style="906" customWidth="1"/>
    <col min="2573" max="2573" width="9.140625" style="906" customWidth="1"/>
    <col min="2574" max="2574" width="1.7109375" style="906" customWidth="1"/>
    <col min="2575" max="2575" width="9.28515625" style="906" customWidth="1"/>
    <col min="2576" max="2576" width="1.7109375" style="906" customWidth="1"/>
    <col min="2577" max="2577" width="9.7109375" style="906" customWidth="1"/>
    <col min="2578" max="2817" width="9.140625" style="906"/>
    <col min="2818" max="2818" width="9.7109375" style="906" customWidth="1"/>
    <col min="2819" max="2819" width="19.5703125" style="906" customWidth="1"/>
    <col min="2820" max="2820" width="21.28515625" style="906" customWidth="1"/>
    <col min="2821" max="2821" width="13" style="906" customWidth="1"/>
    <col min="2822" max="2822" width="2" style="906" customWidth="1"/>
    <col min="2823" max="2823" width="10" style="906" customWidth="1"/>
    <col min="2824" max="2824" width="1.7109375" style="906" customWidth="1"/>
    <col min="2825" max="2825" width="9.140625" style="906"/>
    <col min="2826" max="2826" width="1.7109375" style="906" customWidth="1"/>
    <col min="2827" max="2827" width="9.140625" style="906"/>
    <col min="2828" max="2828" width="1.7109375" style="906" customWidth="1"/>
    <col min="2829" max="2829" width="9.140625" style="906" customWidth="1"/>
    <col min="2830" max="2830" width="1.7109375" style="906" customWidth="1"/>
    <col min="2831" max="2831" width="9.28515625" style="906" customWidth="1"/>
    <col min="2832" max="2832" width="1.7109375" style="906" customWidth="1"/>
    <col min="2833" max="2833" width="9.7109375" style="906" customWidth="1"/>
    <col min="2834" max="3073" width="9.140625" style="906"/>
    <col min="3074" max="3074" width="9.7109375" style="906" customWidth="1"/>
    <col min="3075" max="3075" width="19.5703125" style="906" customWidth="1"/>
    <col min="3076" max="3076" width="21.28515625" style="906" customWidth="1"/>
    <col min="3077" max="3077" width="13" style="906" customWidth="1"/>
    <col min="3078" max="3078" width="2" style="906" customWidth="1"/>
    <col min="3079" max="3079" width="10" style="906" customWidth="1"/>
    <col min="3080" max="3080" width="1.7109375" style="906" customWidth="1"/>
    <col min="3081" max="3081" width="9.140625" style="906"/>
    <col min="3082" max="3082" width="1.7109375" style="906" customWidth="1"/>
    <col min="3083" max="3083" width="9.140625" style="906"/>
    <col min="3084" max="3084" width="1.7109375" style="906" customWidth="1"/>
    <col min="3085" max="3085" width="9.140625" style="906" customWidth="1"/>
    <col min="3086" max="3086" width="1.7109375" style="906" customWidth="1"/>
    <col min="3087" max="3087" width="9.28515625" style="906" customWidth="1"/>
    <col min="3088" max="3088" width="1.7109375" style="906" customWidth="1"/>
    <col min="3089" max="3089" width="9.7109375" style="906" customWidth="1"/>
    <col min="3090" max="3329" width="9.140625" style="906"/>
    <col min="3330" max="3330" width="9.7109375" style="906" customWidth="1"/>
    <col min="3331" max="3331" width="19.5703125" style="906" customWidth="1"/>
    <col min="3332" max="3332" width="21.28515625" style="906" customWidth="1"/>
    <col min="3333" max="3333" width="13" style="906" customWidth="1"/>
    <col min="3334" max="3334" width="2" style="906" customWidth="1"/>
    <col min="3335" max="3335" width="10" style="906" customWidth="1"/>
    <col min="3336" max="3336" width="1.7109375" style="906" customWidth="1"/>
    <col min="3337" max="3337" width="9.140625" style="906"/>
    <col min="3338" max="3338" width="1.7109375" style="906" customWidth="1"/>
    <col min="3339" max="3339" width="9.140625" style="906"/>
    <col min="3340" max="3340" width="1.7109375" style="906" customWidth="1"/>
    <col min="3341" max="3341" width="9.140625" style="906" customWidth="1"/>
    <col min="3342" max="3342" width="1.7109375" style="906" customWidth="1"/>
    <col min="3343" max="3343" width="9.28515625" style="906" customWidth="1"/>
    <col min="3344" max="3344" width="1.7109375" style="906" customWidth="1"/>
    <col min="3345" max="3345" width="9.7109375" style="906" customWidth="1"/>
    <col min="3346" max="3585" width="9.140625" style="906"/>
    <col min="3586" max="3586" width="9.7109375" style="906" customWidth="1"/>
    <col min="3587" max="3587" width="19.5703125" style="906" customWidth="1"/>
    <col min="3588" max="3588" width="21.28515625" style="906" customWidth="1"/>
    <col min="3589" max="3589" width="13" style="906" customWidth="1"/>
    <col min="3590" max="3590" width="2" style="906" customWidth="1"/>
    <col min="3591" max="3591" width="10" style="906" customWidth="1"/>
    <col min="3592" max="3592" width="1.7109375" style="906" customWidth="1"/>
    <col min="3593" max="3593" width="9.140625" style="906"/>
    <col min="3594" max="3594" width="1.7109375" style="906" customWidth="1"/>
    <col min="3595" max="3595" width="9.140625" style="906"/>
    <col min="3596" max="3596" width="1.7109375" style="906" customWidth="1"/>
    <col min="3597" max="3597" width="9.140625" style="906" customWidth="1"/>
    <col min="3598" max="3598" width="1.7109375" style="906" customWidth="1"/>
    <col min="3599" max="3599" width="9.28515625" style="906" customWidth="1"/>
    <col min="3600" max="3600" width="1.7109375" style="906" customWidth="1"/>
    <col min="3601" max="3601" width="9.7109375" style="906" customWidth="1"/>
    <col min="3602" max="3841" width="9.140625" style="906"/>
    <col min="3842" max="3842" width="9.7109375" style="906" customWidth="1"/>
    <col min="3843" max="3843" width="19.5703125" style="906" customWidth="1"/>
    <col min="3844" max="3844" width="21.28515625" style="906" customWidth="1"/>
    <col min="3845" max="3845" width="13" style="906" customWidth="1"/>
    <col min="3846" max="3846" width="2" style="906" customWidth="1"/>
    <col min="3847" max="3847" width="10" style="906" customWidth="1"/>
    <col min="3848" max="3848" width="1.7109375" style="906" customWidth="1"/>
    <col min="3849" max="3849" width="9.140625" style="906"/>
    <col min="3850" max="3850" width="1.7109375" style="906" customWidth="1"/>
    <col min="3851" max="3851" width="9.140625" style="906"/>
    <col min="3852" max="3852" width="1.7109375" style="906" customWidth="1"/>
    <col min="3853" max="3853" width="9.140625" style="906" customWidth="1"/>
    <col min="3854" max="3854" width="1.7109375" style="906" customWidth="1"/>
    <col min="3855" max="3855" width="9.28515625" style="906" customWidth="1"/>
    <col min="3856" max="3856" width="1.7109375" style="906" customWidth="1"/>
    <col min="3857" max="3857" width="9.7109375" style="906" customWidth="1"/>
    <col min="3858" max="4097" width="9.140625" style="906"/>
    <col min="4098" max="4098" width="9.7109375" style="906" customWidth="1"/>
    <col min="4099" max="4099" width="19.5703125" style="906" customWidth="1"/>
    <col min="4100" max="4100" width="21.28515625" style="906" customWidth="1"/>
    <col min="4101" max="4101" width="13" style="906" customWidth="1"/>
    <col min="4102" max="4102" width="2" style="906" customWidth="1"/>
    <col min="4103" max="4103" width="10" style="906" customWidth="1"/>
    <col min="4104" max="4104" width="1.7109375" style="906" customWidth="1"/>
    <col min="4105" max="4105" width="9.140625" style="906"/>
    <col min="4106" max="4106" width="1.7109375" style="906" customWidth="1"/>
    <col min="4107" max="4107" width="9.140625" style="906"/>
    <col min="4108" max="4108" width="1.7109375" style="906" customWidth="1"/>
    <col min="4109" max="4109" width="9.140625" style="906" customWidth="1"/>
    <col min="4110" max="4110" width="1.7109375" style="906" customWidth="1"/>
    <col min="4111" max="4111" width="9.28515625" style="906" customWidth="1"/>
    <col min="4112" max="4112" width="1.7109375" style="906" customWidth="1"/>
    <col min="4113" max="4113" width="9.7109375" style="906" customWidth="1"/>
    <col min="4114" max="4353" width="9.140625" style="906"/>
    <col min="4354" max="4354" width="9.7109375" style="906" customWidth="1"/>
    <col min="4355" max="4355" width="19.5703125" style="906" customWidth="1"/>
    <col min="4356" max="4356" width="21.28515625" style="906" customWidth="1"/>
    <col min="4357" max="4357" width="13" style="906" customWidth="1"/>
    <col min="4358" max="4358" width="2" style="906" customWidth="1"/>
    <col min="4359" max="4359" width="10" style="906" customWidth="1"/>
    <col min="4360" max="4360" width="1.7109375" style="906" customWidth="1"/>
    <col min="4361" max="4361" width="9.140625" style="906"/>
    <col min="4362" max="4362" width="1.7109375" style="906" customWidth="1"/>
    <col min="4363" max="4363" width="9.140625" style="906"/>
    <col min="4364" max="4364" width="1.7109375" style="906" customWidth="1"/>
    <col min="4365" max="4365" width="9.140625" style="906" customWidth="1"/>
    <col min="4366" max="4366" width="1.7109375" style="906" customWidth="1"/>
    <col min="4367" max="4367" width="9.28515625" style="906" customWidth="1"/>
    <col min="4368" max="4368" width="1.7109375" style="906" customWidth="1"/>
    <col min="4369" max="4369" width="9.7109375" style="906" customWidth="1"/>
    <col min="4370" max="4609" width="9.140625" style="906"/>
    <col min="4610" max="4610" width="9.7109375" style="906" customWidth="1"/>
    <col min="4611" max="4611" width="19.5703125" style="906" customWidth="1"/>
    <col min="4612" max="4612" width="21.28515625" style="906" customWidth="1"/>
    <col min="4613" max="4613" width="13" style="906" customWidth="1"/>
    <col min="4614" max="4614" width="2" style="906" customWidth="1"/>
    <col min="4615" max="4615" width="10" style="906" customWidth="1"/>
    <col min="4616" max="4616" width="1.7109375" style="906" customWidth="1"/>
    <col min="4617" max="4617" width="9.140625" style="906"/>
    <col min="4618" max="4618" width="1.7109375" style="906" customWidth="1"/>
    <col min="4619" max="4619" width="9.140625" style="906"/>
    <col min="4620" max="4620" width="1.7109375" style="906" customWidth="1"/>
    <col min="4621" max="4621" width="9.140625" style="906" customWidth="1"/>
    <col min="4622" max="4622" width="1.7109375" style="906" customWidth="1"/>
    <col min="4623" max="4623" width="9.28515625" style="906" customWidth="1"/>
    <col min="4624" max="4624" width="1.7109375" style="906" customWidth="1"/>
    <col min="4625" max="4625" width="9.7109375" style="906" customWidth="1"/>
    <col min="4626" max="4865" width="9.140625" style="906"/>
    <col min="4866" max="4866" width="9.7109375" style="906" customWidth="1"/>
    <col min="4867" max="4867" width="19.5703125" style="906" customWidth="1"/>
    <col min="4868" max="4868" width="21.28515625" style="906" customWidth="1"/>
    <col min="4869" max="4869" width="13" style="906" customWidth="1"/>
    <col min="4870" max="4870" width="2" style="906" customWidth="1"/>
    <col min="4871" max="4871" width="10" style="906" customWidth="1"/>
    <col min="4872" max="4872" width="1.7109375" style="906" customWidth="1"/>
    <col min="4873" max="4873" width="9.140625" style="906"/>
    <col min="4874" max="4874" width="1.7109375" style="906" customWidth="1"/>
    <col min="4875" max="4875" width="9.140625" style="906"/>
    <col min="4876" max="4876" width="1.7109375" style="906" customWidth="1"/>
    <col min="4877" max="4877" width="9.140625" style="906" customWidth="1"/>
    <col min="4878" max="4878" width="1.7109375" style="906" customWidth="1"/>
    <col min="4879" max="4879" width="9.28515625" style="906" customWidth="1"/>
    <col min="4880" max="4880" width="1.7109375" style="906" customWidth="1"/>
    <col min="4881" max="4881" width="9.7109375" style="906" customWidth="1"/>
    <col min="4882" max="5121" width="9.140625" style="906"/>
    <col min="5122" max="5122" width="9.7109375" style="906" customWidth="1"/>
    <col min="5123" max="5123" width="19.5703125" style="906" customWidth="1"/>
    <col min="5124" max="5124" width="21.28515625" style="906" customWidth="1"/>
    <col min="5125" max="5125" width="13" style="906" customWidth="1"/>
    <col min="5126" max="5126" width="2" style="906" customWidth="1"/>
    <col min="5127" max="5127" width="10" style="906" customWidth="1"/>
    <col min="5128" max="5128" width="1.7109375" style="906" customWidth="1"/>
    <col min="5129" max="5129" width="9.140625" style="906"/>
    <col min="5130" max="5130" width="1.7109375" style="906" customWidth="1"/>
    <col min="5131" max="5131" width="9.140625" style="906"/>
    <col min="5132" max="5132" width="1.7109375" style="906" customWidth="1"/>
    <col min="5133" max="5133" width="9.140625" style="906" customWidth="1"/>
    <col min="5134" max="5134" width="1.7109375" style="906" customWidth="1"/>
    <col min="5135" max="5135" width="9.28515625" style="906" customWidth="1"/>
    <col min="5136" max="5136" width="1.7109375" style="906" customWidth="1"/>
    <col min="5137" max="5137" width="9.7109375" style="906" customWidth="1"/>
    <col min="5138" max="5377" width="9.140625" style="906"/>
    <col min="5378" max="5378" width="9.7109375" style="906" customWidth="1"/>
    <col min="5379" max="5379" width="19.5703125" style="906" customWidth="1"/>
    <col min="5380" max="5380" width="21.28515625" style="906" customWidth="1"/>
    <col min="5381" max="5381" width="13" style="906" customWidth="1"/>
    <col min="5382" max="5382" width="2" style="906" customWidth="1"/>
    <col min="5383" max="5383" width="10" style="906" customWidth="1"/>
    <col min="5384" max="5384" width="1.7109375" style="906" customWidth="1"/>
    <col min="5385" max="5385" width="9.140625" style="906"/>
    <col min="5386" max="5386" width="1.7109375" style="906" customWidth="1"/>
    <col min="5387" max="5387" width="9.140625" style="906"/>
    <col min="5388" max="5388" width="1.7109375" style="906" customWidth="1"/>
    <col min="5389" max="5389" width="9.140625" style="906" customWidth="1"/>
    <col min="5390" max="5390" width="1.7109375" style="906" customWidth="1"/>
    <col min="5391" max="5391" width="9.28515625" style="906" customWidth="1"/>
    <col min="5392" max="5392" width="1.7109375" style="906" customWidth="1"/>
    <col min="5393" max="5393" width="9.7109375" style="906" customWidth="1"/>
    <col min="5394" max="5633" width="9.140625" style="906"/>
    <col min="5634" max="5634" width="9.7109375" style="906" customWidth="1"/>
    <col min="5635" max="5635" width="19.5703125" style="906" customWidth="1"/>
    <col min="5636" max="5636" width="21.28515625" style="906" customWidth="1"/>
    <col min="5637" max="5637" width="13" style="906" customWidth="1"/>
    <col min="5638" max="5638" width="2" style="906" customWidth="1"/>
    <col min="5639" max="5639" width="10" style="906" customWidth="1"/>
    <col min="5640" max="5640" width="1.7109375" style="906" customWidth="1"/>
    <col min="5641" max="5641" width="9.140625" style="906"/>
    <col min="5642" max="5642" width="1.7109375" style="906" customWidth="1"/>
    <col min="5643" max="5643" width="9.140625" style="906"/>
    <col min="5644" max="5644" width="1.7109375" style="906" customWidth="1"/>
    <col min="5645" max="5645" width="9.140625" style="906" customWidth="1"/>
    <col min="5646" max="5646" width="1.7109375" style="906" customWidth="1"/>
    <col min="5647" max="5647" width="9.28515625" style="906" customWidth="1"/>
    <col min="5648" max="5648" width="1.7109375" style="906" customWidth="1"/>
    <col min="5649" max="5649" width="9.7109375" style="906" customWidth="1"/>
    <col min="5650" max="5889" width="9.140625" style="906"/>
    <col min="5890" max="5890" width="9.7109375" style="906" customWidth="1"/>
    <col min="5891" max="5891" width="19.5703125" style="906" customWidth="1"/>
    <col min="5892" max="5892" width="21.28515625" style="906" customWidth="1"/>
    <col min="5893" max="5893" width="13" style="906" customWidth="1"/>
    <col min="5894" max="5894" width="2" style="906" customWidth="1"/>
    <col min="5895" max="5895" width="10" style="906" customWidth="1"/>
    <col min="5896" max="5896" width="1.7109375" style="906" customWidth="1"/>
    <col min="5897" max="5897" width="9.140625" style="906"/>
    <col min="5898" max="5898" width="1.7109375" style="906" customWidth="1"/>
    <col min="5899" max="5899" width="9.140625" style="906"/>
    <col min="5900" max="5900" width="1.7109375" style="906" customWidth="1"/>
    <col min="5901" max="5901" width="9.140625" style="906" customWidth="1"/>
    <col min="5902" max="5902" width="1.7109375" style="906" customWidth="1"/>
    <col min="5903" max="5903" width="9.28515625" style="906" customWidth="1"/>
    <col min="5904" max="5904" width="1.7109375" style="906" customWidth="1"/>
    <col min="5905" max="5905" width="9.7109375" style="906" customWidth="1"/>
    <col min="5906" max="6145" width="9.140625" style="906"/>
    <col min="6146" max="6146" width="9.7109375" style="906" customWidth="1"/>
    <col min="6147" max="6147" width="19.5703125" style="906" customWidth="1"/>
    <col min="6148" max="6148" width="21.28515625" style="906" customWidth="1"/>
    <col min="6149" max="6149" width="13" style="906" customWidth="1"/>
    <col min="6150" max="6150" width="2" style="906" customWidth="1"/>
    <col min="6151" max="6151" width="10" style="906" customWidth="1"/>
    <col min="6152" max="6152" width="1.7109375" style="906" customWidth="1"/>
    <col min="6153" max="6153" width="9.140625" style="906"/>
    <col min="6154" max="6154" width="1.7109375" style="906" customWidth="1"/>
    <col min="6155" max="6155" width="9.140625" style="906"/>
    <col min="6156" max="6156" width="1.7109375" style="906" customWidth="1"/>
    <col min="6157" max="6157" width="9.140625" style="906" customWidth="1"/>
    <col min="6158" max="6158" width="1.7109375" style="906" customWidth="1"/>
    <col min="6159" max="6159" width="9.28515625" style="906" customWidth="1"/>
    <col min="6160" max="6160" width="1.7109375" style="906" customWidth="1"/>
    <col min="6161" max="6161" width="9.7109375" style="906" customWidth="1"/>
    <col min="6162" max="6401" width="9.140625" style="906"/>
    <col min="6402" max="6402" width="9.7109375" style="906" customWidth="1"/>
    <col min="6403" max="6403" width="19.5703125" style="906" customWidth="1"/>
    <col min="6404" max="6404" width="21.28515625" style="906" customWidth="1"/>
    <col min="6405" max="6405" width="13" style="906" customWidth="1"/>
    <col min="6406" max="6406" width="2" style="906" customWidth="1"/>
    <col min="6407" max="6407" width="10" style="906" customWidth="1"/>
    <col min="6408" max="6408" width="1.7109375" style="906" customWidth="1"/>
    <col min="6409" max="6409" width="9.140625" style="906"/>
    <col min="6410" max="6410" width="1.7109375" style="906" customWidth="1"/>
    <col min="6411" max="6411" width="9.140625" style="906"/>
    <col min="6412" max="6412" width="1.7109375" style="906" customWidth="1"/>
    <col min="6413" max="6413" width="9.140625" style="906" customWidth="1"/>
    <col min="6414" max="6414" width="1.7109375" style="906" customWidth="1"/>
    <col min="6415" max="6415" width="9.28515625" style="906" customWidth="1"/>
    <col min="6416" max="6416" width="1.7109375" style="906" customWidth="1"/>
    <col min="6417" max="6417" width="9.7109375" style="906" customWidth="1"/>
    <col min="6418" max="6657" width="9.140625" style="906"/>
    <col min="6658" max="6658" width="9.7109375" style="906" customWidth="1"/>
    <col min="6659" max="6659" width="19.5703125" style="906" customWidth="1"/>
    <col min="6660" max="6660" width="21.28515625" style="906" customWidth="1"/>
    <col min="6661" max="6661" width="13" style="906" customWidth="1"/>
    <col min="6662" max="6662" width="2" style="906" customWidth="1"/>
    <col min="6663" max="6663" width="10" style="906" customWidth="1"/>
    <col min="6664" max="6664" width="1.7109375" style="906" customWidth="1"/>
    <col min="6665" max="6665" width="9.140625" style="906"/>
    <col min="6666" max="6666" width="1.7109375" style="906" customWidth="1"/>
    <col min="6667" max="6667" width="9.140625" style="906"/>
    <col min="6668" max="6668" width="1.7109375" style="906" customWidth="1"/>
    <col min="6669" max="6669" width="9.140625" style="906" customWidth="1"/>
    <col min="6670" max="6670" width="1.7109375" style="906" customWidth="1"/>
    <col min="6671" max="6671" width="9.28515625" style="906" customWidth="1"/>
    <col min="6672" max="6672" width="1.7109375" style="906" customWidth="1"/>
    <col min="6673" max="6673" width="9.7109375" style="906" customWidth="1"/>
    <col min="6674" max="6913" width="9.140625" style="906"/>
    <col min="6914" max="6914" width="9.7109375" style="906" customWidth="1"/>
    <col min="6915" max="6915" width="19.5703125" style="906" customWidth="1"/>
    <col min="6916" max="6916" width="21.28515625" style="906" customWidth="1"/>
    <col min="6917" max="6917" width="13" style="906" customWidth="1"/>
    <col min="6918" max="6918" width="2" style="906" customWidth="1"/>
    <col min="6919" max="6919" width="10" style="906" customWidth="1"/>
    <col min="6920" max="6920" width="1.7109375" style="906" customWidth="1"/>
    <col min="6921" max="6921" width="9.140625" style="906"/>
    <col min="6922" max="6922" width="1.7109375" style="906" customWidth="1"/>
    <col min="6923" max="6923" width="9.140625" style="906"/>
    <col min="6924" max="6924" width="1.7109375" style="906" customWidth="1"/>
    <col min="6925" max="6925" width="9.140625" style="906" customWidth="1"/>
    <col min="6926" max="6926" width="1.7109375" style="906" customWidth="1"/>
    <col min="6927" max="6927" width="9.28515625" style="906" customWidth="1"/>
    <col min="6928" max="6928" width="1.7109375" style="906" customWidth="1"/>
    <col min="6929" max="6929" width="9.7109375" style="906" customWidth="1"/>
    <col min="6930" max="7169" width="9.140625" style="906"/>
    <col min="7170" max="7170" width="9.7109375" style="906" customWidth="1"/>
    <col min="7171" max="7171" width="19.5703125" style="906" customWidth="1"/>
    <col min="7172" max="7172" width="21.28515625" style="906" customWidth="1"/>
    <col min="7173" max="7173" width="13" style="906" customWidth="1"/>
    <col min="7174" max="7174" width="2" style="906" customWidth="1"/>
    <col min="7175" max="7175" width="10" style="906" customWidth="1"/>
    <col min="7176" max="7176" width="1.7109375" style="906" customWidth="1"/>
    <col min="7177" max="7177" width="9.140625" style="906"/>
    <col min="7178" max="7178" width="1.7109375" style="906" customWidth="1"/>
    <col min="7179" max="7179" width="9.140625" style="906"/>
    <col min="7180" max="7180" width="1.7109375" style="906" customWidth="1"/>
    <col min="7181" max="7181" width="9.140625" style="906" customWidth="1"/>
    <col min="7182" max="7182" width="1.7109375" style="906" customWidth="1"/>
    <col min="7183" max="7183" width="9.28515625" style="906" customWidth="1"/>
    <col min="7184" max="7184" width="1.7109375" style="906" customWidth="1"/>
    <col min="7185" max="7185" width="9.7109375" style="906" customWidth="1"/>
    <col min="7186" max="7425" width="9.140625" style="906"/>
    <col min="7426" max="7426" width="9.7109375" style="906" customWidth="1"/>
    <col min="7427" max="7427" width="19.5703125" style="906" customWidth="1"/>
    <col min="7428" max="7428" width="21.28515625" style="906" customWidth="1"/>
    <col min="7429" max="7429" width="13" style="906" customWidth="1"/>
    <col min="7430" max="7430" width="2" style="906" customWidth="1"/>
    <col min="7431" max="7431" width="10" style="906" customWidth="1"/>
    <col min="7432" max="7432" width="1.7109375" style="906" customWidth="1"/>
    <col min="7433" max="7433" width="9.140625" style="906"/>
    <col min="7434" max="7434" width="1.7109375" style="906" customWidth="1"/>
    <col min="7435" max="7435" width="9.140625" style="906"/>
    <col min="7436" max="7436" width="1.7109375" style="906" customWidth="1"/>
    <col min="7437" max="7437" width="9.140625" style="906" customWidth="1"/>
    <col min="7438" max="7438" width="1.7109375" style="906" customWidth="1"/>
    <col min="7439" max="7439" width="9.28515625" style="906" customWidth="1"/>
    <col min="7440" max="7440" width="1.7109375" style="906" customWidth="1"/>
    <col min="7441" max="7441" width="9.7109375" style="906" customWidth="1"/>
    <col min="7442" max="7681" width="9.140625" style="906"/>
    <col min="7682" max="7682" width="9.7109375" style="906" customWidth="1"/>
    <col min="7683" max="7683" width="19.5703125" style="906" customWidth="1"/>
    <col min="7684" max="7684" width="21.28515625" style="906" customWidth="1"/>
    <col min="7685" max="7685" width="13" style="906" customWidth="1"/>
    <col min="7686" max="7686" width="2" style="906" customWidth="1"/>
    <col min="7687" max="7687" width="10" style="906" customWidth="1"/>
    <col min="7688" max="7688" width="1.7109375" style="906" customWidth="1"/>
    <col min="7689" max="7689" width="9.140625" style="906"/>
    <col min="7690" max="7690" width="1.7109375" style="906" customWidth="1"/>
    <col min="7691" max="7691" width="9.140625" style="906"/>
    <col min="7692" max="7692" width="1.7109375" style="906" customWidth="1"/>
    <col min="7693" max="7693" width="9.140625" style="906" customWidth="1"/>
    <col min="7694" max="7694" width="1.7109375" style="906" customWidth="1"/>
    <col min="7695" max="7695" width="9.28515625" style="906" customWidth="1"/>
    <col min="7696" max="7696" width="1.7109375" style="906" customWidth="1"/>
    <col min="7697" max="7697" width="9.7109375" style="906" customWidth="1"/>
    <col min="7698" max="7937" width="9.140625" style="906"/>
    <col min="7938" max="7938" width="9.7109375" style="906" customWidth="1"/>
    <col min="7939" max="7939" width="19.5703125" style="906" customWidth="1"/>
    <col min="7940" max="7940" width="21.28515625" style="906" customWidth="1"/>
    <col min="7941" max="7941" width="13" style="906" customWidth="1"/>
    <col min="7942" max="7942" width="2" style="906" customWidth="1"/>
    <col min="7943" max="7943" width="10" style="906" customWidth="1"/>
    <col min="7944" max="7944" width="1.7109375" style="906" customWidth="1"/>
    <col min="7945" max="7945" width="9.140625" style="906"/>
    <col min="7946" max="7946" width="1.7109375" style="906" customWidth="1"/>
    <col min="7947" max="7947" width="9.140625" style="906"/>
    <col min="7948" max="7948" width="1.7109375" style="906" customWidth="1"/>
    <col min="7949" max="7949" width="9.140625" style="906" customWidth="1"/>
    <col min="7950" max="7950" width="1.7109375" style="906" customWidth="1"/>
    <col min="7951" max="7951" width="9.28515625" style="906" customWidth="1"/>
    <col min="7952" max="7952" width="1.7109375" style="906" customWidth="1"/>
    <col min="7953" max="7953" width="9.7109375" style="906" customWidth="1"/>
    <col min="7954" max="8193" width="9.140625" style="906"/>
    <col min="8194" max="8194" width="9.7109375" style="906" customWidth="1"/>
    <col min="8195" max="8195" width="19.5703125" style="906" customWidth="1"/>
    <col min="8196" max="8196" width="21.28515625" style="906" customWidth="1"/>
    <col min="8197" max="8197" width="13" style="906" customWidth="1"/>
    <col min="8198" max="8198" width="2" style="906" customWidth="1"/>
    <col min="8199" max="8199" width="10" style="906" customWidth="1"/>
    <col min="8200" max="8200" width="1.7109375" style="906" customWidth="1"/>
    <col min="8201" max="8201" width="9.140625" style="906"/>
    <col min="8202" max="8202" width="1.7109375" style="906" customWidth="1"/>
    <col min="8203" max="8203" width="9.140625" style="906"/>
    <col min="8204" max="8204" width="1.7109375" style="906" customWidth="1"/>
    <col min="8205" max="8205" width="9.140625" style="906" customWidth="1"/>
    <col min="8206" max="8206" width="1.7109375" style="906" customWidth="1"/>
    <col min="8207" max="8207" width="9.28515625" style="906" customWidth="1"/>
    <col min="8208" max="8208" width="1.7109375" style="906" customWidth="1"/>
    <col min="8209" max="8209" width="9.7109375" style="906" customWidth="1"/>
    <col min="8210" max="8449" width="9.140625" style="906"/>
    <col min="8450" max="8450" width="9.7109375" style="906" customWidth="1"/>
    <col min="8451" max="8451" width="19.5703125" style="906" customWidth="1"/>
    <col min="8452" max="8452" width="21.28515625" style="906" customWidth="1"/>
    <col min="8453" max="8453" width="13" style="906" customWidth="1"/>
    <col min="8454" max="8454" width="2" style="906" customWidth="1"/>
    <col min="8455" max="8455" width="10" style="906" customWidth="1"/>
    <col min="8456" max="8456" width="1.7109375" style="906" customWidth="1"/>
    <col min="8457" max="8457" width="9.140625" style="906"/>
    <col min="8458" max="8458" width="1.7109375" style="906" customWidth="1"/>
    <col min="8459" max="8459" width="9.140625" style="906"/>
    <col min="8460" max="8460" width="1.7109375" style="906" customWidth="1"/>
    <col min="8461" max="8461" width="9.140625" style="906" customWidth="1"/>
    <col min="8462" max="8462" width="1.7109375" style="906" customWidth="1"/>
    <col min="8463" max="8463" width="9.28515625" style="906" customWidth="1"/>
    <col min="8464" max="8464" width="1.7109375" style="906" customWidth="1"/>
    <col min="8465" max="8465" width="9.7109375" style="906" customWidth="1"/>
    <col min="8466" max="8705" width="9.140625" style="906"/>
    <col min="8706" max="8706" width="9.7109375" style="906" customWidth="1"/>
    <col min="8707" max="8707" width="19.5703125" style="906" customWidth="1"/>
    <col min="8708" max="8708" width="21.28515625" style="906" customWidth="1"/>
    <col min="8709" max="8709" width="13" style="906" customWidth="1"/>
    <col min="8710" max="8710" width="2" style="906" customWidth="1"/>
    <col min="8711" max="8711" width="10" style="906" customWidth="1"/>
    <col min="8712" max="8712" width="1.7109375" style="906" customWidth="1"/>
    <col min="8713" max="8713" width="9.140625" style="906"/>
    <col min="8714" max="8714" width="1.7109375" style="906" customWidth="1"/>
    <col min="8715" max="8715" width="9.140625" style="906"/>
    <col min="8716" max="8716" width="1.7109375" style="906" customWidth="1"/>
    <col min="8717" max="8717" width="9.140625" style="906" customWidth="1"/>
    <col min="8718" max="8718" width="1.7109375" style="906" customWidth="1"/>
    <col min="8719" max="8719" width="9.28515625" style="906" customWidth="1"/>
    <col min="8720" max="8720" width="1.7109375" style="906" customWidth="1"/>
    <col min="8721" max="8721" width="9.7109375" style="906" customWidth="1"/>
    <col min="8722" max="8961" width="9.140625" style="906"/>
    <col min="8962" max="8962" width="9.7109375" style="906" customWidth="1"/>
    <col min="8963" max="8963" width="19.5703125" style="906" customWidth="1"/>
    <col min="8964" max="8964" width="21.28515625" style="906" customWidth="1"/>
    <col min="8965" max="8965" width="13" style="906" customWidth="1"/>
    <col min="8966" max="8966" width="2" style="906" customWidth="1"/>
    <col min="8967" max="8967" width="10" style="906" customWidth="1"/>
    <col min="8968" max="8968" width="1.7109375" style="906" customWidth="1"/>
    <col min="8969" max="8969" width="9.140625" style="906"/>
    <col min="8970" max="8970" width="1.7109375" style="906" customWidth="1"/>
    <col min="8971" max="8971" width="9.140625" style="906"/>
    <col min="8972" max="8972" width="1.7109375" style="906" customWidth="1"/>
    <col min="8973" max="8973" width="9.140625" style="906" customWidth="1"/>
    <col min="8974" max="8974" width="1.7109375" style="906" customWidth="1"/>
    <col min="8975" max="8975" width="9.28515625" style="906" customWidth="1"/>
    <col min="8976" max="8976" width="1.7109375" style="906" customWidth="1"/>
    <col min="8977" max="8977" width="9.7109375" style="906" customWidth="1"/>
    <col min="8978" max="9217" width="9.140625" style="906"/>
    <col min="9218" max="9218" width="9.7109375" style="906" customWidth="1"/>
    <col min="9219" max="9219" width="19.5703125" style="906" customWidth="1"/>
    <col min="9220" max="9220" width="21.28515625" style="906" customWidth="1"/>
    <col min="9221" max="9221" width="13" style="906" customWidth="1"/>
    <col min="9222" max="9222" width="2" style="906" customWidth="1"/>
    <col min="9223" max="9223" width="10" style="906" customWidth="1"/>
    <col min="9224" max="9224" width="1.7109375" style="906" customWidth="1"/>
    <col min="9225" max="9225" width="9.140625" style="906"/>
    <col min="9226" max="9226" width="1.7109375" style="906" customWidth="1"/>
    <col min="9227" max="9227" width="9.140625" style="906"/>
    <col min="9228" max="9228" width="1.7109375" style="906" customWidth="1"/>
    <col min="9229" max="9229" width="9.140625" style="906" customWidth="1"/>
    <col min="9230" max="9230" width="1.7109375" style="906" customWidth="1"/>
    <col min="9231" max="9231" width="9.28515625" style="906" customWidth="1"/>
    <col min="9232" max="9232" width="1.7109375" style="906" customWidth="1"/>
    <col min="9233" max="9233" width="9.7109375" style="906" customWidth="1"/>
    <col min="9234" max="9473" width="9.140625" style="906"/>
    <col min="9474" max="9474" width="9.7109375" style="906" customWidth="1"/>
    <col min="9475" max="9475" width="19.5703125" style="906" customWidth="1"/>
    <col min="9476" max="9476" width="21.28515625" style="906" customWidth="1"/>
    <col min="9477" max="9477" width="13" style="906" customWidth="1"/>
    <col min="9478" max="9478" width="2" style="906" customWidth="1"/>
    <col min="9479" max="9479" width="10" style="906" customWidth="1"/>
    <col min="9480" max="9480" width="1.7109375" style="906" customWidth="1"/>
    <col min="9481" max="9481" width="9.140625" style="906"/>
    <col min="9482" max="9482" width="1.7109375" style="906" customWidth="1"/>
    <col min="9483" max="9483" width="9.140625" style="906"/>
    <col min="9484" max="9484" width="1.7109375" style="906" customWidth="1"/>
    <col min="9485" max="9485" width="9.140625" style="906" customWidth="1"/>
    <col min="9486" max="9486" width="1.7109375" style="906" customWidth="1"/>
    <col min="9487" max="9487" width="9.28515625" style="906" customWidth="1"/>
    <col min="9488" max="9488" width="1.7109375" style="906" customWidth="1"/>
    <col min="9489" max="9489" width="9.7109375" style="906" customWidth="1"/>
    <col min="9490" max="9729" width="9.140625" style="906"/>
    <col min="9730" max="9730" width="9.7109375" style="906" customWidth="1"/>
    <col min="9731" max="9731" width="19.5703125" style="906" customWidth="1"/>
    <col min="9732" max="9732" width="21.28515625" style="906" customWidth="1"/>
    <col min="9733" max="9733" width="13" style="906" customWidth="1"/>
    <col min="9734" max="9734" width="2" style="906" customWidth="1"/>
    <col min="9735" max="9735" width="10" style="906" customWidth="1"/>
    <col min="9736" max="9736" width="1.7109375" style="906" customWidth="1"/>
    <col min="9737" max="9737" width="9.140625" style="906"/>
    <col min="9738" max="9738" width="1.7109375" style="906" customWidth="1"/>
    <col min="9739" max="9739" width="9.140625" style="906"/>
    <col min="9740" max="9740" width="1.7109375" style="906" customWidth="1"/>
    <col min="9741" max="9741" width="9.140625" style="906" customWidth="1"/>
    <col min="9742" max="9742" width="1.7109375" style="906" customWidth="1"/>
    <col min="9743" max="9743" width="9.28515625" style="906" customWidth="1"/>
    <col min="9744" max="9744" width="1.7109375" style="906" customWidth="1"/>
    <col min="9745" max="9745" width="9.7109375" style="906" customWidth="1"/>
    <col min="9746" max="9985" width="9.140625" style="906"/>
    <col min="9986" max="9986" width="9.7109375" style="906" customWidth="1"/>
    <col min="9987" max="9987" width="19.5703125" style="906" customWidth="1"/>
    <col min="9988" max="9988" width="21.28515625" style="906" customWidth="1"/>
    <col min="9989" max="9989" width="13" style="906" customWidth="1"/>
    <col min="9990" max="9990" width="2" style="906" customWidth="1"/>
    <col min="9991" max="9991" width="10" style="906" customWidth="1"/>
    <col min="9992" max="9992" width="1.7109375" style="906" customWidth="1"/>
    <col min="9993" max="9993" width="9.140625" style="906"/>
    <col min="9994" max="9994" width="1.7109375" style="906" customWidth="1"/>
    <col min="9995" max="9995" width="9.140625" style="906"/>
    <col min="9996" max="9996" width="1.7109375" style="906" customWidth="1"/>
    <col min="9997" max="9997" width="9.140625" style="906" customWidth="1"/>
    <col min="9998" max="9998" width="1.7109375" style="906" customWidth="1"/>
    <col min="9999" max="9999" width="9.28515625" style="906" customWidth="1"/>
    <col min="10000" max="10000" width="1.7109375" style="906" customWidth="1"/>
    <col min="10001" max="10001" width="9.7109375" style="906" customWidth="1"/>
    <col min="10002" max="10241" width="9.140625" style="906"/>
    <col min="10242" max="10242" width="9.7109375" style="906" customWidth="1"/>
    <col min="10243" max="10243" width="19.5703125" style="906" customWidth="1"/>
    <col min="10244" max="10244" width="21.28515625" style="906" customWidth="1"/>
    <col min="10245" max="10245" width="13" style="906" customWidth="1"/>
    <col min="10246" max="10246" width="2" style="906" customWidth="1"/>
    <col min="10247" max="10247" width="10" style="906" customWidth="1"/>
    <col min="10248" max="10248" width="1.7109375" style="906" customWidth="1"/>
    <col min="10249" max="10249" width="9.140625" style="906"/>
    <col min="10250" max="10250" width="1.7109375" style="906" customWidth="1"/>
    <col min="10251" max="10251" width="9.140625" style="906"/>
    <col min="10252" max="10252" width="1.7109375" style="906" customWidth="1"/>
    <col min="10253" max="10253" width="9.140625" style="906" customWidth="1"/>
    <col min="10254" max="10254" width="1.7109375" style="906" customWidth="1"/>
    <col min="10255" max="10255" width="9.28515625" style="906" customWidth="1"/>
    <col min="10256" max="10256" width="1.7109375" style="906" customWidth="1"/>
    <col min="10257" max="10257" width="9.7109375" style="906" customWidth="1"/>
    <col min="10258" max="10497" width="9.140625" style="906"/>
    <col min="10498" max="10498" width="9.7109375" style="906" customWidth="1"/>
    <col min="10499" max="10499" width="19.5703125" style="906" customWidth="1"/>
    <col min="10500" max="10500" width="21.28515625" style="906" customWidth="1"/>
    <col min="10501" max="10501" width="13" style="906" customWidth="1"/>
    <col min="10502" max="10502" width="2" style="906" customWidth="1"/>
    <col min="10503" max="10503" width="10" style="906" customWidth="1"/>
    <col min="10504" max="10504" width="1.7109375" style="906" customWidth="1"/>
    <col min="10505" max="10505" width="9.140625" style="906"/>
    <col min="10506" max="10506" width="1.7109375" style="906" customWidth="1"/>
    <col min="10507" max="10507" width="9.140625" style="906"/>
    <col min="10508" max="10508" width="1.7109375" style="906" customWidth="1"/>
    <col min="10509" max="10509" width="9.140625" style="906" customWidth="1"/>
    <col min="10510" max="10510" width="1.7109375" style="906" customWidth="1"/>
    <col min="10511" max="10511" width="9.28515625" style="906" customWidth="1"/>
    <col min="10512" max="10512" width="1.7109375" style="906" customWidth="1"/>
    <col min="10513" max="10513" width="9.7109375" style="906" customWidth="1"/>
    <col min="10514" max="10753" width="9.140625" style="906"/>
    <col min="10754" max="10754" width="9.7109375" style="906" customWidth="1"/>
    <col min="10755" max="10755" width="19.5703125" style="906" customWidth="1"/>
    <col min="10756" max="10756" width="21.28515625" style="906" customWidth="1"/>
    <col min="10757" max="10757" width="13" style="906" customWidth="1"/>
    <col min="10758" max="10758" width="2" style="906" customWidth="1"/>
    <col min="10759" max="10759" width="10" style="906" customWidth="1"/>
    <col min="10760" max="10760" width="1.7109375" style="906" customWidth="1"/>
    <col min="10761" max="10761" width="9.140625" style="906"/>
    <col min="10762" max="10762" width="1.7109375" style="906" customWidth="1"/>
    <col min="10763" max="10763" width="9.140625" style="906"/>
    <col min="10764" max="10764" width="1.7109375" style="906" customWidth="1"/>
    <col min="10765" max="10765" width="9.140625" style="906" customWidth="1"/>
    <col min="10766" max="10766" width="1.7109375" style="906" customWidth="1"/>
    <col min="10767" max="10767" width="9.28515625" style="906" customWidth="1"/>
    <col min="10768" max="10768" width="1.7109375" style="906" customWidth="1"/>
    <col min="10769" max="10769" width="9.7109375" style="906" customWidth="1"/>
    <col min="10770" max="11009" width="9.140625" style="906"/>
    <col min="11010" max="11010" width="9.7109375" style="906" customWidth="1"/>
    <col min="11011" max="11011" width="19.5703125" style="906" customWidth="1"/>
    <col min="11012" max="11012" width="21.28515625" style="906" customWidth="1"/>
    <col min="11013" max="11013" width="13" style="906" customWidth="1"/>
    <col min="11014" max="11014" width="2" style="906" customWidth="1"/>
    <col min="11015" max="11015" width="10" style="906" customWidth="1"/>
    <col min="11016" max="11016" width="1.7109375" style="906" customWidth="1"/>
    <col min="11017" max="11017" width="9.140625" style="906"/>
    <col min="11018" max="11018" width="1.7109375" style="906" customWidth="1"/>
    <col min="11019" max="11019" width="9.140625" style="906"/>
    <col min="11020" max="11020" width="1.7109375" style="906" customWidth="1"/>
    <col min="11021" max="11021" width="9.140625" style="906" customWidth="1"/>
    <col min="11022" max="11022" width="1.7109375" style="906" customWidth="1"/>
    <col min="11023" max="11023" width="9.28515625" style="906" customWidth="1"/>
    <col min="11024" max="11024" width="1.7109375" style="906" customWidth="1"/>
    <col min="11025" max="11025" width="9.7109375" style="906" customWidth="1"/>
    <col min="11026" max="11265" width="9.140625" style="906"/>
    <col min="11266" max="11266" width="9.7109375" style="906" customWidth="1"/>
    <col min="11267" max="11267" width="19.5703125" style="906" customWidth="1"/>
    <col min="11268" max="11268" width="21.28515625" style="906" customWidth="1"/>
    <col min="11269" max="11269" width="13" style="906" customWidth="1"/>
    <col min="11270" max="11270" width="2" style="906" customWidth="1"/>
    <col min="11271" max="11271" width="10" style="906" customWidth="1"/>
    <col min="11272" max="11272" width="1.7109375" style="906" customWidth="1"/>
    <col min="11273" max="11273" width="9.140625" style="906"/>
    <col min="11274" max="11274" width="1.7109375" style="906" customWidth="1"/>
    <col min="11275" max="11275" width="9.140625" style="906"/>
    <col min="11276" max="11276" width="1.7109375" style="906" customWidth="1"/>
    <col min="11277" max="11277" width="9.140625" style="906" customWidth="1"/>
    <col min="11278" max="11278" width="1.7109375" style="906" customWidth="1"/>
    <col min="11279" max="11279" width="9.28515625" style="906" customWidth="1"/>
    <col min="11280" max="11280" width="1.7109375" style="906" customWidth="1"/>
    <col min="11281" max="11281" width="9.7109375" style="906" customWidth="1"/>
    <col min="11282" max="11521" width="9.140625" style="906"/>
    <col min="11522" max="11522" width="9.7109375" style="906" customWidth="1"/>
    <col min="11523" max="11523" width="19.5703125" style="906" customWidth="1"/>
    <col min="11524" max="11524" width="21.28515625" style="906" customWidth="1"/>
    <col min="11525" max="11525" width="13" style="906" customWidth="1"/>
    <col min="11526" max="11526" width="2" style="906" customWidth="1"/>
    <col min="11527" max="11527" width="10" style="906" customWidth="1"/>
    <col min="11528" max="11528" width="1.7109375" style="906" customWidth="1"/>
    <col min="11529" max="11529" width="9.140625" style="906"/>
    <col min="11530" max="11530" width="1.7109375" style="906" customWidth="1"/>
    <col min="11531" max="11531" width="9.140625" style="906"/>
    <col min="11532" max="11532" width="1.7109375" style="906" customWidth="1"/>
    <col min="11533" max="11533" width="9.140625" style="906" customWidth="1"/>
    <col min="11534" max="11534" width="1.7109375" style="906" customWidth="1"/>
    <col min="11535" max="11535" width="9.28515625" style="906" customWidth="1"/>
    <col min="11536" max="11536" width="1.7109375" style="906" customWidth="1"/>
    <col min="11537" max="11537" width="9.7109375" style="906" customWidth="1"/>
    <col min="11538" max="11777" width="9.140625" style="906"/>
    <col min="11778" max="11778" width="9.7109375" style="906" customWidth="1"/>
    <col min="11779" max="11779" width="19.5703125" style="906" customWidth="1"/>
    <col min="11780" max="11780" width="21.28515625" style="906" customWidth="1"/>
    <col min="11781" max="11781" width="13" style="906" customWidth="1"/>
    <col min="11782" max="11782" width="2" style="906" customWidth="1"/>
    <col min="11783" max="11783" width="10" style="906" customWidth="1"/>
    <col min="11784" max="11784" width="1.7109375" style="906" customWidth="1"/>
    <col min="11785" max="11785" width="9.140625" style="906"/>
    <col min="11786" max="11786" width="1.7109375" style="906" customWidth="1"/>
    <col min="11787" max="11787" width="9.140625" style="906"/>
    <col min="11788" max="11788" width="1.7109375" style="906" customWidth="1"/>
    <col min="11789" max="11789" width="9.140625" style="906" customWidth="1"/>
    <col min="11790" max="11790" width="1.7109375" style="906" customWidth="1"/>
    <col min="11791" max="11791" width="9.28515625" style="906" customWidth="1"/>
    <col min="11792" max="11792" width="1.7109375" style="906" customWidth="1"/>
    <col min="11793" max="11793" width="9.7109375" style="906" customWidth="1"/>
    <col min="11794" max="12033" width="9.140625" style="906"/>
    <col min="12034" max="12034" width="9.7109375" style="906" customWidth="1"/>
    <col min="12035" max="12035" width="19.5703125" style="906" customWidth="1"/>
    <col min="12036" max="12036" width="21.28515625" style="906" customWidth="1"/>
    <col min="12037" max="12037" width="13" style="906" customWidth="1"/>
    <col min="12038" max="12038" width="2" style="906" customWidth="1"/>
    <col min="12039" max="12039" width="10" style="906" customWidth="1"/>
    <col min="12040" max="12040" width="1.7109375" style="906" customWidth="1"/>
    <col min="12041" max="12041" width="9.140625" style="906"/>
    <col min="12042" max="12042" width="1.7109375" style="906" customWidth="1"/>
    <col min="12043" max="12043" width="9.140625" style="906"/>
    <col min="12044" max="12044" width="1.7109375" style="906" customWidth="1"/>
    <col min="12045" max="12045" width="9.140625" style="906" customWidth="1"/>
    <col min="12046" max="12046" width="1.7109375" style="906" customWidth="1"/>
    <col min="12047" max="12047" width="9.28515625" style="906" customWidth="1"/>
    <col min="12048" max="12048" width="1.7109375" style="906" customWidth="1"/>
    <col min="12049" max="12049" width="9.7109375" style="906" customWidth="1"/>
    <col min="12050" max="12289" width="9.140625" style="906"/>
    <col min="12290" max="12290" width="9.7109375" style="906" customWidth="1"/>
    <col min="12291" max="12291" width="19.5703125" style="906" customWidth="1"/>
    <col min="12292" max="12292" width="21.28515625" style="906" customWidth="1"/>
    <col min="12293" max="12293" width="13" style="906" customWidth="1"/>
    <col min="12294" max="12294" width="2" style="906" customWidth="1"/>
    <col min="12295" max="12295" width="10" style="906" customWidth="1"/>
    <col min="12296" max="12296" width="1.7109375" style="906" customWidth="1"/>
    <col min="12297" max="12297" width="9.140625" style="906"/>
    <col min="12298" max="12298" width="1.7109375" style="906" customWidth="1"/>
    <col min="12299" max="12299" width="9.140625" style="906"/>
    <col min="12300" max="12300" width="1.7109375" style="906" customWidth="1"/>
    <col min="12301" max="12301" width="9.140625" style="906" customWidth="1"/>
    <col min="12302" max="12302" width="1.7109375" style="906" customWidth="1"/>
    <col min="12303" max="12303" width="9.28515625" style="906" customWidth="1"/>
    <col min="12304" max="12304" width="1.7109375" style="906" customWidth="1"/>
    <col min="12305" max="12305" width="9.7109375" style="906" customWidth="1"/>
    <col min="12306" max="12545" width="9.140625" style="906"/>
    <col min="12546" max="12546" width="9.7109375" style="906" customWidth="1"/>
    <col min="12547" max="12547" width="19.5703125" style="906" customWidth="1"/>
    <col min="12548" max="12548" width="21.28515625" style="906" customWidth="1"/>
    <col min="12549" max="12549" width="13" style="906" customWidth="1"/>
    <col min="12550" max="12550" width="2" style="906" customWidth="1"/>
    <col min="12551" max="12551" width="10" style="906" customWidth="1"/>
    <col min="12552" max="12552" width="1.7109375" style="906" customWidth="1"/>
    <col min="12553" max="12553" width="9.140625" style="906"/>
    <col min="12554" max="12554" width="1.7109375" style="906" customWidth="1"/>
    <col min="12555" max="12555" width="9.140625" style="906"/>
    <col min="12556" max="12556" width="1.7109375" style="906" customWidth="1"/>
    <col min="12557" max="12557" width="9.140625" style="906" customWidth="1"/>
    <col min="12558" max="12558" width="1.7109375" style="906" customWidth="1"/>
    <col min="12559" max="12559" width="9.28515625" style="906" customWidth="1"/>
    <col min="12560" max="12560" width="1.7109375" style="906" customWidth="1"/>
    <col min="12561" max="12561" width="9.7109375" style="906" customWidth="1"/>
    <col min="12562" max="12801" width="9.140625" style="906"/>
    <col min="12802" max="12802" width="9.7109375" style="906" customWidth="1"/>
    <col min="12803" max="12803" width="19.5703125" style="906" customWidth="1"/>
    <col min="12804" max="12804" width="21.28515625" style="906" customWidth="1"/>
    <col min="12805" max="12805" width="13" style="906" customWidth="1"/>
    <col min="12806" max="12806" width="2" style="906" customWidth="1"/>
    <col min="12807" max="12807" width="10" style="906" customWidth="1"/>
    <col min="12808" max="12808" width="1.7109375" style="906" customWidth="1"/>
    <col min="12809" max="12809" width="9.140625" style="906"/>
    <col min="12810" max="12810" width="1.7109375" style="906" customWidth="1"/>
    <col min="12811" max="12811" width="9.140625" style="906"/>
    <col min="12812" max="12812" width="1.7109375" style="906" customWidth="1"/>
    <col min="12813" max="12813" width="9.140625" style="906" customWidth="1"/>
    <col min="12814" max="12814" width="1.7109375" style="906" customWidth="1"/>
    <col min="12815" max="12815" width="9.28515625" style="906" customWidth="1"/>
    <col min="12816" max="12816" width="1.7109375" style="906" customWidth="1"/>
    <col min="12817" max="12817" width="9.7109375" style="906" customWidth="1"/>
    <col min="12818" max="13057" width="9.140625" style="906"/>
    <col min="13058" max="13058" width="9.7109375" style="906" customWidth="1"/>
    <col min="13059" max="13059" width="19.5703125" style="906" customWidth="1"/>
    <col min="13060" max="13060" width="21.28515625" style="906" customWidth="1"/>
    <col min="13061" max="13061" width="13" style="906" customWidth="1"/>
    <col min="13062" max="13062" width="2" style="906" customWidth="1"/>
    <col min="13063" max="13063" width="10" style="906" customWidth="1"/>
    <col min="13064" max="13064" width="1.7109375" style="906" customWidth="1"/>
    <col min="13065" max="13065" width="9.140625" style="906"/>
    <col min="13066" max="13066" width="1.7109375" style="906" customWidth="1"/>
    <col min="13067" max="13067" width="9.140625" style="906"/>
    <col min="13068" max="13068" width="1.7109375" style="906" customWidth="1"/>
    <col min="13069" max="13069" width="9.140625" style="906" customWidth="1"/>
    <col min="13070" max="13070" width="1.7109375" style="906" customWidth="1"/>
    <col min="13071" max="13071" width="9.28515625" style="906" customWidth="1"/>
    <col min="13072" max="13072" width="1.7109375" style="906" customWidth="1"/>
    <col min="13073" max="13073" width="9.7109375" style="906" customWidth="1"/>
    <col min="13074" max="13313" width="9.140625" style="906"/>
    <col min="13314" max="13314" width="9.7109375" style="906" customWidth="1"/>
    <col min="13315" max="13315" width="19.5703125" style="906" customWidth="1"/>
    <col min="13316" max="13316" width="21.28515625" style="906" customWidth="1"/>
    <col min="13317" max="13317" width="13" style="906" customWidth="1"/>
    <col min="13318" max="13318" width="2" style="906" customWidth="1"/>
    <col min="13319" max="13319" width="10" style="906" customWidth="1"/>
    <col min="13320" max="13320" width="1.7109375" style="906" customWidth="1"/>
    <col min="13321" max="13321" width="9.140625" style="906"/>
    <col min="13322" max="13322" width="1.7109375" style="906" customWidth="1"/>
    <col min="13323" max="13323" width="9.140625" style="906"/>
    <col min="13324" max="13324" width="1.7109375" style="906" customWidth="1"/>
    <col min="13325" max="13325" width="9.140625" style="906" customWidth="1"/>
    <col min="13326" max="13326" width="1.7109375" style="906" customWidth="1"/>
    <col min="13327" max="13327" width="9.28515625" style="906" customWidth="1"/>
    <col min="13328" max="13328" width="1.7109375" style="906" customWidth="1"/>
    <col min="13329" max="13329" width="9.7109375" style="906" customWidth="1"/>
    <col min="13330" max="13569" width="9.140625" style="906"/>
    <col min="13570" max="13570" width="9.7109375" style="906" customWidth="1"/>
    <col min="13571" max="13571" width="19.5703125" style="906" customWidth="1"/>
    <col min="13572" max="13572" width="21.28515625" style="906" customWidth="1"/>
    <col min="13573" max="13573" width="13" style="906" customWidth="1"/>
    <col min="13574" max="13574" width="2" style="906" customWidth="1"/>
    <col min="13575" max="13575" width="10" style="906" customWidth="1"/>
    <col min="13576" max="13576" width="1.7109375" style="906" customWidth="1"/>
    <col min="13577" max="13577" width="9.140625" style="906"/>
    <col min="13578" max="13578" width="1.7109375" style="906" customWidth="1"/>
    <col min="13579" max="13579" width="9.140625" style="906"/>
    <col min="13580" max="13580" width="1.7109375" style="906" customWidth="1"/>
    <col min="13581" max="13581" width="9.140625" style="906" customWidth="1"/>
    <col min="13582" max="13582" width="1.7109375" style="906" customWidth="1"/>
    <col min="13583" max="13583" width="9.28515625" style="906" customWidth="1"/>
    <col min="13584" max="13584" width="1.7109375" style="906" customWidth="1"/>
    <col min="13585" max="13585" width="9.7109375" style="906" customWidth="1"/>
    <col min="13586" max="13825" width="9.140625" style="906"/>
    <col min="13826" max="13826" width="9.7109375" style="906" customWidth="1"/>
    <col min="13827" max="13827" width="19.5703125" style="906" customWidth="1"/>
    <col min="13828" max="13828" width="21.28515625" style="906" customWidth="1"/>
    <col min="13829" max="13829" width="13" style="906" customWidth="1"/>
    <col min="13830" max="13830" width="2" style="906" customWidth="1"/>
    <col min="13831" max="13831" width="10" style="906" customWidth="1"/>
    <col min="13832" max="13832" width="1.7109375" style="906" customWidth="1"/>
    <col min="13833" max="13833" width="9.140625" style="906"/>
    <col min="13834" max="13834" width="1.7109375" style="906" customWidth="1"/>
    <col min="13835" max="13835" width="9.140625" style="906"/>
    <col min="13836" max="13836" width="1.7109375" style="906" customWidth="1"/>
    <col min="13837" max="13837" width="9.140625" style="906" customWidth="1"/>
    <col min="13838" max="13838" width="1.7109375" style="906" customWidth="1"/>
    <col min="13839" max="13839" width="9.28515625" style="906" customWidth="1"/>
    <col min="13840" max="13840" width="1.7109375" style="906" customWidth="1"/>
    <col min="13841" max="13841" width="9.7109375" style="906" customWidth="1"/>
    <col min="13842" max="14081" width="9.140625" style="906"/>
    <col min="14082" max="14082" width="9.7109375" style="906" customWidth="1"/>
    <col min="14083" max="14083" width="19.5703125" style="906" customWidth="1"/>
    <col min="14084" max="14084" width="21.28515625" style="906" customWidth="1"/>
    <col min="14085" max="14085" width="13" style="906" customWidth="1"/>
    <col min="14086" max="14086" width="2" style="906" customWidth="1"/>
    <col min="14087" max="14087" width="10" style="906" customWidth="1"/>
    <col min="14088" max="14088" width="1.7109375" style="906" customWidth="1"/>
    <col min="14089" max="14089" width="9.140625" style="906"/>
    <col min="14090" max="14090" width="1.7109375" style="906" customWidth="1"/>
    <col min="14091" max="14091" width="9.140625" style="906"/>
    <col min="14092" max="14092" width="1.7109375" style="906" customWidth="1"/>
    <col min="14093" max="14093" width="9.140625" style="906" customWidth="1"/>
    <col min="14094" max="14094" width="1.7109375" style="906" customWidth="1"/>
    <col min="14095" max="14095" width="9.28515625" style="906" customWidth="1"/>
    <col min="14096" max="14096" width="1.7109375" style="906" customWidth="1"/>
    <col min="14097" max="14097" width="9.7109375" style="906" customWidth="1"/>
    <col min="14098" max="14337" width="9.140625" style="906"/>
    <col min="14338" max="14338" width="9.7109375" style="906" customWidth="1"/>
    <col min="14339" max="14339" width="19.5703125" style="906" customWidth="1"/>
    <col min="14340" max="14340" width="21.28515625" style="906" customWidth="1"/>
    <col min="14341" max="14341" width="13" style="906" customWidth="1"/>
    <col min="14342" max="14342" width="2" style="906" customWidth="1"/>
    <col min="14343" max="14343" width="10" style="906" customWidth="1"/>
    <col min="14344" max="14344" width="1.7109375" style="906" customWidth="1"/>
    <col min="14345" max="14345" width="9.140625" style="906"/>
    <col min="14346" max="14346" width="1.7109375" style="906" customWidth="1"/>
    <col min="14347" max="14347" width="9.140625" style="906"/>
    <col min="14348" max="14348" width="1.7109375" style="906" customWidth="1"/>
    <col min="14349" max="14349" width="9.140625" style="906" customWidth="1"/>
    <col min="14350" max="14350" width="1.7109375" style="906" customWidth="1"/>
    <col min="14351" max="14351" width="9.28515625" style="906" customWidth="1"/>
    <col min="14352" max="14352" width="1.7109375" style="906" customWidth="1"/>
    <col min="14353" max="14353" width="9.7109375" style="906" customWidth="1"/>
    <col min="14354" max="14593" width="9.140625" style="906"/>
    <col min="14594" max="14594" width="9.7109375" style="906" customWidth="1"/>
    <col min="14595" max="14595" width="19.5703125" style="906" customWidth="1"/>
    <col min="14596" max="14596" width="21.28515625" style="906" customWidth="1"/>
    <col min="14597" max="14597" width="13" style="906" customWidth="1"/>
    <col min="14598" max="14598" width="2" style="906" customWidth="1"/>
    <col min="14599" max="14599" width="10" style="906" customWidth="1"/>
    <col min="14600" max="14600" width="1.7109375" style="906" customWidth="1"/>
    <col min="14601" max="14601" width="9.140625" style="906"/>
    <col min="14602" max="14602" width="1.7109375" style="906" customWidth="1"/>
    <col min="14603" max="14603" width="9.140625" style="906"/>
    <col min="14604" max="14604" width="1.7109375" style="906" customWidth="1"/>
    <col min="14605" max="14605" width="9.140625" style="906" customWidth="1"/>
    <col min="14606" max="14606" width="1.7109375" style="906" customWidth="1"/>
    <col min="14607" max="14607" width="9.28515625" style="906" customWidth="1"/>
    <col min="14608" max="14608" width="1.7109375" style="906" customWidth="1"/>
    <col min="14609" max="14609" width="9.7109375" style="906" customWidth="1"/>
    <col min="14610" max="14849" width="9.140625" style="906"/>
    <col min="14850" max="14850" width="9.7109375" style="906" customWidth="1"/>
    <col min="14851" max="14851" width="19.5703125" style="906" customWidth="1"/>
    <col min="14852" max="14852" width="21.28515625" style="906" customWidth="1"/>
    <col min="14853" max="14853" width="13" style="906" customWidth="1"/>
    <col min="14854" max="14854" width="2" style="906" customWidth="1"/>
    <col min="14855" max="14855" width="10" style="906" customWidth="1"/>
    <col min="14856" max="14856" width="1.7109375" style="906" customWidth="1"/>
    <col min="14857" max="14857" width="9.140625" style="906"/>
    <col min="14858" max="14858" width="1.7109375" style="906" customWidth="1"/>
    <col min="14859" max="14859" width="9.140625" style="906"/>
    <col min="14860" max="14860" width="1.7109375" style="906" customWidth="1"/>
    <col min="14861" max="14861" width="9.140625" style="906" customWidth="1"/>
    <col min="14862" max="14862" width="1.7109375" style="906" customWidth="1"/>
    <col min="14863" max="14863" width="9.28515625" style="906" customWidth="1"/>
    <col min="14864" max="14864" width="1.7109375" style="906" customWidth="1"/>
    <col min="14865" max="14865" width="9.7109375" style="906" customWidth="1"/>
    <col min="14866" max="15105" width="9.140625" style="906"/>
    <col min="15106" max="15106" width="9.7109375" style="906" customWidth="1"/>
    <col min="15107" max="15107" width="19.5703125" style="906" customWidth="1"/>
    <col min="15108" max="15108" width="21.28515625" style="906" customWidth="1"/>
    <col min="15109" max="15109" width="13" style="906" customWidth="1"/>
    <col min="15110" max="15110" width="2" style="906" customWidth="1"/>
    <col min="15111" max="15111" width="10" style="906" customWidth="1"/>
    <col min="15112" max="15112" width="1.7109375" style="906" customWidth="1"/>
    <col min="15113" max="15113" width="9.140625" style="906"/>
    <col min="15114" max="15114" width="1.7109375" style="906" customWidth="1"/>
    <col min="15115" max="15115" width="9.140625" style="906"/>
    <col min="15116" max="15116" width="1.7109375" style="906" customWidth="1"/>
    <col min="15117" max="15117" width="9.140625" style="906" customWidth="1"/>
    <col min="15118" max="15118" width="1.7109375" style="906" customWidth="1"/>
    <col min="15119" max="15119" width="9.28515625" style="906" customWidth="1"/>
    <col min="15120" max="15120" width="1.7109375" style="906" customWidth="1"/>
    <col min="15121" max="15121" width="9.7109375" style="906" customWidth="1"/>
    <col min="15122" max="15361" width="9.140625" style="906"/>
    <col min="15362" max="15362" width="9.7109375" style="906" customWidth="1"/>
    <col min="15363" max="15363" width="19.5703125" style="906" customWidth="1"/>
    <col min="15364" max="15364" width="21.28515625" style="906" customWidth="1"/>
    <col min="15365" max="15365" width="13" style="906" customWidth="1"/>
    <col min="15366" max="15366" width="2" style="906" customWidth="1"/>
    <col min="15367" max="15367" width="10" style="906" customWidth="1"/>
    <col min="15368" max="15368" width="1.7109375" style="906" customWidth="1"/>
    <col min="15369" max="15369" width="9.140625" style="906"/>
    <col min="15370" max="15370" width="1.7109375" style="906" customWidth="1"/>
    <col min="15371" max="15371" width="9.140625" style="906"/>
    <col min="15372" max="15372" width="1.7109375" style="906" customWidth="1"/>
    <col min="15373" max="15373" width="9.140625" style="906" customWidth="1"/>
    <col min="15374" max="15374" width="1.7109375" style="906" customWidth="1"/>
    <col min="15375" max="15375" width="9.28515625" style="906" customWidth="1"/>
    <col min="15376" max="15376" width="1.7109375" style="906" customWidth="1"/>
    <col min="15377" max="15377" width="9.7109375" style="906" customWidth="1"/>
    <col min="15378" max="15617" width="9.140625" style="906"/>
    <col min="15618" max="15618" width="9.7109375" style="906" customWidth="1"/>
    <col min="15619" max="15619" width="19.5703125" style="906" customWidth="1"/>
    <col min="15620" max="15620" width="21.28515625" style="906" customWidth="1"/>
    <col min="15621" max="15621" width="13" style="906" customWidth="1"/>
    <col min="15622" max="15622" width="2" style="906" customWidth="1"/>
    <col min="15623" max="15623" width="10" style="906" customWidth="1"/>
    <col min="15624" max="15624" width="1.7109375" style="906" customWidth="1"/>
    <col min="15625" max="15625" width="9.140625" style="906"/>
    <col min="15626" max="15626" width="1.7109375" style="906" customWidth="1"/>
    <col min="15627" max="15627" width="9.140625" style="906"/>
    <col min="15628" max="15628" width="1.7109375" style="906" customWidth="1"/>
    <col min="15629" max="15629" width="9.140625" style="906" customWidth="1"/>
    <col min="15630" max="15630" width="1.7109375" style="906" customWidth="1"/>
    <col min="15631" max="15631" width="9.28515625" style="906" customWidth="1"/>
    <col min="15632" max="15632" width="1.7109375" style="906" customWidth="1"/>
    <col min="15633" max="15633" width="9.7109375" style="906" customWidth="1"/>
    <col min="15634" max="15873" width="9.140625" style="906"/>
    <col min="15874" max="15874" width="9.7109375" style="906" customWidth="1"/>
    <col min="15875" max="15875" width="19.5703125" style="906" customWidth="1"/>
    <col min="15876" max="15876" width="21.28515625" style="906" customWidth="1"/>
    <col min="15877" max="15877" width="13" style="906" customWidth="1"/>
    <col min="15878" max="15878" width="2" style="906" customWidth="1"/>
    <col min="15879" max="15879" width="10" style="906" customWidth="1"/>
    <col min="15880" max="15880" width="1.7109375" style="906" customWidth="1"/>
    <col min="15881" max="15881" width="9.140625" style="906"/>
    <col min="15882" max="15882" width="1.7109375" style="906" customWidth="1"/>
    <col min="15883" max="15883" width="9.140625" style="906"/>
    <col min="15884" max="15884" width="1.7109375" style="906" customWidth="1"/>
    <col min="15885" max="15885" width="9.140625" style="906" customWidth="1"/>
    <col min="15886" max="15886" width="1.7109375" style="906" customWidth="1"/>
    <col min="15887" max="15887" width="9.28515625" style="906" customWidth="1"/>
    <col min="15888" max="15888" width="1.7109375" style="906" customWidth="1"/>
    <col min="15889" max="15889" width="9.7109375" style="906" customWidth="1"/>
    <col min="15890" max="16129" width="9.140625" style="906"/>
    <col min="16130" max="16130" width="9.7109375" style="906" customWidth="1"/>
    <col min="16131" max="16131" width="19.5703125" style="906" customWidth="1"/>
    <col min="16132" max="16132" width="21.28515625" style="906" customWidth="1"/>
    <col min="16133" max="16133" width="13" style="906" customWidth="1"/>
    <col min="16134" max="16134" width="2" style="906" customWidth="1"/>
    <col min="16135" max="16135" width="10" style="906" customWidth="1"/>
    <col min="16136" max="16136" width="1.7109375" style="906" customWidth="1"/>
    <col min="16137" max="16137" width="9.140625" style="906"/>
    <col min="16138" max="16138" width="1.7109375" style="906" customWidth="1"/>
    <col min="16139" max="16139" width="9.140625" style="906"/>
    <col min="16140" max="16140" width="1.7109375" style="906" customWidth="1"/>
    <col min="16141" max="16141" width="9.140625" style="906" customWidth="1"/>
    <col min="16142" max="16142" width="1.7109375" style="906" customWidth="1"/>
    <col min="16143" max="16143" width="9.28515625" style="906" customWidth="1"/>
    <col min="16144" max="16144" width="1.7109375" style="906" customWidth="1"/>
    <col min="16145" max="16145" width="9.7109375" style="906" customWidth="1"/>
    <col min="16146" max="16384" width="9.140625" style="906"/>
  </cols>
  <sheetData>
    <row r="3" spans="2:23" ht="20.25">
      <c r="B3" s="904" t="s">
        <v>1057</v>
      </c>
      <c r="C3" s="905"/>
      <c r="D3" s="905"/>
      <c r="E3" s="905"/>
      <c r="F3" s="905"/>
      <c r="G3" s="905"/>
      <c r="H3" s="905"/>
      <c r="I3" s="905"/>
      <c r="J3" s="905"/>
      <c r="K3" s="905"/>
      <c r="L3" s="905"/>
      <c r="M3" s="905"/>
      <c r="N3" s="905"/>
      <c r="O3" s="905"/>
      <c r="P3" s="905"/>
      <c r="Q3" s="905"/>
    </row>
    <row r="4" spans="2:23">
      <c r="B4" s="907" t="s">
        <v>1058</v>
      </c>
      <c r="C4" s="908"/>
      <c r="D4" s="908"/>
      <c r="E4" s="908"/>
      <c r="F4" s="908"/>
      <c r="G4" s="908"/>
      <c r="H4" s="908"/>
      <c r="I4" s="908"/>
      <c r="J4" s="908"/>
      <c r="K4" s="908"/>
      <c r="L4" s="908"/>
      <c r="M4" s="908"/>
      <c r="N4" s="908"/>
      <c r="O4" s="908"/>
      <c r="P4" s="908"/>
      <c r="Q4" s="908"/>
    </row>
    <row r="6" spans="2:23">
      <c r="E6" s="909" t="s">
        <v>1059</v>
      </c>
      <c r="F6" s="905"/>
      <c r="G6" s="910"/>
      <c r="H6" s="910"/>
      <c r="I6" s="910"/>
      <c r="K6" s="910" t="s">
        <v>1060</v>
      </c>
      <c r="L6" s="905"/>
      <c r="M6" s="905"/>
      <c r="Q6" s="960" t="s">
        <v>1064</v>
      </c>
      <c r="S6" s="911" t="s">
        <v>16</v>
      </c>
    </row>
    <row r="7" spans="2:23">
      <c r="E7" s="912" t="s">
        <v>1042</v>
      </c>
      <c r="G7" s="913" t="s">
        <v>1061</v>
      </c>
      <c r="H7" s="911"/>
      <c r="I7" s="913" t="s">
        <v>16</v>
      </c>
      <c r="K7" s="912" t="s">
        <v>1062</v>
      </c>
      <c r="L7" s="911"/>
      <c r="M7" s="912" t="s">
        <v>1063</v>
      </c>
      <c r="O7" s="959" t="s">
        <v>1064</v>
      </c>
      <c r="Q7" s="959" t="s">
        <v>1065</v>
      </c>
      <c r="S7" s="913" t="s">
        <v>1066</v>
      </c>
      <c r="U7" s="914" t="s">
        <v>1067</v>
      </c>
      <c r="V7" s="915"/>
      <c r="W7" s="915"/>
    </row>
    <row r="8" spans="2:23">
      <c r="B8" s="916" t="s">
        <v>1068</v>
      </c>
      <c r="C8" s="915"/>
      <c r="G8" s="917"/>
      <c r="H8" s="911"/>
      <c r="I8" s="917"/>
      <c r="K8" s="917"/>
      <c r="L8" s="911"/>
      <c r="M8" s="917"/>
      <c r="O8" s="918"/>
      <c r="Q8" s="917"/>
      <c r="S8" s="917"/>
      <c r="U8" s="919"/>
      <c r="V8" s="920"/>
      <c r="W8" s="920"/>
    </row>
    <row r="9" spans="2:23">
      <c r="B9" s="921" t="s">
        <v>1069</v>
      </c>
      <c r="E9" s="922">
        <v>1299399.7121700002</v>
      </c>
      <c r="H9" s="908"/>
      <c r="I9" s="923" t="s">
        <v>1070</v>
      </c>
      <c r="J9" s="908"/>
      <c r="K9" s="924"/>
      <c r="L9" s="925"/>
      <c r="M9" s="926"/>
      <c r="O9" s="922">
        <v>5896.5122194598844</v>
      </c>
      <c r="Q9" s="927">
        <f t="shared" ref="Q9:Q17" si="0">O9/$G$41</f>
        <v>1.4719030352645863</v>
      </c>
      <c r="S9" s="928"/>
      <c r="U9" s="906" t="s">
        <v>1148</v>
      </c>
    </row>
    <row r="10" spans="2:23">
      <c r="B10" s="921" t="s">
        <v>1071</v>
      </c>
      <c r="E10" s="922">
        <v>997090</v>
      </c>
      <c r="G10" s="922">
        <f>E10*42000/1000000</f>
        <v>41877.78</v>
      </c>
      <c r="I10" s="922">
        <f t="shared" ref="I10:I15" si="1">G10*S10</f>
        <v>10469.445</v>
      </c>
      <c r="K10" s="929">
        <f>O10/G10</f>
        <v>1.5</v>
      </c>
      <c r="M10" s="930">
        <v>6</v>
      </c>
      <c r="O10" s="922">
        <f>I10*M10</f>
        <v>62816.67</v>
      </c>
      <c r="Q10" s="927">
        <f t="shared" si="0"/>
        <v>15.680463941560888</v>
      </c>
      <c r="S10" s="931">
        <v>0.25</v>
      </c>
      <c r="U10" s="906" t="s">
        <v>1072</v>
      </c>
    </row>
    <row r="11" spans="2:23">
      <c r="B11" s="921" t="s">
        <v>1073</v>
      </c>
      <c r="E11" s="922">
        <v>920503</v>
      </c>
      <c r="G11" s="922">
        <f>E11*30000/1000000</f>
        <v>27615.09</v>
      </c>
      <c r="I11" s="922">
        <f t="shared" si="1"/>
        <v>4142.2635</v>
      </c>
      <c r="K11" s="929">
        <f>O11/G11</f>
        <v>0.6</v>
      </c>
      <c r="M11" s="930">
        <v>4</v>
      </c>
      <c r="O11" s="922">
        <f>I11*M11</f>
        <v>16569.054</v>
      </c>
      <c r="Q11" s="927">
        <f>O11/$G$41</f>
        <v>4.1360112497649943</v>
      </c>
      <c r="S11" s="931">
        <v>0.15</v>
      </c>
    </row>
    <row r="12" spans="2:23">
      <c r="B12" s="932" t="s">
        <v>1074</v>
      </c>
      <c r="E12" s="922">
        <v>357938</v>
      </c>
      <c r="G12" s="933">
        <f>E12*30000/1000000</f>
        <v>10738.14</v>
      </c>
      <c r="I12" s="922">
        <f t="shared" si="1"/>
        <v>1288.5767999999998</v>
      </c>
      <c r="K12" s="929">
        <f>O12/G12</f>
        <v>0.42</v>
      </c>
      <c r="M12" s="930">
        <v>3.5</v>
      </c>
      <c r="O12" s="922">
        <f>I12*M12</f>
        <v>4510.0187999999998</v>
      </c>
      <c r="Q12" s="927">
        <f t="shared" si="0"/>
        <v>1.1258028668052875</v>
      </c>
      <c r="S12" s="931">
        <v>0.12</v>
      </c>
      <c r="U12" s="906" t="s">
        <v>1075</v>
      </c>
    </row>
    <row r="13" spans="2:23">
      <c r="B13" s="932" t="s">
        <v>1076</v>
      </c>
      <c r="E13" s="922">
        <v>1211539.5999999999</v>
      </c>
      <c r="G13" s="933">
        <f>E13*18000/1000000</f>
        <v>21807.712799999998</v>
      </c>
      <c r="I13" s="922">
        <f t="shared" si="1"/>
        <v>218.07712799999999</v>
      </c>
      <c r="K13" s="934" t="s">
        <v>1077</v>
      </c>
      <c r="L13" s="935"/>
      <c r="M13" s="934" t="s">
        <v>1077</v>
      </c>
      <c r="O13" s="936">
        <v>-2000</v>
      </c>
      <c r="Q13" s="927">
        <f t="shared" si="0"/>
        <v>-0.49924530993320365</v>
      </c>
      <c r="S13" s="931">
        <v>0.01</v>
      </c>
      <c r="U13" s="906" t="s">
        <v>1078</v>
      </c>
    </row>
    <row r="14" spans="2:23">
      <c r="B14" s="932" t="s">
        <v>1079</v>
      </c>
      <c r="E14" s="922">
        <v>317463.00000000006</v>
      </c>
      <c r="G14" s="922">
        <f>E14*15000/1000000</f>
        <v>4761.9450000000006</v>
      </c>
      <c r="I14" s="922">
        <f t="shared" si="1"/>
        <v>142.85835</v>
      </c>
      <c r="K14" s="929">
        <f>O14/G14</f>
        <v>0.14999999999999997</v>
      </c>
      <c r="M14" s="930">
        <v>5</v>
      </c>
      <c r="O14" s="922">
        <f>I14*M14</f>
        <v>714.29174999999998</v>
      </c>
      <c r="Q14" s="927">
        <f t="shared" si="0"/>
        <v>0.17830340305574022</v>
      </c>
      <c r="S14" s="931">
        <v>0.03</v>
      </c>
      <c r="U14" s="906" t="s">
        <v>1080</v>
      </c>
    </row>
    <row r="15" spans="2:23">
      <c r="B15" s="932" t="s">
        <v>1081</v>
      </c>
      <c r="E15" s="922">
        <v>220092.78782999981</v>
      </c>
      <c r="G15" s="922">
        <f>E15*20000/1000000</f>
        <v>4401.8557565999963</v>
      </c>
      <c r="I15" s="922">
        <f t="shared" si="1"/>
        <v>176.07423026399985</v>
      </c>
      <c r="K15" s="929">
        <f>O15/G15</f>
        <v>0.2</v>
      </c>
      <c r="M15" s="930">
        <v>5</v>
      </c>
      <c r="O15" s="922">
        <f>I15*M15</f>
        <v>880.37115131999929</v>
      </c>
      <c r="Q15" s="927">
        <f t="shared" si="0"/>
        <v>0.21976058414850219</v>
      </c>
      <c r="S15" s="931">
        <v>0.04</v>
      </c>
      <c r="U15" s="906" t="s">
        <v>1082</v>
      </c>
    </row>
    <row r="16" spans="2:23">
      <c r="B16" s="932" t="s">
        <v>1045</v>
      </c>
      <c r="G16" s="922">
        <f>Drivers!$CZ$115</f>
        <v>8232.6749999999993</v>
      </c>
      <c r="I16" s="922">
        <f>Drivers!CZ76</f>
        <v>2000</v>
      </c>
      <c r="J16" s="908"/>
      <c r="K16" s="937"/>
      <c r="L16" s="908"/>
      <c r="M16" s="938"/>
      <c r="O16" s="922">
        <f>(151000-138000)*0.8</f>
        <v>10400</v>
      </c>
      <c r="Q16" s="927">
        <f t="shared" si="0"/>
        <v>2.5960756116526591</v>
      </c>
      <c r="S16" s="931"/>
      <c r="U16" s="939" t="s">
        <v>1146</v>
      </c>
    </row>
    <row r="17" spans="2:21">
      <c r="B17" s="932" t="s">
        <v>1083</v>
      </c>
      <c r="E17" s="922">
        <f>E27-E24-SUM(E9:E15)</f>
        <v>1067286.7000000002</v>
      </c>
      <c r="F17" s="922"/>
      <c r="G17" s="922">
        <f>G18-SUM(G10:G16)</f>
        <v>33998.419943400018</v>
      </c>
      <c r="H17" s="922"/>
      <c r="I17" s="922">
        <f>I18-SUM(I10:I16)</f>
        <v>-4520.269008264002</v>
      </c>
      <c r="K17" s="934" t="s">
        <v>1077</v>
      </c>
      <c r="L17" s="929"/>
      <c r="M17" s="934" t="s">
        <v>1077</v>
      </c>
      <c r="O17" s="936">
        <v>-9000</v>
      </c>
      <c r="Q17" s="927">
        <f t="shared" si="0"/>
        <v>-2.2466038946994162</v>
      </c>
      <c r="S17" s="940">
        <f>I17/G17</f>
        <v>-0.13295526720916054</v>
      </c>
    </row>
    <row r="18" spans="2:21">
      <c r="B18" s="932"/>
      <c r="C18" s="932" t="s">
        <v>1084</v>
      </c>
      <c r="E18" s="941">
        <f>SUM(E9:E17)</f>
        <v>6391312.7999999998</v>
      </c>
      <c r="G18" s="941">
        <f>G27-G24</f>
        <v>153433.61850000001</v>
      </c>
      <c r="H18" s="941"/>
      <c r="I18" s="941">
        <f>I27-I25</f>
        <v>13917.026</v>
      </c>
      <c r="J18" s="932"/>
      <c r="K18" s="932"/>
      <c r="L18" s="932"/>
      <c r="M18" s="930"/>
      <c r="N18" s="932"/>
      <c r="O18" s="941">
        <f>SUM(O9:O17)</f>
        <v>90786.917920779888</v>
      </c>
      <c r="P18" s="932"/>
      <c r="Q18" s="942">
        <f>SUM(Q9:Q17)</f>
        <v>22.662471487620035</v>
      </c>
      <c r="S18" s="931"/>
    </row>
    <row r="19" spans="2:21">
      <c r="C19" s="932"/>
      <c r="G19" s="922"/>
      <c r="I19" s="922"/>
      <c r="K19" s="929"/>
      <c r="M19" s="930"/>
      <c r="O19" s="943"/>
      <c r="Q19" s="927"/>
      <c r="S19" s="931"/>
    </row>
    <row r="20" spans="2:21">
      <c r="B20" s="916" t="s">
        <v>1085</v>
      </c>
      <c r="C20" s="916"/>
      <c r="G20" s="922"/>
      <c r="I20" s="922"/>
      <c r="K20" s="929"/>
      <c r="M20" s="930"/>
      <c r="O20" s="922"/>
      <c r="Q20" s="927"/>
      <c r="S20" s="931"/>
    </row>
    <row r="21" spans="2:21">
      <c r="B21" s="944" t="s">
        <v>1086</v>
      </c>
      <c r="C21" s="944"/>
      <c r="I21" s="922"/>
      <c r="M21" s="930"/>
      <c r="O21" s="936">
        <v>1000</v>
      </c>
      <c r="Q21" s="927">
        <f>O21/$G$41</f>
        <v>0.24962265496660183</v>
      </c>
      <c r="S21" s="931">
        <v>0.25</v>
      </c>
    </row>
    <row r="22" spans="2:21">
      <c r="B22" s="932" t="s">
        <v>1087</v>
      </c>
      <c r="O22" s="936">
        <v>500</v>
      </c>
      <c r="Q22" s="927">
        <f>O22/$G$41</f>
        <v>0.12481132748330091</v>
      </c>
      <c r="S22" s="945"/>
    </row>
    <row r="23" spans="2:21">
      <c r="B23" s="932" t="s">
        <v>1088</v>
      </c>
      <c r="G23" s="945"/>
      <c r="O23" s="936">
        <v>1000</v>
      </c>
      <c r="Q23" s="927">
        <f>O23/$G$41</f>
        <v>0.24962265496660183</v>
      </c>
      <c r="S23" s="945"/>
    </row>
    <row r="24" spans="2:21">
      <c r="B24" s="932" t="s">
        <v>1089</v>
      </c>
      <c r="E24" s="922">
        <v>114962</v>
      </c>
      <c r="G24" s="922">
        <f>E24*40000/1000000</f>
        <v>4598.4799999999996</v>
      </c>
      <c r="I24" s="922">
        <f>G24*S24</f>
        <v>91.9696</v>
      </c>
      <c r="K24" s="929">
        <f>O24/G24</f>
        <v>0.1</v>
      </c>
      <c r="M24" s="930">
        <v>5</v>
      </c>
      <c r="O24" s="922">
        <f>I24*M24</f>
        <v>459.84800000000001</v>
      </c>
      <c r="Q24" s="927">
        <f>O24/$G$41</f>
        <v>0.11478847864108192</v>
      </c>
      <c r="S24" s="931">
        <v>0.02</v>
      </c>
    </row>
    <row r="25" spans="2:21">
      <c r="B25" s="932"/>
      <c r="C25" s="932" t="s">
        <v>1090</v>
      </c>
      <c r="E25" s="941">
        <f>SUM(E21:E24)</f>
        <v>114962</v>
      </c>
      <c r="G25" s="941">
        <f>SUM(G21:G24)</f>
        <v>4598.4799999999996</v>
      </c>
      <c r="H25" s="941"/>
      <c r="I25" s="941">
        <f>SUM(I21:I24)</f>
        <v>91.9696</v>
      </c>
      <c r="O25" s="941">
        <f>SUM(O21:O24)</f>
        <v>2959.848</v>
      </c>
      <c r="Q25" s="942">
        <f>SUM(Q21:Q24)</f>
        <v>0.7388451160575864</v>
      </c>
      <c r="S25" s="940">
        <f>I25/G25</f>
        <v>0.02</v>
      </c>
    </row>
    <row r="27" spans="2:21">
      <c r="B27" s="932" t="s">
        <v>1091</v>
      </c>
      <c r="E27" s="941">
        <f>Drivers!$CZ$24*1000</f>
        <v>6506274.7999999998</v>
      </c>
      <c r="G27" s="941">
        <f>'Financial Model'!$CZ$15</f>
        <v>158032.09850000002</v>
      </c>
      <c r="H27" s="932"/>
      <c r="I27" s="941">
        <f>'Financial Model'!$CZ$62</f>
        <v>14008.9956</v>
      </c>
      <c r="J27" s="932"/>
      <c r="K27" s="929">
        <f>O27/G27</f>
        <v>0.59321344720851044</v>
      </c>
      <c r="L27" s="932"/>
      <c r="M27" s="947">
        <f>O27/I27</f>
        <v>6.6918977346798432</v>
      </c>
      <c r="N27" s="932"/>
      <c r="O27" s="941">
        <f>O18+O25</f>
        <v>93746.765920779886</v>
      </c>
      <c r="P27" s="932"/>
      <c r="Q27" s="942">
        <f>Q18+Q25</f>
        <v>23.401316603677621</v>
      </c>
      <c r="S27" s="946"/>
    </row>
    <row r="29" spans="2:21">
      <c r="G29" s="922"/>
      <c r="L29" s="948" t="s">
        <v>1092</v>
      </c>
      <c r="O29" s="922">
        <f>-'Financial Model'!CT122</f>
        <v>10553</v>
      </c>
      <c r="Q29" s="927">
        <f>O29/$G$41</f>
        <v>2.6342678778625492</v>
      </c>
    </row>
    <row r="30" spans="2:21">
      <c r="G30" s="922"/>
      <c r="L30" s="948"/>
      <c r="O30" s="922"/>
      <c r="Q30" s="927"/>
    </row>
    <row r="31" spans="2:21">
      <c r="G31" s="922"/>
      <c r="L31" s="948" t="s">
        <v>1093</v>
      </c>
      <c r="O31" s="922">
        <v>-5016</v>
      </c>
      <c r="Q31" s="927">
        <f>O31/$G$41</f>
        <v>-1.2521072373124749</v>
      </c>
      <c r="U31" s="906" t="s">
        <v>1149</v>
      </c>
    </row>
    <row r="32" spans="2:21" ht="12.75" thickBot="1">
      <c r="T32" s="949"/>
    </row>
    <row r="33" spans="2:20" ht="12.75" thickBot="1">
      <c r="L33" s="932" t="s">
        <v>1094</v>
      </c>
      <c r="M33" s="932"/>
      <c r="N33" s="932"/>
      <c r="O33" s="941">
        <f>O27+O29+O31</f>
        <v>99283.765920779886</v>
      </c>
      <c r="P33" s="932"/>
      <c r="Q33" s="950">
        <f>Q27+Q29+Q31</f>
        <v>24.783477244227694</v>
      </c>
    </row>
    <row r="34" spans="2:20">
      <c r="T34" s="949"/>
    </row>
    <row r="35" spans="2:20">
      <c r="L35" s="948" t="s">
        <v>1095</v>
      </c>
      <c r="Q35" s="951">
        <v>12.66</v>
      </c>
    </row>
    <row r="36" spans="2:20">
      <c r="L36" s="952" t="s">
        <v>1096</v>
      </c>
      <c r="M36" s="952"/>
      <c r="N36" s="952"/>
      <c r="O36" s="952"/>
      <c r="P36" s="952"/>
      <c r="Q36" s="953">
        <f>Q35/Q33-1</f>
        <v>-0.48917579743784201</v>
      </c>
    </row>
    <row r="40" spans="2:20">
      <c r="B40" s="916" t="s">
        <v>200</v>
      </c>
      <c r="C40" s="916"/>
      <c r="D40" s="916"/>
      <c r="E40" s="916"/>
      <c r="F40" s="916"/>
      <c r="G40" s="916"/>
    </row>
    <row r="41" spans="2:20">
      <c r="B41" s="948" t="s">
        <v>1097</v>
      </c>
      <c r="G41" s="954">
        <v>4006.0466472235648</v>
      </c>
      <c r="K41" s="948"/>
      <c r="Q41" s="955"/>
    </row>
    <row r="42" spans="2:20">
      <c r="B42" s="948"/>
      <c r="G42" s="955"/>
      <c r="H42" s="956"/>
      <c r="K42" s="948"/>
      <c r="Q42" s="957"/>
    </row>
    <row r="43" spans="2:20">
      <c r="B43" s="948"/>
      <c r="G43" s="955"/>
      <c r="K43" s="948"/>
      <c r="Q43" s="958"/>
    </row>
    <row r="44" spans="2:20">
      <c r="B44" s="948"/>
      <c r="G44" s="955"/>
      <c r="K44" s="948"/>
      <c r="Q44" s="957"/>
      <c r="S44" s="948"/>
    </row>
    <row r="45" spans="2:20">
      <c r="B45" s="948"/>
      <c r="G45" s="933"/>
      <c r="K45" s="948"/>
      <c r="Q45" s="922"/>
    </row>
    <row r="46" spans="2:20">
      <c r="B46" s="948"/>
      <c r="G46" s="933"/>
      <c r="K46" s="948"/>
      <c r="M46" s="922"/>
      <c r="Q46" s="957"/>
    </row>
    <row r="47" spans="2:20">
      <c r="B47" s="948"/>
      <c r="G47" s="933"/>
      <c r="K47" s="948"/>
      <c r="M47" s="922"/>
      <c r="Q47" s="943"/>
      <c r="S47" s="948"/>
    </row>
    <row r="48" spans="2:20">
      <c r="B48" s="948"/>
      <c r="G48" s="933"/>
      <c r="K48" s="948"/>
      <c r="Q48" s="922"/>
    </row>
    <row r="49" spans="2:19">
      <c r="B49" s="948"/>
      <c r="G49" s="943"/>
      <c r="K49" s="948"/>
      <c r="Q49" s="943"/>
      <c r="S49" s="948"/>
    </row>
    <row r="55" spans="2:19">
      <c r="B55" s="948"/>
    </row>
    <row r="56" spans="2:19">
      <c r="B56" s="948"/>
    </row>
  </sheetData>
  <pageMargins left="0" right="0" top="0" bottom="0" header="0" footer="0"/>
  <pageSetup paperSize="5" scale="77"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18"/>
    <pageSetUpPr fitToPage="1"/>
  </sheetPr>
  <dimension ref="A1:IU326"/>
  <sheetViews>
    <sheetView showGridLines="0" zoomScale="85" zoomScaleNormal="85" workbookViewId="0">
      <pane xSplit="4" ySplit="7" topLeftCell="CA200" activePane="bottomRight" state="frozen"/>
      <selection pane="topRight" activeCell="E1" sqref="E1"/>
      <selection pane="bottomLeft" activeCell="A8" sqref="A8"/>
      <selection pane="bottomRight" activeCell="DA235" sqref="DA235:DC235"/>
    </sheetView>
  </sheetViews>
  <sheetFormatPr defaultColWidth="10.42578125" defaultRowHeight="12.75" outlineLevelRow="1" outlineLevelCol="2"/>
  <cols>
    <col min="1" max="1" width="5.140625" style="1113" customWidth="1"/>
    <col min="2" max="2" width="2.42578125" style="1" customWidth="1"/>
    <col min="3" max="3" width="41.140625" style="1" bestFit="1" customWidth="1"/>
    <col min="4" max="4" width="14.42578125" style="1" customWidth="1"/>
    <col min="5" max="9" width="10" style="1" hidden="1" customWidth="1" outlineLevel="1"/>
    <col min="10" max="13" width="10" style="1" hidden="1" customWidth="1" outlineLevel="2"/>
    <col min="14" max="14" width="10" style="1" hidden="1" customWidth="1" outlineLevel="1" collapsed="1"/>
    <col min="15" max="18" width="10" style="1" hidden="1" customWidth="1" outlineLevel="2"/>
    <col min="19" max="19" width="10" style="1" hidden="1" customWidth="1" outlineLevel="1" collapsed="1"/>
    <col min="20" max="23" width="10" style="1" hidden="1" customWidth="1" outlineLevel="2"/>
    <col min="24" max="24" width="10" style="1" hidden="1" customWidth="1" outlineLevel="1" collapsed="1"/>
    <col min="25" max="28" width="10" style="1" hidden="1" customWidth="1" outlineLevel="2"/>
    <col min="29" max="29" width="10" style="1" hidden="1" customWidth="1" outlineLevel="1" collapsed="1"/>
    <col min="30" max="33" width="10" style="1" hidden="1" customWidth="1" outlineLevel="2"/>
    <col min="34" max="34" width="10" style="1" hidden="1" customWidth="1" outlineLevel="1" collapsed="1"/>
    <col min="35" max="38" width="10" style="1" hidden="1" customWidth="1" outlineLevel="2"/>
    <col min="39" max="39" width="10" style="1" hidden="1" customWidth="1" outlineLevel="1" collapsed="1"/>
    <col min="40" max="43" width="10" style="1" hidden="1" customWidth="1" outlineLevel="2"/>
    <col min="44" max="44" width="10" style="1" hidden="1" customWidth="1" outlineLevel="1"/>
    <col min="45" max="48" width="10" style="1" hidden="1" customWidth="1" outlineLevel="2"/>
    <col min="49" max="49" width="10" style="1" hidden="1" customWidth="1" outlineLevel="1" collapsed="1"/>
    <col min="50" max="53" width="10" style="1" hidden="1" customWidth="1" outlineLevel="2"/>
    <col min="54" max="54" width="10" style="1" hidden="1" customWidth="1" outlineLevel="1" collapsed="1"/>
    <col min="55" max="58" width="10" style="1" hidden="1" customWidth="1" outlineLevel="2"/>
    <col min="59" max="59" width="10" style="1" hidden="1" customWidth="1" outlineLevel="1" collapsed="1"/>
    <col min="60" max="63" width="10" style="1" hidden="1" customWidth="1" outlineLevel="2"/>
    <col min="64" max="64" width="10" style="1" hidden="1" customWidth="1" outlineLevel="1" collapsed="1"/>
    <col min="65" max="68" width="10" style="1" hidden="1" customWidth="1" outlineLevel="2"/>
    <col min="69" max="69" width="10" style="1" hidden="1" customWidth="1" outlineLevel="1" collapsed="1"/>
    <col min="70" max="78" width="10" style="1" hidden="1" customWidth="1" outlineLevel="1"/>
    <col min="79" max="79" width="10" style="1" customWidth="1" collapsed="1"/>
    <col min="80" max="83" width="10" style="1" hidden="1" customWidth="1" outlineLevel="1"/>
    <col min="84" max="84" width="10" style="1" customWidth="1" collapsed="1"/>
    <col min="85" max="87" width="10" style="1" hidden="1" customWidth="1" outlineLevel="1"/>
    <col min="88" max="88" width="10" style="2" hidden="1" customWidth="1" outlineLevel="1"/>
    <col min="89" max="89" width="10" style="1" customWidth="1" collapsed="1"/>
    <col min="90" max="92" width="10" style="1" hidden="1" customWidth="1" outlineLevel="1"/>
    <col min="93" max="93" width="10" style="2" hidden="1" customWidth="1" outlineLevel="1"/>
    <col min="94" max="94" width="10.28515625" style="1" customWidth="1" collapsed="1"/>
    <col min="95" max="95" width="10" style="1" customWidth="1" outlineLevel="1"/>
    <col min="96" max="96" width="10.28515625" style="1" customWidth="1" outlineLevel="1"/>
    <col min="97" max="98" width="10" style="1" customWidth="1" outlineLevel="1"/>
    <col min="99" max="99" width="10" style="1" customWidth="1"/>
    <col min="100" max="100" width="10" style="2" customWidth="1" outlineLevel="1"/>
    <col min="101" max="101" width="10.28515625" style="2" customWidth="1" outlineLevel="1"/>
    <col min="102" max="103" width="10" style="2" customWidth="1" outlineLevel="1"/>
    <col min="104" max="107" width="10" style="1" customWidth="1"/>
    <col min="108" max="108" width="10" style="122" customWidth="1"/>
    <col min="109" max="109" width="7.85546875" style="122" customWidth="1"/>
    <col min="110" max="112" width="10.28515625" style="1" customWidth="1"/>
    <col min="113" max="114" width="10.28515625" style="123" customWidth="1"/>
    <col min="115" max="117" width="7.5703125" style="122" customWidth="1"/>
    <col min="118" max="118" width="22.85546875" customWidth="1" outlineLevel="1"/>
    <col min="119" max="123" width="10.42578125" customWidth="1" outlineLevel="1"/>
    <col min="124" max="124" width="10.42578125" style="837"/>
    <col min="125" max="16384" width="10.42578125" style="122"/>
  </cols>
  <sheetData>
    <row r="1" spans="1:142" ht="18">
      <c r="A1" s="1106" t="s">
        <v>725</v>
      </c>
      <c r="B1" s="37"/>
      <c r="C1" s="37"/>
      <c r="D1" s="36"/>
      <c r="E1" s="198"/>
      <c r="F1" s="323"/>
      <c r="G1" s="198"/>
      <c r="H1" s="198"/>
      <c r="I1" s="198"/>
      <c r="J1" s="36"/>
      <c r="K1" s="36"/>
      <c r="L1" s="36"/>
      <c r="M1" s="36"/>
      <c r="N1" s="198"/>
      <c r="O1" s="36"/>
      <c r="P1" s="36"/>
      <c r="Q1" s="36"/>
      <c r="R1" s="36"/>
      <c r="S1" s="198"/>
      <c r="T1" s="112"/>
      <c r="U1" s="112"/>
      <c r="V1" s="112"/>
      <c r="W1" s="112"/>
      <c r="X1" s="198"/>
      <c r="Y1" s="112"/>
      <c r="Z1" s="112"/>
      <c r="AA1" s="112"/>
      <c r="AB1" s="112"/>
      <c r="AC1" s="198"/>
      <c r="AD1" s="112"/>
      <c r="AE1" s="112"/>
      <c r="AF1" s="112"/>
      <c r="AG1" s="112"/>
      <c r="AH1" s="198"/>
      <c r="AI1" s="112"/>
      <c r="AJ1" s="112"/>
      <c r="AK1" s="112"/>
      <c r="AL1" s="112"/>
      <c r="AM1" s="198"/>
      <c r="AN1" s="112"/>
      <c r="AO1" s="112"/>
      <c r="AP1" s="112"/>
      <c r="AQ1" s="112"/>
      <c r="AR1" s="198"/>
      <c r="AS1" s="112"/>
      <c r="AT1" s="112"/>
      <c r="AU1" s="112"/>
      <c r="AV1" s="112"/>
      <c r="AW1" s="198"/>
      <c r="AX1" s="112"/>
      <c r="AY1" s="112"/>
      <c r="AZ1" s="112"/>
      <c r="BA1" s="112"/>
      <c r="BB1" s="198"/>
      <c r="BC1" s="112"/>
      <c r="BD1" s="112"/>
      <c r="BE1" s="112"/>
      <c r="BF1" s="112"/>
      <c r="BG1" s="198"/>
      <c r="BH1" s="112"/>
      <c r="BI1" s="112"/>
      <c r="BJ1" s="112"/>
      <c r="BK1" s="112"/>
      <c r="BL1" s="198"/>
      <c r="BM1" s="112"/>
      <c r="BN1" s="112"/>
      <c r="BO1" s="112"/>
      <c r="BP1" s="112"/>
      <c r="BQ1" s="198"/>
      <c r="BR1" s="112"/>
      <c r="BS1" s="112"/>
      <c r="BT1" s="112"/>
      <c r="BU1" s="112"/>
      <c r="BV1" s="198"/>
      <c r="BW1" s="112"/>
      <c r="BX1" s="112"/>
      <c r="BY1" s="112"/>
      <c r="BZ1" s="112"/>
      <c r="CA1" s="198"/>
      <c r="CB1" s="112"/>
      <c r="CC1" s="112"/>
      <c r="CD1" s="112"/>
      <c r="CE1" s="112"/>
      <c r="CF1" s="198"/>
      <c r="CG1" s="112"/>
      <c r="CH1" s="112"/>
      <c r="CI1" s="112"/>
      <c r="CJ1" s="112"/>
      <c r="CK1" s="198"/>
      <c r="CL1" s="112"/>
      <c r="CM1" s="112"/>
      <c r="CN1" s="112"/>
      <c r="CO1" s="116"/>
      <c r="CP1" s="198"/>
      <c r="CQ1" s="112"/>
      <c r="CR1" s="112"/>
      <c r="CS1" s="112"/>
      <c r="CT1" s="116"/>
      <c r="CU1" s="198"/>
      <c r="CV1" s="112"/>
      <c r="CW1" s="112"/>
      <c r="CX1" s="112"/>
      <c r="CY1" s="112"/>
      <c r="CZ1" s="198"/>
      <c r="DA1" s="198"/>
      <c r="DB1" s="198"/>
      <c r="DC1" s="198"/>
      <c r="DD1" s="2"/>
      <c r="DE1" s="2"/>
      <c r="DF1" s="107"/>
      <c r="DG1" s="107"/>
      <c r="DH1" s="107"/>
      <c r="DI1" s="107"/>
      <c r="DJ1" s="107"/>
      <c r="DK1" s="2"/>
      <c r="DL1" s="2"/>
      <c r="DM1" s="2"/>
    </row>
    <row r="2" spans="1:142">
      <c r="A2" s="1107" t="s">
        <v>49</v>
      </c>
      <c r="B2" s="8"/>
      <c r="C2" s="36"/>
      <c r="D2" s="36"/>
      <c r="E2" s="323"/>
      <c r="F2" s="198"/>
      <c r="G2" s="198"/>
      <c r="H2" s="198"/>
      <c r="I2" s="198"/>
      <c r="J2" s="36"/>
      <c r="K2" s="36"/>
      <c r="L2" s="36"/>
      <c r="M2" s="36"/>
      <c r="N2" s="198"/>
      <c r="O2" s="36"/>
      <c r="P2" s="36"/>
      <c r="Q2" s="36"/>
      <c r="R2" s="36"/>
      <c r="S2" s="198"/>
      <c r="T2" s="112"/>
      <c r="U2" s="112"/>
      <c r="V2" s="112"/>
      <c r="W2" s="112"/>
      <c r="X2" s="198"/>
      <c r="Y2" s="112"/>
      <c r="Z2" s="112"/>
      <c r="AA2" s="112"/>
      <c r="AB2" s="112"/>
      <c r="AC2" s="198"/>
      <c r="AD2" s="112"/>
      <c r="AE2" s="112"/>
      <c r="AF2" s="112"/>
      <c r="AG2" s="112"/>
      <c r="AH2" s="198"/>
      <c r="AI2" s="112"/>
      <c r="AJ2" s="112"/>
      <c r="AK2" s="112"/>
      <c r="AL2" s="112"/>
      <c r="AM2" s="198"/>
      <c r="AN2" s="112"/>
      <c r="AO2" s="112"/>
      <c r="AP2" s="112"/>
      <c r="AQ2" s="112"/>
      <c r="AR2" s="198"/>
      <c r="AS2" s="112"/>
      <c r="AT2" s="112"/>
      <c r="AU2" s="112"/>
      <c r="AV2" s="112"/>
      <c r="AW2" s="198"/>
      <c r="AX2" s="112"/>
      <c r="AY2" s="112"/>
      <c r="AZ2" s="112"/>
      <c r="BA2" s="112"/>
      <c r="BB2" s="198"/>
      <c r="BC2" s="112"/>
      <c r="BD2" s="112"/>
      <c r="BE2" s="112"/>
      <c r="BF2" s="112"/>
      <c r="BG2" s="198"/>
      <c r="BH2" s="112"/>
      <c r="BI2" s="112"/>
      <c r="BJ2" s="112"/>
      <c r="BK2" s="112"/>
      <c r="BL2" s="198"/>
      <c r="BM2" s="112"/>
      <c r="BN2" s="112"/>
      <c r="BO2" s="112"/>
      <c r="BP2" s="112"/>
      <c r="BQ2" s="198"/>
      <c r="BR2" s="112"/>
      <c r="BS2" s="112"/>
      <c r="BT2" s="112"/>
      <c r="BU2" s="112"/>
      <c r="BV2" s="198"/>
      <c r="BW2" s="112"/>
      <c r="BX2" s="112"/>
      <c r="BY2" s="112"/>
      <c r="BZ2" s="112"/>
      <c r="CA2" s="198"/>
      <c r="CB2" s="112"/>
      <c r="CC2" s="112"/>
      <c r="CD2" s="112"/>
      <c r="CE2" s="112"/>
      <c r="CF2" s="198"/>
      <c r="CG2" s="112"/>
      <c r="CH2" s="112"/>
      <c r="CI2" s="112"/>
      <c r="CJ2" s="112"/>
      <c r="CK2" s="198"/>
      <c r="CL2" s="112"/>
      <c r="CM2" s="112"/>
      <c r="CN2" s="112"/>
      <c r="CO2" s="116"/>
      <c r="CP2" s="198"/>
      <c r="CQ2" s="112"/>
      <c r="CR2" s="112"/>
      <c r="CS2" s="112"/>
      <c r="CT2" s="116"/>
      <c r="CU2" s="198"/>
      <c r="CV2" s="112"/>
      <c r="CW2" s="112"/>
      <c r="CX2" s="112"/>
      <c r="CY2" s="112"/>
      <c r="CZ2" s="198"/>
      <c r="DA2" s="198"/>
      <c r="DB2" s="198"/>
      <c r="DC2" s="198"/>
      <c r="DD2" s="2"/>
      <c r="DE2" s="2"/>
      <c r="DF2" s="107"/>
      <c r="DG2" s="107"/>
      <c r="DH2" s="107"/>
      <c r="DI2" s="107"/>
      <c r="DJ2" s="107"/>
      <c r="DK2" s="2"/>
      <c r="DL2" s="2"/>
      <c r="DM2" s="2"/>
    </row>
    <row r="3" spans="1:142">
      <c r="A3" s="1108"/>
      <c r="B3" s="8"/>
      <c r="C3" s="199"/>
      <c r="D3" s="36"/>
      <c r="E3" s="113"/>
      <c r="F3" s="113"/>
      <c r="G3" s="113"/>
      <c r="H3" s="113"/>
      <c r="I3" s="113"/>
      <c r="J3" s="112"/>
      <c r="K3" s="112"/>
      <c r="L3" s="112"/>
      <c r="M3" s="112"/>
      <c r="N3" s="113"/>
      <c r="O3" s="112"/>
      <c r="P3" s="112"/>
      <c r="Q3" s="112"/>
      <c r="R3" s="112"/>
      <c r="S3" s="113"/>
      <c r="T3" s="112"/>
      <c r="U3" s="112"/>
      <c r="V3" s="112"/>
      <c r="W3" s="112"/>
      <c r="X3" s="113"/>
      <c r="Y3" s="112"/>
      <c r="Z3" s="112"/>
      <c r="AA3" s="112"/>
      <c r="AB3" s="112"/>
      <c r="AC3" s="113"/>
      <c r="AD3" s="112"/>
      <c r="AE3" s="112"/>
      <c r="AF3" s="112"/>
      <c r="AG3" s="112"/>
      <c r="AH3" s="113"/>
      <c r="AI3" s="112"/>
      <c r="AJ3" s="112"/>
      <c r="AK3" s="112"/>
      <c r="AL3" s="112"/>
      <c r="AM3" s="113"/>
      <c r="AN3" s="112"/>
      <c r="AO3" s="112"/>
      <c r="AP3" s="112"/>
      <c r="AQ3" s="112"/>
      <c r="AR3" s="113"/>
      <c r="AS3" s="112"/>
      <c r="AT3" s="112"/>
      <c r="AU3" s="112"/>
      <c r="AV3" s="112"/>
      <c r="AW3" s="113"/>
      <c r="AX3" s="112"/>
      <c r="AY3" s="112"/>
      <c r="AZ3" s="112"/>
      <c r="BA3" s="112"/>
      <c r="BB3" s="113"/>
      <c r="BC3" s="112"/>
      <c r="BD3" s="112"/>
      <c r="BE3" s="112"/>
      <c r="BF3" s="112"/>
      <c r="BG3" s="113"/>
      <c r="BH3" s="112"/>
      <c r="BI3" s="112"/>
      <c r="BJ3" s="112"/>
      <c r="BK3" s="112"/>
      <c r="BL3" s="113"/>
      <c r="BM3" s="112"/>
      <c r="BN3" s="112"/>
      <c r="BO3" s="112"/>
      <c r="BP3" s="112"/>
      <c r="BQ3" s="113"/>
      <c r="BR3" s="112"/>
      <c r="BS3" s="112"/>
      <c r="BT3" s="112"/>
      <c r="BU3" s="112"/>
      <c r="BV3" s="113"/>
      <c r="BW3" s="112"/>
      <c r="BX3" s="112"/>
      <c r="BY3" s="112"/>
      <c r="BZ3" s="112"/>
      <c r="CA3" s="113"/>
      <c r="CB3" s="112"/>
      <c r="CC3" s="112"/>
      <c r="CD3" s="112"/>
      <c r="CE3" s="112"/>
      <c r="CF3" s="113"/>
      <c r="CG3" s="112"/>
      <c r="CH3" s="112"/>
      <c r="CI3" s="112"/>
      <c r="CJ3" s="112"/>
      <c r="CK3" s="113"/>
      <c r="CL3" s="112"/>
      <c r="CM3" s="112"/>
      <c r="CN3" s="112"/>
      <c r="CO3" s="116"/>
      <c r="CP3" s="113"/>
      <c r="CQ3" s="112"/>
      <c r="CR3" s="112"/>
      <c r="CS3" s="112"/>
      <c r="CT3" s="116"/>
      <c r="CU3" s="113"/>
      <c r="CV3" s="112"/>
      <c r="CW3" s="112"/>
      <c r="CX3" s="112"/>
      <c r="CY3" s="112"/>
      <c r="CZ3" s="113"/>
      <c r="DA3" s="113"/>
      <c r="DB3" s="113"/>
      <c r="DC3" s="113"/>
      <c r="DD3" s="2"/>
      <c r="DE3" s="2"/>
      <c r="DF3" s="108"/>
      <c r="DG3" s="108"/>
      <c r="DH3" s="108"/>
      <c r="DI3" s="108"/>
      <c r="DJ3" s="108"/>
      <c r="DK3" s="2"/>
      <c r="DL3" s="2"/>
      <c r="DM3" s="2"/>
    </row>
    <row r="4" spans="1:142">
      <c r="A4" s="1114">
        <v>1</v>
      </c>
      <c r="B4" s="8"/>
      <c r="C4" s="199" t="s">
        <v>50</v>
      </c>
      <c r="D4" s="36"/>
      <c r="E4" s="113" t="s">
        <v>71</v>
      </c>
      <c r="F4" s="113" t="s">
        <v>70</v>
      </c>
      <c r="G4" s="113" t="s">
        <v>69</v>
      </c>
      <c r="H4" s="113" t="s">
        <v>68</v>
      </c>
      <c r="I4" s="113" t="s">
        <v>284</v>
      </c>
      <c r="J4" s="112" t="s">
        <v>301</v>
      </c>
      <c r="K4" s="112" t="s">
        <v>298</v>
      </c>
      <c r="L4" s="112" t="s">
        <v>299</v>
      </c>
      <c r="M4" s="112" t="s">
        <v>300</v>
      </c>
      <c r="N4" s="113" t="s">
        <v>279</v>
      </c>
      <c r="O4" s="112" t="s">
        <v>297</v>
      </c>
      <c r="P4" s="112" t="s">
        <v>294</v>
      </c>
      <c r="Q4" s="112" t="s">
        <v>295</v>
      </c>
      <c r="R4" s="112" t="s">
        <v>296</v>
      </c>
      <c r="S4" s="113" t="s">
        <v>280</v>
      </c>
      <c r="T4" s="112" t="s">
        <v>285</v>
      </c>
      <c r="U4" s="112" t="s">
        <v>286</v>
      </c>
      <c r="V4" s="112" t="s">
        <v>287</v>
      </c>
      <c r="W4" s="112" t="s">
        <v>288</v>
      </c>
      <c r="X4" s="113" t="s">
        <v>281</v>
      </c>
      <c r="Y4" s="112" t="s">
        <v>290</v>
      </c>
      <c r="Z4" s="112" t="s">
        <v>291</v>
      </c>
      <c r="AA4" s="112" t="s">
        <v>292</v>
      </c>
      <c r="AB4" s="112" t="s">
        <v>293</v>
      </c>
      <c r="AC4" s="113" t="s">
        <v>282</v>
      </c>
      <c r="AD4" s="112" t="s">
        <v>17</v>
      </c>
      <c r="AE4" s="112" t="s">
        <v>18</v>
      </c>
      <c r="AF4" s="112" t="s">
        <v>19</v>
      </c>
      <c r="AG4" s="112" t="s">
        <v>20</v>
      </c>
      <c r="AH4" s="113" t="s">
        <v>328</v>
      </c>
      <c r="AI4" s="112" t="s">
        <v>35</v>
      </c>
      <c r="AJ4" s="112" t="s">
        <v>40</v>
      </c>
      <c r="AK4" s="112" t="s">
        <v>278</v>
      </c>
      <c r="AL4" s="112" t="s">
        <v>33</v>
      </c>
      <c r="AM4" s="113" t="s">
        <v>329</v>
      </c>
      <c r="AN4" s="112" t="s">
        <v>34</v>
      </c>
      <c r="AO4" s="112" t="s">
        <v>336</v>
      </c>
      <c r="AP4" s="112" t="s">
        <v>337</v>
      </c>
      <c r="AQ4" s="112" t="s">
        <v>338</v>
      </c>
      <c r="AR4" s="113" t="s">
        <v>330</v>
      </c>
      <c r="AS4" s="112" t="s">
        <v>21</v>
      </c>
      <c r="AT4" s="112" t="s">
        <v>23</v>
      </c>
      <c r="AU4" s="112" t="s">
        <v>24</v>
      </c>
      <c r="AV4" s="112" t="s">
        <v>25</v>
      </c>
      <c r="AW4" s="113" t="s">
        <v>331</v>
      </c>
      <c r="AX4" s="112" t="s">
        <v>274</v>
      </c>
      <c r="AY4" s="112" t="s">
        <v>275</v>
      </c>
      <c r="AZ4" s="112" t="s">
        <v>276</v>
      </c>
      <c r="BA4" s="112" t="s">
        <v>277</v>
      </c>
      <c r="BB4" s="113" t="s">
        <v>332</v>
      </c>
      <c r="BC4" s="112" t="s">
        <v>32</v>
      </c>
      <c r="BD4" s="112" t="s">
        <v>339</v>
      </c>
      <c r="BE4" s="112" t="s">
        <v>340</v>
      </c>
      <c r="BF4" s="112" t="s">
        <v>341</v>
      </c>
      <c r="BG4" s="113" t="s">
        <v>333</v>
      </c>
      <c r="BH4" s="112" t="s">
        <v>215</v>
      </c>
      <c r="BI4" s="112" t="s">
        <v>216</v>
      </c>
      <c r="BJ4" s="112" t="s">
        <v>217</v>
      </c>
      <c r="BK4" s="112" t="s">
        <v>218</v>
      </c>
      <c r="BL4" s="113" t="s">
        <v>334</v>
      </c>
      <c r="BM4" s="112" t="s">
        <v>41</v>
      </c>
      <c r="BN4" s="112" t="s">
        <v>42</v>
      </c>
      <c r="BO4" s="112" t="s">
        <v>43</v>
      </c>
      <c r="BP4" s="112" t="s">
        <v>44</v>
      </c>
      <c r="BQ4" s="113" t="s">
        <v>272</v>
      </c>
      <c r="BR4" s="112" t="s">
        <v>56</v>
      </c>
      <c r="BS4" s="112" t="s">
        <v>57</v>
      </c>
      <c r="BT4" s="112" t="s">
        <v>58</v>
      </c>
      <c r="BU4" s="112" t="s">
        <v>59</v>
      </c>
      <c r="BV4" s="113" t="s">
        <v>273</v>
      </c>
      <c r="BW4" s="112" t="s">
        <v>183</v>
      </c>
      <c r="BX4" s="112" t="s">
        <v>184</v>
      </c>
      <c r="BY4" s="112" t="s">
        <v>185</v>
      </c>
      <c r="BZ4" s="112" t="s">
        <v>186</v>
      </c>
      <c r="CA4" s="113" t="s">
        <v>219</v>
      </c>
      <c r="CB4" s="112" t="s">
        <v>194</v>
      </c>
      <c r="CC4" s="112" t="s">
        <v>195</v>
      </c>
      <c r="CD4" s="112" t="s">
        <v>196</v>
      </c>
      <c r="CE4" s="112" t="s">
        <v>197</v>
      </c>
      <c r="CF4" s="113" t="s">
        <v>220</v>
      </c>
      <c r="CG4" s="112" t="s">
        <v>252</v>
      </c>
      <c r="CH4" s="112" t="s">
        <v>253</v>
      </c>
      <c r="CI4" s="112" t="s">
        <v>254</v>
      </c>
      <c r="CJ4" s="112" t="s">
        <v>255</v>
      </c>
      <c r="CK4" s="113" t="s">
        <v>221</v>
      </c>
      <c r="CL4" s="112" t="s">
        <v>256</v>
      </c>
      <c r="CM4" s="112" t="s">
        <v>257</v>
      </c>
      <c r="CN4" s="112" t="s">
        <v>258</v>
      </c>
      <c r="CO4" s="116" t="s">
        <v>259</v>
      </c>
      <c r="CP4" s="113" t="s">
        <v>48</v>
      </c>
      <c r="CQ4" s="112" t="s">
        <v>260</v>
      </c>
      <c r="CR4" s="112" t="s">
        <v>261</v>
      </c>
      <c r="CS4" s="112" t="s">
        <v>262</v>
      </c>
      <c r="CT4" s="116" t="s">
        <v>263</v>
      </c>
      <c r="CU4" s="113" t="s">
        <v>53</v>
      </c>
      <c r="CV4" s="112" t="s">
        <v>803</v>
      </c>
      <c r="CW4" s="112" t="s">
        <v>804</v>
      </c>
      <c r="CX4" s="112" t="s">
        <v>805</v>
      </c>
      <c r="CY4" s="112" t="s">
        <v>806</v>
      </c>
      <c r="CZ4" s="113" t="s">
        <v>361</v>
      </c>
      <c r="DA4" s="113" t="s">
        <v>362</v>
      </c>
      <c r="DB4" s="113" t="s">
        <v>363</v>
      </c>
      <c r="DC4" s="113" t="s">
        <v>383</v>
      </c>
      <c r="DD4" s="2"/>
      <c r="DE4" s="2"/>
      <c r="DF4" s="108" t="s">
        <v>198</v>
      </c>
      <c r="DG4" s="108" t="s">
        <v>201</v>
      </c>
      <c r="DH4" s="108" t="s">
        <v>202</v>
      </c>
      <c r="DI4" s="108" t="s">
        <v>203</v>
      </c>
      <c r="DJ4" s="108" t="s">
        <v>322</v>
      </c>
      <c r="DK4" s="2"/>
      <c r="DL4" s="2"/>
      <c r="DM4" s="2"/>
    </row>
    <row r="5" spans="1:142">
      <c r="A5" s="1115">
        <f>A4+1</f>
        <v>2</v>
      </c>
      <c r="B5" s="324"/>
      <c r="C5" s="199" t="s">
        <v>47</v>
      </c>
      <c r="D5" s="36"/>
      <c r="E5" s="113" t="s">
        <v>66</v>
      </c>
      <c r="F5" s="113" t="s">
        <v>65</v>
      </c>
      <c r="G5" s="113" t="s">
        <v>64</v>
      </c>
      <c r="H5" s="113" t="s">
        <v>63</v>
      </c>
      <c r="I5" s="113" t="s">
        <v>317</v>
      </c>
      <c r="J5" s="112" t="s">
        <v>312</v>
      </c>
      <c r="K5" s="112" t="s">
        <v>313</v>
      </c>
      <c r="L5" s="112" t="s">
        <v>314</v>
      </c>
      <c r="M5" s="112" t="s">
        <v>315</v>
      </c>
      <c r="N5" s="113" t="s">
        <v>316</v>
      </c>
      <c r="O5" s="112" t="s">
        <v>307</v>
      </c>
      <c r="P5" s="112" t="s">
        <v>308</v>
      </c>
      <c r="Q5" s="112" t="s">
        <v>309</v>
      </c>
      <c r="R5" s="112" t="s">
        <v>310</v>
      </c>
      <c r="S5" s="113" t="s">
        <v>311</v>
      </c>
      <c r="T5" s="112" t="s">
        <v>222</v>
      </c>
      <c r="U5" s="112" t="s">
        <v>223</v>
      </c>
      <c r="V5" s="112" t="s">
        <v>224</v>
      </c>
      <c r="W5" s="112" t="s">
        <v>225</v>
      </c>
      <c r="X5" s="113" t="s">
        <v>226</v>
      </c>
      <c r="Y5" s="112" t="s">
        <v>227</v>
      </c>
      <c r="Z5" s="112" t="s">
        <v>228</v>
      </c>
      <c r="AA5" s="112" t="s">
        <v>229</v>
      </c>
      <c r="AB5" s="112" t="s">
        <v>230</v>
      </c>
      <c r="AC5" s="113" t="s">
        <v>231</v>
      </c>
      <c r="AD5" s="112" t="s">
        <v>7</v>
      </c>
      <c r="AE5" s="112" t="s">
        <v>8</v>
      </c>
      <c r="AF5" s="112" t="s">
        <v>9</v>
      </c>
      <c r="AG5" s="112" t="s">
        <v>6</v>
      </c>
      <c r="AH5" s="113" t="s">
        <v>232</v>
      </c>
      <c r="AI5" s="112" t="s">
        <v>233</v>
      </c>
      <c r="AJ5" s="112" t="s">
        <v>10</v>
      </c>
      <c r="AK5" s="112" t="s">
        <v>234</v>
      </c>
      <c r="AL5" s="112" t="s">
        <v>11</v>
      </c>
      <c r="AM5" s="113" t="s">
        <v>235</v>
      </c>
      <c r="AN5" s="112" t="s">
        <v>236</v>
      </c>
      <c r="AO5" s="112" t="s">
        <v>237</v>
      </c>
      <c r="AP5" s="112" t="s">
        <v>238</v>
      </c>
      <c r="AQ5" s="112" t="s">
        <v>239</v>
      </c>
      <c r="AR5" s="113" t="s">
        <v>240</v>
      </c>
      <c r="AS5" s="112" t="s">
        <v>3</v>
      </c>
      <c r="AT5" s="112" t="s">
        <v>4</v>
      </c>
      <c r="AU5" s="112" t="s">
        <v>5</v>
      </c>
      <c r="AV5" s="112" t="s">
        <v>346</v>
      </c>
      <c r="AW5" s="113" t="s">
        <v>241</v>
      </c>
      <c r="AX5" s="112" t="s">
        <v>347</v>
      </c>
      <c r="AY5" s="112" t="s">
        <v>348</v>
      </c>
      <c r="AZ5" s="112" t="s">
        <v>349</v>
      </c>
      <c r="BA5" s="112" t="s">
        <v>350</v>
      </c>
      <c r="BB5" s="113" t="s">
        <v>242</v>
      </c>
      <c r="BC5" s="112" t="s">
        <v>351</v>
      </c>
      <c r="BD5" s="112" t="s">
        <v>352</v>
      </c>
      <c r="BE5" s="112" t="s">
        <v>327</v>
      </c>
      <c r="BF5" s="112" t="s">
        <v>15</v>
      </c>
      <c r="BG5" s="113" t="s">
        <v>306</v>
      </c>
      <c r="BH5" s="112" t="s">
        <v>305</v>
      </c>
      <c r="BI5" s="112" t="s">
        <v>78</v>
      </c>
      <c r="BJ5" s="112" t="s">
        <v>212</v>
      </c>
      <c r="BK5" s="112" t="s">
        <v>269</v>
      </c>
      <c r="BL5" s="113" t="s">
        <v>270</v>
      </c>
      <c r="BM5" s="112" t="s">
        <v>211</v>
      </c>
      <c r="BN5" s="112" t="s">
        <v>141</v>
      </c>
      <c r="BO5" s="112" t="s">
        <v>142</v>
      </c>
      <c r="BP5" s="112" t="s">
        <v>214</v>
      </c>
      <c r="BQ5" s="113" t="s">
        <v>55</v>
      </c>
      <c r="BR5" s="112" t="s">
        <v>175</v>
      </c>
      <c r="BS5" s="112" t="s">
        <v>250</v>
      </c>
      <c r="BT5" s="112" t="s">
        <v>128</v>
      </c>
      <c r="BU5" s="112" t="s">
        <v>12</v>
      </c>
      <c r="BV5" s="113" t="s">
        <v>13</v>
      </c>
      <c r="BW5" s="112" t="s">
        <v>60</v>
      </c>
      <c r="BX5" s="112" t="s">
        <v>172</v>
      </c>
      <c r="BY5" s="112" t="s">
        <v>283</v>
      </c>
      <c r="BZ5" s="112" t="s">
        <v>22</v>
      </c>
      <c r="CA5" s="113" t="s">
        <v>358</v>
      </c>
      <c r="CB5" s="112" t="s">
        <v>210</v>
      </c>
      <c r="CC5" s="112" t="s">
        <v>359</v>
      </c>
      <c r="CD5" s="112" t="s">
        <v>360</v>
      </c>
      <c r="CE5" s="112" t="s">
        <v>367</v>
      </c>
      <c r="CF5" s="113" t="s">
        <v>801</v>
      </c>
      <c r="CG5" s="112" t="s">
        <v>368</v>
      </c>
      <c r="CH5" s="112" t="s">
        <v>369</v>
      </c>
      <c r="CI5" s="112" t="s">
        <v>370</v>
      </c>
      <c r="CJ5" s="112" t="s">
        <v>371</v>
      </c>
      <c r="CK5" s="113" t="s">
        <v>382</v>
      </c>
      <c r="CL5" s="112" t="s">
        <v>372</v>
      </c>
      <c r="CM5" s="112" t="s">
        <v>373</v>
      </c>
      <c r="CN5" s="112" t="s">
        <v>375</v>
      </c>
      <c r="CO5" s="116" t="s">
        <v>380</v>
      </c>
      <c r="CP5" s="113" t="s">
        <v>381</v>
      </c>
      <c r="CQ5" s="112" t="s">
        <v>376</v>
      </c>
      <c r="CR5" s="112" t="s">
        <v>377</v>
      </c>
      <c r="CS5" s="112" t="s">
        <v>378</v>
      </c>
      <c r="CT5" s="116" t="s">
        <v>379</v>
      </c>
      <c r="CU5" s="113" t="s">
        <v>1137</v>
      </c>
      <c r="CV5" s="112" t="s">
        <v>1127</v>
      </c>
      <c r="CW5" s="112" t="s">
        <v>1128</v>
      </c>
      <c r="CX5" s="112" t="s">
        <v>1129</v>
      </c>
      <c r="CY5" s="112" t="s">
        <v>1130</v>
      </c>
      <c r="CZ5" s="113" t="s">
        <v>364</v>
      </c>
      <c r="DA5" s="113" t="s">
        <v>365</v>
      </c>
      <c r="DB5" s="113" t="s">
        <v>366</v>
      </c>
      <c r="DC5" s="113" t="s">
        <v>384</v>
      </c>
      <c r="DD5" s="2"/>
      <c r="DE5" s="2"/>
      <c r="DF5" s="108" t="str">
        <f>CT5</f>
        <v>4Q17</v>
      </c>
      <c r="DG5" s="108" t="s">
        <v>379</v>
      </c>
      <c r="DH5" s="108" t="str">
        <f>CO5</f>
        <v>4Q16</v>
      </c>
      <c r="DI5" s="108"/>
      <c r="DJ5" s="108"/>
      <c r="DK5" s="2"/>
      <c r="DL5" s="2"/>
      <c r="DM5" s="2"/>
    </row>
    <row r="6" spans="1:142">
      <c r="A6" s="1115">
        <f t="shared" ref="A6:A71" si="0">A5+1</f>
        <v>3</v>
      </c>
      <c r="B6" s="324"/>
      <c r="C6" s="199" t="s">
        <v>51</v>
      </c>
      <c r="D6" s="325"/>
      <c r="E6" s="113"/>
      <c r="F6" s="113"/>
      <c r="G6" s="113"/>
      <c r="H6" s="113"/>
      <c r="I6" s="113"/>
      <c r="J6" s="201">
        <v>36586</v>
      </c>
      <c r="K6" s="201">
        <f>EOMONTH(J6,3)</f>
        <v>36707</v>
      </c>
      <c r="L6" s="201">
        <f>EOMONTH(K6,3)</f>
        <v>36799</v>
      </c>
      <c r="M6" s="201">
        <f>EOMONTH(L6,3)</f>
        <v>36891</v>
      </c>
      <c r="N6" s="113"/>
      <c r="O6" s="201">
        <f>EOMONTH(M6,3)</f>
        <v>36981</v>
      </c>
      <c r="P6" s="201">
        <f>EOMONTH(O6,3)</f>
        <v>37072</v>
      </c>
      <c r="Q6" s="201">
        <f>EOMONTH(P6,3)</f>
        <v>37164</v>
      </c>
      <c r="R6" s="201">
        <f>EOMONTH(Q6,3)</f>
        <v>37256</v>
      </c>
      <c r="S6" s="113"/>
      <c r="T6" s="201">
        <f>EOMONTH(R6,3)</f>
        <v>37346</v>
      </c>
      <c r="U6" s="201">
        <f>EOMONTH(T6,3)</f>
        <v>37437</v>
      </c>
      <c r="V6" s="201">
        <f>EOMONTH(U6,3)</f>
        <v>37529</v>
      </c>
      <c r="W6" s="201">
        <f>EOMONTH(V6,3)</f>
        <v>37621</v>
      </c>
      <c r="X6" s="113"/>
      <c r="Y6" s="201">
        <f>EOMONTH(W6,3)</f>
        <v>37711</v>
      </c>
      <c r="Z6" s="201">
        <f>EOMONTH(Y6,3)</f>
        <v>37802</v>
      </c>
      <c r="AA6" s="201">
        <f>EOMONTH(Z6,3)</f>
        <v>37894</v>
      </c>
      <c r="AB6" s="201">
        <f>EOMONTH(AA6,3)</f>
        <v>37986</v>
      </c>
      <c r="AC6" s="113"/>
      <c r="AD6" s="201">
        <f>EOMONTH(AB6,3)</f>
        <v>38077</v>
      </c>
      <c r="AE6" s="201">
        <f>EOMONTH(AD6,3)</f>
        <v>38168</v>
      </c>
      <c r="AF6" s="201">
        <f>EOMONTH(AE6,3)</f>
        <v>38260</v>
      </c>
      <c r="AG6" s="201">
        <f>EOMONTH(AF6,3)</f>
        <v>38352</v>
      </c>
      <c r="AH6" s="113"/>
      <c r="AI6" s="201">
        <f>EOMONTH(AG6,3)</f>
        <v>38442</v>
      </c>
      <c r="AJ6" s="201">
        <f>EOMONTH(AI6,3)</f>
        <v>38533</v>
      </c>
      <c r="AK6" s="201">
        <f>EOMONTH(AJ6,3)</f>
        <v>38625</v>
      </c>
      <c r="AL6" s="201">
        <f>EOMONTH(AK6,3)</f>
        <v>38717</v>
      </c>
      <c r="AM6" s="113"/>
      <c r="AN6" s="201">
        <f>EOMONTH(AL6,3)</f>
        <v>38807</v>
      </c>
      <c r="AO6" s="201">
        <f>EOMONTH(AN6,3)</f>
        <v>38898</v>
      </c>
      <c r="AP6" s="201">
        <f>EOMONTH(AO6,3)</f>
        <v>38990</v>
      </c>
      <c r="AQ6" s="201">
        <f>EOMONTH(AP6,3)</f>
        <v>39082</v>
      </c>
      <c r="AR6" s="113"/>
      <c r="AS6" s="201">
        <f>EOMONTH(AQ6,3)</f>
        <v>39172</v>
      </c>
      <c r="AT6" s="201">
        <f>EOMONTH(AS6,3)</f>
        <v>39263</v>
      </c>
      <c r="AU6" s="201">
        <f>EOMONTH(AT6,3)</f>
        <v>39355</v>
      </c>
      <c r="AV6" s="201">
        <f>EOMONTH(AU6,3)</f>
        <v>39447</v>
      </c>
      <c r="AW6" s="113"/>
      <c r="AX6" s="201">
        <f>EOMONTH(AV6,3)</f>
        <v>39538</v>
      </c>
      <c r="AY6" s="201">
        <f>EOMONTH(AX6,3)</f>
        <v>39629</v>
      </c>
      <c r="AZ6" s="201">
        <f>EOMONTH(AY6,3)</f>
        <v>39721</v>
      </c>
      <c r="BA6" s="201">
        <f>EOMONTH(AZ6,3)</f>
        <v>39813</v>
      </c>
      <c r="BB6" s="113"/>
      <c r="BC6" s="201">
        <f>EOMONTH(BA6,3)</f>
        <v>39903</v>
      </c>
      <c r="BD6" s="201">
        <f>EOMONTH(BC6,3)</f>
        <v>39994</v>
      </c>
      <c r="BE6" s="201">
        <f>EOMONTH(BD6,3)</f>
        <v>40086</v>
      </c>
      <c r="BF6" s="201">
        <f>EOMONTH(BE6,3)</f>
        <v>40178</v>
      </c>
      <c r="BG6" s="113"/>
      <c r="BH6" s="201">
        <f>EOMONTH(BF6,3)</f>
        <v>40268</v>
      </c>
      <c r="BI6" s="201">
        <f>EOMONTH(BH6,3)</f>
        <v>40359</v>
      </c>
      <c r="BJ6" s="201">
        <f>EOMONTH(BI6,3)</f>
        <v>40451</v>
      </c>
      <c r="BK6" s="201">
        <f>EOMONTH(BJ6,3)</f>
        <v>40543</v>
      </c>
      <c r="BL6" s="113"/>
      <c r="BM6" s="201">
        <f>EOMONTH(BK6,3)</f>
        <v>40633</v>
      </c>
      <c r="BN6" s="201">
        <f>EOMONTH(BM6,3)</f>
        <v>40724</v>
      </c>
      <c r="BO6" s="201">
        <f>EOMONTH(BN6,3)</f>
        <v>40816</v>
      </c>
      <c r="BP6" s="201">
        <f>EOMONTH(BO6,3)</f>
        <v>40908</v>
      </c>
      <c r="BQ6" s="113"/>
      <c r="BR6" s="201">
        <f>EOMONTH(BP6,3)</f>
        <v>40999</v>
      </c>
      <c r="BS6" s="201">
        <f>EOMONTH(BR6,3)</f>
        <v>41090</v>
      </c>
      <c r="BT6" s="201">
        <f>EOMONTH(BS6,3)</f>
        <v>41182</v>
      </c>
      <c r="BU6" s="201">
        <f>EOMONTH(BT6,3)</f>
        <v>41274</v>
      </c>
      <c r="BV6" s="113"/>
      <c r="BW6" s="201">
        <f>EOMONTH(BU6,3)</f>
        <v>41364</v>
      </c>
      <c r="BX6" s="201">
        <f>EOMONTH(BW6,3)</f>
        <v>41455</v>
      </c>
      <c r="BY6" s="201">
        <f>EOMONTH(BX6,3)</f>
        <v>41547</v>
      </c>
      <c r="BZ6" s="201">
        <f>EOMONTH(BY6,3)</f>
        <v>41639</v>
      </c>
      <c r="CA6" s="113"/>
      <c r="CB6" s="201">
        <f>EOMONTH(BZ6,3)</f>
        <v>41729</v>
      </c>
      <c r="CC6" s="201">
        <f>EOMONTH(CB6,3)</f>
        <v>41820</v>
      </c>
      <c r="CD6" s="201">
        <f>EOMONTH(CC6,3)</f>
        <v>41912</v>
      </c>
      <c r="CE6" s="201">
        <f>EOMONTH(CD6,3)</f>
        <v>42004</v>
      </c>
      <c r="CF6" s="113"/>
      <c r="CG6" s="201">
        <f>EOMONTH(CE6,3)</f>
        <v>42094</v>
      </c>
      <c r="CH6" s="201">
        <f>EOMONTH(CG6,3)</f>
        <v>42185</v>
      </c>
      <c r="CI6" s="201">
        <f>EOMONTH(CH6,3)</f>
        <v>42277</v>
      </c>
      <c r="CJ6" s="201">
        <f>EOMONTH(CI6,3)</f>
        <v>42369</v>
      </c>
      <c r="CK6" s="113"/>
      <c r="CL6" s="201">
        <f>EOMONTH(CJ6,3)</f>
        <v>42460</v>
      </c>
      <c r="CM6" s="201">
        <f>EOMONTH(CL6,3)</f>
        <v>42551</v>
      </c>
      <c r="CN6" s="201">
        <f>EOMONTH(CM6,3)</f>
        <v>42643</v>
      </c>
      <c r="CO6" s="200">
        <f>EOMONTH(CN6,3)</f>
        <v>42735</v>
      </c>
      <c r="CP6" s="113"/>
      <c r="CQ6" s="201">
        <f>EOMONTH(CO6,3)</f>
        <v>42825</v>
      </c>
      <c r="CR6" s="201">
        <f>EOMONTH(CQ6,3)</f>
        <v>42916</v>
      </c>
      <c r="CS6" s="201">
        <f>EOMONTH(CR6,3)</f>
        <v>43008</v>
      </c>
      <c r="CT6" s="200">
        <f>EOMONTH(CS6,3)</f>
        <v>43100</v>
      </c>
      <c r="CU6" s="198"/>
      <c r="CV6" s="201">
        <f>EOMONTH(CT6,3)</f>
        <v>43190</v>
      </c>
      <c r="CW6" s="201">
        <f>EOMONTH(CV6,3)</f>
        <v>43281</v>
      </c>
      <c r="CX6" s="201">
        <f>EOMONTH(CW6,3)</f>
        <v>43373</v>
      </c>
      <c r="CY6" s="201">
        <f>EOMONTH(CX6,3)</f>
        <v>43465</v>
      </c>
      <c r="CZ6" s="198"/>
      <c r="DA6" s="198"/>
      <c r="DB6" s="198"/>
      <c r="DC6" s="198"/>
      <c r="DD6" s="2"/>
      <c r="DE6" s="2"/>
      <c r="DF6" s="110">
        <f>CT6</f>
        <v>43100</v>
      </c>
      <c r="DG6" s="110">
        <v>43100</v>
      </c>
      <c r="DH6" s="110">
        <f>CO6</f>
        <v>42735</v>
      </c>
      <c r="DI6" s="110"/>
      <c r="DJ6" s="110"/>
      <c r="DK6" s="2"/>
      <c r="DL6" s="2"/>
      <c r="DM6" s="2"/>
    </row>
    <row r="7" spans="1:142">
      <c r="A7" s="1115">
        <f t="shared" si="0"/>
        <v>4</v>
      </c>
      <c r="B7" s="324"/>
      <c r="C7" s="199" t="s">
        <v>52</v>
      </c>
      <c r="D7" s="325"/>
      <c r="E7" s="113"/>
      <c r="F7" s="113"/>
      <c r="G7" s="113"/>
      <c r="H7" s="113"/>
      <c r="I7" s="113"/>
      <c r="J7" s="203">
        <f>J6-EOMONTH(J6,-3)</f>
        <v>61</v>
      </c>
      <c r="K7" s="203">
        <f>K6-EOMONTH(K6,-3)</f>
        <v>91</v>
      </c>
      <c r="L7" s="203">
        <f>L6-EOMONTH(L6,-3)</f>
        <v>92</v>
      </c>
      <c r="M7" s="203">
        <f>M6-EOMONTH(M6,-3)</f>
        <v>92</v>
      </c>
      <c r="N7" s="113"/>
      <c r="O7" s="203">
        <f>O6-EOMONTH(O6,-3)</f>
        <v>90</v>
      </c>
      <c r="P7" s="203">
        <f>P6-EOMONTH(P6,-3)</f>
        <v>91</v>
      </c>
      <c r="Q7" s="203">
        <f>Q6-EOMONTH(Q6,-3)</f>
        <v>92</v>
      </c>
      <c r="R7" s="203">
        <f>R6-EOMONTH(R6,-3)</f>
        <v>92</v>
      </c>
      <c r="S7" s="113"/>
      <c r="T7" s="203">
        <f>T6-EOMONTH(T6,-3)</f>
        <v>90</v>
      </c>
      <c r="U7" s="203">
        <f>U6-EOMONTH(U6,-3)</f>
        <v>91</v>
      </c>
      <c r="V7" s="203">
        <f>V6-EOMONTH(V6,-3)</f>
        <v>92</v>
      </c>
      <c r="W7" s="203">
        <f>W6-EOMONTH(W6,-3)</f>
        <v>92</v>
      </c>
      <c r="X7" s="113"/>
      <c r="Y7" s="203">
        <f>Y6-EOMONTH(Y6,-3)</f>
        <v>90</v>
      </c>
      <c r="Z7" s="203">
        <f>Z6-EOMONTH(Z6,-3)</f>
        <v>91</v>
      </c>
      <c r="AA7" s="203">
        <f>AA6-EOMONTH(AA6,-3)</f>
        <v>92</v>
      </c>
      <c r="AB7" s="203">
        <f>AB6-EOMONTH(AB6,-3)</f>
        <v>92</v>
      </c>
      <c r="AC7" s="113"/>
      <c r="AD7" s="203">
        <f>AD6-EOMONTH(AD6,-3)</f>
        <v>91</v>
      </c>
      <c r="AE7" s="203">
        <f>AE6-EOMONTH(AE6,-3)</f>
        <v>91</v>
      </c>
      <c r="AF7" s="203">
        <f>AF6-EOMONTH(AF6,-3)</f>
        <v>92</v>
      </c>
      <c r="AG7" s="203">
        <f>AG6-EOMONTH(AG6,-3)</f>
        <v>92</v>
      </c>
      <c r="AH7" s="113"/>
      <c r="AI7" s="203">
        <f>AI6-EOMONTH(AI6,-3)</f>
        <v>90</v>
      </c>
      <c r="AJ7" s="203">
        <f>AJ6-EOMONTH(AJ6,-3)</f>
        <v>91</v>
      </c>
      <c r="AK7" s="203">
        <f>AK6-EOMONTH(AK6,-3)</f>
        <v>92</v>
      </c>
      <c r="AL7" s="203">
        <f>AL6-EOMONTH(AL6,-3)</f>
        <v>92</v>
      </c>
      <c r="AM7" s="113"/>
      <c r="AN7" s="203">
        <f>AN6-EOMONTH(AN6,-3)</f>
        <v>90</v>
      </c>
      <c r="AO7" s="203">
        <f>AO6-EOMONTH(AO6,-3)</f>
        <v>91</v>
      </c>
      <c r="AP7" s="203">
        <f>AP6-EOMONTH(AP6,-3)</f>
        <v>92</v>
      </c>
      <c r="AQ7" s="203">
        <f>AQ6-EOMONTH(AQ6,-3)</f>
        <v>92</v>
      </c>
      <c r="AR7" s="113"/>
      <c r="AS7" s="203">
        <f>AS6-EOMONTH(AS6,-3)</f>
        <v>90</v>
      </c>
      <c r="AT7" s="203">
        <f>AT6-EOMONTH(AT6,-3)</f>
        <v>91</v>
      </c>
      <c r="AU7" s="203">
        <f>AU6-EOMONTH(AU6,-3)</f>
        <v>92</v>
      </c>
      <c r="AV7" s="203">
        <f>AV6-EOMONTH(AV6,-3)</f>
        <v>92</v>
      </c>
      <c r="AW7" s="113"/>
      <c r="AX7" s="203">
        <f>AX6-EOMONTH(AX6,-3)</f>
        <v>91</v>
      </c>
      <c r="AY7" s="203">
        <f>AY6-EOMONTH(AY6,-3)</f>
        <v>91</v>
      </c>
      <c r="AZ7" s="203">
        <f>AZ6-EOMONTH(AZ6,-3)</f>
        <v>92</v>
      </c>
      <c r="BA7" s="203">
        <f>BA6-EOMONTH(BA6,-3)</f>
        <v>92</v>
      </c>
      <c r="BB7" s="113"/>
      <c r="BC7" s="203">
        <f>BC6-EOMONTH(BC6,-3)</f>
        <v>90</v>
      </c>
      <c r="BD7" s="203">
        <f>BD6-EOMONTH(BD6,-3)</f>
        <v>91</v>
      </c>
      <c r="BE7" s="203">
        <f>BE6-EOMONTH(BE6,-3)</f>
        <v>92</v>
      </c>
      <c r="BF7" s="203">
        <f>BF6-EOMONTH(BF6,-3)</f>
        <v>92</v>
      </c>
      <c r="BG7" s="113"/>
      <c r="BH7" s="203">
        <f>BH6-EOMONTH(BH6,-3)</f>
        <v>90</v>
      </c>
      <c r="BI7" s="203">
        <f>BI6-EOMONTH(BI6,-3)</f>
        <v>91</v>
      </c>
      <c r="BJ7" s="203">
        <f>BJ6-EOMONTH(BJ6,-3)</f>
        <v>92</v>
      </c>
      <c r="BK7" s="203">
        <f>BK6-EOMONTH(BK6,-3)</f>
        <v>92</v>
      </c>
      <c r="BL7" s="113"/>
      <c r="BM7" s="203">
        <f>BM6-EOMONTH(BM6,-3)</f>
        <v>90</v>
      </c>
      <c r="BN7" s="203">
        <f>BN6-EOMONTH(BN6,-3)</f>
        <v>91</v>
      </c>
      <c r="BO7" s="203">
        <f>BO6-EOMONTH(BO6,-3)</f>
        <v>92</v>
      </c>
      <c r="BP7" s="203">
        <f>BP6-EOMONTH(BP6,-3)</f>
        <v>92</v>
      </c>
      <c r="BQ7" s="113"/>
      <c r="BR7" s="203">
        <f>BR6-EOMONTH(BR6,-3)</f>
        <v>91</v>
      </c>
      <c r="BS7" s="203">
        <f>BS6-EOMONTH(BS6,-3)</f>
        <v>91</v>
      </c>
      <c r="BT7" s="203">
        <f>BT6-EOMONTH(BT6,-3)</f>
        <v>92</v>
      </c>
      <c r="BU7" s="203">
        <f>BU6-EOMONTH(BU6,-3)</f>
        <v>92</v>
      </c>
      <c r="BV7" s="113"/>
      <c r="BW7" s="203">
        <f>BW6-EOMONTH(BW6,-3)</f>
        <v>90</v>
      </c>
      <c r="BX7" s="203">
        <f>BX6-EOMONTH(BX6,-3)</f>
        <v>91</v>
      </c>
      <c r="BY7" s="203">
        <f>BY6-EOMONTH(BY6,-3)</f>
        <v>92</v>
      </c>
      <c r="BZ7" s="203">
        <f>BZ6-EOMONTH(BZ6,-3)</f>
        <v>92</v>
      </c>
      <c r="CA7" s="113"/>
      <c r="CB7" s="203">
        <f>CB6-EOMONTH(CB6,-3)</f>
        <v>90</v>
      </c>
      <c r="CC7" s="203">
        <f>CC6-EOMONTH(CC6,-3)</f>
        <v>91</v>
      </c>
      <c r="CD7" s="203">
        <f>CD6-EOMONTH(CD6,-3)</f>
        <v>92</v>
      </c>
      <c r="CE7" s="203">
        <f>CE6-EOMONTH(CE6,-3)</f>
        <v>92</v>
      </c>
      <c r="CF7" s="113"/>
      <c r="CG7" s="203">
        <f>CG6-EOMONTH(CG6,-3)</f>
        <v>90</v>
      </c>
      <c r="CH7" s="203">
        <f>CH6-EOMONTH(CH6,-3)</f>
        <v>91</v>
      </c>
      <c r="CI7" s="203">
        <f>CI6-EOMONTH(CI6,-3)</f>
        <v>92</v>
      </c>
      <c r="CJ7" s="203">
        <f>CJ6-EOMONTH(CJ6,-3)</f>
        <v>92</v>
      </c>
      <c r="CK7" s="113"/>
      <c r="CL7" s="203">
        <f>CL6-EOMONTH(CL6,-3)</f>
        <v>91</v>
      </c>
      <c r="CM7" s="203">
        <f>CM6-EOMONTH(CM6,-3)</f>
        <v>91</v>
      </c>
      <c r="CN7" s="203">
        <f>CN6-EOMONTH(CN6,-3)</f>
        <v>92</v>
      </c>
      <c r="CO7" s="202">
        <f>CO6-EOMONTH(CO6,-3)</f>
        <v>92</v>
      </c>
      <c r="CP7" s="113"/>
      <c r="CQ7" s="203">
        <f>CQ6-EOMONTH(CQ6,-3)</f>
        <v>90</v>
      </c>
      <c r="CR7" s="203">
        <f>CR6-EOMONTH(CR6,-3)</f>
        <v>91</v>
      </c>
      <c r="CS7" s="203">
        <f>CS6-EOMONTH(CS6,-3)</f>
        <v>92</v>
      </c>
      <c r="CT7" s="202">
        <f>CT6-EOMONTH(CT6,-3)</f>
        <v>92</v>
      </c>
      <c r="CU7" s="198"/>
      <c r="CV7" s="203">
        <f>CV6-EOMONTH(CV6,-3)</f>
        <v>90</v>
      </c>
      <c r="CW7" s="203">
        <f>CW6-EOMONTH(CW6,-3)</f>
        <v>91</v>
      </c>
      <c r="CX7" s="203">
        <f>CX6-EOMONTH(CX6,-3)</f>
        <v>92</v>
      </c>
      <c r="CY7" s="203">
        <f>CY6-EOMONTH(CY6,-3)</f>
        <v>92</v>
      </c>
      <c r="CZ7" s="198"/>
      <c r="DA7" s="198"/>
      <c r="DB7" s="198"/>
      <c r="DC7" s="198"/>
      <c r="DD7" s="2"/>
      <c r="DE7" s="2"/>
      <c r="DF7" s="109"/>
      <c r="DG7" s="109"/>
      <c r="DH7" s="109"/>
      <c r="DI7" s="109"/>
      <c r="DJ7" s="109"/>
      <c r="DK7" s="2"/>
      <c r="DL7" s="2"/>
      <c r="DM7" s="2"/>
    </row>
    <row r="8" spans="1:142">
      <c r="A8" s="1109">
        <f t="shared" si="0"/>
        <v>5</v>
      </c>
      <c r="B8" s="10"/>
      <c r="C8" s="2"/>
      <c r="D8" s="2"/>
      <c r="E8" s="57"/>
      <c r="F8" s="57"/>
      <c r="G8" s="57"/>
      <c r="H8" s="57"/>
      <c r="I8" s="57"/>
      <c r="J8" s="2"/>
      <c r="K8" s="2"/>
      <c r="L8" s="2"/>
      <c r="M8" s="2"/>
      <c r="N8" s="57"/>
      <c r="O8" s="2"/>
      <c r="P8" s="2"/>
      <c r="Q8" s="2"/>
      <c r="R8" s="2"/>
      <c r="S8" s="57"/>
      <c r="T8" s="11"/>
      <c r="U8" s="11"/>
      <c r="V8" s="11"/>
      <c r="W8" s="11"/>
      <c r="X8" s="57"/>
      <c r="Y8" s="11"/>
      <c r="Z8" s="11"/>
      <c r="AA8" s="11"/>
      <c r="AB8" s="11"/>
      <c r="AC8" s="57"/>
      <c r="AD8" s="11"/>
      <c r="AE8" s="11"/>
      <c r="AF8" s="11"/>
      <c r="AG8" s="11"/>
      <c r="AH8" s="57"/>
      <c r="AI8" s="11"/>
      <c r="AJ8" s="11"/>
      <c r="AK8" s="11"/>
      <c r="AL8" s="11"/>
      <c r="AM8" s="57"/>
      <c r="AN8" s="11"/>
      <c r="AO8" s="11"/>
      <c r="AP8" s="11"/>
      <c r="AQ8" s="11"/>
      <c r="AR8" s="57"/>
      <c r="AS8" s="11"/>
      <c r="AT8" s="11"/>
      <c r="AU8" s="11"/>
      <c r="AV8" s="11"/>
      <c r="AW8" s="57"/>
      <c r="AX8" s="11"/>
      <c r="AY8" s="11"/>
      <c r="AZ8" s="11"/>
      <c r="BA8" s="11"/>
      <c r="BB8" s="57"/>
      <c r="BC8" s="11"/>
      <c r="BD8" s="11"/>
      <c r="BE8" s="11"/>
      <c r="BF8" s="11"/>
      <c r="BG8" s="57"/>
      <c r="BH8" s="11"/>
      <c r="BI8" s="11"/>
      <c r="BJ8" s="11"/>
      <c r="BK8" s="11"/>
      <c r="BL8" s="57"/>
      <c r="BM8" s="11"/>
      <c r="BN8" s="11"/>
      <c r="BO8" s="11"/>
      <c r="BP8" s="11"/>
      <c r="BQ8" s="57"/>
      <c r="BR8" s="11"/>
      <c r="BS8" s="11"/>
      <c r="BT8" s="11"/>
      <c r="BU8" s="11"/>
      <c r="BV8" s="57"/>
      <c r="BW8" s="11"/>
      <c r="BX8" s="11"/>
      <c r="BY8" s="11"/>
      <c r="BZ8" s="11"/>
      <c r="CA8" s="57"/>
      <c r="CB8" s="11"/>
      <c r="CC8" s="11"/>
      <c r="CD8" s="11"/>
      <c r="CE8" s="11"/>
      <c r="CF8" s="57"/>
      <c r="CG8" s="11"/>
      <c r="CH8" s="11"/>
      <c r="CI8" s="11"/>
      <c r="CJ8" s="11"/>
      <c r="CK8" s="57"/>
      <c r="CL8" s="11"/>
      <c r="CM8" s="11"/>
      <c r="CN8" s="11"/>
      <c r="CO8" s="11"/>
      <c r="CP8" s="57"/>
      <c r="CQ8" s="11"/>
      <c r="CR8" s="11"/>
      <c r="CS8" s="11"/>
      <c r="CT8" s="11"/>
      <c r="CU8" s="62"/>
      <c r="CV8" s="11"/>
      <c r="CW8" s="11"/>
      <c r="CX8" s="11"/>
      <c r="CY8" s="11"/>
      <c r="CZ8" s="62"/>
      <c r="DA8" s="62"/>
      <c r="DB8" s="62"/>
      <c r="DC8" s="62"/>
      <c r="DD8" s="2"/>
      <c r="DE8" s="2"/>
      <c r="DF8" s="57"/>
      <c r="DG8" s="57"/>
      <c r="DH8" s="57"/>
      <c r="DI8" s="437"/>
      <c r="DJ8" s="437"/>
      <c r="DK8" s="2"/>
      <c r="DL8" s="2"/>
      <c r="DM8" s="2"/>
    </row>
    <row r="9" spans="1:142" ht="15" customHeight="1">
      <c r="A9" s="1110">
        <f t="shared" si="0"/>
        <v>6</v>
      </c>
      <c r="B9" s="47" t="s">
        <v>39</v>
      </c>
      <c r="C9" s="47"/>
      <c r="D9" s="47"/>
      <c r="E9" s="58" t="str">
        <f t="shared" ref="E9:AJ9" si="1">E5</f>
        <v>FY 1995</v>
      </c>
      <c r="F9" s="58" t="str">
        <f t="shared" si="1"/>
        <v>FY 1996</v>
      </c>
      <c r="G9" s="58" t="str">
        <f t="shared" si="1"/>
        <v>FY 1997</v>
      </c>
      <c r="H9" s="58" t="str">
        <f t="shared" si="1"/>
        <v>FY 1998</v>
      </c>
      <c r="I9" s="58" t="str">
        <f t="shared" si="1"/>
        <v>FY 1999</v>
      </c>
      <c r="J9" s="48" t="str">
        <f t="shared" si="1"/>
        <v>1Q00</v>
      </c>
      <c r="K9" s="48" t="str">
        <f t="shared" si="1"/>
        <v>2Q00</v>
      </c>
      <c r="L9" s="48" t="str">
        <f t="shared" si="1"/>
        <v>3Q00</v>
      </c>
      <c r="M9" s="48" t="str">
        <f t="shared" si="1"/>
        <v>4Q00</v>
      </c>
      <c r="N9" s="58" t="str">
        <f t="shared" si="1"/>
        <v>FY 2000</v>
      </c>
      <c r="O9" s="48" t="str">
        <f t="shared" si="1"/>
        <v>1Q01</v>
      </c>
      <c r="P9" s="48" t="str">
        <f t="shared" si="1"/>
        <v>2Q01</v>
      </c>
      <c r="Q9" s="48" t="str">
        <f t="shared" si="1"/>
        <v>3Q01</v>
      </c>
      <c r="R9" s="48" t="str">
        <f t="shared" si="1"/>
        <v>4Q01</v>
      </c>
      <c r="S9" s="58" t="str">
        <f t="shared" si="1"/>
        <v>FY 2001</v>
      </c>
      <c r="T9" s="48" t="str">
        <f t="shared" si="1"/>
        <v>1Q02</v>
      </c>
      <c r="U9" s="48" t="str">
        <f t="shared" si="1"/>
        <v>2Q02</v>
      </c>
      <c r="V9" s="48" t="str">
        <f t="shared" si="1"/>
        <v>3Q02</v>
      </c>
      <c r="W9" s="48" t="str">
        <f t="shared" si="1"/>
        <v>4Q02</v>
      </c>
      <c r="X9" s="58" t="str">
        <f t="shared" si="1"/>
        <v>FY 2002</v>
      </c>
      <c r="Y9" s="48" t="str">
        <f t="shared" si="1"/>
        <v>1Q03</v>
      </c>
      <c r="Z9" s="48" t="str">
        <f t="shared" si="1"/>
        <v>2Q03</v>
      </c>
      <c r="AA9" s="48" t="str">
        <f t="shared" si="1"/>
        <v>3Q03</v>
      </c>
      <c r="AB9" s="48" t="str">
        <f t="shared" si="1"/>
        <v>4Q03</v>
      </c>
      <c r="AC9" s="58" t="str">
        <f t="shared" si="1"/>
        <v>FY 2003</v>
      </c>
      <c r="AD9" s="48" t="str">
        <f t="shared" si="1"/>
        <v>1Q04</v>
      </c>
      <c r="AE9" s="48" t="str">
        <f t="shared" si="1"/>
        <v>2Q04</v>
      </c>
      <c r="AF9" s="48" t="str">
        <f t="shared" si="1"/>
        <v>3Q04</v>
      </c>
      <c r="AG9" s="48" t="str">
        <f t="shared" si="1"/>
        <v>4Q04</v>
      </c>
      <c r="AH9" s="58" t="str">
        <f t="shared" si="1"/>
        <v>FY 2004</v>
      </c>
      <c r="AI9" s="48" t="str">
        <f t="shared" si="1"/>
        <v>1Q05</v>
      </c>
      <c r="AJ9" s="48" t="str">
        <f t="shared" si="1"/>
        <v>2Q05</v>
      </c>
      <c r="AK9" s="48" t="str">
        <f t="shared" ref="AK9:BP9" si="2">AK5</f>
        <v>3Q05</v>
      </c>
      <c r="AL9" s="48" t="str">
        <f t="shared" si="2"/>
        <v>4Q05</v>
      </c>
      <c r="AM9" s="58" t="str">
        <f t="shared" si="2"/>
        <v>FY 2005</v>
      </c>
      <c r="AN9" s="48" t="str">
        <f t="shared" si="2"/>
        <v>1Q06</v>
      </c>
      <c r="AO9" s="48" t="str">
        <f t="shared" si="2"/>
        <v>2Q06</v>
      </c>
      <c r="AP9" s="48" t="str">
        <f t="shared" si="2"/>
        <v>3Q06</v>
      </c>
      <c r="AQ9" s="48" t="str">
        <f t="shared" si="2"/>
        <v>4Q06</v>
      </c>
      <c r="AR9" s="58" t="str">
        <f t="shared" si="2"/>
        <v>FY 2006</v>
      </c>
      <c r="AS9" s="48" t="str">
        <f t="shared" si="2"/>
        <v>1Q07</v>
      </c>
      <c r="AT9" s="48" t="str">
        <f t="shared" si="2"/>
        <v>2Q07</v>
      </c>
      <c r="AU9" s="48" t="str">
        <f t="shared" si="2"/>
        <v>3Q07</v>
      </c>
      <c r="AV9" s="48" t="str">
        <f t="shared" si="2"/>
        <v>4Q07</v>
      </c>
      <c r="AW9" s="58" t="str">
        <f t="shared" si="2"/>
        <v>FY 2007</v>
      </c>
      <c r="AX9" s="48" t="str">
        <f t="shared" si="2"/>
        <v>1Q08</v>
      </c>
      <c r="AY9" s="48" t="str">
        <f t="shared" si="2"/>
        <v>2Q08</v>
      </c>
      <c r="AZ9" s="48" t="str">
        <f t="shared" si="2"/>
        <v>3Q08</v>
      </c>
      <c r="BA9" s="48" t="str">
        <f t="shared" si="2"/>
        <v>4Q08</v>
      </c>
      <c r="BB9" s="58" t="str">
        <f t="shared" si="2"/>
        <v>FY 2008</v>
      </c>
      <c r="BC9" s="48" t="str">
        <f t="shared" si="2"/>
        <v>1Q09</v>
      </c>
      <c r="BD9" s="48" t="str">
        <f t="shared" si="2"/>
        <v>2Q09</v>
      </c>
      <c r="BE9" s="48" t="str">
        <f t="shared" si="2"/>
        <v>3Q09</v>
      </c>
      <c r="BF9" s="48" t="str">
        <f t="shared" si="2"/>
        <v>4Q09</v>
      </c>
      <c r="BG9" s="58" t="str">
        <f t="shared" si="2"/>
        <v>FY 2009</v>
      </c>
      <c r="BH9" s="48" t="str">
        <f t="shared" si="2"/>
        <v>1Q10</v>
      </c>
      <c r="BI9" s="48" t="str">
        <f t="shared" si="2"/>
        <v>2Q10</v>
      </c>
      <c r="BJ9" s="48" t="str">
        <f t="shared" si="2"/>
        <v>3Q10</v>
      </c>
      <c r="BK9" s="48" t="str">
        <f t="shared" si="2"/>
        <v>4Q10</v>
      </c>
      <c r="BL9" s="58" t="str">
        <f t="shared" si="2"/>
        <v>FY 2010</v>
      </c>
      <c r="BM9" s="48" t="str">
        <f t="shared" si="2"/>
        <v>1Q11</v>
      </c>
      <c r="BN9" s="48" t="str">
        <f t="shared" si="2"/>
        <v>2Q11</v>
      </c>
      <c r="BO9" s="48" t="str">
        <f t="shared" si="2"/>
        <v>3Q11</v>
      </c>
      <c r="BP9" s="48" t="str">
        <f t="shared" si="2"/>
        <v>4Q11</v>
      </c>
      <c r="BQ9" s="58" t="str">
        <f t="shared" ref="BQ9:CZ9" si="3">BQ5</f>
        <v>FY 2011</v>
      </c>
      <c r="BR9" s="48" t="str">
        <f t="shared" si="3"/>
        <v>1Q12</v>
      </c>
      <c r="BS9" s="48" t="str">
        <f t="shared" si="3"/>
        <v>2Q12</v>
      </c>
      <c r="BT9" s="48" t="str">
        <f t="shared" si="3"/>
        <v>3Q12</v>
      </c>
      <c r="BU9" s="48" t="str">
        <f t="shared" si="3"/>
        <v>4Q12</v>
      </c>
      <c r="BV9" s="58" t="str">
        <f t="shared" si="3"/>
        <v>FY 2012</v>
      </c>
      <c r="BW9" s="48" t="str">
        <f t="shared" si="3"/>
        <v>1Q13</v>
      </c>
      <c r="BX9" s="48" t="str">
        <f t="shared" si="3"/>
        <v>2Q13</v>
      </c>
      <c r="BY9" s="48" t="str">
        <f t="shared" si="3"/>
        <v>3Q13</v>
      </c>
      <c r="BZ9" s="48" t="str">
        <f t="shared" si="3"/>
        <v>4Q13</v>
      </c>
      <c r="CA9" s="58" t="str">
        <f t="shared" si="3"/>
        <v>FY 2013</v>
      </c>
      <c r="CB9" s="48" t="str">
        <f t="shared" si="3"/>
        <v>1Q14</v>
      </c>
      <c r="CC9" s="48" t="str">
        <f t="shared" si="3"/>
        <v>2Q14</v>
      </c>
      <c r="CD9" s="48" t="str">
        <f t="shared" si="3"/>
        <v>3Q14</v>
      </c>
      <c r="CE9" s="48" t="str">
        <f t="shared" si="3"/>
        <v>4Q14</v>
      </c>
      <c r="CF9" s="58" t="str">
        <f t="shared" si="3"/>
        <v>FY 2014</v>
      </c>
      <c r="CG9" s="48" t="str">
        <f t="shared" si="3"/>
        <v>1Q15</v>
      </c>
      <c r="CH9" s="48" t="str">
        <f t="shared" si="3"/>
        <v>2Q15</v>
      </c>
      <c r="CI9" s="48" t="str">
        <f t="shared" si="3"/>
        <v>3Q15</v>
      </c>
      <c r="CJ9" s="48" t="str">
        <f t="shared" si="3"/>
        <v>4Q15</v>
      </c>
      <c r="CK9" s="58" t="str">
        <f t="shared" si="3"/>
        <v>FY 2015</v>
      </c>
      <c r="CL9" s="48" t="str">
        <f t="shared" si="3"/>
        <v>1Q16</v>
      </c>
      <c r="CM9" s="48" t="str">
        <f t="shared" si="3"/>
        <v>2Q16</v>
      </c>
      <c r="CN9" s="48" t="str">
        <f t="shared" si="3"/>
        <v>3Q16</v>
      </c>
      <c r="CO9" s="48" t="str">
        <f t="shared" si="3"/>
        <v>4Q16</v>
      </c>
      <c r="CP9" s="58" t="str">
        <f t="shared" si="3"/>
        <v>FY 2016</v>
      </c>
      <c r="CQ9" s="48" t="str">
        <f t="shared" si="3"/>
        <v>1Q17</v>
      </c>
      <c r="CR9" s="48" t="str">
        <f t="shared" si="3"/>
        <v>2Q17</v>
      </c>
      <c r="CS9" s="48" t="str">
        <f t="shared" si="3"/>
        <v>3Q17</v>
      </c>
      <c r="CT9" s="48" t="str">
        <f t="shared" si="3"/>
        <v>4Q17</v>
      </c>
      <c r="CU9" s="58" t="str">
        <f t="shared" si="3"/>
        <v>FY 2017</v>
      </c>
      <c r="CV9" s="48" t="str">
        <f t="shared" si="3"/>
        <v>1Q18E</v>
      </c>
      <c r="CW9" s="48" t="str">
        <f t="shared" si="3"/>
        <v>2Q18E</v>
      </c>
      <c r="CX9" s="48" t="str">
        <f t="shared" si="3"/>
        <v>3Q18E</v>
      </c>
      <c r="CY9" s="48" t="str">
        <f t="shared" si="3"/>
        <v>4Q18E</v>
      </c>
      <c r="CZ9" s="58" t="str">
        <f t="shared" si="3"/>
        <v>FY 2018E</v>
      </c>
      <c r="DA9" s="58" t="str">
        <f>DA5</f>
        <v>FY 2019E</v>
      </c>
      <c r="DB9" s="58" t="str">
        <f>DB5</f>
        <v>FY 2020E</v>
      </c>
      <c r="DC9" s="58" t="str">
        <f>DC5</f>
        <v>FY 2021E</v>
      </c>
      <c r="DD9" s="12"/>
      <c r="DE9" s="12"/>
      <c r="DF9" s="58"/>
      <c r="DG9" s="58"/>
      <c r="DH9" s="58"/>
      <c r="DI9" s="438"/>
      <c r="DJ9" s="438"/>
      <c r="DK9" s="12"/>
      <c r="DL9" s="12"/>
      <c r="DM9" s="12"/>
      <c r="DT9" s="838"/>
      <c r="DU9" s="12"/>
      <c r="DV9" s="12"/>
      <c r="DW9" s="12"/>
      <c r="DX9" s="12"/>
      <c r="DY9" s="12"/>
      <c r="DZ9" s="12"/>
      <c r="EA9" s="12"/>
      <c r="EB9" s="12"/>
      <c r="EC9" s="2"/>
      <c r="ED9" s="2"/>
      <c r="EE9" s="448"/>
      <c r="EF9" s="448"/>
      <c r="EG9" s="448"/>
      <c r="EH9" s="166"/>
      <c r="EI9" s="166"/>
      <c r="EJ9" s="2"/>
      <c r="EK9" s="2"/>
      <c r="EL9" s="2"/>
    </row>
    <row r="10" spans="1:142" ht="12" customHeight="1">
      <c r="A10" s="1109">
        <f t="shared" si="0"/>
        <v>7</v>
      </c>
      <c r="B10" s="10"/>
      <c r="C10" s="5"/>
      <c r="D10" s="5"/>
      <c r="E10" s="62"/>
      <c r="F10" s="62"/>
      <c r="G10" s="62"/>
      <c r="H10" s="62"/>
      <c r="I10" s="59"/>
      <c r="J10" s="2"/>
      <c r="K10" s="2"/>
      <c r="L10" s="2"/>
      <c r="M10" s="2"/>
      <c r="N10" s="59"/>
      <c r="O10" s="2"/>
      <c r="P10" s="2"/>
      <c r="Q10" s="2"/>
      <c r="R10" s="2"/>
      <c r="S10" s="59"/>
      <c r="T10" s="2"/>
      <c r="U10" s="2"/>
      <c r="V10" s="2"/>
      <c r="W10" s="2"/>
      <c r="X10" s="59"/>
      <c r="Y10" s="2"/>
      <c r="Z10" s="2"/>
      <c r="AA10" s="2"/>
      <c r="AB10" s="2"/>
      <c r="AC10" s="59"/>
      <c r="AD10" s="5"/>
      <c r="AE10" s="5"/>
      <c r="AF10" s="5"/>
      <c r="AG10" s="5"/>
      <c r="AH10" s="59"/>
      <c r="AI10" s="5"/>
      <c r="AJ10" s="5"/>
      <c r="AK10" s="5"/>
      <c r="AL10" s="5"/>
      <c r="AM10" s="59"/>
      <c r="AN10" s="5"/>
      <c r="AO10" s="5"/>
      <c r="AP10" s="5"/>
      <c r="AQ10" s="5"/>
      <c r="AR10" s="59"/>
      <c r="AS10" s="12"/>
      <c r="AT10" s="12"/>
      <c r="AU10" s="12"/>
      <c r="AV10" s="12"/>
      <c r="AW10" s="59"/>
      <c r="AX10" s="12"/>
      <c r="AY10" s="12"/>
      <c r="AZ10" s="12"/>
      <c r="BA10" s="12"/>
      <c r="BB10" s="59"/>
      <c r="BC10" s="12"/>
      <c r="BD10" s="12"/>
      <c r="BE10" s="12"/>
      <c r="BF10" s="12"/>
      <c r="BG10" s="59"/>
      <c r="BH10" s="12"/>
      <c r="BI10" s="12"/>
      <c r="BJ10" s="12"/>
      <c r="BK10" s="12"/>
      <c r="BL10" s="59"/>
      <c r="BM10" s="12"/>
      <c r="BN10" s="12"/>
      <c r="BO10" s="12"/>
      <c r="BP10" s="12"/>
      <c r="BQ10" s="59"/>
      <c r="BR10" s="12"/>
      <c r="BS10" s="12"/>
      <c r="BT10" s="12"/>
      <c r="BU10" s="12"/>
      <c r="BV10" s="59"/>
      <c r="BW10" s="14"/>
      <c r="BX10" s="14"/>
      <c r="BY10" s="14"/>
      <c r="BZ10" s="14"/>
      <c r="CA10" s="59"/>
      <c r="CB10" s="14"/>
      <c r="CC10" s="14"/>
      <c r="CD10" s="14"/>
      <c r="CE10" s="14"/>
      <c r="CF10" s="59"/>
      <c r="CG10" s="14"/>
      <c r="CH10" s="14"/>
      <c r="CI10" s="14"/>
      <c r="CJ10" s="14"/>
      <c r="CK10" s="59"/>
      <c r="CL10" s="14"/>
      <c r="CM10" s="14"/>
      <c r="CN10" s="14"/>
      <c r="CO10" s="14"/>
      <c r="CP10" s="59"/>
      <c r="CQ10" s="14"/>
      <c r="CR10" s="14"/>
      <c r="CS10" s="14"/>
      <c r="CT10" s="14"/>
      <c r="CU10" s="310"/>
      <c r="CV10" s="14"/>
      <c r="CW10" s="14"/>
      <c r="CX10" s="14"/>
      <c r="CY10" s="14"/>
      <c r="CZ10" s="303"/>
      <c r="DA10" s="308"/>
      <c r="DB10" s="308"/>
      <c r="DC10" s="308"/>
      <c r="DD10" s="12"/>
      <c r="DE10" s="13"/>
      <c r="DF10" s="59"/>
      <c r="DG10" s="59"/>
      <c r="DH10" s="59"/>
      <c r="DI10" s="439"/>
      <c r="DJ10" s="439"/>
      <c r="DK10" s="13"/>
      <c r="DL10" s="13"/>
      <c r="DM10" s="12"/>
      <c r="DT10" s="838"/>
      <c r="DU10" s="12"/>
      <c r="DV10" s="12"/>
      <c r="DW10" s="12"/>
      <c r="DX10" s="2"/>
      <c r="DY10" s="2"/>
      <c r="DZ10" s="2"/>
      <c r="EA10" s="2"/>
      <c r="EB10" s="2"/>
      <c r="EC10" s="2"/>
      <c r="ED10" s="2"/>
      <c r="EE10" s="12"/>
      <c r="EF10" s="12"/>
      <c r="EG10" s="12"/>
      <c r="EH10" s="166"/>
      <c r="EI10" s="166"/>
      <c r="EJ10" s="2"/>
      <c r="EK10" s="2"/>
      <c r="EL10" s="2"/>
    </row>
    <row r="11" spans="1:142" ht="12" customHeight="1">
      <c r="A11" s="1109">
        <f t="shared" si="0"/>
        <v>8</v>
      </c>
      <c r="B11" s="10"/>
      <c r="C11" s="140" t="s">
        <v>769</v>
      </c>
      <c r="E11" s="296"/>
      <c r="F11" s="296"/>
      <c r="G11" s="296"/>
      <c r="H11" s="296"/>
      <c r="I11" s="235"/>
      <c r="J11" s="154"/>
      <c r="K11" s="154"/>
      <c r="L11" s="154"/>
      <c r="M11" s="154"/>
      <c r="N11" s="235"/>
      <c r="O11" s="154"/>
      <c r="P11" s="154"/>
      <c r="Q11" s="154"/>
      <c r="R11" s="154"/>
      <c r="S11" s="235"/>
      <c r="T11" s="154"/>
      <c r="U11" s="154"/>
      <c r="V11" s="154"/>
      <c r="W11" s="154"/>
      <c r="X11" s="235"/>
      <c r="Y11" s="154"/>
      <c r="Z11" s="154"/>
      <c r="AA11" s="154"/>
      <c r="AB11" s="154"/>
      <c r="AC11" s="235"/>
      <c r="AD11" s="154"/>
      <c r="AE11" s="154"/>
      <c r="AF11" s="154"/>
      <c r="AG11" s="154"/>
      <c r="AH11" s="235"/>
      <c r="AI11" s="154"/>
      <c r="AJ11" s="154"/>
      <c r="AK11" s="154"/>
      <c r="AL11" s="154"/>
      <c r="AM11" s="235"/>
      <c r="AN11" s="154"/>
      <c r="AO11" s="154"/>
      <c r="AP11" s="154"/>
      <c r="AQ11" s="154"/>
      <c r="AR11" s="235"/>
      <c r="AS11" s="154"/>
      <c r="AT11" s="154"/>
      <c r="AU11" s="154"/>
      <c r="AV11" s="154"/>
      <c r="AW11" s="235"/>
      <c r="AX11" s="154"/>
      <c r="AY11" s="154"/>
      <c r="AZ11" s="154"/>
      <c r="BA11" s="154"/>
      <c r="BB11" s="235"/>
      <c r="BC11" s="154"/>
      <c r="BD11" s="154"/>
      <c r="BE11" s="154"/>
      <c r="BF11" s="154"/>
      <c r="BG11" s="235"/>
      <c r="BH11" s="154"/>
      <c r="BI11" s="154"/>
      <c r="BJ11" s="154"/>
      <c r="BK11" s="154"/>
      <c r="BL11" s="235"/>
      <c r="BM11" s="154"/>
      <c r="BN11" s="154"/>
      <c r="BO11" s="154"/>
      <c r="BP11" s="154"/>
      <c r="BQ11" s="235"/>
      <c r="BR11" s="154"/>
      <c r="BS11" s="154"/>
      <c r="BT11" s="154"/>
      <c r="BU11" s="154"/>
      <c r="BV11" s="235"/>
      <c r="BW11" s="154"/>
      <c r="BX11" s="154"/>
      <c r="BY11" s="154"/>
      <c r="BZ11" s="154"/>
      <c r="CA11" s="235"/>
      <c r="CB11" s="154"/>
      <c r="CC11" s="154"/>
      <c r="CD11" s="154"/>
      <c r="CE11" s="154"/>
      <c r="CF11" s="235"/>
      <c r="CG11" s="154"/>
      <c r="CH11" s="154"/>
      <c r="CI11" s="154"/>
      <c r="CJ11" s="154"/>
      <c r="CK11" s="235"/>
      <c r="CL11" s="154"/>
      <c r="CM11" s="154"/>
      <c r="CN11" s="154"/>
      <c r="CO11" s="154"/>
      <c r="CP11" s="235"/>
      <c r="CQ11" s="154"/>
      <c r="CR11" s="154"/>
      <c r="CS11" s="154"/>
      <c r="CT11" s="154"/>
      <c r="CU11" s="235"/>
      <c r="CV11" s="154"/>
      <c r="CW11" s="154"/>
      <c r="CX11" s="154"/>
      <c r="CY11" s="154"/>
      <c r="CZ11" s="296"/>
      <c r="DA11" s="296"/>
      <c r="DB11" s="296"/>
      <c r="DC11" s="296"/>
      <c r="DD11" s="165"/>
      <c r="DE11" s="154"/>
      <c r="DF11" s="235"/>
      <c r="DG11" s="235"/>
      <c r="DH11" s="235"/>
      <c r="DI11" s="441"/>
      <c r="DJ11" s="441"/>
      <c r="DK11" s="154"/>
      <c r="DL11" s="154"/>
      <c r="DM11" s="154"/>
      <c r="DT11" s="828"/>
      <c r="DU11" s="155"/>
      <c r="DV11" s="155"/>
      <c r="DW11" s="155"/>
      <c r="DX11" s="165"/>
      <c r="DY11" s="165"/>
      <c r="DZ11" s="165"/>
      <c r="EA11" s="165"/>
      <c r="EB11" s="165"/>
      <c r="EC11" s="2"/>
      <c r="ED11" s="2"/>
      <c r="EE11" s="165"/>
      <c r="EF11" s="165"/>
      <c r="EG11" s="165"/>
      <c r="EH11" s="167"/>
      <c r="EI11" s="167"/>
      <c r="EJ11" s="2"/>
      <c r="EK11" s="2"/>
      <c r="EL11" s="2"/>
    </row>
    <row r="12" spans="1:142" ht="12" customHeight="1">
      <c r="A12" s="1109">
        <f t="shared" si="0"/>
        <v>9</v>
      </c>
      <c r="B12" s="10"/>
      <c r="C12" s="1" t="s">
        <v>770</v>
      </c>
      <c r="E12" s="296">
        <v>110496</v>
      </c>
      <c r="F12" s="296">
        <v>118023</v>
      </c>
      <c r="G12" s="296">
        <v>122935</v>
      </c>
      <c r="H12" s="296">
        <v>119083</v>
      </c>
      <c r="I12" s="296">
        <v>135073</v>
      </c>
      <c r="J12" s="154">
        <v>36175</v>
      </c>
      <c r="K12" s="154">
        <v>37366</v>
      </c>
      <c r="L12" s="154">
        <v>32582</v>
      </c>
      <c r="M12" s="154">
        <f>141230-SUM(J12:L12)</f>
        <v>35107</v>
      </c>
      <c r="N12" s="235">
        <f>SUM(J12:M12)</f>
        <v>141230</v>
      </c>
      <c r="O12" s="154">
        <v>34650</v>
      </c>
      <c r="P12" s="154">
        <v>34552</v>
      </c>
      <c r="Q12" s="154">
        <v>28451</v>
      </c>
      <c r="R12" s="154">
        <f>130827-SUM(O12:Q12)</f>
        <v>33174</v>
      </c>
      <c r="S12" s="235">
        <f>SUM(O12:R12)</f>
        <v>130827</v>
      </c>
      <c r="T12" s="154">
        <v>32171</v>
      </c>
      <c r="U12" s="154">
        <v>35197</v>
      </c>
      <c r="V12" s="154">
        <v>32396</v>
      </c>
      <c r="W12" s="154">
        <f>134273-SUM(T12:V12)</f>
        <v>34509</v>
      </c>
      <c r="X12" s="235">
        <f>SUM(T12:W12)</f>
        <v>134273</v>
      </c>
      <c r="Y12" s="154">
        <v>34159</v>
      </c>
      <c r="Z12" s="154">
        <v>34142</v>
      </c>
      <c r="AA12" s="154">
        <v>30243</v>
      </c>
      <c r="AB12" s="154">
        <f>138260-SUM(Y12:AA12)</f>
        <v>39716</v>
      </c>
      <c r="AC12" s="235">
        <f>SUM(Y12:AB12)</f>
        <v>138260</v>
      </c>
      <c r="AD12" s="154">
        <v>38800</v>
      </c>
      <c r="AE12" s="154">
        <v>36661</v>
      </c>
      <c r="AF12" s="154">
        <v>32797</v>
      </c>
      <c r="AG12" s="154">
        <f>147119-SUM(AD12:AF12)</f>
        <v>38861</v>
      </c>
      <c r="AH12" s="235">
        <f>SUM(AD12:AG12)</f>
        <v>147119</v>
      </c>
      <c r="AI12" s="154">
        <v>39332</v>
      </c>
      <c r="AJ12" s="154">
        <v>38708</v>
      </c>
      <c r="AK12" s="154">
        <v>34656</v>
      </c>
      <c r="AL12" s="154">
        <f>153474-SUM(AI12:AK12)</f>
        <v>40778</v>
      </c>
      <c r="AM12" s="235">
        <f>SUM(AI12:AL12)</f>
        <v>153474</v>
      </c>
      <c r="AN12" s="154">
        <v>36961</v>
      </c>
      <c r="AO12" s="154">
        <v>37811</v>
      </c>
      <c r="AP12" s="154">
        <v>32541</v>
      </c>
      <c r="AQ12" s="154">
        <f>143249-SUM(AN12:AP12)</f>
        <v>35936</v>
      </c>
      <c r="AR12" s="235">
        <f>SUM(AN12:AQ12)</f>
        <v>143249</v>
      </c>
      <c r="AS12" s="154">
        <v>38630</v>
      </c>
      <c r="AT12" s="154">
        <v>40106</v>
      </c>
      <c r="AU12" s="154">
        <v>36270</v>
      </c>
      <c r="AV12" s="154">
        <f>154379-SUM(AS12:AU12)</f>
        <v>39373</v>
      </c>
      <c r="AW12" s="235">
        <f>SUM(AS12:AV12)</f>
        <v>154379</v>
      </c>
      <c r="AX12" s="154">
        <v>39117</v>
      </c>
      <c r="AY12" s="154">
        <v>37057</v>
      </c>
      <c r="AZ12" s="154">
        <v>27733</v>
      </c>
      <c r="BA12" s="154">
        <f>129165-SUM(AX12:AZ12)</f>
        <v>25258</v>
      </c>
      <c r="BB12" s="235">
        <f>SUM(AX12:BA12)</f>
        <v>129165</v>
      </c>
      <c r="BC12" s="154">
        <f>44590-BD12</f>
        <v>20980</v>
      </c>
      <c r="BD12" s="154">
        <v>23610</v>
      </c>
      <c r="BE12" s="154">
        <v>27250</v>
      </c>
      <c r="BF12" s="154">
        <f>103868-SUM(BC12:BE12)</f>
        <v>32028</v>
      </c>
      <c r="BG12" s="235">
        <f>SUM(BC12:BF12)</f>
        <v>103868</v>
      </c>
      <c r="BH12" s="154">
        <v>28894</v>
      </c>
      <c r="BI12" s="154">
        <v>32564</v>
      </c>
      <c r="BJ12" s="154">
        <v>27592</v>
      </c>
      <c r="BK12" s="154">
        <f>119280-SUM(BH12:BJ12)</f>
        <v>30230</v>
      </c>
      <c r="BL12" s="235">
        <f>SUM(BH12:BK12)</f>
        <v>119280</v>
      </c>
      <c r="BM12" s="154">
        <v>31038</v>
      </c>
      <c r="BN12" s="154">
        <v>33476</v>
      </c>
      <c r="BO12" s="154">
        <v>31043</v>
      </c>
      <c r="BP12" s="154">
        <f>128168-SUM(BM12:BO12)</f>
        <v>32611</v>
      </c>
      <c r="BQ12" s="235">
        <f>SUM(BM12:BP12)</f>
        <v>128168</v>
      </c>
      <c r="BR12" s="154">
        <v>30525</v>
      </c>
      <c r="BS12" s="154">
        <v>31328</v>
      </c>
      <c r="BT12" s="154">
        <v>30247</v>
      </c>
      <c r="BU12" s="154">
        <f>126567-SUM(BR12:BT12)</f>
        <v>34467</v>
      </c>
      <c r="BV12" s="235">
        <f>SUM(BR12:BU12)</f>
        <v>126567</v>
      </c>
      <c r="BW12" s="154">
        <v>33858</v>
      </c>
      <c r="BX12" s="154">
        <v>36079</v>
      </c>
      <c r="BY12" s="154">
        <v>33857</v>
      </c>
      <c r="BZ12" s="154">
        <f>139369-SUM(BW12:BY12)</f>
        <v>35575</v>
      </c>
      <c r="CA12" s="255">
        <f>+SUM(BW12:BZ12)</f>
        <v>139369</v>
      </c>
      <c r="CB12" s="154">
        <v>33876</v>
      </c>
      <c r="CC12" s="154">
        <v>35365</v>
      </c>
      <c r="CD12" s="154">
        <v>32779</v>
      </c>
      <c r="CE12" s="154">
        <f>135782-SUM(CB12:CD12)</f>
        <v>33762</v>
      </c>
      <c r="CF12" s="255">
        <f>+SUM(CB12:CE12)</f>
        <v>135782</v>
      </c>
      <c r="CG12" s="154">
        <v>31800</v>
      </c>
      <c r="CH12" s="154">
        <v>35105</v>
      </c>
      <c r="CI12" s="154">
        <v>35818</v>
      </c>
      <c r="CJ12" s="154">
        <f>140566-SUM(CG12:CI12)</f>
        <v>37843</v>
      </c>
      <c r="CK12" s="255">
        <f>+SUM(CG12:CJ12)</f>
        <v>140566</v>
      </c>
      <c r="CL12" s="154">
        <v>35257</v>
      </c>
      <c r="CM12" s="154">
        <v>36932</v>
      </c>
      <c r="CN12" s="154">
        <v>33331</v>
      </c>
      <c r="CO12" s="154">
        <f>141546-SUM(CL12:CN12)</f>
        <v>36026</v>
      </c>
      <c r="CP12" s="255">
        <f>+SUM(CL12:CO12)</f>
        <v>141546</v>
      </c>
      <c r="CQ12" s="154">
        <v>36475</v>
      </c>
      <c r="CR12" s="154">
        <v>37113</v>
      </c>
      <c r="CS12" s="154">
        <v>33646</v>
      </c>
      <c r="CT12" s="154">
        <f>145653-SUM(CQ12:CS12)</f>
        <v>38419</v>
      </c>
      <c r="CU12" s="255">
        <f>+SUM(CQ12:CT12)</f>
        <v>145653</v>
      </c>
      <c r="CV12" s="155">
        <f>SUM(Drivers!CV29,Drivers!CV31,Drivers!CV33,Drivers!CV35)</f>
        <v>36644.18</v>
      </c>
      <c r="CW12" s="155">
        <f>SUM(Drivers!CW29,Drivers!CW31,Drivers!CW33,Drivers!CW35)</f>
        <v>37263.570000000007</v>
      </c>
      <c r="CX12" s="155">
        <f>SUM(Drivers!CX29,Drivers!CX31,Drivers!CX33,Drivers!CX35)</f>
        <v>34008.28</v>
      </c>
      <c r="CY12" s="155">
        <f>SUM(Drivers!CY29,Drivers!CY31,Drivers!CY33,Drivers!CY35)</f>
        <v>38996.36</v>
      </c>
      <c r="CZ12" s="255">
        <f>+SUM(CV12:CY12)</f>
        <v>146912.39000000001</v>
      </c>
      <c r="DA12" s="255">
        <f>SUM(Drivers!DA29,Drivers!DA31,Drivers!DA33,Drivers!DA35)</f>
        <v>147698.37627850001</v>
      </c>
      <c r="DB12" s="255">
        <f>SUM(Drivers!DB29,Drivers!DB31,Drivers!DB33,Drivers!DB35)</f>
        <v>152196.16853306015</v>
      </c>
      <c r="DC12" s="255">
        <f>SUM(Drivers!DC29,Drivers!DC31,Drivers!DC33,Drivers!DC35)</f>
        <v>156370.18844988311</v>
      </c>
      <c r="DD12" s="165"/>
      <c r="DE12" s="154"/>
      <c r="DF12" s="255">
        <f>CT12</f>
        <v>38419</v>
      </c>
      <c r="DG12" s="255">
        <v>35668.03</v>
      </c>
      <c r="DH12" s="255">
        <f>CO12</f>
        <v>36026</v>
      </c>
      <c r="DI12" s="440">
        <f>IF(ISERROR(DF12/DG12-1),"NM",DF12/DG12-1)</f>
        <v>7.7127051872503127E-2</v>
      </c>
      <c r="DJ12" s="466">
        <f>IF(ISERROR(DF12/DH12-1),"NM",DF12/DH12-1)</f>
        <v>6.6424249153389292E-2</v>
      </c>
      <c r="DK12" s="154"/>
      <c r="DL12" s="154"/>
      <c r="DM12" s="154"/>
      <c r="DT12" s="828"/>
      <c r="DU12" s="154"/>
      <c r="DV12" s="155"/>
      <c r="DW12" s="155"/>
      <c r="DX12" s="165"/>
      <c r="DY12" s="165"/>
      <c r="DZ12" s="165"/>
      <c r="EA12" s="165"/>
      <c r="EB12" s="165"/>
      <c r="EC12" s="2"/>
      <c r="ED12" s="2"/>
      <c r="EE12" s="165"/>
      <c r="EF12" s="165"/>
      <c r="EG12" s="165"/>
      <c r="EH12" s="167"/>
      <c r="EI12" s="167"/>
      <c r="EJ12" s="2"/>
      <c r="EK12" s="2"/>
      <c r="EL12" s="2"/>
    </row>
    <row r="13" spans="1:142" ht="12" customHeight="1">
      <c r="A13" s="1109">
        <f t="shared" si="0"/>
        <v>10</v>
      </c>
      <c r="B13" s="10"/>
      <c r="C13" s="1" t="s">
        <v>771</v>
      </c>
      <c r="E13" s="296">
        <v>26641</v>
      </c>
      <c r="F13" s="296">
        <v>28968</v>
      </c>
      <c r="G13" s="296">
        <v>30692</v>
      </c>
      <c r="H13" s="296">
        <v>25333</v>
      </c>
      <c r="I13" s="296">
        <v>25585</v>
      </c>
      <c r="J13" s="154">
        <v>6719</v>
      </c>
      <c r="K13" s="154">
        <v>7133</v>
      </c>
      <c r="L13" s="154">
        <v>7473</v>
      </c>
      <c r="M13" s="154">
        <f>28828-SUM(J13:L13)</f>
        <v>7503</v>
      </c>
      <c r="N13" s="235">
        <f>SUM(J13:M13)</f>
        <v>28828</v>
      </c>
      <c r="O13" s="154">
        <v>7796</v>
      </c>
      <c r="P13" s="154">
        <v>7762</v>
      </c>
      <c r="Q13" s="154">
        <v>7873</v>
      </c>
      <c r="R13" s="154">
        <f>29927-SUM(O13:Q13)</f>
        <v>6496</v>
      </c>
      <c r="S13" s="235">
        <f>SUM(O13:R13)</f>
        <v>29927</v>
      </c>
      <c r="T13" s="154">
        <v>7402</v>
      </c>
      <c r="U13" s="154">
        <v>7010</v>
      </c>
      <c r="V13" s="154">
        <v>6942</v>
      </c>
      <c r="W13" s="154">
        <f>27983-SUM(T13:V13)</f>
        <v>6629</v>
      </c>
      <c r="X13" s="235">
        <f>SUM(T13:W13)</f>
        <v>27983</v>
      </c>
      <c r="Y13" s="154">
        <v>6656</v>
      </c>
      <c r="Z13" s="154">
        <v>6440</v>
      </c>
      <c r="AA13" s="154">
        <v>6499</v>
      </c>
      <c r="AB13" s="154">
        <f>26078-SUM(Y13:AA13)</f>
        <v>6483</v>
      </c>
      <c r="AC13" s="235">
        <f>SUM(Y13:AB13)</f>
        <v>26078</v>
      </c>
      <c r="AD13" s="154">
        <v>5923</v>
      </c>
      <c r="AE13" s="154">
        <v>6212</v>
      </c>
      <c r="AF13" s="154">
        <v>6324</v>
      </c>
      <c r="AG13" s="154">
        <f>25197-SUM(AD13:AF13)</f>
        <v>6738</v>
      </c>
      <c r="AH13" s="235">
        <f>SUM(AD13:AG13)</f>
        <v>25197</v>
      </c>
      <c r="AI13" s="154">
        <v>5804</v>
      </c>
      <c r="AJ13" s="154">
        <v>6458</v>
      </c>
      <c r="AK13" s="154">
        <v>5854</v>
      </c>
      <c r="AL13" s="154">
        <f>23422-SUM(AI13:AK13)</f>
        <v>5306</v>
      </c>
      <c r="AM13" s="235">
        <f>SUM(AI13:AL13)</f>
        <v>23422</v>
      </c>
      <c r="AN13" s="154">
        <v>3828</v>
      </c>
      <c r="AO13" s="154">
        <v>4067</v>
      </c>
      <c r="AP13" s="154">
        <v>4554</v>
      </c>
      <c r="AQ13" s="154">
        <f>16816-SUM(AN13:AP13)</f>
        <v>4367</v>
      </c>
      <c r="AR13" s="235">
        <f>SUM(AN13:AQ13)</f>
        <v>16816</v>
      </c>
      <c r="AS13" s="154">
        <v>4375</v>
      </c>
      <c r="AT13" s="154">
        <v>4136</v>
      </c>
      <c r="AU13" s="154">
        <v>4808</v>
      </c>
      <c r="AV13" s="154">
        <f>18076-SUM(AS13:AU13)</f>
        <v>4757</v>
      </c>
      <c r="AW13" s="235">
        <f>SUM(AS13:AV13)</f>
        <v>18076</v>
      </c>
      <c r="AX13" s="154">
        <v>4175</v>
      </c>
      <c r="AY13" s="154">
        <v>4045</v>
      </c>
      <c r="AZ13" s="154">
        <v>4013</v>
      </c>
      <c r="BA13" s="154">
        <f>15949-SUM(AX13:AZ13)</f>
        <v>3716</v>
      </c>
      <c r="BB13" s="235">
        <f>SUM(AX13:BA13)</f>
        <v>15949</v>
      </c>
      <c r="BC13" s="154">
        <v>3410</v>
      </c>
      <c r="BD13" s="154">
        <v>3200</v>
      </c>
      <c r="BE13" s="154">
        <v>3022</v>
      </c>
      <c r="BF13" s="154">
        <f>12415-SUM(BC13:BE13)</f>
        <v>2783</v>
      </c>
      <c r="BG13" s="235">
        <f>SUM(BC13:BF13)</f>
        <v>12415</v>
      </c>
      <c r="BH13" s="154">
        <v>2672</v>
      </c>
      <c r="BI13" s="154">
        <v>2503</v>
      </c>
      <c r="BJ13" s="154">
        <v>2301</v>
      </c>
      <c r="BK13" s="154">
        <f>9674-SUM(BH13:BJ13)</f>
        <v>2198</v>
      </c>
      <c r="BL13" s="235">
        <f>SUM(BH13:BK13)</f>
        <v>9674</v>
      </c>
      <c r="BM13" s="154">
        <v>2076</v>
      </c>
      <c r="BN13" s="154">
        <v>2051</v>
      </c>
      <c r="BO13" s="154">
        <v>2004</v>
      </c>
      <c r="BP13" s="154">
        <f>8096-SUM(BM13:BO13)</f>
        <v>1965</v>
      </c>
      <c r="BQ13" s="235">
        <f>SUM(BM13:BP13)</f>
        <v>8096</v>
      </c>
      <c r="BR13" s="154">
        <v>1920</v>
      </c>
      <c r="BS13" s="154">
        <v>1883</v>
      </c>
      <c r="BT13" s="154">
        <v>1925</v>
      </c>
      <c r="BU13" s="154">
        <f>6992-SUM(BR13:BT13)</f>
        <v>1264</v>
      </c>
      <c r="BV13" s="235">
        <f>SUM(BR13:BU13)</f>
        <v>6992</v>
      </c>
      <c r="BW13" s="154">
        <v>1791</v>
      </c>
      <c r="BX13" s="154">
        <v>1844</v>
      </c>
      <c r="BY13" s="154">
        <v>1918</v>
      </c>
      <c r="BZ13" s="154">
        <f>7548-SUM(BW13:BY13)</f>
        <v>1995</v>
      </c>
      <c r="CA13" s="255">
        <f>+SUM(BW13:BZ13)</f>
        <v>7548</v>
      </c>
      <c r="CB13" s="154">
        <v>2000</v>
      </c>
      <c r="CC13" s="154">
        <v>2046</v>
      </c>
      <c r="CD13" s="154">
        <v>2141</v>
      </c>
      <c r="CE13" s="154">
        <f>8295-SUM(CB13:CD13)</f>
        <v>2108</v>
      </c>
      <c r="CF13" s="255">
        <f>+SUM(CB13:CE13)</f>
        <v>8295</v>
      </c>
      <c r="CG13" s="154">
        <v>2100</v>
      </c>
      <c r="CH13" s="154">
        <v>2158</v>
      </c>
      <c r="CI13" s="154">
        <v>2326</v>
      </c>
      <c r="CJ13" s="154">
        <f>8992-SUM(CG13:CI13)</f>
        <v>2408</v>
      </c>
      <c r="CK13" s="255">
        <f>+SUM(CG13:CJ13)</f>
        <v>8992</v>
      </c>
      <c r="CL13" s="154">
        <v>2461</v>
      </c>
      <c r="CM13" s="154">
        <v>2553</v>
      </c>
      <c r="CN13" s="154">
        <v>2612</v>
      </c>
      <c r="CO13" s="154">
        <f>10253-SUM(CL13:CN13)</f>
        <v>2627</v>
      </c>
      <c r="CP13" s="255">
        <f>+SUM(CL13:CO13)</f>
        <v>10253</v>
      </c>
      <c r="CQ13" s="154">
        <v>2669</v>
      </c>
      <c r="CR13" s="154">
        <v>2738</v>
      </c>
      <c r="CS13" s="154">
        <v>2802</v>
      </c>
      <c r="CT13" s="154">
        <f>11113-SUM(CQ13:CS13)</f>
        <v>2904</v>
      </c>
      <c r="CU13" s="255">
        <f>+SUM(CQ13:CT13)</f>
        <v>11113</v>
      </c>
      <c r="CV13" s="155">
        <f>Drivers!CV39</f>
        <v>2722.38</v>
      </c>
      <c r="CW13" s="155">
        <f>Drivers!CW39</f>
        <v>2792.76</v>
      </c>
      <c r="CX13" s="155">
        <f>Drivers!CX39</f>
        <v>2858.04</v>
      </c>
      <c r="CY13" s="155">
        <f>Drivers!CY39</f>
        <v>2746.5284999999999</v>
      </c>
      <c r="CZ13" s="255">
        <f>SUM(CV13:CY13)</f>
        <v>11119.708500000001</v>
      </c>
      <c r="DA13" s="255">
        <f>Drivers!DA39</f>
        <v>11230.905585</v>
      </c>
      <c r="DB13" s="255">
        <f>Drivers!DB39</f>
        <v>11343.214640850001</v>
      </c>
      <c r="DC13" s="255">
        <f>Drivers!DC39</f>
        <v>11456.646787258502</v>
      </c>
      <c r="DD13" s="165"/>
      <c r="DE13" s="154"/>
      <c r="DF13" s="255">
        <f>CT13</f>
        <v>2904</v>
      </c>
      <c r="DG13" s="255">
        <v>2692.6749999999997</v>
      </c>
      <c r="DH13" s="255">
        <f>CO13</f>
        <v>2627</v>
      </c>
      <c r="DI13" s="450">
        <f>IF(ISERROR(DF13/DG13-1),"NM",DF13/DG13-1)</f>
        <v>7.8481435746980299E-2</v>
      </c>
      <c r="DJ13" s="450">
        <f>IF(ISERROR(DF13/DH13-1),"NM",DF13/DH13-1)</f>
        <v>0.10544347164065471</v>
      </c>
      <c r="DK13" s="154"/>
      <c r="DL13" s="154"/>
      <c r="DM13" s="154"/>
      <c r="DT13" s="828"/>
      <c r="DU13" s="154"/>
      <c r="DV13" s="155"/>
      <c r="DW13" s="155"/>
      <c r="DX13" s="165"/>
      <c r="DY13" s="165"/>
      <c r="DZ13" s="165"/>
      <c r="EA13" s="165"/>
      <c r="EB13" s="165"/>
      <c r="EC13" s="2"/>
      <c r="ED13" s="2"/>
      <c r="EE13" s="165"/>
      <c r="EF13" s="165"/>
      <c r="EG13" s="165"/>
      <c r="EH13" s="167"/>
      <c r="EI13" s="167"/>
      <c r="EJ13" s="2"/>
      <c r="EK13" s="2"/>
      <c r="EL13" s="2"/>
    </row>
    <row r="14" spans="1:142" ht="12" customHeight="1">
      <c r="A14" s="1109">
        <f t="shared" si="0"/>
        <v>11</v>
      </c>
      <c r="B14" s="10"/>
      <c r="C14" s="1" t="s">
        <v>72</v>
      </c>
      <c r="E14" s="296">
        <v>0</v>
      </c>
      <c r="F14" s="296">
        <v>0</v>
      </c>
      <c r="G14" s="296">
        <v>0</v>
      </c>
      <c r="H14" s="296">
        <v>0</v>
      </c>
      <c r="I14" s="296">
        <v>0</v>
      </c>
      <c r="J14" s="154">
        <v>0</v>
      </c>
      <c r="K14" s="154">
        <v>0</v>
      </c>
      <c r="L14" s="154">
        <v>0</v>
      </c>
      <c r="M14" s="154">
        <v>0</v>
      </c>
      <c r="N14" s="235">
        <f>SUM(J14:M14)</f>
        <v>0</v>
      </c>
      <c r="O14" s="154">
        <v>0</v>
      </c>
      <c r="P14" s="154">
        <v>0</v>
      </c>
      <c r="Q14" s="154">
        <v>0</v>
      </c>
      <c r="R14" s="154">
        <v>0</v>
      </c>
      <c r="S14" s="235">
        <f>SUM(O14:R14)</f>
        <v>0</v>
      </c>
      <c r="T14" s="154">
        <v>0</v>
      </c>
      <c r="U14" s="154">
        <v>0</v>
      </c>
      <c r="V14" s="154">
        <v>0</v>
      </c>
      <c r="W14" s="154">
        <f>0-SUM(T14:V14)</f>
        <v>0</v>
      </c>
      <c r="X14" s="235">
        <f>SUM(T14:W14)</f>
        <v>0</v>
      </c>
      <c r="Y14" s="154">
        <v>0</v>
      </c>
      <c r="Z14" s="154">
        <v>0</v>
      </c>
      <c r="AA14" s="154">
        <v>0</v>
      </c>
      <c r="AB14" s="154">
        <f>0-SUM(Y14:AA14)</f>
        <v>0</v>
      </c>
      <c r="AC14" s="235">
        <f>SUM(Y14:AB14)</f>
        <v>0</v>
      </c>
      <c r="AD14" s="154">
        <v>0</v>
      </c>
      <c r="AE14" s="154">
        <v>0</v>
      </c>
      <c r="AF14" s="154">
        <v>0</v>
      </c>
      <c r="AG14" s="154">
        <f>0-SUM(AD14:AF14)</f>
        <v>0</v>
      </c>
      <c r="AH14" s="235">
        <f>SUM(AD14:AG14)</f>
        <v>0</v>
      </c>
      <c r="AI14" s="154">
        <v>0</v>
      </c>
      <c r="AJ14" s="154">
        <v>0</v>
      </c>
      <c r="AK14" s="154">
        <v>0</v>
      </c>
      <c r="AL14" s="154">
        <f>0-SUM(AI14:AK14)</f>
        <v>0</v>
      </c>
      <c r="AM14" s="235">
        <f>SUM(AI14:AL14)</f>
        <v>0</v>
      </c>
      <c r="AN14" s="154">
        <v>0</v>
      </c>
      <c r="AO14" s="154">
        <v>0</v>
      </c>
      <c r="AP14" s="154">
        <v>0</v>
      </c>
      <c r="AQ14" s="154">
        <f>0-SUM(AN14:AP14)</f>
        <v>0</v>
      </c>
      <c r="AR14" s="235">
        <f>SUM(AN14:AQ14)</f>
        <v>0</v>
      </c>
      <c r="AS14" s="154">
        <v>0</v>
      </c>
      <c r="AT14" s="154">
        <v>0</v>
      </c>
      <c r="AU14" s="154">
        <v>0</v>
      </c>
      <c r="AV14" s="154">
        <f>0-SUM(AS14:AU14)</f>
        <v>0</v>
      </c>
      <c r="AW14" s="235">
        <f>SUM(AS14:AV14)</f>
        <v>0</v>
      </c>
      <c r="AX14" s="154">
        <v>0</v>
      </c>
      <c r="AY14" s="154">
        <v>0</v>
      </c>
      <c r="AZ14" s="154">
        <v>0</v>
      </c>
      <c r="BA14" s="154">
        <f>0-SUM(AX14:AZ14)</f>
        <v>0</v>
      </c>
      <c r="BB14" s="235">
        <f>SUM(AX14:BA14)</f>
        <v>0</v>
      </c>
      <c r="BC14" s="154">
        <v>0</v>
      </c>
      <c r="BD14" s="154">
        <v>0</v>
      </c>
      <c r="BE14" s="154">
        <v>0</v>
      </c>
      <c r="BF14" s="154">
        <f>0-SUM(BC14:BE14)</f>
        <v>0</v>
      </c>
      <c r="BG14" s="235">
        <f>SUM(BC14:BF14)</f>
        <v>0</v>
      </c>
      <c r="BH14" s="154">
        <v>0</v>
      </c>
      <c r="BI14" s="154">
        <v>0</v>
      </c>
      <c r="BJ14" s="154">
        <v>0</v>
      </c>
      <c r="BK14" s="154">
        <f>0-SUM(BH14:BJ14)</f>
        <v>0</v>
      </c>
      <c r="BL14" s="235">
        <f>SUM(BH14:BK14)</f>
        <v>0</v>
      </c>
      <c r="BM14" s="154">
        <v>0</v>
      </c>
      <c r="BN14" s="154">
        <v>0</v>
      </c>
      <c r="BO14" s="154">
        <v>0</v>
      </c>
      <c r="BP14" s="154">
        <f>0-SUM(BM14:BO14)</f>
        <v>0</v>
      </c>
      <c r="BQ14" s="235">
        <f>SUM(BM14:BP14)</f>
        <v>0</v>
      </c>
      <c r="BR14" s="154">
        <v>0</v>
      </c>
      <c r="BS14" s="154">
        <v>0</v>
      </c>
      <c r="BT14" s="154">
        <v>0</v>
      </c>
      <c r="BU14" s="154">
        <f>0-SUM(BR14:BT14)</f>
        <v>0</v>
      </c>
      <c r="BV14" s="235">
        <f>SUM(BR14:BU14)</f>
        <v>0</v>
      </c>
      <c r="BW14" s="154">
        <v>0</v>
      </c>
      <c r="BX14" s="154">
        <v>0</v>
      </c>
      <c r="BY14" s="154">
        <v>0</v>
      </c>
      <c r="BZ14" s="154">
        <f>0-SUM(BW14:BY14)</f>
        <v>0</v>
      </c>
      <c r="CA14" s="255">
        <f>+SUM(BW14:BZ14)</f>
        <v>0</v>
      </c>
      <c r="CB14" s="154">
        <v>0</v>
      </c>
      <c r="CC14" s="154">
        <v>0</v>
      </c>
      <c r="CD14" s="154">
        <v>0</v>
      </c>
      <c r="CE14" s="154">
        <f>0-SUM(CB14:CD14)</f>
        <v>0</v>
      </c>
      <c r="CF14" s="255">
        <f>+SUM(CB14:CE14)</f>
        <v>0</v>
      </c>
      <c r="CG14" s="154">
        <v>0</v>
      </c>
      <c r="CH14" s="154">
        <v>0</v>
      </c>
      <c r="CI14" s="154">
        <v>0</v>
      </c>
      <c r="CJ14" s="154">
        <f>0-SUM(CG14:CI14)</f>
        <v>0</v>
      </c>
      <c r="CK14" s="255">
        <f>+SUM(CG14:CJ14)</f>
        <v>0</v>
      </c>
      <c r="CL14" s="154">
        <v>0</v>
      </c>
      <c r="CM14" s="154">
        <v>0</v>
      </c>
      <c r="CN14" s="154">
        <v>0</v>
      </c>
      <c r="CO14" s="154">
        <f>1-SUM(CL14:CN14)</f>
        <v>1</v>
      </c>
      <c r="CP14" s="255">
        <f>+SUM(CL14:CO14)</f>
        <v>1</v>
      </c>
      <c r="CQ14" s="154">
        <v>2</v>
      </c>
      <c r="CR14" s="154">
        <v>2</v>
      </c>
      <c r="CS14" s="154">
        <v>3</v>
      </c>
      <c r="CT14" s="154">
        <f>10-SUM(CQ14:CS14)</f>
        <v>3</v>
      </c>
      <c r="CU14" s="255">
        <f>+SUM(CQ14:CT14)</f>
        <v>10</v>
      </c>
      <c r="CV14" s="154">
        <f>Drivers!CV37+Drivers!CV41</f>
        <v>0</v>
      </c>
      <c r="CW14" s="154">
        <f>Drivers!CW37+Drivers!CW41</f>
        <v>0</v>
      </c>
      <c r="CX14" s="154">
        <f>Drivers!CX37+Drivers!CX41</f>
        <v>0</v>
      </c>
      <c r="CY14" s="154">
        <f>Drivers!CY37+Drivers!CY41</f>
        <v>0</v>
      </c>
      <c r="CZ14" s="255">
        <f>+SUM(CV14:CY14)</f>
        <v>0</v>
      </c>
      <c r="DA14" s="296">
        <f>Drivers!DA37+Drivers!DA41</f>
        <v>0</v>
      </c>
      <c r="DB14" s="296">
        <f>Drivers!DB37+Drivers!DB41</f>
        <v>0</v>
      </c>
      <c r="DC14" s="296">
        <f>Drivers!DC37+Drivers!DC41</f>
        <v>0</v>
      </c>
      <c r="DD14" s="165"/>
      <c r="DE14" s="154"/>
      <c r="DF14" s="255">
        <f>CT14</f>
        <v>3</v>
      </c>
      <c r="DG14" s="255">
        <v>0</v>
      </c>
      <c r="DH14" s="255">
        <f>CO14</f>
        <v>1</v>
      </c>
      <c r="DI14" s="450" t="str">
        <f>IF(ISERROR(DF14/DG14-1),"NM",DF14/DG14-1)</f>
        <v>NM</v>
      </c>
      <c r="DJ14" s="450">
        <f>IF(ISERROR(DF14/DH14-1),"NM",DF14/DH14-1)</f>
        <v>2</v>
      </c>
      <c r="DK14" s="154"/>
      <c r="DL14" s="154"/>
      <c r="DM14" s="154"/>
      <c r="DT14" s="828"/>
      <c r="DU14" s="154"/>
      <c r="DV14" s="155"/>
      <c r="DW14" s="155"/>
      <c r="DX14" s="165"/>
      <c r="DY14" s="165"/>
      <c r="DZ14" s="165"/>
      <c r="EA14" s="165"/>
      <c r="EB14" s="165"/>
      <c r="EC14" s="2"/>
      <c r="ED14" s="2"/>
      <c r="EE14" s="165"/>
      <c r="EF14" s="165"/>
      <c r="EG14" s="165"/>
      <c r="EH14" s="167"/>
      <c r="EI14" s="167"/>
      <c r="EJ14" s="2"/>
      <c r="EK14" s="2"/>
      <c r="EL14" s="2"/>
    </row>
    <row r="15" spans="1:142" ht="12" customHeight="1">
      <c r="A15" s="1109">
        <f t="shared" si="0"/>
        <v>12</v>
      </c>
      <c r="B15" s="10"/>
      <c r="C15" s="140" t="s">
        <v>772</v>
      </c>
      <c r="D15" s="140"/>
      <c r="E15" s="164">
        <f t="shared" ref="E15:BP15" si="4">+E12+E13+E14</f>
        <v>137137</v>
      </c>
      <c r="F15" s="164">
        <f t="shared" si="4"/>
        <v>146991</v>
      </c>
      <c r="G15" s="164">
        <f t="shared" si="4"/>
        <v>153627</v>
      </c>
      <c r="H15" s="164">
        <f t="shared" si="4"/>
        <v>144416</v>
      </c>
      <c r="I15" s="164">
        <f t="shared" si="4"/>
        <v>160658</v>
      </c>
      <c r="J15" s="163">
        <f t="shared" si="4"/>
        <v>42894</v>
      </c>
      <c r="K15" s="163">
        <f t="shared" si="4"/>
        <v>44499</v>
      </c>
      <c r="L15" s="163">
        <f t="shared" si="4"/>
        <v>40055</v>
      </c>
      <c r="M15" s="163">
        <f t="shared" si="4"/>
        <v>42610</v>
      </c>
      <c r="N15" s="312">
        <f t="shared" si="4"/>
        <v>170058</v>
      </c>
      <c r="O15" s="163">
        <f t="shared" si="4"/>
        <v>42446</v>
      </c>
      <c r="P15" s="163">
        <f t="shared" si="4"/>
        <v>42314</v>
      </c>
      <c r="Q15" s="163">
        <f t="shared" si="4"/>
        <v>36324</v>
      </c>
      <c r="R15" s="163">
        <f t="shared" si="4"/>
        <v>39670</v>
      </c>
      <c r="S15" s="312">
        <f t="shared" si="4"/>
        <v>160754</v>
      </c>
      <c r="T15" s="163">
        <f t="shared" si="4"/>
        <v>39573</v>
      </c>
      <c r="U15" s="163">
        <f t="shared" si="4"/>
        <v>42207</v>
      </c>
      <c r="V15" s="163">
        <f t="shared" si="4"/>
        <v>39338</v>
      </c>
      <c r="W15" s="163">
        <f t="shared" si="4"/>
        <v>41138</v>
      </c>
      <c r="X15" s="312">
        <f t="shared" si="4"/>
        <v>162256</v>
      </c>
      <c r="Y15" s="163">
        <f t="shared" si="4"/>
        <v>40815</v>
      </c>
      <c r="Z15" s="163">
        <f t="shared" si="4"/>
        <v>40582</v>
      </c>
      <c r="AA15" s="163">
        <f t="shared" si="4"/>
        <v>36742</v>
      </c>
      <c r="AB15" s="163">
        <f t="shared" si="4"/>
        <v>46199</v>
      </c>
      <c r="AC15" s="312">
        <f t="shared" si="4"/>
        <v>164338</v>
      </c>
      <c r="AD15" s="163">
        <f t="shared" si="4"/>
        <v>44723</v>
      </c>
      <c r="AE15" s="163">
        <f t="shared" si="4"/>
        <v>42873</v>
      </c>
      <c r="AF15" s="163">
        <f t="shared" si="4"/>
        <v>39121</v>
      </c>
      <c r="AG15" s="163">
        <f t="shared" si="4"/>
        <v>45599</v>
      </c>
      <c r="AH15" s="312">
        <f t="shared" si="4"/>
        <v>172316</v>
      </c>
      <c r="AI15" s="163">
        <f t="shared" si="4"/>
        <v>45136</v>
      </c>
      <c r="AJ15" s="163">
        <f t="shared" si="4"/>
        <v>45166</v>
      </c>
      <c r="AK15" s="163">
        <f t="shared" si="4"/>
        <v>40510</v>
      </c>
      <c r="AL15" s="163">
        <f t="shared" si="4"/>
        <v>46084</v>
      </c>
      <c r="AM15" s="312">
        <f t="shared" si="4"/>
        <v>176896</v>
      </c>
      <c r="AN15" s="163">
        <f t="shared" si="4"/>
        <v>40789</v>
      </c>
      <c r="AO15" s="163">
        <f t="shared" si="4"/>
        <v>41878</v>
      </c>
      <c r="AP15" s="163">
        <f t="shared" si="4"/>
        <v>37095</v>
      </c>
      <c r="AQ15" s="163">
        <f t="shared" si="4"/>
        <v>40303</v>
      </c>
      <c r="AR15" s="312">
        <f t="shared" si="4"/>
        <v>160065</v>
      </c>
      <c r="AS15" s="163">
        <f t="shared" si="4"/>
        <v>43005</v>
      </c>
      <c r="AT15" s="163">
        <f t="shared" si="4"/>
        <v>44242</v>
      </c>
      <c r="AU15" s="163">
        <f t="shared" si="4"/>
        <v>41078</v>
      </c>
      <c r="AV15" s="163">
        <f t="shared" si="4"/>
        <v>44130</v>
      </c>
      <c r="AW15" s="312">
        <f t="shared" si="4"/>
        <v>172455</v>
      </c>
      <c r="AX15" s="163">
        <f t="shared" si="4"/>
        <v>43292</v>
      </c>
      <c r="AY15" s="163">
        <f t="shared" si="4"/>
        <v>41102</v>
      </c>
      <c r="AZ15" s="163">
        <f t="shared" si="4"/>
        <v>31746</v>
      </c>
      <c r="BA15" s="163">
        <f t="shared" si="4"/>
        <v>28974</v>
      </c>
      <c r="BB15" s="312">
        <f t="shared" si="4"/>
        <v>145114</v>
      </c>
      <c r="BC15" s="163">
        <f t="shared" si="4"/>
        <v>24390</v>
      </c>
      <c r="BD15" s="163">
        <f t="shared" si="4"/>
        <v>26810</v>
      </c>
      <c r="BE15" s="163">
        <f t="shared" si="4"/>
        <v>30272</v>
      </c>
      <c r="BF15" s="163">
        <f t="shared" si="4"/>
        <v>34811</v>
      </c>
      <c r="BG15" s="312">
        <f t="shared" si="4"/>
        <v>116283</v>
      </c>
      <c r="BH15" s="163">
        <f t="shared" si="4"/>
        <v>31566</v>
      </c>
      <c r="BI15" s="163">
        <f t="shared" si="4"/>
        <v>35067</v>
      </c>
      <c r="BJ15" s="163">
        <f t="shared" si="4"/>
        <v>29893</v>
      </c>
      <c r="BK15" s="163">
        <f t="shared" si="4"/>
        <v>32428</v>
      </c>
      <c r="BL15" s="312">
        <f t="shared" si="4"/>
        <v>128954</v>
      </c>
      <c r="BM15" s="163">
        <f t="shared" si="4"/>
        <v>33114</v>
      </c>
      <c r="BN15" s="163">
        <f t="shared" si="4"/>
        <v>35527</v>
      </c>
      <c r="BO15" s="163">
        <f t="shared" si="4"/>
        <v>33047</v>
      </c>
      <c r="BP15" s="163">
        <f t="shared" si="4"/>
        <v>34576</v>
      </c>
      <c r="BQ15" s="312">
        <f t="shared" ref="BQ15:CF15" si="5">+BQ12+BQ13+BQ14</f>
        <v>136264</v>
      </c>
      <c r="BR15" s="163">
        <f t="shared" si="5"/>
        <v>32445</v>
      </c>
      <c r="BS15" s="163">
        <f t="shared" si="5"/>
        <v>33211</v>
      </c>
      <c r="BT15" s="163">
        <f t="shared" si="5"/>
        <v>32172</v>
      </c>
      <c r="BU15" s="163">
        <f t="shared" si="5"/>
        <v>35731</v>
      </c>
      <c r="BV15" s="312">
        <f t="shared" si="5"/>
        <v>133559</v>
      </c>
      <c r="BW15" s="163">
        <f t="shared" si="5"/>
        <v>35649</v>
      </c>
      <c r="BX15" s="163">
        <f t="shared" si="5"/>
        <v>37923</v>
      </c>
      <c r="BY15" s="163">
        <f t="shared" si="5"/>
        <v>35775</v>
      </c>
      <c r="BZ15" s="163">
        <f t="shared" si="5"/>
        <v>37570</v>
      </c>
      <c r="CA15" s="164">
        <f t="shared" si="5"/>
        <v>146917</v>
      </c>
      <c r="CB15" s="163">
        <f t="shared" si="5"/>
        <v>35876</v>
      </c>
      <c r="CC15" s="163">
        <f t="shared" si="5"/>
        <v>37411</v>
      </c>
      <c r="CD15" s="163">
        <f t="shared" si="5"/>
        <v>34920</v>
      </c>
      <c r="CE15" s="163">
        <f t="shared" si="5"/>
        <v>35870</v>
      </c>
      <c r="CF15" s="164">
        <f t="shared" si="5"/>
        <v>144077</v>
      </c>
      <c r="CG15" s="163">
        <f t="shared" ref="CG15:CR15" si="6">+CG12+CG13+CG14</f>
        <v>33900</v>
      </c>
      <c r="CH15" s="163">
        <f t="shared" si="6"/>
        <v>37263</v>
      </c>
      <c r="CI15" s="163">
        <f t="shared" si="6"/>
        <v>38144</v>
      </c>
      <c r="CJ15" s="163">
        <f t="shared" si="6"/>
        <v>40251</v>
      </c>
      <c r="CK15" s="164">
        <f t="shared" si="6"/>
        <v>149558</v>
      </c>
      <c r="CL15" s="163">
        <f t="shared" si="6"/>
        <v>37718</v>
      </c>
      <c r="CM15" s="163">
        <f t="shared" si="6"/>
        <v>39485</v>
      </c>
      <c r="CN15" s="163">
        <f t="shared" si="6"/>
        <v>35943</v>
      </c>
      <c r="CO15" s="163">
        <f t="shared" si="6"/>
        <v>38654</v>
      </c>
      <c r="CP15" s="164">
        <f t="shared" si="6"/>
        <v>151800</v>
      </c>
      <c r="CQ15" s="163">
        <f t="shared" si="6"/>
        <v>39146</v>
      </c>
      <c r="CR15" s="163">
        <f t="shared" si="6"/>
        <v>39853</v>
      </c>
      <c r="CS15" s="163">
        <f>+CS12+CS13+CS14</f>
        <v>36451</v>
      </c>
      <c r="CT15" s="163">
        <f t="shared" ref="CT15:CY15" si="7">+CT12+CT13+CT14</f>
        <v>41326</v>
      </c>
      <c r="CU15" s="164">
        <f t="shared" si="7"/>
        <v>156776</v>
      </c>
      <c r="CV15" s="163">
        <f t="shared" si="7"/>
        <v>39366.559999999998</v>
      </c>
      <c r="CW15" s="163">
        <f t="shared" si="7"/>
        <v>40056.330000000009</v>
      </c>
      <c r="CX15" s="163">
        <f t="shared" si="7"/>
        <v>36866.32</v>
      </c>
      <c r="CY15" s="163">
        <f t="shared" si="7"/>
        <v>41742.888500000001</v>
      </c>
      <c r="CZ15" s="164">
        <f>+CZ12+CZ13+CZ14</f>
        <v>158032.09850000002</v>
      </c>
      <c r="DA15" s="164">
        <f>+DA12+DA13+DA14</f>
        <v>158929.28186350001</v>
      </c>
      <c r="DB15" s="164">
        <f>+DB12+DB13+DB14</f>
        <v>163539.38317391014</v>
      </c>
      <c r="DC15" s="164">
        <f>+DC12+DC13+DC14</f>
        <v>167826.83523714161</v>
      </c>
      <c r="DD15" s="165"/>
      <c r="DE15" s="163"/>
      <c r="DF15" s="164">
        <f>CT15</f>
        <v>41326</v>
      </c>
      <c r="DG15" s="164">
        <v>38360.705000000002</v>
      </c>
      <c r="DH15" s="164">
        <f>CO15</f>
        <v>38654</v>
      </c>
      <c r="DI15" s="451">
        <f>IF(ISERROR(DF15/DG15-1),"NM",DF15/DG15-1)</f>
        <v>7.7300325945521609E-2</v>
      </c>
      <c r="DJ15" s="451">
        <f>IF(ISERROR(DF15/DH15-1),"NM",DF15/DH15-1)</f>
        <v>6.9126093030475566E-2</v>
      </c>
      <c r="DK15" s="163"/>
      <c r="DL15" s="163"/>
      <c r="DM15" s="163"/>
      <c r="DT15" s="830"/>
      <c r="DU15" s="163"/>
      <c r="DV15" s="155"/>
      <c r="DW15" s="155"/>
      <c r="DX15" s="165"/>
      <c r="DY15" s="165"/>
      <c r="DZ15" s="165"/>
      <c r="EA15" s="165"/>
      <c r="EB15" s="165"/>
      <c r="EC15" s="2"/>
      <c r="ED15" s="2"/>
      <c r="EE15" s="165"/>
      <c r="EF15" s="165"/>
      <c r="EG15" s="165"/>
      <c r="EH15" s="167"/>
      <c r="EI15" s="167"/>
      <c r="EJ15" s="2"/>
      <c r="EK15" s="2"/>
      <c r="EL15" s="2"/>
    </row>
    <row r="16" spans="1:142" ht="12" customHeight="1">
      <c r="A16" s="1109">
        <f t="shared" si="0"/>
        <v>13</v>
      </c>
      <c r="B16" s="10"/>
      <c r="C16" s="45" t="s">
        <v>271</v>
      </c>
      <c r="D16" s="38"/>
      <c r="E16" s="236"/>
      <c r="F16" s="236">
        <f>F15/E15-1</f>
        <v>7.1855152147122903E-2</v>
      </c>
      <c r="G16" s="236">
        <f>G15/F15-1</f>
        <v>4.5145621160479266E-2</v>
      </c>
      <c r="H16" s="236">
        <f>H15/G15-1</f>
        <v>-5.9956908616323967E-2</v>
      </c>
      <c r="I16" s="236">
        <f>I15/H15-1</f>
        <v>0.11246676268557509</v>
      </c>
      <c r="J16" s="152">
        <f t="shared" ref="J16:BU16" si="8">J15/E15-1</f>
        <v>-0.68721789159745361</v>
      </c>
      <c r="K16" s="152">
        <f t="shared" si="8"/>
        <v>-0.69726717962324225</v>
      </c>
      <c r="L16" s="152">
        <f t="shared" si="8"/>
        <v>-0.73927109167008398</v>
      </c>
      <c r="M16" s="152">
        <f t="shared" si="8"/>
        <v>-0.70494959007312208</v>
      </c>
      <c r="N16" s="236">
        <f t="shared" si="8"/>
        <v>5.8509380174034176E-2</v>
      </c>
      <c r="O16" s="152">
        <f t="shared" si="8"/>
        <v>-1.0444351191308821E-2</v>
      </c>
      <c r="P16" s="152">
        <f t="shared" si="8"/>
        <v>-4.9102227016337485E-2</v>
      </c>
      <c r="Q16" s="152">
        <f t="shared" si="8"/>
        <v>-9.3146922980901214E-2</v>
      </c>
      <c r="R16" s="152">
        <f t="shared" si="8"/>
        <v>-6.8997887819760573E-2</v>
      </c>
      <c r="S16" s="236">
        <f t="shared" si="8"/>
        <v>-5.4710745745569112E-2</v>
      </c>
      <c r="T16" s="152">
        <f t="shared" si="8"/>
        <v>-6.7686001036611265E-2</v>
      </c>
      <c r="U16" s="152">
        <f t="shared" si="8"/>
        <v>-2.5287139008366433E-3</v>
      </c>
      <c r="V16" s="152">
        <f t="shared" si="8"/>
        <v>8.2975443233124002E-2</v>
      </c>
      <c r="W16" s="152">
        <f t="shared" si="8"/>
        <v>3.7005293672800699E-2</v>
      </c>
      <c r="X16" s="236">
        <f t="shared" si="8"/>
        <v>9.343468902795582E-3</v>
      </c>
      <c r="Y16" s="152">
        <f t="shared" si="8"/>
        <v>3.1385035251307647E-2</v>
      </c>
      <c r="Z16" s="152">
        <f t="shared" si="8"/>
        <v>-3.850072262894777E-2</v>
      </c>
      <c r="AA16" s="152">
        <f t="shared" si="8"/>
        <v>-6.5992170420458574E-2</v>
      </c>
      <c r="AB16" s="152">
        <f t="shared" si="8"/>
        <v>0.12302494044435797</v>
      </c>
      <c r="AC16" s="236">
        <f t="shared" si="8"/>
        <v>1.2831574795385103E-2</v>
      </c>
      <c r="AD16" s="152">
        <f t="shared" si="8"/>
        <v>9.5749111846135104E-2</v>
      </c>
      <c r="AE16" s="152">
        <f t="shared" si="8"/>
        <v>5.6453600118278935E-2</v>
      </c>
      <c r="AF16" s="152">
        <f t="shared" si="8"/>
        <v>6.4748788851995087E-2</v>
      </c>
      <c r="AG16" s="152">
        <f t="shared" si="8"/>
        <v>-1.2987294097274837E-2</v>
      </c>
      <c r="AH16" s="236">
        <f t="shared" si="8"/>
        <v>4.854628874636413E-2</v>
      </c>
      <c r="AI16" s="152">
        <f t="shared" si="8"/>
        <v>9.2346220065737672E-3</v>
      </c>
      <c r="AJ16" s="152">
        <f t="shared" si="8"/>
        <v>5.3483544421897289E-2</v>
      </c>
      <c r="AK16" s="152">
        <f t="shared" si="8"/>
        <v>3.5505227371488424E-2</v>
      </c>
      <c r="AL16" s="152">
        <f t="shared" si="8"/>
        <v>1.0636198162240484E-2</v>
      </c>
      <c r="AM16" s="236">
        <f t="shared" si="8"/>
        <v>2.6579075651709694E-2</v>
      </c>
      <c r="AN16" s="152">
        <f t="shared" si="8"/>
        <v>-9.6308933002481445E-2</v>
      </c>
      <c r="AO16" s="152">
        <f t="shared" si="8"/>
        <v>-7.2798122481512628E-2</v>
      </c>
      <c r="AP16" s="152">
        <f t="shared" si="8"/>
        <v>-8.4300172796840322E-2</v>
      </c>
      <c r="AQ16" s="152">
        <f t="shared" si="8"/>
        <v>-0.1254448398576512</v>
      </c>
      <c r="AR16" s="236">
        <f t="shared" si="8"/>
        <v>-9.5146300651230087E-2</v>
      </c>
      <c r="AS16" s="152">
        <f t="shared" si="8"/>
        <v>5.4328372845620088E-2</v>
      </c>
      <c r="AT16" s="152">
        <f t="shared" si="8"/>
        <v>5.6449687186589603E-2</v>
      </c>
      <c r="AU16" s="152">
        <f t="shared" si="8"/>
        <v>0.10737296131554119</v>
      </c>
      <c r="AV16" s="152">
        <f t="shared" si="8"/>
        <v>9.4955710493015433E-2</v>
      </c>
      <c r="AW16" s="236">
        <f t="shared" si="8"/>
        <v>7.7406053790647578E-2</v>
      </c>
      <c r="AX16" s="152">
        <f t="shared" si="8"/>
        <v>6.6736425996976045E-3</v>
      </c>
      <c r="AY16" s="152">
        <f t="shared" si="8"/>
        <v>-7.0973283305456381E-2</v>
      </c>
      <c r="AZ16" s="152">
        <f t="shared" si="8"/>
        <v>-0.22717756463313699</v>
      </c>
      <c r="BA16" s="152">
        <f t="shared" si="8"/>
        <v>-0.34343983684568324</v>
      </c>
      <c r="BB16" s="236">
        <f>BB15/AW15-1</f>
        <v>-0.15853990896175818</v>
      </c>
      <c r="BC16" s="152">
        <f t="shared" si="8"/>
        <v>-0.43661646493578488</v>
      </c>
      <c r="BD16" s="152">
        <f t="shared" si="8"/>
        <v>-0.3477203055812369</v>
      </c>
      <c r="BE16" s="152">
        <f t="shared" si="8"/>
        <v>-4.6431046431046452E-2</v>
      </c>
      <c r="BF16" s="152">
        <f t="shared" si="8"/>
        <v>0.20145647822185397</v>
      </c>
      <c r="BG16" s="236">
        <f t="shared" si="8"/>
        <v>-0.1986782805242775</v>
      </c>
      <c r="BH16" s="152">
        <f t="shared" si="8"/>
        <v>0.29421894218942191</v>
      </c>
      <c r="BI16" s="152">
        <f t="shared" si="8"/>
        <v>0.30798209623274908</v>
      </c>
      <c r="BJ16" s="152">
        <f t="shared" si="8"/>
        <v>-1.2519820295983086E-2</v>
      </c>
      <c r="BK16" s="152">
        <f t="shared" si="8"/>
        <v>-6.845537330154261E-2</v>
      </c>
      <c r="BL16" s="236">
        <f t="shared" si="8"/>
        <v>0.10896691691820815</v>
      </c>
      <c r="BM16" s="152">
        <f t="shared" si="8"/>
        <v>4.9040106443641873E-2</v>
      </c>
      <c r="BN16" s="152">
        <f t="shared" si="8"/>
        <v>1.3117746029030153E-2</v>
      </c>
      <c r="BO16" s="152">
        <f t="shared" si="8"/>
        <v>0.10550965108888377</v>
      </c>
      <c r="BP16" s="152">
        <f t="shared" si="8"/>
        <v>6.6239052670531651E-2</v>
      </c>
      <c r="BQ16" s="236">
        <f t="shared" si="8"/>
        <v>5.6686880593079803E-2</v>
      </c>
      <c r="BR16" s="152">
        <f t="shared" si="8"/>
        <v>-2.0202935314368564E-2</v>
      </c>
      <c r="BS16" s="152">
        <f t="shared" si="8"/>
        <v>-6.5189855602781011E-2</v>
      </c>
      <c r="BT16" s="152">
        <f t="shared" si="8"/>
        <v>-2.6477441220080444E-2</v>
      </c>
      <c r="BU16" s="152">
        <f t="shared" si="8"/>
        <v>3.3404673762147175E-2</v>
      </c>
      <c r="BV16" s="236">
        <f t="shared" ref="BV16:CF16" si="9">BV15/BQ15-1</f>
        <v>-1.9851171255797606E-2</v>
      </c>
      <c r="BW16" s="152">
        <f t="shared" si="9"/>
        <v>9.8751733703190014E-2</v>
      </c>
      <c r="BX16" s="152">
        <f t="shared" si="9"/>
        <v>0.14188070217698945</v>
      </c>
      <c r="BY16" s="152">
        <f t="shared" si="9"/>
        <v>0.11199179410667659</v>
      </c>
      <c r="BZ16" s="152">
        <f t="shared" si="9"/>
        <v>5.1467913016708167E-2</v>
      </c>
      <c r="CA16" s="236">
        <f t="shared" si="9"/>
        <v>0.10001572338816556</v>
      </c>
      <c r="CB16" s="152">
        <f t="shared" si="9"/>
        <v>6.3676400460039861E-3</v>
      </c>
      <c r="CC16" s="152">
        <f t="shared" si="9"/>
        <v>-1.3501041584262796E-2</v>
      </c>
      <c r="CD16" s="152">
        <f t="shared" si="9"/>
        <v>-2.3899371069182385E-2</v>
      </c>
      <c r="CE16" s="152">
        <f t="shared" si="9"/>
        <v>-4.5248868778280493E-2</v>
      </c>
      <c r="CF16" s="236">
        <f t="shared" si="9"/>
        <v>-1.9330642471599657E-2</v>
      </c>
      <c r="CG16" s="152">
        <f t="shared" ref="CG16:CQ16" si="10">CG15/CB15-1</f>
        <v>-5.5078604080722515E-2</v>
      </c>
      <c r="CH16" s="152">
        <f t="shared" si="10"/>
        <v>-3.9560557055411394E-3</v>
      </c>
      <c r="CI16" s="152">
        <f t="shared" si="10"/>
        <v>9.2325315005727271E-2</v>
      </c>
      <c r="CJ16" s="152">
        <f t="shared" si="10"/>
        <v>0.12213548926679674</v>
      </c>
      <c r="CK16" s="236">
        <f t="shared" si="10"/>
        <v>3.8042158012729255E-2</v>
      </c>
      <c r="CL16" s="152">
        <f t="shared" si="10"/>
        <v>0.11262536873156348</v>
      </c>
      <c r="CM16" s="152">
        <f t="shared" si="10"/>
        <v>5.9630196173147576E-2</v>
      </c>
      <c r="CN16" s="152">
        <f t="shared" si="10"/>
        <v>-5.7702390939597281E-2</v>
      </c>
      <c r="CO16" s="152">
        <f t="shared" si="10"/>
        <v>-3.9676032893592672E-2</v>
      </c>
      <c r="CP16" s="236">
        <f t="shared" si="10"/>
        <v>1.4990839674240197E-2</v>
      </c>
      <c r="CQ16" s="152">
        <f t="shared" si="10"/>
        <v>3.7859907736359277E-2</v>
      </c>
      <c r="CR16" s="152">
        <f t="shared" ref="CR16:CZ16" si="11">CR15/CM15-1</f>
        <v>9.3199949347853028E-3</v>
      </c>
      <c r="CS16" s="152">
        <f t="shared" si="11"/>
        <v>1.4133489135575772E-2</v>
      </c>
      <c r="CT16" s="152">
        <f t="shared" si="11"/>
        <v>6.9126093030475566E-2</v>
      </c>
      <c r="CU16" s="236">
        <f t="shared" si="11"/>
        <v>3.2779973649538885E-2</v>
      </c>
      <c r="CV16" s="152">
        <f t="shared" si="11"/>
        <v>5.6342921371275168E-3</v>
      </c>
      <c r="CW16" s="152">
        <f>CW15/CR15-1</f>
        <v>5.1019998494470364E-3</v>
      </c>
      <c r="CX16" s="152">
        <f>CX15/CS15-1</f>
        <v>1.1393926092562623E-2</v>
      </c>
      <c r="CY16" s="152">
        <f>CY15/CT15-1</f>
        <v>1.0087801868073454E-2</v>
      </c>
      <c r="CZ16" s="236">
        <f t="shared" si="11"/>
        <v>8.0120586059091448E-3</v>
      </c>
      <c r="DA16" s="236">
        <f>DA15/CZ15-1</f>
        <v>5.6772223618861695E-3</v>
      </c>
      <c r="DB16" s="236">
        <f>DB15/DA15-1</f>
        <v>2.9007249364969789E-2</v>
      </c>
      <c r="DC16" s="236">
        <f>DC15/DB15-1</f>
        <v>2.6216633449522853E-2</v>
      </c>
      <c r="DD16" s="165"/>
      <c r="DE16" s="152"/>
      <c r="DF16" s="236">
        <f>CT16</f>
        <v>6.9126093030475566E-2</v>
      </c>
      <c r="DG16" s="236">
        <v>-7.587701143477954E-3</v>
      </c>
      <c r="DH16" s="236">
        <f>CO16</f>
        <v>-3.9676032893592672E-2</v>
      </c>
      <c r="DI16" s="452">
        <f>IF(ISERROR(DF16/DG16-1),"NM",DF16/DG16-1)</f>
        <v>-10.110281457235995</v>
      </c>
      <c r="DJ16" s="452">
        <f>IF(ISERROR(DF16/DH16-1),"NM",DF16/DH16-1)</f>
        <v>-2.7422632251532089</v>
      </c>
      <c r="DK16" s="152"/>
      <c r="DL16" s="152"/>
      <c r="DM16" s="152"/>
      <c r="DT16" s="829"/>
      <c r="DU16" s="152"/>
      <c r="DV16" s="152"/>
      <c r="DW16" s="152"/>
      <c r="DX16" s="152"/>
      <c r="DY16" s="152"/>
      <c r="DZ16" s="152"/>
      <c r="EA16" s="152"/>
      <c r="EB16" s="152"/>
      <c r="EC16" s="2"/>
      <c r="ED16" s="115"/>
      <c r="EE16" s="152"/>
      <c r="EF16" s="152"/>
      <c r="EG16" s="152"/>
      <c r="EH16" s="169"/>
      <c r="EI16" s="169"/>
      <c r="EJ16" s="2"/>
      <c r="EK16" s="2"/>
      <c r="EL16" s="2"/>
    </row>
    <row r="17" spans="1:142" ht="12" customHeight="1">
      <c r="A17" s="1109">
        <f t="shared" si="0"/>
        <v>14</v>
      </c>
      <c r="B17" s="10"/>
      <c r="C17" s="38"/>
      <c r="D17" s="38"/>
      <c r="E17" s="236"/>
      <c r="F17" s="236"/>
      <c r="G17" s="236"/>
      <c r="H17" s="236"/>
      <c r="I17" s="236"/>
      <c r="J17" s="152"/>
      <c r="K17" s="152"/>
      <c r="L17" s="152"/>
      <c r="M17" s="152"/>
      <c r="N17" s="236"/>
      <c r="O17" s="152"/>
      <c r="P17" s="152"/>
      <c r="Q17" s="152"/>
      <c r="R17" s="152"/>
      <c r="S17" s="236"/>
      <c r="T17" s="152"/>
      <c r="U17" s="152"/>
      <c r="V17" s="152"/>
      <c r="W17" s="152"/>
      <c r="X17" s="236"/>
      <c r="Y17" s="152"/>
      <c r="Z17" s="152"/>
      <c r="AA17" s="152"/>
      <c r="AB17" s="152"/>
      <c r="AC17" s="236"/>
      <c r="AD17" s="152"/>
      <c r="AE17" s="152"/>
      <c r="AF17" s="152"/>
      <c r="AG17" s="152"/>
      <c r="AH17" s="236"/>
      <c r="AI17" s="152"/>
      <c r="AJ17" s="152"/>
      <c r="AK17" s="152"/>
      <c r="AL17" s="152"/>
      <c r="AM17" s="236"/>
      <c r="AN17" s="152"/>
      <c r="AO17" s="152"/>
      <c r="AP17" s="152"/>
      <c r="AQ17" s="152"/>
      <c r="AR17" s="236"/>
      <c r="AS17" s="152"/>
      <c r="AT17" s="152"/>
      <c r="AU17" s="152"/>
      <c r="AV17" s="152"/>
      <c r="AW17" s="236"/>
      <c r="AX17" s="152"/>
      <c r="AY17" s="152"/>
      <c r="AZ17" s="152"/>
      <c r="BA17" s="152"/>
      <c r="BB17" s="236"/>
      <c r="BC17" s="152"/>
      <c r="BD17" s="152"/>
      <c r="BE17" s="152"/>
      <c r="BF17" s="152"/>
      <c r="BG17" s="236"/>
      <c r="BH17" s="152"/>
      <c r="BI17" s="152"/>
      <c r="BJ17" s="152"/>
      <c r="BK17" s="152"/>
      <c r="BL17" s="236"/>
      <c r="BM17" s="152"/>
      <c r="BN17" s="152"/>
      <c r="BO17" s="152"/>
      <c r="BP17" s="152"/>
      <c r="BQ17" s="236"/>
      <c r="BR17" s="152"/>
      <c r="BS17" s="152"/>
      <c r="BT17" s="152"/>
      <c r="BU17" s="152"/>
      <c r="BV17" s="236"/>
      <c r="BW17" s="152"/>
      <c r="BX17" s="152"/>
      <c r="BY17" s="152"/>
      <c r="BZ17" s="152"/>
      <c r="CA17" s="236"/>
      <c r="CB17" s="152"/>
      <c r="CC17" s="152"/>
      <c r="CD17" s="152"/>
      <c r="CE17" s="152"/>
      <c r="CF17" s="236"/>
      <c r="CG17" s="152"/>
      <c r="CH17" s="152"/>
      <c r="CI17" s="152"/>
      <c r="CJ17" s="152"/>
      <c r="CK17" s="236"/>
      <c r="CL17" s="152"/>
      <c r="CM17" s="152"/>
      <c r="CN17" s="152"/>
      <c r="CO17" s="152"/>
      <c r="CP17" s="236"/>
      <c r="CQ17" s="152"/>
      <c r="CR17" s="152"/>
      <c r="CS17" s="152"/>
      <c r="CT17" s="154"/>
      <c r="CU17" s="236"/>
      <c r="CV17" s="152"/>
      <c r="CW17" s="152"/>
      <c r="CX17" s="152"/>
      <c r="CY17" s="152"/>
      <c r="CZ17" s="236"/>
      <c r="DA17" s="236"/>
      <c r="DB17" s="236"/>
      <c r="DC17" s="236"/>
      <c r="DD17" s="165"/>
      <c r="DE17" s="152"/>
      <c r="DF17" s="236"/>
      <c r="DG17" s="236"/>
      <c r="DH17" s="236"/>
      <c r="DI17" s="452"/>
      <c r="DJ17" s="452"/>
      <c r="DK17" s="152"/>
      <c r="DL17" s="152"/>
      <c r="DM17" s="152"/>
      <c r="DT17" s="829"/>
      <c r="DU17" s="152"/>
      <c r="DV17" s="152"/>
      <c r="DW17" s="152"/>
      <c r="DX17" s="16"/>
      <c r="DY17" s="16"/>
      <c r="DZ17" s="16"/>
      <c r="EA17" s="16"/>
      <c r="EB17" s="16"/>
      <c r="EC17" s="2"/>
      <c r="ED17" s="2"/>
      <c r="EE17" s="152"/>
      <c r="EF17" s="152"/>
      <c r="EG17" s="152"/>
      <c r="EH17" s="169"/>
      <c r="EI17" s="169"/>
      <c r="EJ17" s="2"/>
      <c r="EK17" s="2"/>
      <c r="EL17" s="2"/>
    </row>
    <row r="18" spans="1:142" ht="12" customHeight="1">
      <c r="A18" s="1109">
        <f t="shared" si="0"/>
        <v>15</v>
      </c>
      <c r="B18" s="10"/>
      <c r="C18" s="1" t="s">
        <v>773</v>
      </c>
      <c r="E18" s="296">
        <v>-101171</v>
      </c>
      <c r="F18" s="296">
        <v>-108882</v>
      </c>
      <c r="G18" s="296">
        <v>-108907</v>
      </c>
      <c r="H18" s="296">
        <v>-103905</v>
      </c>
      <c r="I18" s="296">
        <v>-118985</v>
      </c>
      <c r="J18" s="154">
        <v>-31578</v>
      </c>
      <c r="K18" s="154">
        <v>-33495</v>
      </c>
      <c r="L18" s="154">
        <v>-29670</v>
      </c>
      <c r="M18" s="154">
        <f>-126114-SUM(J18:L18)</f>
        <v>-31371</v>
      </c>
      <c r="N18" s="235">
        <f>SUM(J18:M18)</f>
        <v>-126114</v>
      </c>
      <c r="O18" s="154">
        <f>-30815</f>
        <v>-30815</v>
      </c>
      <c r="P18" s="154">
        <v>-33648</v>
      </c>
      <c r="Q18" s="154">
        <v>-27193</v>
      </c>
      <c r="R18" s="154">
        <f>-128417-SUM(O18:Q18)</f>
        <v>-36761</v>
      </c>
      <c r="S18" s="235">
        <f>SUM(O18:R18)</f>
        <v>-128417</v>
      </c>
      <c r="T18" s="154">
        <v>-29923</v>
      </c>
      <c r="U18" s="154">
        <v>-32245</v>
      </c>
      <c r="V18" s="154">
        <v>-30568</v>
      </c>
      <c r="W18" s="154">
        <f>-125043-SUM(T18:V18)</f>
        <v>-32307</v>
      </c>
      <c r="X18" s="235">
        <f>SUM(T18:W18)</f>
        <v>-125043</v>
      </c>
      <c r="Y18" s="154">
        <v>-31055</v>
      </c>
      <c r="Z18" s="154">
        <v>-31660</v>
      </c>
      <c r="AA18" s="154">
        <v>-28381</v>
      </c>
      <c r="AB18" s="154">
        <f>-129685-SUM(Y18:AA18)</f>
        <v>-38589</v>
      </c>
      <c r="AC18" s="235">
        <f>SUM(Y18:AB18)</f>
        <v>-129685</v>
      </c>
      <c r="AD18" s="154">
        <v>-34054</v>
      </c>
      <c r="AE18" s="154">
        <v>-33624</v>
      </c>
      <c r="AF18" s="154">
        <v>-30956</v>
      </c>
      <c r="AG18" s="154">
        <f>-135755-SUM(AD18:AF18)</f>
        <v>-37121</v>
      </c>
      <c r="AH18" s="235">
        <f>SUM(AD18:AG18)</f>
        <v>-135755</v>
      </c>
      <c r="AI18" s="154">
        <v>-35558</v>
      </c>
      <c r="AJ18" s="154">
        <v>-36722</v>
      </c>
      <c r="AK18" s="154">
        <v>-33471</v>
      </c>
      <c r="AL18" s="154">
        <f>-144924-SUM(AI18:AK18)</f>
        <v>-39173</v>
      </c>
      <c r="AM18" s="235">
        <f>SUM(AI18:AL18)</f>
        <v>-144924</v>
      </c>
      <c r="AN18" s="154">
        <v>-36655</v>
      </c>
      <c r="AO18" s="154">
        <v>-36131</v>
      </c>
      <c r="AP18" s="154">
        <v>-37552</v>
      </c>
      <c r="AQ18" s="154">
        <f>-148866-SUM(AN18:AP18)</f>
        <v>-38528</v>
      </c>
      <c r="AR18" s="235">
        <f>SUM(AN18:AQ18)</f>
        <v>-148866</v>
      </c>
      <c r="AS18" s="154">
        <f>-34716+113</f>
        <v>-34603</v>
      </c>
      <c r="AT18" s="154">
        <f>-36182-443</f>
        <v>-36625</v>
      </c>
      <c r="AU18" s="154">
        <f>-33238+350</f>
        <v>-32888</v>
      </c>
      <c r="AV18" s="154">
        <f>-142587+(3872-2400)-SUM(AS18:AU18)</f>
        <v>-36999</v>
      </c>
      <c r="AW18" s="235">
        <f>SUM(AS18:AV18)</f>
        <v>-141115</v>
      </c>
      <c r="AX18" s="154">
        <f>-35456+344</f>
        <v>-35112</v>
      </c>
      <c r="AY18" s="154">
        <f>-39994+5300+469</f>
        <v>-34225</v>
      </c>
      <c r="AZ18" s="154">
        <f>-25001-2310</f>
        <v>-27311</v>
      </c>
      <c r="BA18" s="154">
        <f>-127102-SUM(AX18:AZ18)-668+5300</f>
        <v>-25822</v>
      </c>
      <c r="BB18" s="235">
        <f>SUM(AX18:BA18)</f>
        <v>-122470</v>
      </c>
      <c r="BC18" s="154">
        <f>-21413+149</f>
        <v>-21264</v>
      </c>
      <c r="BD18" s="154">
        <f>-23346+358</f>
        <v>-22988</v>
      </c>
      <c r="BE18" s="154">
        <f>-24817+160</f>
        <v>-24657</v>
      </c>
      <c r="BF18" s="154">
        <f>-98866+1531-SUM(BC18:BE18)</f>
        <v>-28426</v>
      </c>
      <c r="BG18" s="235">
        <f>SUM(BC18:BF18)</f>
        <v>-97335</v>
      </c>
      <c r="BH18" s="154">
        <f>-25139+((86+15-38)/2)</f>
        <v>-25107.5</v>
      </c>
      <c r="BI18" s="154">
        <f>-27828+((27+232-30)/2)</f>
        <v>-27713.5</v>
      </c>
      <c r="BJ18" s="154">
        <f>-24233+((-3+43-7)/2)</f>
        <v>-24216.5</v>
      </c>
      <c r="BK18" s="154">
        <f>-104451+((35+49+39)/2)-SUM(BH18:BJ18)</f>
        <v>-27352</v>
      </c>
      <c r="BL18" s="235">
        <f>SUM(BH18:BK18)</f>
        <v>-104389.5</v>
      </c>
      <c r="BM18" s="154">
        <f>-26776+22+1+1</f>
        <v>-26752</v>
      </c>
      <c r="BN18" s="154">
        <f>-29253+((110+61-5+104)/2)</f>
        <v>-29118</v>
      </c>
      <c r="BO18" s="154">
        <f>-27617+((84+42-29)/2)</f>
        <v>-27568.5</v>
      </c>
      <c r="BP18" s="154">
        <f>-113345-SUM(BM18:BO18)+((269+151-93+109)/2)</f>
        <v>-29688.5</v>
      </c>
      <c r="BQ18" s="235">
        <f>SUM(BM18:BP18)</f>
        <v>-113127</v>
      </c>
      <c r="BR18" s="154">
        <f>-26934+233</f>
        <v>-26701</v>
      </c>
      <c r="BS18" s="154">
        <f>-27870+39</f>
        <v>-27831</v>
      </c>
      <c r="BT18" s="154">
        <f>-26650+18</f>
        <v>-26632</v>
      </c>
      <c r="BU18" s="154">
        <f>-112992+481+(250/2)-SUM(BR18:BT18)</f>
        <v>-31222</v>
      </c>
      <c r="BV18" s="235">
        <f>SUM(BR18:BU18)</f>
        <v>-112386</v>
      </c>
      <c r="BW18" s="154">
        <f>-30005+(8/2)</f>
        <v>-30001</v>
      </c>
      <c r="BX18" s="154">
        <f>-32524+(442/2)+(294/2)</f>
        <v>-32156</v>
      </c>
      <c r="BY18" s="154">
        <f>-30030+(250/2)+(145/2)</f>
        <v>-29832.5</v>
      </c>
      <c r="BZ18" s="154">
        <f>-125195+(856/2)+(594/2)-SUM(BW18:BY18)</f>
        <v>-32480.5</v>
      </c>
      <c r="CA18" s="255">
        <f>+SUM(BW18:BZ18)</f>
        <v>-124470</v>
      </c>
      <c r="CB18" s="154">
        <f>-31021+(122/2)</f>
        <v>-30960</v>
      </c>
      <c r="CC18" s="154">
        <f>-31247+(76)</f>
        <v>-31171</v>
      </c>
      <c r="CD18" s="154">
        <f>-30197+(160/2)</f>
        <v>-30117</v>
      </c>
      <c r="CE18" s="154">
        <f>(-125025+(681/2)+(4123/2))-SUM(CB18:CD18)</f>
        <v>-30375</v>
      </c>
      <c r="CF18" s="255">
        <f>+SUM(CB18:CE18)</f>
        <v>-122623</v>
      </c>
      <c r="CG18" s="154">
        <v>-28472</v>
      </c>
      <c r="CH18" s="154">
        <v>-30326</v>
      </c>
      <c r="CI18" s="154">
        <f>-31213</f>
        <v>-31213</v>
      </c>
      <c r="CJ18" s="154">
        <f>-124041+698-SUM(CG18:CI18)</f>
        <v>-33332</v>
      </c>
      <c r="CK18" s="255">
        <f>+SUM(CG18:CJ18)</f>
        <v>-123343</v>
      </c>
      <c r="CL18" s="154">
        <f>-30517+12+174</f>
        <v>-30331</v>
      </c>
      <c r="CM18" s="154">
        <f>-32348+102+5+11</f>
        <v>-32230</v>
      </c>
      <c r="CN18" s="154">
        <f>-30446+17+9</f>
        <v>-30420</v>
      </c>
      <c r="CO18" s="154">
        <f>-126584-SUM(CL18:CN18)+2985+11+304+199+80</f>
        <v>-30024</v>
      </c>
      <c r="CP18" s="255">
        <f>+SUM(CL18:CO18)</f>
        <v>-123005</v>
      </c>
      <c r="CQ18" s="154">
        <f>-32708+22-46</f>
        <v>-32732</v>
      </c>
      <c r="CR18" s="154">
        <f>-33349+241</f>
        <v>-33108</v>
      </c>
      <c r="CS18" s="154">
        <f>-30288+217</f>
        <v>-30071</v>
      </c>
      <c r="CT18" s="154">
        <f>-131332-SUM(CQ18:CS18)+262-354+297-41+225</f>
        <v>-35032</v>
      </c>
      <c r="CU18" s="255">
        <f>+SUM(CQ18:CT18)</f>
        <v>-130943</v>
      </c>
      <c r="CV18" s="155">
        <f>-CV15*CV19</f>
        <v>-33461.575999999994</v>
      </c>
      <c r="CW18" s="155">
        <f>-CW15*CW19</f>
        <v>-34047.880500000007</v>
      </c>
      <c r="CX18" s="155">
        <f>-CX15*CX19</f>
        <v>-31336.371999999999</v>
      </c>
      <c r="CY18" s="155">
        <f>-CY15*CY19</f>
        <v>-35481.455224999998</v>
      </c>
      <c r="CZ18" s="255">
        <f>+SUM(CV18:CY18)</f>
        <v>-134327.28372499999</v>
      </c>
      <c r="DA18" s="255">
        <f>-DA15*DA19</f>
        <v>-136679.18240261002</v>
      </c>
      <c r="DB18" s="255">
        <f>-DB15*DB19</f>
        <v>-140643.86952956271</v>
      </c>
      <c r="DC18" s="255">
        <f>-DC15*DC19</f>
        <v>-145170.21248012749</v>
      </c>
      <c r="DD18" s="165"/>
      <c r="DE18" s="154"/>
      <c r="DF18" s="255">
        <f t="shared" ref="DF18:DF25" si="12">CT18</f>
        <v>-35032</v>
      </c>
      <c r="DG18" s="255">
        <v>-31869.577724999999</v>
      </c>
      <c r="DH18" s="255">
        <f t="shared" ref="DH18:DH25" si="13">CO18</f>
        <v>-30024</v>
      </c>
      <c r="DI18" s="450">
        <f t="shared" ref="DI18:DI25" si="14">IF(ISERROR(DF18/DG18-1),"NM",DF18/DG18-1)</f>
        <v>9.9230127938571666E-2</v>
      </c>
      <c r="DJ18" s="450">
        <f t="shared" ref="DJ18:DJ25" si="15">IF(ISERROR(DF18/DH18-1),"NM",DF18/DH18-1)</f>
        <v>0.16679989341859836</v>
      </c>
      <c r="DK18" s="154"/>
      <c r="DL18" s="154"/>
      <c r="DM18" s="154"/>
      <c r="DT18" s="828"/>
      <c r="DU18" s="154"/>
      <c r="DV18" s="155"/>
      <c r="DW18" s="155"/>
      <c r="DX18" s="165"/>
      <c r="DY18" s="165"/>
      <c r="DZ18" s="165"/>
      <c r="EA18" s="165"/>
      <c r="EB18" s="165"/>
      <c r="EC18" s="2"/>
      <c r="ED18" s="2"/>
      <c r="EE18" s="165"/>
      <c r="EF18" s="165"/>
      <c r="EG18" s="165"/>
      <c r="EH18" s="167"/>
      <c r="EI18" s="167"/>
      <c r="EJ18" s="2"/>
      <c r="EK18" s="2"/>
      <c r="EL18" s="2"/>
    </row>
    <row r="19" spans="1:142" ht="12" customHeight="1">
      <c r="A19" s="1109">
        <f t="shared" si="0"/>
        <v>16</v>
      </c>
      <c r="B19" s="10"/>
      <c r="C19" s="45" t="s">
        <v>774</v>
      </c>
      <c r="D19" s="38"/>
      <c r="E19" s="236">
        <f>-E18/E15</f>
        <v>0.73773671583890565</v>
      </c>
      <c r="F19" s="236">
        <f t="shared" ref="F19:BQ19" si="16">-F18/F15</f>
        <v>0.74073922893238364</v>
      </c>
      <c r="G19" s="236">
        <f t="shared" si="16"/>
        <v>0.70890533565063429</v>
      </c>
      <c r="H19" s="236">
        <f t="shared" si="16"/>
        <v>0.71948399069355196</v>
      </c>
      <c r="I19" s="236">
        <f t="shared" si="16"/>
        <v>0.74061048936249674</v>
      </c>
      <c r="J19" s="152">
        <f t="shared" si="16"/>
        <v>0.73618687928381588</v>
      </c>
      <c r="K19" s="152">
        <f t="shared" si="16"/>
        <v>0.75271354412458702</v>
      </c>
      <c r="L19" s="152">
        <f t="shared" si="16"/>
        <v>0.74073149419548123</v>
      </c>
      <c r="M19" s="152">
        <f t="shared" si="16"/>
        <v>0.73623562544003751</v>
      </c>
      <c r="N19" s="236">
        <f t="shared" si="16"/>
        <v>0.74159404438485688</v>
      </c>
      <c r="O19" s="152">
        <f t="shared" si="16"/>
        <v>0.72598124676058995</v>
      </c>
      <c r="P19" s="152">
        <f t="shared" si="16"/>
        <v>0.79519780687242991</v>
      </c>
      <c r="Q19" s="152">
        <f t="shared" si="16"/>
        <v>0.74862349961457986</v>
      </c>
      <c r="R19" s="152">
        <f t="shared" si="16"/>
        <v>0.92667002772876228</v>
      </c>
      <c r="S19" s="236">
        <f t="shared" si="16"/>
        <v>0.79884170844893443</v>
      </c>
      <c r="T19" s="152">
        <f t="shared" si="16"/>
        <v>0.75614686781391349</v>
      </c>
      <c r="U19" s="152">
        <f t="shared" si="16"/>
        <v>0.76397280072025964</v>
      </c>
      <c r="V19" s="152">
        <f t="shared" si="16"/>
        <v>0.77706034877217955</v>
      </c>
      <c r="W19" s="152">
        <f t="shared" si="16"/>
        <v>0.78533229617385381</v>
      </c>
      <c r="X19" s="236">
        <f t="shared" si="16"/>
        <v>0.77065254905827829</v>
      </c>
      <c r="Y19" s="152">
        <f t="shared" si="16"/>
        <v>0.7608722283474213</v>
      </c>
      <c r="Z19" s="152">
        <f t="shared" si="16"/>
        <v>0.78014883445862693</v>
      </c>
      <c r="AA19" s="152">
        <f t="shared" si="16"/>
        <v>0.7724402591040227</v>
      </c>
      <c r="AB19" s="152">
        <f t="shared" si="16"/>
        <v>0.83527781986623084</v>
      </c>
      <c r="AC19" s="236">
        <f t="shared" si="16"/>
        <v>0.78913580547408391</v>
      </c>
      <c r="AD19" s="152">
        <f t="shared" si="16"/>
        <v>0.76144265814010692</v>
      </c>
      <c r="AE19" s="152">
        <f t="shared" si="16"/>
        <v>0.78426982016653835</v>
      </c>
      <c r="AF19" s="152">
        <f t="shared" si="16"/>
        <v>0.79128856624319421</v>
      </c>
      <c r="AG19" s="152">
        <f t="shared" si="16"/>
        <v>0.81407487006293999</v>
      </c>
      <c r="AH19" s="236">
        <f t="shared" si="16"/>
        <v>0.78782585482485668</v>
      </c>
      <c r="AI19" s="152">
        <f t="shared" si="16"/>
        <v>0.78779688053881602</v>
      </c>
      <c r="AJ19" s="152">
        <f t="shared" si="16"/>
        <v>0.81304521099942439</v>
      </c>
      <c r="AK19" s="152">
        <f t="shared" si="16"/>
        <v>0.826240434460627</v>
      </c>
      <c r="AL19" s="152">
        <f t="shared" si="16"/>
        <v>0.85003471920840201</v>
      </c>
      <c r="AM19" s="236">
        <f t="shared" si="16"/>
        <v>0.81926103473227208</v>
      </c>
      <c r="AN19" s="152">
        <f t="shared" si="16"/>
        <v>0.89864914560298115</v>
      </c>
      <c r="AO19" s="152">
        <f t="shared" si="16"/>
        <v>0.86276804049859113</v>
      </c>
      <c r="AP19" s="152">
        <f t="shared" si="16"/>
        <v>1.0123197196387654</v>
      </c>
      <c r="AQ19" s="152">
        <f t="shared" si="16"/>
        <v>0.95595861350271694</v>
      </c>
      <c r="AR19" s="236">
        <f t="shared" si="16"/>
        <v>0.93003467341392554</v>
      </c>
      <c r="AS19" s="152">
        <f t="shared" si="16"/>
        <v>0.80462736891059183</v>
      </c>
      <c r="AT19" s="152">
        <f t="shared" si="16"/>
        <v>0.82783328059310157</v>
      </c>
      <c r="AU19" s="152">
        <f t="shared" si="16"/>
        <v>0.80062320463508452</v>
      </c>
      <c r="AV19" s="152">
        <f t="shared" si="16"/>
        <v>0.83840924541128481</v>
      </c>
      <c r="AW19" s="236">
        <f t="shared" si="16"/>
        <v>0.81827143312748252</v>
      </c>
      <c r="AX19" s="152">
        <f t="shared" si="16"/>
        <v>0.81105054051556869</v>
      </c>
      <c r="AY19" s="152">
        <f t="shared" si="16"/>
        <v>0.83268454089825317</v>
      </c>
      <c r="AZ19" s="152">
        <f t="shared" si="16"/>
        <v>0.86029736029736026</v>
      </c>
      <c r="BA19" s="152">
        <f t="shared" si="16"/>
        <v>0.89121281148616005</v>
      </c>
      <c r="BB19" s="236">
        <f t="shared" si="16"/>
        <v>0.84395716471188165</v>
      </c>
      <c r="BC19" s="152">
        <f t="shared" si="16"/>
        <v>0.87183271832718323</v>
      </c>
      <c r="BD19" s="152">
        <f t="shared" si="16"/>
        <v>0.85744125326370757</v>
      </c>
      <c r="BE19" s="152">
        <f t="shared" si="16"/>
        <v>0.81451506342494717</v>
      </c>
      <c r="BF19" s="152">
        <f t="shared" si="16"/>
        <v>0.8165809657866766</v>
      </c>
      <c r="BG19" s="236">
        <f t="shared" si="16"/>
        <v>0.83705270761848249</v>
      </c>
      <c r="BH19" s="152">
        <f t="shared" si="16"/>
        <v>0.79539694608122669</v>
      </c>
      <c r="BI19" s="152">
        <f t="shared" si="16"/>
        <v>0.79030142299027573</v>
      </c>
      <c r="BJ19" s="152">
        <f t="shared" si="16"/>
        <v>0.81010604489345328</v>
      </c>
      <c r="BK19" s="152">
        <f t="shared" si="16"/>
        <v>0.84346860737634144</v>
      </c>
      <c r="BL19" s="236">
        <f t="shared" si="16"/>
        <v>0.80950959256789246</v>
      </c>
      <c r="BM19" s="152">
        <f t="shared" si="16"/>
        <v>0.80787582291477922</v>
      </c>
      <c r="BN19" s="152">
        <f t="shared" si="16"/>
        <v>0.81960199285050805</v>
      </c>
      <c r="BO19" s="152">
        <f t="shared" si="16"/>
        <v>0.83422095802947316</v>
      </c>
      <c r="BP19" s="152">
        <f t="shared" si="16"/>
        <v>0.85864472466450714</v>
      </c>
      <c r="BQ19" s="236">
        <f t="shared" si="16"/>
        <v>0.83020460282980102</v>
      </c>
      <c r="BR19" s="152">
        <f t="shared" ref="BR19:CF19" si="17">-BR18/BR15</f>
        <v>0.82296193558329478</v>
      </c>
      <c r="BS19" s="152">
        <f t="shared" si="17"/>
        <v>0.83800548011201104</v>
      </c>
      <c r="BT19" s="152">
        <f t="shared" si="17"/>
        <v>0.82780057192589829</v>
      </c>
      <c r="BU19" s="152">
        <f t="shared" si="17"/>
        <v>0.87380705829671712</v>
      </c>
      <c r="BV19" s="236">
        <f t="shared" si="17"/>
        <v>0.8414708106529698</v>
      </c>
      <c r="BW19" s="152">
        <f t="shared" si="17"/>
        <v>0.84156638334876155</v>
      </c>
      <c r="BX19" s="152">
        <f t="shared" si="17"/>
        <v>0.84792869762413314</v>
      </c>
      <c r="BY19" s="152">
        <f t="shared" si="17"/>
        <v>0.83389238294898671</v>
      </c>
      <c r="BZ19" s="152">
        <f t="shared" si="17"/>
        <v>0.86453287197231832</v>
      </c>
      <c r="CA19" s="236">
        <f t="shared" si="17"/>
        <v>0.8472130522676069</v>
      </c>
      <c r="CB19" s="152">
        <f t="shared" si="17"/>
        <v>0.86297246069795963</v>
      </c>
      <c r="CC19" s="152">
        <f t="shared" si="17"/>
        <v>0.83320413782042713</v>
      </c>
      <c r="CD19" s="152">
        <f t="shared" si="17"/>
        <v>0.86245704467353956</v>
      </c>
      <c r="CE19" s="152">
        <f t="shared" si="17"/>
        <v>0.84680791747978812</v>
      </c>
      <c r="CF19" s="236">
        <f t="shared" si="17"/>
        <v>0.85109351249678988</v>
      </c>
      <c r="CG19" s="152">
        <f t="shared" ref="CG19:CZ19" si="18">-CG18/CG15</f>
        <v>0.83988200589970496</v>
      </c>
      <c r="CH19" s="152">
        <f t="shared" si="18"/>
        <v>0.8138367817942731</v>
      </c>
      <c r="CI19" s="152">
        <f t="shared" si="18"/>
        <v>0.81829383389261745</v>
      </c>
      <c r="CJ19" s="152">
        <f t="shared" si="18"/>
        <v>0.8281036495987677</v>
      </c>
      <c r="CK19" s="236">
        <f t="shared" si="18"/>
        <v>0.8247168322657431</v>
      </c>
      <c r="CL19" s="152">
        <f t="shared" si="18"/>
        <v>0.80415186383159232</v>
      </c>
      <c r="CM19" s="152">
        <f t="shared" si="18"/>
        <v>0.81625933898948966</v>
      </c>
      <c r="CN19" s="152">
        <f t="shared" si="18"/>
        <v>0.84634003839412408</v>
      </c>
      <c r="CO19" s="152">
        <f t="shared" si="18"/>
        <v>0.7767372070160915</v>
      </c>
      <c r="CP19" s="236">
        <f t="shared" si="18"/>
        <v>0.81030961791831357</v>
      </c>
      <c r="CQ19" s="152">
        <f t="shared" si="18"/>
        <v>0.83615184182291935</v>
      </c>
      <c r="CR19" s="152">
        <f t="shared" si="18"/>
        <v>0.83075301733871976</v>
      </c>
      <c r="CS19" s="152">
        <f t="shared" si="18"/>
        <v>0.82497050835368024</v>
      </c>
      <c r="CT19" s="152">
        <f t="shared" si="18"/>
        <v>0.84769878526835407</v>
      </c>
      <c r="CU19" s="236">
        <f t="shared" si="18"/>
        <v>0.83522350359748943</v>
      </c>
      <c r="CV19" s="1058">
        <v>0.85</v>
      </c>
      <c r="CW19" s="1058">
        <v>0.85</v>
      </c>
      <c r="CX19" s="1058">
        <v>0.85</v>
      </c>
      <c r="CY19" s="1058">
        <v>0.85</v>
      </c>
      <c r="CZ19" s="236">
        <f t="shared" si="18"/>
        <v>0.84999999999999976</v>
      </c>
      <c r="DA19" s="1049">
        <v>0.86</v>
      </c>
      <c r="DB19" s="1049">
        <v>0.86</v>
      </c>
      <c r="DC19" s="1049">
        <v>0.86499999999999999</v>
      </c>
      <c r="DD19" s="165"/>
      <c r="DE19" s="152"/>
      <c r="DF19" s="236">
        <f t="shared" si="12"/>
        <v>0.84769878526835407</v>
      </c>
      <c r="DG19" s="236">
        <v>0.83078707038882627</v>
      </c>
      <c r="DH19" s="236">
        <f t="shared" si="13"/>
        <v>0.7767372070160915</v>
      </c>
      <c r="DI19" s="452">
        <f t="shared" si="14"/>
        <v>2.0356256714025189E-2</v>
      </c>
      <c r="DJ19" s="452">
        <f t="shared" si="15"/>
        <v>9.1358541359011447E-2</v>
      </c>
      <c r="DK19" s="152"/>
      <c r="DL19" s="152"/>
      <c r="DM19" s="152"/>
      <c r="DT19" s="829"/>
      <c r="DU19" s="152"/>
      <c r="DV19" s="170"/>
      <c r="DW19" s="170"/>
      <c r="DX19" s="152"/>
      <c r="DY19" s="171"/>
      <c r="DZ19" s="171"/>
      <c r="EA19" s="171"/>
      <c r="EB19" s="171"/>
      <c r="EC19" s="2"/>
      <c r="ED19" s="2"/>
      <c r="EE19" s="152"/>
      <c r="EF19" s="152"/>
      <c r="EG19" s="152"/>
      <c r="EH19" s="169"/>
      <c r="EI19" s="169"/>
      <c r="EJ19" s="2"/>
      <c r="EK19" s="2"/>
      <c r="EL19" s="2"/>
    </row>
    <row r="20" spans="1:142" ht="12" customHeight="1">
      <c r="A20" s="1109">
        <f t="shared" si="0"/>
        <v>17</v>
      </c>
      <c r="B20" s="10"/>
      <c r="C20" s="1033" t="s">
        <v>775</v>
      </c>
      <c r="E20" s="296">
        <f>-6044-6500-5499</f>
        <v>-18043</v>
      </c>
      <c r="F20" s="296">
        <f>-6625-6875-6217</f>
        <v>-19717</v>
      </c>
      <c r="G20" s="296">
        <f>-7082-7645-6621</f>
        <v>-21348</v>
      </c>
      <c r="H20" s="296">
        <f>-8493-8589-4618</f>
        <v>-21700</v>
      </c>
      <c r="I20" s="296">
        <f>-8874-9254-4653</f>
        <v>-22781</v>
      </c>
      <c r="J20" s="154">
        <f>-2265-2208-1211</f>
        <v>-5684</v>
      </c>
      <c r="K20" s="154">
        <f>-2458-2398-1249</f>
        <v>-6105</v>
      </c>
      <c r="L20" s="154">
        <f>-2338-2427-1257</f>
        <v>-6022</v>
      </c>
      <c r="M20" s="154">
        <f>-9884-9408-4971-SUM(J20:L20)</f>
        <v>-6452</v>
      </c>
      <c r="N20" s="235">
        <f>SUM(J20:M20)</f>
        <v>-24263</v>
      </c>
      <c r="O20" s="154">
        <f>-2506-2519-1437</f>
        <v>-6462</v>
      </c>
      <c r="P20" s="154">
        <f>-2336-2674-1342</f>
        <v>-6352</v>
      </c>
      <c r="Q20" s="154">
        <f>-2342-2680-1401</f>
        <v>-6423</v>
      </c>
      <c r="R20" s="154">
        <f>-9805-10164-5221-SUM(O20:Q20)</f>
        <v>-5953</v>
      </c>
      <c r="S20" s="235">
        <f>SUM(O20:R20)</f>
        <v>-25190</v>
      </c>
      <c r="T20" s="154">
        <v>-6309</v>
      </c>
      <c r="U20" s="154">
        <v>-6119</v>
      </c>
      <c r="V20" s="154">
        <v>-6177</v>
      </c>
      <c r="W20" s="154">
        <f>-24894-SUM(T20:V20)</f>
        <v>-6289</v>
      </c>
      <c r="X20" s="235">
        <f>SUM(T20:W20)</f>
        <v>-24894</v>
      </c>
      <c r="Y20" s="154">
        <v>-6039</v>
      </c>
      <c r="Z20" s="154">
        <v>-5904</v>
      </c>
      <c r="AA20" s="154">
        <v>-5901</v>
      </c>
      <c r="AB20" s="154">
        <f>-24394-SUM(Y20:AA20)</f>
        <v>-6550</v>
      </c>
      <c r="AC20" s="235">
        <f>SUM(Y20:AB20)</f>
        <v>-24394</v>
      </c>
      <c r="AD20" s="154">
        <v>-5819</v>
      </c>
      <c r="AE20" s="154">
        <v>-5920</v>
      </c>
      <c r="AF20" s="154">
        <v>-5694</v>
      </c>
      <c r="AG20" s="154">
        <f>-24012-SUM(AD20:AF20)</f>
        <v>-6579</v>
      </c>
      <c r="AH20" s="235">
        <f>SUM(AD20:AG20)</f>
        <v>-24012</v>
      </c>
      <c r="AI20" s="154">
        <v>-6090</v>
      </c>
      <c r="AJ20" s="154">
        <v>-6104</v>
      </c>
      <c r="AK20" s="154">
        <v>-5983</v>
      </c>
      <c r="AL20" s="154">
        <f>-24622-SUM(AI20:AK20)</f>
        <v>-6445</v>
      </c>
      <c r="AM20" s="235">
        <f>SUM(AI20:AL20)</f>
        <v>-24622</v>
      </c>
      <c r="AN20" s="154">
        <v>-4594</v>
      </c>
      <c r="AO20" s="154">
        <v>-4623</v>
      </c>
      <c r="AP20" s="154">
        <v>-4489</v>
      </c>
      <c r="AQ20" s="154">
        <f>-19148-SUM(AN20:AP20)</f>
        <v>-5442</v>
      </c>
      <c r="AR20" s="235">
        <f>SUM(AN20:AQ20)</f>
        <v>-19148</v>
      </c>
      <c r="AS20" s="154">
        <v>-5964</v>
      </c>
      <c r="AT20" s="154">
        <v>-4952</v>
      </c>
      <c r="AU20" s="154">
        <v>-4904</v>
      </c>
      <c r="AV20" s="154">
        <f>-21169-SUM(AS20:AU20)</f>
        <v>-5349</v>
      </c>
      <c r="AW20" s="235">
        <f>SUM(AS20:AV20)</f>
        <v>-21169</v>
      </c>
      <c r="AX20" s="154">
        <v>-5094</v>
      </c>
      <c r="AY20" s="154">
        <f>-7305+2086</f>
        <v>-5219</v>
      </c>
      <c r="AZ20" s="154">
        <v>-4575</v>
      </c>
      <c r="BA20" s="154">
        <f>-21430-SUM(AX20:AZ20)+2086</f>
        <v>-4456</v>
      </c>
      <c r="BB20" s="235">
        <f>SUM(AX20:BA20)</f>
        <v>-19344</v>
      </c>
      <c r="BC20" s="154">
        <v>-3692</v>
      </c>
      <c r="BD20" s="154">
        <v>-3110</v>
      </c>
      <c r="BE20" s="154">
        <v>-3005</v>
      </c>
      <c r="BF20" s="154">
        <f>-13029-SUM(BC20:BE20)</f>
        <v>-3222</v>
      </c>
      <c r="BG20" s="235">
        <f>SUM(BC20:BF20)</f>
        <v>-13029</v>
      </c>
      <c r="BH20" s="154">
        <f>-3089+((86+15-38)/2)</f>
        <v>-3057.5</v>
      </c>
      <c r="BI20" s="154">
        <f>-3137+((27+232-30)/2)</f>
        <v>-3022.5</v>
      </c>
      <c r="BJ20" s="154">
        <f>-2654+((-3+43-7)/2)</f>
        <v>-2637.5</v>
      </c>
      <c r="BK20" s="154">
        <f>-11909-SUM(BH20:BJ20)+((35+49+39)/2)</f>
        <v>-3130</v>
      </c>
      <c r="BL20" s="235">
        <f>SUM(BH20:BK20)</f>
        <v>-11847.5</v>
      </c>
      <c r="BM20" s="154">
        <v>-2734</v>
      </c>
      <c r="BN20" s="154">
        <f>-2907+((110+61-5+104)/2)</f>
        <v>-2772</v>
      </c>
      <c r="BO20" s="154">
        <f>-2861+((84+42-29)/2)</f>
        <v>-2812.5</v>
      </c>
      <c r="BP20" s="154">
        <f>-11578-SUM(BM20:BO20)+((269+151-93+109)/2)</f>
        <v>-3041.5</v>
      </c>
      <c r="BQ20" s="235">
        <f>SUM(BM20:BP20)</f>
        <v>-11360</v>
      </c>
      <c r="BR20" s="154">
        <f>-2878+16</f>
        <v>-2862</v>
      </c>
      <c r="BS20" s="154">
        <f>-2983+13</f>
        <v>-2970</v>
      </c>
      <c r="BT20" s="154">
        <f>-2919+18</f>
        <v>-2901</v>
      </c>
      <c r="BU20" s="154">
        <f>-11494+71+(250/2)-SUM(BR20:BT20)</f>
        <v>-2565</v>
      </c>
      <c r="BV20" s="235">
        <f>SUM(BR20:BU20)</f>
        <v>-11298</v>
      </c>
      <c r="BW20" s="154">
        <f>-3124+(8/2)</f>
        <v>-3120</v>
      </c>
      <c r="BX20" s="154">
        <f>-3203+(442/2)+(294/2)</f>
        <v>-2835</v>
      </c>
      <c r="BY20" s="154">
        <f>-3235+(250/2)+(145/2)</f>
        <v>-3037.5</v>
      </c>
      <c r="BZ20" s="154">
        <f>-13176+(856/2)+(594/2)-SUM(BW20:BY20)</f>
        <v>-3458.5</v>
      </c>
      <c r="CA20" s="255">
        <f>+SUM(BW20:BZ20)</f>
        <v>-12451</v>
      </c>
      <c r="CB20" s="154">
        <f>-3372+(122/2)</f>
        <v>-3311</v>
      </c>
      <c r="CC20" s="154">
        <f>-3476+(76)</f>
        <v>-3400</v>
      </c>
      <c r="CD20" s="154">
        <f>-3484+(160/2)</f>
        <v>-3404</v>
      </c>
      <c r="CE20" s="154">
        <f>-15716+(681/2)+(4123/2)-SUM(CB20:CD20)</f>
        <v>-3199</v>
      </c>
      <c r="CF20" s="255">
        <f>+SUM(CB20:CE20)</f>
        <v>-13314</v>
      </c>
      <c r="CG20" s="154">
        <f>-5016-CH20</f>
        <v>-2472</v>
      </c>
      <c r="CH20" s="154">
        <v>-2544</v>
      </c>
      <c r="CI20" s="154">
        <f>-2386</f>
        <v>-2386</v>
      </c>
      <c r="CJ20" s="154">
        <f>-10502-SUM(CG20:CI20)</f>
        <v>-3100</v>
      </c>
      <c r="CK20" s="255">
        <f>+SUM(CG20:CJ20)</f>
        <v>-10502</v>
      </c>
      <c r="CL20" s="154">
        <v>-2690</v>
      </c>
      <c r="CM20" s="154">
        <v>-2661</v>
      </c>
      <c r="CN20" s="154">
        <v>-2535</v>
      </c>
      <c r="CO20" s="154">
        <f>-12196-SUM(CL20:CN20)</f>
        <v>-4310</v>
      </c>
      <c r="CP20" s="255">
        <f>+SUM(CL20:CO20)</f>
        <v>-12196</v>
      </c>
      <c r="CQ20" s="154">
        <v>-2764</v>
      </c>
      <c r="CR20" s="154">
        <v>-2756</v>
      </c>
      <c r="CS20" s="154">
        <v>-2919</v>
      </c>
      <c r="CT20" s="154">
        <f>-11527-SUM(CQ20:CS20)</f>
        <v>-3088</v>
      </c>
      <c r="CU20" s="255">
        <f>+SUM(CQ20:CT20)</f>
        <v>-11527</v>
      </c>
      <c r="CV20" s="155">
        <f>-CV15*CV21</f>
        <v>-2913.1254399999998</v>
      </c>
      <c r="CW20" s="155">
        <f>-CW15*CW21</f>
        <v>-2964.1684200000004</v>
      </c>
      <c r="CX20" s="155">
        <f>-CX15*CX21</f>
        <v>-2728.1076799999996</v>
      </c>
      <c r="CY20" s="155">
        <f>-CY15*CY21</f>
        <v>-3088.9737489999998</v>
      </c>
      <c r="CZ20" s="255">
        <f>+SUM(CV20:CY20)</f>
        <v>-11694.375289</v>
      </c>
      <c r="DA20" s="255">
        <f>-DA15*DA21</f>
        <v>-11125.049730445002</v>
      </c>
      <c r="DB20" s="255">
        <f>-DB15*DB21</f>
        <v>-11447.756822173711</v>
      </c>
      <c r="DC20" s="255">
        <f>-DC15*DC21</f>
        <v>-11747.878466599914</v>
      </c>
      <c r="DD20" s="165"/>
      <c r="DE20" s="154"/>
      <c r="DF20" s="255">
        <f t="shared" si="12"/>
        <v>-3088</v>
      </c>
      <c r="DG20" s="255">
        <v>-2685.2493500000005</v>
      </c>
      <c r="DH20" s="255">
        <f t="shared" si="13"/>
        <v>-4310</v>
      </c>
      <c r="DI20" s="450">
        <f t="shared" si="14"/>
        <v>0.14998631318912681</v>
      </c>
      <c r="DJ20" s="450">
        <f t="shared" si="15"/>
        <v>-0.28352668213457077</v>
      </c>
      <c r="DK20" s="154"/>
      <c r="DL20" s="154"/>
      <c r="DM20" s="154"/>
      <c r="DT20" s="828"/>
      <c r="DU20" s="154"/>
      <c r="DV20" s="155"/>
      <c r="DW20" s="155"/>
      <c r="DX20" s="165"/>
      <c r="DY20" s="165"/>
      <c r="DZ20" s="165"/>
      <c r="EA20" s="165"/>
      <c r="EB20" s="165"/>
      <c r="EC20" s="2"/>
      <c r="ED20" s="2"/>
      <c r="EE20" s="165"/>
      <c r="EF20" s="165"/>
      <c r="EG20" s="165"/>
      <c r="EH20" s="167"/>
      <c r="EI20" s="167"/>
      <c r="EJ20" s="2"/>
      <c r="EK20" s="2"/>
      <c r="EL20" s="2"/>
    </row>
    <row r="21" spans="1:142" ht="12" customHeight="1">
      <c r="A21" s="1109">
        <f t="shared" si="0"/>
        <v>18</v>
      </c>
      <c r="B21" s="10"/>
      <c r="C21" s="1091" t="s">
        <v>342</v>
      </c>
      <c r="D21" s="38"/>
      <c r="E21" s="236">
        <f t="shared" ref="E21:BP21" si="19">-E20/E15</f>
        <v>0.13156916076624106</v>
      </c>
      <c r="F21" s="236">
        <f t="shared" si="19"/>
        <v>0.13413746419848835</v>
      </c>
      <c r="G21" s="236">
        <f t="shared" si="19"/>
        <v>0.13895994844656212</v>
      </c>
      <c r="H21" s="236">
        <f t="shared" si="19"/>
        <v>0.15026035896299578</v>
      </c>
      <c r="I21" s="236">
        <f t="shared" si="19"/>
        <v>0.14179810529198669</v>
      </c>
      <c r="J21" s="152">
        <f t="shared" si="19"/>
        <v>0.13251270573973051</v>
      </c>
      <c r="K21" s="152">
        <f t="shared" si="19"/>
        <v>0.13719409424930898</v>
      </c>
      <c r="L21" s="152">
        <f t="shared" si="19"/>
        <v>0.15034327799275995</v>
      </c>
      <c r="M21" s="152">
        <f t="shared" si="19"/>
        <v>0.15141985449425019</v>
      </c>
      <c r="N21" s="236">
        <f t="shared" si="19"/>
        <v>0.14267485210928035</v>
      </c>
      <c r="O21" s="152">
        <f t="shared" si="19"/>
        <v>0.15224049380389201</v>
      </c>
      <c r="P21" s="152">
        <f t="shared" si="19"/>
        <v>0.1501158009169542</v>
      </c>
      <c r="Q21" s="152">
        <f t="shared" si="19"/>
        <v>0.17682523951106707</v>
      </c>
      <c r="R21" s="152">
        <f t="shared" si="19"/>
        <v>0.15006301991429291</v>
      </c>
      <c r="S21" s="236">
        <f t="shared" si="19"/>
        <v>0.15669905570001369</v>
      </c>
      <c r="T21" s="152">
        <f t="shared" si="19"/>
        <v>0.15942688196497612</v>
      </c>
      <c r="U21" s="152">
        <f t="shared" si="19"/>
        <v>0.14497595185632714</v>
      </c>
      <c r="V21" s="152">
        <f t="shared" si="19"/>
        <v>0.15702374294575219</v>
      </c>
      <c r="W21" s="152">
        <f t="shared" si="19"/>
        <v>0.15287568671301474</v>
      </c>
      <c r="X21" s="236">
        <f t="shared" si="19"/>
        <v>0.15342421851888374</v>
      </c>
      <c r="Y21" s="152">
        <f t="shared" si="19"/>
        <v>0.14796030871003307</v>
      </c>
      <c r="Z21" s="152">
        <f t="shared" si="19"/>
        <v>0.14548321916120446</v>
      </c>
      <c r="AA21" s="152">
        <f t="shared" si="19"/>
        <v>0.160606390506777</v>
      </c>
      <c r="AB21" s="152">
        <f t="shared" si="19"/>
        <v>0.14177796056191694</v>
      </c>
      <c r="AC21" s="236">
        <f t="shared" si="19"/>
        <v>0.14843797539217954</v>
      </c>
      <c r="AD21" s="152">
        <f t="shared" si="19"/>
        <v>0.1301120228964962</v>
      </c>
      <c r="AE21" s="152">
        <f t="shared" si="19"/>
        <v>0.13808224290345905</v>
      </c>
      <c r="AF21" s="152">
        <f t="shared" si="19"/>
        <v>0.14554842667620971</v>
      </c>
      <c r="AG21" s="152">
        <f t="shared" si="19"/>
        <v>0.14427947981315381</v>
      </c>
      <c r="AH21" s="236">
        <f t="shared" si="19"/>
        <v>0.13934863854778431</v>
      </c>
      <c r="AI21" s="152">
        <f t="shared" si="19"/>
        <v>0.1349255583126551</v>
      </c>
      <c r="AJ21" s="152">
        <f t="shared" si="19"/>
        <v>0.13514590621263783</v>
      </c>
      <c r="AK21" s="152">
        <f t="shared" si="19"/>
        <v>0.14769192791903235</v>
      </c>
      <c r="AL21" s="152">
        <f t="shared" si="19"/>
        <v>0.13985331134450135</v>
      </c>
      <c r="AM21" s="236">
        <f t="shared" si="19"/>
        <v>0.13918912807525324</v>
      </c>
      <c r="AN21" s="152">
        <f t="shared" si="19"/>
        <v>0.11262840471695801</v>
      </c>
      <c r="AO21" s="152">
        <f t="shared" si="19"/>
        <v>0.11039209131286117</v>
      </c>
      <c r="AP21" s="152">
        <f t="shared" si="19"/>
        <v>0.12101361369456801</v>
      </c>
      <c r="AQ21" s="152">
        <f t="shared" si="19"/>
        <v>0.1350271691933603</v>
      </c>
      <c r="AR21" s="236">
        <f t="shared" si="19"/>
        <v>0.1196264017742792</v>
      </c>
      <c r="AS21" s="152">
        <f t="shared" si="19"/>
        <v>0.13868154865713289</v>
      </c>
      <c r="AT21" s="152">
        <f t="shared" si="19"/>
        <v>0.11192984042312734</v>
      </c>
      <c r="AU21" s="152">
        <f t="shared" si="19"/>
        <v>0.11938263790836945</v>
      </c>
      <c r="AV21" s="152">
        <f t="shared" si="19"/>
        <v>0.1212100611828688</v>
      </c>
      <c r="AW21" s="236">
        <f t="shared" si="19"/>
        <v>0.12275086254385202</v>
      </c>
      <c r="AX21" s="152">
        <f t="shared" si="19"/>
        <v>0.11766608149311651</v>
      </c>
      <c r="AY21" s="152">
        <f t="shared" si="19"/>
        <v>0.12697678945063501</v>
      </c>
      <c r="AZ21" s="152">
        <f t="shared" si="19"/>
        <v>0.1441126441126441</v>
      </c>
      <c r="BA21" s="152">
        <f t="shared" si="19"/>
        <v>0.15379305584316974</v>
      </c>
      <c r="BB21" s="236">
        <f t="shared" si="19"/>
        <v>0.13330209352646885</v>
      </c>
      <c r="BC21" s="152">
        <f t="shared" si="19"/>
        <v>0.15137351373513735</v>
      </c>
      <c r="BD21" s="152">
        <f t="shared" si="19"/>
        <v>0.11600149198060425</v>
      </c>
      <c r="BE21" s="152">
        <f t="shared" si="19"/>
        <v>9.9266649048625796E-2</v>
      </c>
      <c r="BF21" s="152">
        <f t="shared" si="19"/>
        <v>9.2556950389244774E-2</v>
      </c>
      <c r="BG21" s="236">
        <f t="shared" si="19"/>
        <v>0.11204561285828539</v>
      </c>
      <c r="BH21" s="152">
        <f t="shared" si="19"/>
        <v>9.686054615725781E-2</v>
      </c>
      <c r="BI21" s="152">
        <f t="shared" si="19"/>
        <v>8.6192146462486102E-2</v>
      </c>
      <c r="BJ21" s="152">
        <f t="shared" si="19"/>
        <v>8.8231358512026223E-2</v>
      </c>
      <c r="BK21" s="152">
        <f t="shared" si="19"/>
        <v>9.6521524608363149E-2</v>
      </c>
      <c r="BL21" s="236">
        <f t="shared" si="19"/>
        <v>9.1873846487894914E-2</v>
      </c>
      <c r="BM21" s="152">
        <f t="shared" si="19"/>
        <v>8.2563266292202689E-2</v>
      </c>
      <c r="BN21" s="152">
        <f t="shared" si="19"/>
        <v>7.8025163959805216E-2</v>
      </c>
      <c r="BO21" s="152">
        <f t="shared" si="19"/>
        <v>8.5106061064544436E-2</v>
      </c>
      <c r="BP21" s="152">
        <f t="shared" si="19"/>
        <v>8.7965640906987511E-2</v>
      </c>
      <c r="BQ21" s="236">
        <f t="shared" ref="BQ21:CF21" si="20">-BQ20/BQ15</f>
        <v>8.3367580578876305E-2</v>
      </c>
      <c r="BR21" s="152">
        <f t="shared" si="20"/>
        <v>8.8210818307905683E-2</v>
      </c>
      <c r="BS21" s="152">
        <f t="shared" si="20"/>
        <v>8.9428201499503174E-2</v>
      </c>
      <c r="BT21" s="152">
        <f t="shared" si="20"/>
        <v>9.0171577769489003E-2</v>
      </c>
      <c r="BU21" s="152">
        <f t="shared" si="20"/>
        <v>7.1786403962945347E-2</v>
      </c>
      <c r="BV21" s="236">
        <f t="shared" si="20"/>
        <v>8.4591828330550539E-2</v>
      </c>
      <c r="BW21" s="152">
        <f t="shared" si="20"/>
        <v>8.7519986535386687E-2</v>
      </c>
      <c r="BX21" s="152">
        <f t="shared" si="20"/>
        <v>7.4756743928486677E-2</v>
      </c>
      <c r="BY21" s="152">
        <f t="shared" si="20"/>
        <v>8.4905660377358486E-2</v>
      </c>
      <c r="BZ21" s="152">
        <f t="shared" si="20"/>
        <v>9.2054830982166616E-2</v>
      </c>
      <c r="CA21" s="236">
        <f t="shared" si="20"/>
        <v>8.4748531483762934E-2</v>
      </c>
      <c r="CB21" s="152">
        <f t="shared" si="20"/>
        <v>9.2290110380198465E-2</v>
      </c>
      <c r="CC21" s="152">
        <f t="shared" si="20"/>
        <v>9.0882360802972392E-2</v>
      </c>
      <c r="CD21" s="152">
        <f t="shared" si="20"/>
        <v>9.7479954180985109E-2</v>
      </c>
      <c r="CE21" s="152">
        <f t="shared" si="20"/>
        <v>8.9183161416225259E-2</v>
      </c>
      <c r="CF21" s="236">
        <f t="shared" si="20"/>
        <v>9.2408920230154706E-2</v>
      </c>
      <c r="CG21" s="152">
        <f t="shared" ref="CG21:CQ21" si="21">-CG20/CG15</f>
        <v>7.2920353982300887E-2</v>
      </c>
      <c r="CH21" s="152">
        <f t="shared" si="21"/>
        <v>6.8271475726592062E-2</v>
      </c>
      <c r="CI21" s="152">
        <f t="shared" si="21"/>
        <v>6.2552432885906034E-2</v>
      </c>
      <c r="CJ21" s="152">
        <f t="shared" si="21"/>
        <v>7.701672008148866E-2</v>
      </c>
      <c r="CK21" s="236">
        <f t="shared" si="21"/>
        <v>7.0220249000387813E-2</v>
      </c>
      <c r="CL21" s="152">
        <f t="shared" si="21"/>
        <v>7.1318733761068981E-2</v>
      </c>
      <c r="CM21" s="152">
        <f t="shared" si="21"/>
        <v>6.7392680764847404E-2</v>
      </c>
      <c r="CN21" s="152">
        <f t="shared" si="21"/>
        <v>7.0528336532843669E-2</v>
      </c>
      <c r="CO21" s="152">
        <f t="shared" si="21"/>
        <v>0.11150204377296011</v>
      </c>
      <c r="CP21" s="236">
        <f t="shared" si="21"/>
        <v>8.0342555994729906E-2</v>
      </c>
      <c r="CQ21" s="152">
        <f t="shared" si="21"/>
        <v>7.060746947325397E-2</v>
      </c>
      <c r="CR21" s="152">
        <v>7.0000000000000007E-2</v>
      </c>
      <c r="CS21" s="152">
        <v>7.0000000000000007E-2</v>
      </c>
      <c r="CT21" s="152">
        <v>7.0000000000000007E-2</v>
      </c>
      <c r="CU21" s="236">
        <f>-CU20/CU15</f>
        <v>7.3525284482318723E-2</v>
      </c>
      <c r="CV21" s="1058">
        <v>7.3999999999999996E-2</v>
      </c>
      <c r="CW21" s="1058">
        <v>7.3999999999999996E-2</v>
      </c>
      <c r="CX21" s="1058">
        <v>7.3999999999999996E-2</v>
      </c>
      <c r="CY21" s="1058">
        <v>7.3999999999999996E-2</v>
      </c>
      <c r="CZ21" s="236">
        <f>-CZ20/CZ15</f>
        <v>7.3999999999999982E-2</v>
      </c>
      <c r="DA21" s="1049">
        <v>7.0000000000000007E-2</v>
      </c>
      <c r="DB21" s="1049">
        <v>7.0000000000000007E-2</v>
      </c>
      <c r="DC21" s="1049">
        <v>7.0000000000000007E-2</v>
      </c>
      <c r="DD21" s="165"/>
      <c r="DE21" s="152"/>
      <c r="DF21" s="236">
        <f t="shared" si="12"/>
        <v>7.0000000000000007E-2</v>
      </c>
      <c r="DG21" s="236">
        <v>7.0000000000000007E-2</v>
      </c>
      <c r="DH21" s="236">
        <f t="shared" si="13"/>
        <v>0.11150204377296011</v>
      </c>
      <c r="DI21" s="452">
        <f t="shared" si="14"/>
        <v>0</v>
      </c>
      <c r="DJ21" s="452">
        <f t="shared" si="15"/>
        <v>-0.37220881670533634</v>
      </c>
      <c r="DK21" s="152"/>
      <c r="DL21" s="152"/>
      <c r="DM21" s="152"/>
      <c r="DT21" s="829"/>
      <c r="DU21" s="152"/>
      <c r="DV21" s="170"/>
      <c r="DW21" s="170"/>
      <c r="DX21" s="152"/>
      <c r="DY21" s="171"/>
      <c r="DZ21" s="171"/>
      <c r="EA21" s="171"/>
      <c r="EB21" s="171"/>
      <c r="EC21" s="2"/>
      <c r="ED21" s="2"/>
      <c r="EE21" s="152"/>
      <c r="EF21" s="152"/>
      <c r="EG21" s="152"/>
      <c r="EH21" s="169"/>
      <c r="EI21" s="169"/>
      <c r="EJ21" s="2"/>
      <c r="EK21" s="2"/>
      <c r="EL21" s="2"/>
    </row>
    <row r="22" spans="1:142" ht="12" customHeight="1">
      <c r="A22" s="1109">
        <f t="shared" si="0"/>
        <v>19</v>
      </c>
      <c r="B22" s="10"/>
      <c r="C22" s="1059" t="s">
        <v>776</v>
      </c>
      <c r="E22" s="296">
        <f>-9424-1818</f>
        <v>-11242</v>
      </c>
      <c r="F22" s="296">
        <f>-9704-2564-121</f>
        <v>-12389</v>
      </c>
      <c r="G22" s="296">
        <f>-9712-3230</f>
        <v>-12942</v>
      </c>
      <c r="H22" s="296">
        <f>-8036-1798</f>
        <v>-9834</v>
      </c>
      <c r="I22" s="296">
        <f>-7679-1465</f>
        <v>-9144</v>
      </c>
      <c r="J22" s="154">
        <f>-2213-454</f>
        <v>-2667</v>
      </c>
      <c r="K22" s="154">
        <f>-2311-411</f>
        <v>-2722</v>
      </c>
      <c r="L22" s="154">
        <f>-2451-482</f>
        <v>-2933</v>
      </c>
      <c r="M22" s="154">
        <f>-9519-1963-SUM(J22:L22)</f>
        <v>-3160</v>
      </c>
      <c r="N22" s="235">
        <f>SUM(J22:M22)</f>
        <v>-11482</v>
      </c>
      <c r="O22" s="154">
        <f>-2560-686</f>
        <v>-3246</v>
      </c>
      <c r="P22" s="154">
        <f>-2484-572</f>
        <v>-3056</v>
      </c>
      <c r="Q22" s="154">
        <f>-2287-879</f>
        <v>-3166</v>
      </c>
      <c r="R22" s="154">
        <f>-9441-3661-SUM(O22:Q22)</f>
        <v>-3634</v>
      </c>
      <c r="S22" s="235">
        <f>SUM(O22:R22)</f>
        <v>-13102</v>
      </c>
      <c r="T22" s="154">
        <f>-2349-960</f>
        <v>-3309</v>
      </c>
      <c r="U22" s="154">
        <f>-2221-771</f>
        <v>-2992</v>
      </c>
      <c r="V22" s="154">
        <f>-2208-792</f>
        <v>-3000</v>
      </c>
      <c r="W22" s="154">
        <f>-8836-3275-SUM(T22:V22)</f>
        <v>-2810</v>
      </c>
      <c r="X22" s="235">
        <f>SUM(T22:W22)</f>
        <v>-12111</v>
      </c>
      <c r="Y22" s="154">
        <f>-1957-593</f>
        <v>-2550</v>
      </c>
      <c r="Z22" s="154">
        <f>-1827-679</f>
        <v>-2506</v>
      </c>
      <c r="AA22" s="154">
        <f>-1914-529</f>
        <v>-2443</v>
      </c>
      <c r="AB22" s="154">
        <f>-7643-2248-SUM(Y22:AA22)</f>
        <v>-2392</v>
      </c>
      <c r="AC22" s="235">
        <f>SUM(Y22:AB22)</f>
        <v>-9891</v>
      </c>
      <c r="AD22" s="154">
        <f>-1835-353</f>
        <v>-2188</v>
      </c>
      <c r="AE22" s="154">
        <f>-1734-174</f>
        <v>-1908</v>
      </c>
      <c r="AF22" s="154">
        <f>-1867-326</f>
        <v>-2193</v>
      </c>
      <c r="AG22" s="154">
        <f>-8471-1212-SUM(AD22:AF22)</f>
        <v>-3394</v>
      </c>
      <c r="AH22" s="235">
        <f>SUM(AD22:AG22)</f>
        <v>-9683</v>
      </c>
      <c r="AI22" s="154">
        <f>-1964-185</f>
        <v>-2149</v>
      </c>
      <c r="AJ22" s="154">
        <f>-1919+17</f>
        <v>-1902</v>
      </c>
      <c r="AK22" s="154">
        <f>-2157-182</f>
        <v>-2339</v>
      </c>
      <c r="AL22" s="154">
        <f>-8417-483-SUM(AI22:AK22)</f>
        <v>-2510</v>
      </c>
      <c r="AM22" s="235">
        <f>SUM(AI22:AL22)</f>
        <v>-8900</v>
      </c>
      <c r="AN22" s="154">
        <f>-2135-46</f>
        <v>-2181</v>
      </c>
      <c r="AO22" s="154">
        <f>-2258-50</f>
        <v>-2308</v>
      </c>
      <c r="AP22" s="154">
        <f>-1937-97</f>
        <v>-2034</v>
      </c>
      <c r="AQ22" s="154">
        <f>-8783-241-SUM(AN22:AP22)</f>
        <v>-2501</v>
      </c>
      <c r="AR22" s="235">
        <f>SUM(AN22:AQ22)</f>
        <v>-9024</v>
      </c>
      <c r="AS22" s="154">
        <f>-2714-58</f>
        <v>-2772</v>
      </c>
      <c r="AT22" s="154">
        <f>-2759-121</f>
        <v>-2880</v>
      </c>
      <c r="AU22" s="154">
        <f>-2733-194</f>
        <v>-2927</v>
      </c>
      <c r="AV22" s="154">
        <f>-10927-668-SUM(AS22:AU22)</f>
        <v>-3016</v>
      </c>
      <c r="AW22" s="235">
        <f>SUM(AS22:AV22)</f>
        <v>-11595</v>
      </c>
      <c r="AX22" s="154">
        <f>-2575-344</f>
        <v>-2919</v>
      </c>
      <c r="AY22" s="154">
        <f>-2442-598</f>
        <v>-3040</v>
      </c>
      <c r="AZ22" s="154">
        <f>-2413-399</f>
        <v>-2812</v>
      </c>
      <c r="BA22" s="154">
        <f>-9805-1874-SUM(AX22:AZ22)</f>
        <v>-2908</v>
      </c>
      <c r="BB22" s="235">
        <f>SUM(AX22:BA22)</f>
        <v>-11679</v>
      </c>
      <c r="BC22" s="154">
        <f>-1921-402</f>
        <v>-2323</v>
      </c>
      <c r="BD22" s="154">
        <f>-1679-419</f>
        <v>-2098</v>
      </c>
      <c r="BE22" s="154">
        <f>-1613-125</f>
        <v>-1738</v>
      </c>
      <c r="BF22" s="154">
        <f>-6790-1030-SUM(BC22:BE22)</f>
        <v>-1661</v>
      </c>
      <c r="BG22" s="235">
        <f>SUM(BC22:BF22)</f>
        <v>-7820</v>
      </c>
      <c r="BH22" s="154">
        <f>-1701+41</f>
        <v>-1660</v>
      </c>
      <c r="BI22" s="154">
        <f>-1636+131</f>
        <v>-1505</v>
      </c>
      <c r="BJ22" s="154">
        <f>-1469+36</f>
        <v>-1433</v>
      </c>
      <c r="BK22" s="154">
        <f>-6152+216-SUM(BH22:BJ22)</f>
        <v>-1338</v>
      </c>
      <c r="BL22" s="235">
        <f>SUM(BH22:BK22)</f>
        <v>-5936</v>
      </c>
      <c r="BM22" s="154">
        <f>-1174+54</f>
        <v>-1120</v>
      </c>
      <c r="BN22" s="154">
        <f>-1127-21</f>
        <v>-1148</v>
      </c>
      <c r="BO22" s="154">
        <f>-1096-5</f>
        <v>-1101</v>
      </c>
      <c r="BP22" s="154">
        <f>-3614+33-SUM(BM22:BO22)</f>
        <v>-212</v>
      </c>
      <c r="BQ22" s="235">
        <f>SUM(BM22:BP22)</f>
        <v>-3581</v>
      </c>
      <c r="BR22" s="154">
        <f>-826+16</f>
        <v>-810</v>
      </c>
      <c r="BS22" s="154">
        <f>-798+23</f>
        <v>-775</v>
      </c>
      <c r="BT22" s="154">
        <f>-764-55</f>
        <v>-819</v>
      </c>
      <c r="BU22" s="154">
        <f>-3115-77-SUM(BR22:BT22)</f>
        <v>-788</v>
      </c>
      <c r="BV22" s="235">
        <f>SUM(BR22:BU22)</f>
        <v>-3192</v>
      </c>
      <c r="BW22" s="154">
        <f>-706-40</f>
        <v>-746</v>
      </c>
      <c r="BX22" s="154">
        <f>-705-53</f>
        <v>-758</v>
      </c>
      <c r="BY22" s="154">
        <f>-762-46</f>
        <v>-808</v>
      </c>
      <c r="BZ22" s="154">
        <f>-2860-208-SUM(BW22:BY22)</f>
        <v>-756</v>
      </c>
      <c r="CA22" s="255">
        <f>+SUM(BW22:BZ22)</f>
        <v>-3068</v>
      </c>
      <c r="CB22" s="154">
        <f>-678-39</f>
        <v>-717</v>
      </c>
      <c r="CC22" s="154">
        <f>-683-104</f>
        <v>-787</v>
      </c>
      <c r="CD22" s="154">
        <f>-673-74</f>
        <v>-747</v>
      </c>
      <c r="CE22" s="154">
        <f>-(2699+305)-SUM(CB22:CD22)</f>
        <v>-753</v>
      </c>
      <c r="CF22" s="255">
        <f>+SUM(CB22:CE22)</f>
        <v>-3004</v>
      </c>
      <c r="CG22" s="154">
        <f>-3458-CH22</f>
        <v>-1713</v>
      </c>
      <c r="CH22" s="154">
        <v>-1745</v>
      </c>
      <c r="CI22" s="154">
        <v>-1905</v>
      </c>
      <c r="CJ22" s="154">
        <f>-7368-SUM(CG22:CI22)</f>
        <v>-2005</v>
      </c>
      <c r="CK22" s="255">
        <f>+SUM(CG22:CJ22)</f>
        <v>-7368</v>
      </c>
      <c r="CL22" s="154">
        <v>-2060</v>
      </c>
      <c r="CM22" s="154">
        <v>-2258</v>
      </c>
      <c r="CN22" s="154">
        <v>-2200</v>
      </c>
      <c r="CO22" s="154">
        <f>-8904-SUM(CL22:CN22)</f>
        <v>-2386</v>
      </c>
      <c r="CP22" s="255">
        <f>+SUM(CL22:CO22)</f>
        <v>-8904</v>
      </c>
      <c r="CQ22" s="154">
        <v>-2232</v>
      </c>
      <c r="CR22" s="154">
        <v>-2217</v>
      </c>
      <c r="CS22" s="154">
        <v>-2273</v>
      </c>
      <c r="CT22" s="154">
        <f>-9104-SUM(CQ22:CS22)</f>
        <v>-2382</v>
      </c>
      <c r="CU22" s="255">
        <f>+SUM(CQ22:CT22)</f>
        <v>-9104</v>
      </c>
      <c r="CV22" s="155">
        <f>-CV15*CV23</f>
        <v>-2086.4276799999998</v>
      </c>
      <c r="CW22" s="155">
        <f>-CW15*CW23</f>
        <v>-2122.9854900000005</v>
      </c>
      <c r="CX22" s="155">
        <f>-CX15*CX23</f>
        <v>-1953.9149599999998</v>
      </c>
      <c r="CY22" s="155">
        <f>-CY15*CY23</f>
        <v>-2212.3730904999998</v>
      </c>
      <c r="CZ22" s="255">
        <f>+SUM(CV22:CY22)</f>
        <v>-8375.7012204999992</v>
      </c>
      <c r="DA22" s="255">
        <f>-DA15*DA23</f>
        <v>-8423.2519387655011</v>
      </c>
      <c r="DB22" s="255">
        <f>-DB15*DB23</f>
        <v>-8667.5873082172366</v>
      </c>
      <c r="DC22" s="255">
        <f>-DC15*DC23</f>
        <v>-8894.8222675685047</v>
      </c>
      <c r="DD22" s="165"/>
      <c r="DE22" s="154"/>
      <c r="DF22" s="255">
        <f t="shared" si="12"/>
        <v>-2382</v>
      </c>
      <c r="DG22" s="255">
        <v>-2446.7438493250543</v>
      </c>
      <c r="DH22" s="255">
        <f t="shared" si="13"/>
        <v>-2386</v>
      </c>
      <c r="DI22" s="450">
        <f t="shared" si="14"/>
        <v>-2.6461229009695497E-2</v>
      </c>
      <c r="DJ22" s="450">
        <f t="shared" si="15"/>
        <v>-1.6764459346185756E-3</v>
      </c>
      <c r="DK22" s="154"/>
      <c r="DL22" s="154"/>
      <c r="DM22" s="154"/>
      <c r="DT22" s="828"/>
      <c r="DU22" s="154"/>
      <c r="DV22" s="155"/>
      <c r="DW22" s="155"/>
      <c r="DX22" s="165"/>
      <c r="DY22" s="165"/>
      <c r="DZ22" s="165"/>
      <c r="EA22" s="165"/>
      <c r="EB22" s="165"/>
      <c r="EC22" s="2"/>
      <c r="ED22" s="2"/>
      <c r="EE22" s="165"/>
      <c r="EF22" s="165"/>
      <c r="EG22" s="165"/>
      <c r="EH22" s="167"/>
      <c r="EI22" s="167"/>
      <c r="EJ22" s="2"/>
      <c r="EK22" s="2"/>
      <c r="EL22" s="2"/>
    </row>
    <row r="23" spans="1:142" ht="12" customHeight="1">
      <c r="A23" s="1109">
        <f t="shared" si="0"/>
        <v>20</v>
      </c>
      <c r="B23" s="10"/>
      <c r="C23" s="1091" t="s">
        <v>777</v>
      </c>
      <c r="D23" s="38"/>
      <c r="E23" s="236">
        <f>-E22/E15</f>
        <v>8.1976417742841104E-2</v>
      </c>
      <c r="F23" s="236">
        <f t="shared" ref="F23:BQ23" si="22">-F22/F15</f>
        <v>8.4284071813920586E-2</v>
      </c>
      <c r="G23" s="236">
        <f t="shared" si="22"/>
        <v>8.4243004159425094E-2</v>
      </c>
      <c r="H23" s="236">
        <f t="shared" si="22"/>
        <v>6.8094947928207403E-2</v>
      </c>
      <c r="I23" s="236">
        <f t="shared" si="22"/>
        <v>5.6915933224613774E-2</v>
      </c>
      <c r="J23" s="152">
        <f t="shared" si="22"/>
        <v>6.2176528185760249E-2</v>
      </c>
      <c r="K23" s="152">
        <f t="shared" si="22"/>
        <v>6.1169913930650126E-2</v>
      </c>
      <c r="L23" s="152">
        <f t="shared" si="22"/>
        <v>7.3224316564723502E-2</v>
      </c>
      <c r="M23" s="152">
        <f t="shared" si="22"/>
        <v>7.4160995071579444E-2</v>
      </c>
      <c r="N23" s="236">
        <f t="shared" si="22"/>
        <v>6.7518140869585672E-2</v>
      </c>
      <c r="O23" s="152">
        <f t="shared" si="22"/>
        <v>7.6473637091834329E-2</v>
      </c>
      <c r="P23" s="152">
        <f t="shared" si="22"/>
        <v>7.2221959635108954E-2</v>
      </c>
      <c r="Q23" s="152">
        <f t="shared" si="22"/>
        <v>8.7160004404801233E-2</v>
      </c>
      <c r="R23" s="152">
        <f t="shared" si="22"/>
        <v>9.1605747416183519E-2</v>
      </c>
      <c r="S23" s="236">
        <f t="shared" si="22"/>
        <v>8.150341515607698E-2</v>
      </c>
      <c r="T23" s="152">
        <f t="shared" si="22"/>
        <v>8.3617618072928515E-2</v>
      </c>
      <c r="U23" s="152">
        <f t="shared" si="22"/>
        <v>7.0888715142038053E-2</v>
      </c>
      <c r="V23" s="152">
        <f t="shared" si="22"/>
        <v>7.6262138390360459E-2</v>
      </c>
      <c r="W23" s="152">
        <f t="shared" si="22"/>
        <v>6.8306675093587441E-2</v>
      </c>
      <c r="X23" s="236">
        <f t="shared" si="22"/>
        <v>7.4641307563356671E-2</v>
      </c>
      <c r="Y23" s="152">
        <f t="shared" si="22"/>
        <v>6.2477030503491363E-2</v>
      </c>
      <c r="Z23" s="152">
        <f t="shared" si="22"/>
        <v>6.1751515450199593E-2</v>
      </c>
      <c r="AA23" s="152">
        <f t="shared" si="22"/>
        <v>6.6490664634478253E-2</v>
      </c>
      <c r="AB23" s="152">
        <f t="shared" si="22"/>
        <v>5.1776012467802335E-2</v>
      </c>
      <c r="AC23" s="236">
        <f t="shared" si="22"/>
        <v>6.0186931811267025E-2</v>
      </c>
      <c r="AD23" s="152">
        <f t="shared" si="22"/>
        <v>4.892337276121906E-2</v>
      </c>
      <c r="AE23" s="152">
        <f t="shared" si="22"/>
        <v>4.4503533692533764E-2</v>
      </c>
      <c r="AF23" s="152">
        <f t="shared" si="22"/>
        <v>5.6056849262544416E-2</v>
      </c>
      <c r="AG23" s="152">
        <f t="shared" si="22"/>
        <v>7.4431456830193643E-2</v>
      </c>
      <c r="AH23" s="236">
        <f t="shared" si="22"/>
        <v>5.6193272824345969E-2</v>
      </c>
      <c r="AI23" s="152">
        <f t="shared" si="22"/>
        <v>4.7611662531017368E-2</v>
      </c>
      <c r="AJ23" s="152">
        <f t="shared" si="22"/>
        <v>4.2111322676349469E-2</v>
      </c>
      <c r="AK23" s="152">
        <f t="shared" si="22"/>
        <v>5.7738829918538633E-2</v>
      </c>
      <c r="AL23" s="152">
        <f t="shared" si="22"/>
        <v>5.4465758180713482E-2</v>
      </c>
      <c r="AM23" s="236">
        <f t="shared" si="22"/>
        <v>5.0312047756874097E-2</v>
      </c>
      <c r="AN23" s="152">
        <f t="shared" si="22"/>
        <v>5.3470298364755205E-2</v>
      </c>
      <c r="AO23" s="152">
        <f t="shared" si="22"/>
        <v>5.5112469554419979E-2</v>
      </c>
      <c r="AP23" s="152">
        <f t="shared" si="22"/>
        <v>5.4832187626364742E-2</v>
      </c>
      <c r="AQ23" s="152">
        <f t="shared" si="22"/>
        <v>6.2054933875890131E-2</v>
      </c>
      <c r="AR23" s="236">
        <f t="shared" si="22"/>
        <v>5.6377096804423203E-2</v>
      </c>
      <c r="AS23" s="152">
        <f t="shared" si="22"/>
        <v>6.4457621206836416E-2</v>
      </c>
      <c r="AT23" s="152">
        <f t="shared" si="22"/>
        <v>6.5096514624112839E-2</v>
      </c>
      <c r="AU23" s="152">
        <f t="shared" si="22"/>
        <v>7.125468620672866E-2</v>
      </c>
      <c r="AV23" s="152">
        <f t="shared" si="22"/>
        <v>6.8343530478132783E-2</v>
      </c>
      <c r="AW23" s="236">
        <f t="shared" si="22"/>
        <v>6.7234930851526487E-2</v>
      </c>
      <c r="AX23" s="152">
        <f t="shared" si="22"/>
        <v>6.742585235147372E-2</v>
      </c>
      <c r="AY23" s="152">
        <f t="shared" si="22"/>
        <v>7.3962337599143599E-2</v>
      </c>
      <c r="AZ23" s="152">
        <f t="shared" si="22"/>
        <v>8.8578088578088576E-2</v>
      </c>
      <c r="BA23" s="152">
        <f t="shared" si="22"/>
        <v>0.1003658452405605</v>
      </c>
      <c r="BB23" s="236">
        <f t="shared" si="22"/>
        <v>8.0481552434637602E-2</v>
      </c>
      <c r="BC23" s="152">
        <f t="shared" si="22"/>
        <v>9.5243952439524396E-2</v>
      </c>
      <c r="BD23" s="152">
        <f t="shared" si="22"/>
        <v>7.8254382693024996E-2</v>
      </c>
      <c r="BE23" s="152">
        <f t="shared" si="22"/>
        <v>5.7412790697674417E-2</v>
      </c>
      <c r="BF23" s="152">
        <f t="shared" si="22"/>
        <v>4.7714802792220852E-2</v>
      </c>
      <c r="BG23" s="236">
        <f t="shared" si="22"/>
        <v>6.7249726959228776E-2</v>
      </c>
      <c r="BH23" s="152">
        <f t="shared" si="22"/>
        <v>5.2588227840081103E-2</v>
      </c>
      <c r="BI23" s="152">
        <f t="shared" si="22"/>
        <v>4.29178429862834E-2</v>
      </c>
      <c r="BJ23" s="152">
        <f t="shared" si="22"/>
        <v>4.7937644264543541E-2</v>
      </c>
      <c r="BK23" s="152">
        <f t="shared" si="22"/>
        <v>4.1260638953990382E-2</v>
      </c>
      <c r="BL23" s="236">
        <f t="shared" si="22"/>
        <v>4.6031918358484421E-2</v>
      </c>
      <c r="BM23" s="152">
        <f t="shared" si="22"/>
        <v>3.3822552394757503E-2</v>
      </c>
      <c r="BN23" s="152">
        <f t="shared" si="22"/>
        <v>3.2313451740929436E-2</v>
      </c>
      <c r="BO23" s="152">
        <f t="shared" si="22"/>
        <v>3.3316186038066999E-2</v>
      </c>
      <c r="BP23" s="152">
        <f t="shared" si="22"/>
        <v>6.1314206385932437E-3</v>
      </c>
      <c r="BQ23" s="236">
        <f t="shared" si="22"/>
        <v>2.6279868490577115E-2</v>
      </c>
      <c r="BR23" s="152">
        <f t="shared" ref="BR23:CF23" si="23">-BR22/BR15</f>
        <v>2.4965325936199722E-2</v>
      </c>
      <c r="BS23" s="152">
        <f t="shared" si="23"/>
        <v>2.3335641805425914E-2</v>
      </c>
      <c r="BT23" s="152">
        <f t="shared" si="23"/>
        <v>2.5456919060052218E-2</v>
      </c>
      <c r="BU23" s="152">
        <f t="shared" si="23"/>
        <v>2.2053678878284962E-2</v>
      </c>
      <c r="BV23" s="236">
        <f t="shared" si="23"/>
        <v>2.3899550011605358E-2</v>
      </c>
      <c r="BW23" s="152">
        <f t="shared" si="23"/>
        <v>2.0926253190832841E-2</v>
      </c>
      <c r="BX23" s="152">
        <f t="shared" si="23"/>
        <v>1.9987870157951639E-2</v>
      </c>
      <c r="BY23" s="152">
        <f t="shared" si="23"/>
        <v>2.2585604472396926E-2</v>
      </c>
      <c r="BZ23" s="152">
        <f t="shared" si="23"/>
        <v>2.0122438115517699E-2</v>
      </c>
      <c r="CA23" s="236">
        <f t="shared" si="23"/>
        <v>2.088253912072803E-2</v>
      </c>
      <c r="CB23" s="152">
        <f t="shared" si="23"/>
        <v>1.9985505630505072E-2</v>
      </c>
      <c r="CC23" s="152">
        <f t="shared" si="23"/>
        <v>2.1036593515276255E-2</v>
      </c>
      <c r="CD23" s="152">
        <f t="shared" si="23"/>
        <v>2.1391752577319588E-2</v>
      </c>
      <c r="CE23" s="152">
        <f t="shared" si="23"/>
        <v>2.0992472818511292E-2</v>
      </c>
      <c r="CF23" s="236">
        <f t="shared" si="23"/>
        <v>2.0849962173004714E-2</v>
      </c>
      <c r="CG23" s="152">
        <f t="shared" ref="CG23:CZ23" si="24">-CG22/CG15</f>
        <v>5.0530973451327434E-2</v>
      </c>
      <c r="CH23" s="152">
        <f t="shared" si="24"/>
        <v>4.6829294474411615E-2</v>
      </c>
      <c r="CI23" s="152">
        <f t="shared" si="24"/>
        <v>4.9942323825503357E-2</v>
      </c>
      <c r="CJ23" s="152">
        <f t="shared" si="24"/>
        <v>4.9812427020446699E-2</v>
      </c>
      <c r="CK23" s="236">
        <f t="shared" si="24"/>
        <v>4.9265168028457186E-2</v>
      </c>
      <c r="CL23" s="152">
        <f t="shared" si="24"/>
        <v>5.4615833289145765E-2</v>
      </c>
      <c r="CM23" s="152">
        <f t="shared" si="24"/>
        <v>5.7186273268329743E-2</v>
      </c>
      <c r="CN23" s="152">
        <f t="shared" si="24"/>
        <v>6.1208023815485631E-2</v>
      </c>
      <c r="CO23" s="152">
        <f t="shared" si="24"/>
        <v>6.1727117504009936E-2</v>
      </c>
      <c r="CP23" s="236">
        <f t="shared" si="24"/>
        <v>5.8656126482213439E-2</v>
      </c>
      <c r="CQ23" s="152">
        <f t="shared" si="24"/>
        <v>5.7017319777244162E-2</v>
      </c>
      <c r="CR23" s="152">
        <f t="shared" si="24"/>
        <v>5.5629438185331094E-2</v>
      </c>
      <c r="CS23" s="152">
        <f t="shared" si="24"/>
        <v>6.2357685660201369E-2</v>
      </c>
      <c r="CT23" s="152">
        <f t="shared" si="24"/>
        <v>5.763925857813483E-2</v>
      </c>
      <c r="CU23" s="236">
        <f t="shared" si="24"/>
        <v>5.8070112772363118E-2</v>
      </c>
      <c r="CV23" s="1058">
        <v>5.2999999999999999E-2</v>
      </c>
      <c r="CW23" s="1058">
        <v>5.2999999999999999E-2</v>
      </c>
      <c r="CX23" s="1058">
        <v>5.2999999999999999E-2</v>
      </c>
      <c r="CY23" s="1058">
        <v>5.2999999999999999E-2</v>
      </c>
      <c r="CZ23" s="236">
        <f t="shared" si="24"/>
        <v>5.2999999999999985E-2</v>
      </c>
      <c r="DA23" s="1049">
        <v>5.2999999999999999E-2</v>
      </c>
      <c r="DB23" s="1049">
        <v>5.2999999999999999E-2</v>
      </c>
      <c r="DC23" s="1049">
        <v>5.2999999999999999E-2</v>
      </c>
      <c r="DD23" s="165"/>
      <c r="DE23" s="152"/>
      <c r="DF23" s="236">
        <f t="shared" si="12"/>
        <v>5.763925857813483E-2</v>
      </c>
      <c r="DG23" s="236">
        <v>6.3782556898395223E-2</v>
      </c>
      <c r="DH23" s="236">
        <f t="shared" si="13"/>
        <v>6.1727117504009936E-2</v>
      </c>
      <c r="DI23" s="452">
        <f t="shared" si="14"/>
        <v>-9.6316275467704826E-2</v>
      </c>
      <c r="DJ23" s="452">
        <f t="shared" si="15"/>
        <v>-6.622468521407221E-2</v>
      </c>
      <c r="DK23" s="152"/>
      <c r="DL23" s="152"/>
      <c r="DM23" s="152"/>
      <c r="DT23" s="829"/>
      <c r="DU23" s="152"/>
      <c r="DV23" s="170"/>
      <c r="DW23" s="170"/>
      <c r="DX23" s="152"/>
      <c r="DY23" s="171"/>
      <c r="DZ23" s="171"/>
      <c r="EA23" s="171"/>
      <c r="EB23" s="171"/>
      <c r="EC23" s="2"/>
      <c r="ED23" s="2"/>
      <c r="EE23" s="152"/>
      <c r="EF23" s="152"/>
      <c r="EG23" s="152"/>
      <c r="EH23" s="169"/>
      <c r="EI23" s="169"/>
      <c r="EJ23" s="2"/>
      <c r="EK23" s="2"/>
      <c r="EL23" s="2"/>
    </row>
    <row r="24" spans="1:142" ht="12" customHeight="1">
      <c r="A24" s="1109">
        <f t="shared" si="0"/>
        <v>21</v>
      </c>
      <c r="B24" s="10"/>
      <c r="C24" s="1059" t="s">
        <v>1142</v>
      </c>
      <c r="E24" s="255"/>
      <c r="F24" s="255"/>
      <c r="G24" s="255"/>
      <c r="H24" s="255"/>
      <c r="I24" s="255"/>
      <c r="J24" s="155"/>
      <c r="K24" s="155"/>
      <c r="L24" s="155"/>
      <c r="M24" s="155"/>
      <c r="N24" s="255"/>
      <c r="O24" s="155"/>
      <c r="P24" s="155"/>
      <c r="Q24" s="155"/>
      <c r="R24" s="155"/>
      <c r="S24" s="255"/>
      <c r="T24" s="155"/>
      <c r="U24" s="155"/>
      <c r="V24" s="155"/>
      <c r="W24" s="155"/>
      <c r="X24" s="255"/>
      <c r="Y24" s="155"/>
      <c r="Z24" s="155"/>
      <c r="AA24" s="155"/>
      <c r="AB24" s="155"/>
      <c r="AC24" s="255"/>
      <c r="AD24" s="155"/>
      <c r="AE24" s="155"/>
      <c r="AF24" s="155"/>
      <c r="AG24" s="155"/>
      <c r="AH24" s="255"/>
      <c r="AI24" s="155"/>
      <c r="AJ24" s="155"/>
      <c r="AK24" s="155"/>
      <c r="AL24" s="155"/>
      <c r="AM24" s="255"/>
      <c r="AN24" s="155"/>
      <c r="AO24" s="155"/>
      <c r="AP24" s="155"/>
      <c r="AQ24" s="155"/>
      <c r="AR24" s="255"/>
      <c r="AS24" s="155"/>
      <c r="AT24" s="155"/>
      <c r="AU24" s="155"/>
      <c r="AV24" s="155"/>
      <c r="AW24" s="255"/>
      <c r="AX24" s="155"/>
      <c r="AY24" s="155"/>
      <c r="AZ24" s="155"/>
      <c r="BA24" s="155"/>
      <c r="BB24" s="255"/>
      <c r="BC24" s="155"/>
      <c r="BD24" s="155"/>
      <c r="BE24" s="155"/>
      <c r="BF24" s="155"/>
      <c r="BG24" s="255"/>
      <c r="BH24" s="155"/>
      <c r="BI24" s="155"/>
      <c r="BJ24" s="155"/>
      <c r="BK24" s="155"/>
      <c r="BL24" s="255"/>
      <c r="BM24" s="155"/>
      <c r="BN24" s="155"/>
      <c r="BO24" s="155"/>
      <c r="BP24" s="155"/>
      <c r="BQ24" s="255"/>
      <c r="BR24" s="155"/>
      <c r="BS24" s="155"/>
      <c r="BT24" s="155"/>
      <c r="BU24" s="155"/>
      <c r="BV24" s="255"/>
      <c r="BW24" s="155"/>
      <c r="BX24" s="155"/>
      <c r="BY24" s="155"/>
      <c r="BZ24" s="155"/>
      <c r="CA24" s="255">
        <f>CA27-SUM(CA15+CA18+CA20+CA22)</f>
        <v>0</v>
      </c>
      <c r="CB24" s="155"/>
      <c r="CC24" s="155">
        <f>CC27-SUM(CC15+CC18+CC20+CC22)</f>
        <v>0</v>
      </c>
      <c r="CD24" s="155">
        <f>CD27-SUM(CD15+CD18+CD20+CD22)</f>
        <v>0</v>
      </c>
      <c r="CE24" s="155"/>
      <c r="CF24" s="255">
        <f>CF27-SUM(CF15+CF18+CF20+CF22)</f>
        <v>0</v>
      </c>
      <c r="CG24" s="155"/>
      <c r="CH24" s="155"/>
      <c r="CI24" s="155"/>
      <c r="CJ24" s="155"/>
      <c r="CK24" s="255">
        <f>CK27-SUM(CK15+CK18+CK20+CK22)</f>
        <v>1650.1087595212175</v>
      </c>
      <c r="CL24" s="155">
        <f>CL27-SUM(CL15+CL18+CL20+CL22)</f>
        <v>1415</v>
      </c>
      <c r="CM24" s="155">
        <f>CM27-SUM(CM15+CM18+CM20+CM22)</f>
        <v>882</v>
      </c>
      <c r="CN24" s="155">
        <f>CN27-SUM(CN15+CN18+CN20+CN22)</f>
        <v>877</v>
      </c>
      <c r="CO24" s="155">
        <f>CO27-SUM(CO15+CO18+CO20+CO22)</f>
        <v>456</v>
      </c>
      <c r="CP24" s="255">
        <f>+SUM(CL24:CO24)</f>
        <v>3630</v>
      </c>
      <c r="CQ24" s="155">
        <f>CQ27-SUM(CQ15+CQ18+CQ20+CQ22)</f>
        <v>1094</v>
      </c>
      <c r="CR24" s="155">
        <f>CR27-SUM(CR15+CR18+CR20+CR22)</f>
        <v>1026</v>
      </c>
      <c r="CS24" s="155">
        <f>CS27-SUM(CS15+CS18+CS20+CS22)</f>
        <v>1084</v>
      </c>
      <c r="CT24" s="155">
        <f>CT27-SUM(CT15+CT18+CT20+CT22)</f>
        <v>1220</v>
      </c>
      <c r="CU24" s="255">
        <f>+SUM(CQ24:CT24)</f>
        <v>4424</v>
      </c>
      <c r="CV24" s="155">
        <f>CV27-SUM(CV15+CV18+CV20+CV22)</f>
        <v>1186.2191199999952</v>
      </c>
      <c r="CW24" s="155">
        <f>CW27-SUM(CW15+CW18+CW20+CW22)</f>
        <v>1494.1044099999986</v>
      </c>
      <c r="CX24" s="155">
        <f>CX27-SUM(CX15+CX18+CX20+CX22)</f>
        <v>1051.424639999999</v>
      </c>
      <c r="CY24" s="155">
        <f>CY27-SUM(CY15+CY18+CY20+CY22)</f>
        <v>766.01356449999639</v>
      </c>
      <c r="CZ24" s="255">
        <f>+SUM(CV24:CY24)</f>
        <v>4497.761734499989</v>
      </c>
      <c r="DA24" s="255">
        <f>DA27-SUM(DA15+DA18+DA20+DA22)</f>
        <v>4960.0850054936718</v>
      </c>
      <c r="DB24" s="255">
        <f>DB27-SUM(DB15+DB18+DB20+DB22)</f>
        <v>5274.1440105801576</v>
      </c>
      <c r="DC24" s="255">
        <f>DC27-SUM(DC15+DC18+DC20+DC22)</f>
        <v>6519.9624923286574</v>
      </c>
      <c r="DD24" s="165"/>
      <c r="DE24" s="155"/>
      <c r="DF24" s="255">
        <f t="shared" si="12"/>
        <v>1220</v>
      </c>
      <c r="DG24" s="255">
        <v>-37001.570924325053</v>
      </c>
      <c r="DH24" s="255">
        <f t="shared" si="13"/>
        <v>456</v>
      </c>
      <c r="DI24" s="450">
        <f t="shared" si="14"/>
        <v>-1.032971573085238</v>
      </c>
      <c r="DJ24" s="450">
        <f t="shared" si="15"/>
        <v>1.6754385964912282</v>
      </c>
      <c r="DK24" s="155"/>
      <c r="DL24" s="155"/>
      <c r="DM24" s="155"/>
      <c r="DT24" s="830"/>
      <c r="DU24" s="155"/>
      <c r="DV24" s="155"/>
      <c r="DW24" s="155"/>
      <c r="DX24" s="165"/>
      <c r="DY24" s="165"/>
      <c r="DZ24" s="165"/>
      <c r="EA24" s="165"/>
      <c r="EB24" s="165"/>
      <c r="EC24" s="2"/>
      <c r="ED24" s="2"/>
      <c r="EE24" s="165"/>
      <c r="EF24" s="165"/>
      <c r="EG24" s="165"/>
      <c r="EH24" s="167"/>
      <c r="EI24" s="167"/>
      <c r="EJ24" s="2"/>
      <c r="EK24" s="2"/>
      <c r="EL24" s="2"/>
    </row>
    <row r="25" spans="1:142" ht="12" customHeight="1">
      <c r="A25" s="1109">
        <f t="shared" si="0"/>
        <v>22</v>
      </c>
      <c r="B25" s="10"/>
      <c r="C25" s="1091" t="s">
        <v>1145</v>
      </c>
      <c r="D25" s="38"/>
      <c r="E25" s="236"/>
      <c r="F25" s="236"/>
      <c r="G25" s="236"/>
      <c r="H25" s="236"/>
      <c r="I25" s="236"/>
      <c r="J25" s="152"/>
      <c r="K25" s="152"/>
      <c r="L25" s="152"/>
      <c r="M25" s="152"/>
      <c r="N25" s="236"/>
      <c r="O25" s="152"/>
      <c r="P25" s="152"/>
      <c r="Q25" s="152"/>
      <c r="R25" s="152"/>
      <c r="S25" s="236"/>
      <c r="T25" s="152"/>
      <c r="U25" s="152"/>
      <c r="V25" s="152"/>
      <c r="W25" s="152"/>
      <c r="X25" s="236"/>
      <c r="Y25" s="152"/>
      <c r="Z25" s="152"/>
      <c r="AA25" s="152"/>
      <c r="AB25" s="152"/>
      <c r="AC25" s="236"/>
      <c r="AD25" s="152"/>
      <c r="AE25" s="152"/>
      <c r="AF25" s="152"/>
      <c r="AG25" s="152"/>
      <c r="AH25" s="236"/>
      <c r="AI25" s="152"/>
      <c r="AJ25" s="152"/>
      <c r="AK25" s="152"/>
      <c r="AL25" s="152"/>
      <c r="AM25" s="236"/>
      <c r="AN25" s="152"/>
      <c r="AO25" s="152"/>
      <c r="AP25" s="152"/>
      <c r="AQ25" s="152"/>
      <c r="AR25" s="236"/>
      <c r="AS25" s="152"/>
      <c r="AT25" s="152"/>
      <c r="AU25" s="152"/>
      <c r="AV25" s="152"/>
      <c r="AW25" s="236"/>
      <c r="AX25" s="152"/>
      <c r="AY25" s="152"/>
      <c r="AZ25" s="152"/>
      <c r="BA25" s="152"/>
      <c r="BB25" s="236"/>
      <c r="BC25" s="152"/>
      <c r="BD25" s="152"/>
      <c r="BE25" s="152"/>
      <c r="BF25" s="152"/>
      <c r="BG25" s="236"/>
      <c r="BH25" s="152"/>
      <c r="BI25" s="152"/>
      <c r="BJ25" s="152"/>
      <c r="BK25" s="152"/>
      <c r="BL25" s="236"/>
      <c r="BM25" s="152"/>
      <c r="BN25" s="152"/>
      <c r="BO25" s="152"/>
      <c r="BP25" s="152"/>
      <c r="BQ25" s="236"/>
      <c r="BR25" s="152"/>
      <c r="BS25" s="152"/>
      <c r="BT25" s="152"/>
      <c r="BU25" s="152"/>
      <c r="BV25" s="236"/>
      <c r="BW25" s="152"/>
      <c r="BX25" s="152"/>
      <c r="BY25" s="152"/>
      <c r="BZ25" s="152"/>
      <c r="CA25" s="255"/>
      <c r="CB25" s="152"/>
      <c r="CC25" s="152"/>
      <c r="CD25" s="152"/>
      <c r="CE25" s="152"/>
      <c r="CF25" s="236"/>
      <c r="CG25" s="152"/>
      <c r="CH25" s="152"/>
      <c r="CI25" s="152"/>
      <c r="CJ25" s="152"/>
      <c r="CK25" s="236">
        <f t="shared" ref="CK25:CQ25" si="25">-CK24/CK15</f>
        <v>-1.103323633320329E-2</v>
      </c>
      <c r="CL25" s="152">
        <f t="shared" si="25"/>
        <v>-3.7515244710748186E-2</v>
      </c>
      <c r="CM25" s="152">
        <f t="shared" si="25"/>
        <v>-2.2337596555654045E-2</v>
      </c>
      <c r="CN25" s="152">
        <f t="shared" si="25"/>
        <v>-2.4399744039173134E-2</v>
      </c>
      <c r="CO25" s="152">
        <f t="shared" si="25"/>
        <v>-1.1796967972266778E-2</v>
      </c>
      <c r="CP25" s="236">
        <f t="shared" si="25"/>
        <v>-2.391304347826087E-2</v>
      </c>
      <c r="CQ25" s="152">
        <f t="shared" si="25"/>
        <v>-2.7946661216982579E-2</v>
      </c>
      <c r="CR25" s="152">
        <f t="shared" ref="CR25:DC25" si="26">-CR24/CR15</f>
        <v>-2.5744611447067973E-2</v>
      </c>
      <c r="CS25" s="152">
        <f t="shared" si="26"/>
        <v>-2.9738553126114509E-2</v>
      </c>
      <c r="CT25" s="152">
        <f t="shared" si="26"/>
        <v>-2.9521366694090886E-2</v>
      </c>
      <c r="CU25" s="236">
        <f t="shared" si="26"/>
        <v>-2.8218604888503342E-2</v>
      </c>
      <c r="CV25" s="152">
        <f t="shared" si="26"/>
        <v>-3.0132658784511403E-2</v>
      </c>
      <c r="CW25" s="152">
        <f t="shared" si="26"/>
        <v>-3.7300082408947555E-2</v>
      </c>
      <c r="CX25" s="152">
        <f t="shared" ref="CX25:CY25" si="27">-CX24/CX15</f>
        <v>-2.851992387631852E-2</v>
      </c>
      <c r="CY25" s="152">
        <f t="shared" si="27"/>
        <v>-1.8350756069503826E-2</v>
      </c>
      <c r="CZ25" s="236">
        <f t="shared" si="26"/>
        <v>-2.846106441154414E-2</v>
      </c>
      <c r="DA25" s="236">
        <f t="shared" si="26"/>
        <v>-3.1209384119370479E-2</v>
      </c>
      <c r="DB25" s="236">
        <f t="shared" si="26"/>
        <v>-3.2249993293490389E-2</v>
      </c>
      <c r="DC25" s="236">
        <f t="shared" si="26"/>
        <v>-3.8849344225051145E-2</v>
      </c>
      <c r="DD25" s="165"/>
      <c r="DE25" s="152"/>
      <c r="DF25" s="236">
        <f t="shared" si="12"/>
        <v>-2.9521366694090886E-2</v>
      </c>
      <c r="DG25" s="236">
        <v>0.9645696272872214</v>
      </c>
      <c r="DH25" s="236">
        <f t="shared" si="13"/>
        <v>-1.1796967972266778E-2</v>
      </c>
      <c r="DI25" s="452">
        <f t="shared" si="14"/>
        <v>-1.0306057394499528</v>
      </c>
      <c r="DJ25" s="452">
        <f t="shared" si="15"/>
        <v>1.502453746038134</v>
      </c>
      <c r="DK25" s="152"/>
      <c r="DL25" s="152"/>
      <c r="DM25" s="152"/>
      <c r="DT25" s="829"/>
      <c r="DU25" s="152"/>
      <c r="DV25" s="170"/>
      <c r="DW25" s="170"/>
      <c r="DX25" s="152"/>
      <c r="DY25" s="171"/>
      <c r="DZ25" s="171"/>
      <c r="EA25" s="171"/>
      <c r="EB25" s="171"/>
      <c r="EC25" s="2"/>
      <c r="ED25" s="2"/>
      <c r="EE25" s="152"/>
      <c r="EF25" s="152"/>
      <c r="EG25" s="152"/>
      <c r="EH25" s="169"/>
      <c r="EI25" s="169"/>
      <c r="EJ25" s="2"/>
      <c r="EK25" s="2"/>
      <c r="EL25" s="2"/>
    </row>
    <row r="26" spans="1:142" ht="12" customHeight="1">
      <c r="A26" s="1109">
        <f t="shared" si="0"/>
        <v>23</v>
      </c>
      <c r="B26" s="10"/>
      <c r="C26" s="1091"/>
      <c r="D26" s="38"/>
      <c r="E26" s="236"/>
      <c r="F26" s="236"/>
      <c r="G26" s="236"/>
      <c r="H26" s="236"/>
      <c r="I26" s="236"/>
      <c r="J26" s="152"/>
      <c r="K26" s="152"/>
      <c r="L26" s="152"/>
      <c r="M26" s="152"/>
      <c r="N26" s="236"/>
      <c r="O26" s="152"/>
      <c r="P26" s="152"/>
      <c r="Q26" s="152"/>
      <c r="R26" s="152"/>
      <c r="S26" s="236"/>
      <c r="T26" s="152"/>
      <c r="U26" s="152"/>
      <c r="V26" s="152"/>
      <c r="W26" s="152"/>
      <c r="X26" s="236"/>
      <c r="Y26" s="152"/>
      <c r="Z26" s="152"/>
      <c r="AA26" s="152"/>
      <c r="AB26" s="152"/>
      <c r="AC26" s="236"/>
      <c r="AD26" s="152"/>
      <c r="AE26" s="152"/>
      <c r="AF26" s="152"/>
      <c r="AG26" s="152"/>
      <c r="AH26" s="236"/>
      <c r="AI26" s="152"/>
      <c r="AJ26" s="152"/>
      <c r="AK26" s="152"/>
      <c r="AL26" s="152"/>
      <c r="AM26" s="236"/>
      <c r="AN26" s="152"/>
      <c r="AO26" s="152"/>
      <c r="AP26" s="152"/>
      <c r="AQ26" s="152"/>
      <c r="AR26" s="236"/>
      <c r="AS26" s="152"/>
      <c r="AT26" s="152"/>
      <c r="AU26" s="152"/>
      <c r="AV26" s="152"/>
      <c r="AW26" s="236"/>
      <c r="AX26" s="152"/>
      <c r="AY26" s="152"/>
      <c r="AZ26" s="152"/>
      <c r="BA26" s="152"/>
      <c r="BB26" s="236"/>
      <c r="BC26" s="152"/>
      <c r="BD26" s="152"/>
      <c r="BE26" s="152"/>
      <c r="BF26" s="152"/>
      <c r="BG26" s="236"/>
      <c r="BH26" s="152"/>
      <c r="BI26" s="152"/>
      <c r="BJ26" s="152"/>
      <c r="BK26" s="152"/>
      <c r="BL26" s="236"/>
      <c r="BM26" s="152"/>
      <c r="BN26" s="152"/>
      <c r="BO26" s="152"/>
      <c r="BP26" s="152"/>
      <c r="BQ26" s="236"/>
      <c r="BR26" s="152"/>
      <c r="BS26" s="152"/>
      <c r="BT26" s="152"/>
      <c r="BU26" s="152"/>
      <c r="BV26" s="236"/>
      <c r="BW26" s="152"/>
      <c r="BX26" s="152"/>
      <c r="BY26" s="152"/>
      <c r="BZ26" s="152"/>
      <c r="CA26" s="1090"/>
      <c r="CB26" s="152"/>
      <c r="CC26" s="152"/>
      <c r="CD26" s="152"/>
      <c r="CE26" s="152"/>
      <c r="CF26" s="236"/>
      <c r="CG26" s="152"/>
      <c r="CH26" s="152"/>
      <c r="CI26" s="326"/>
      <c r="CJ26" s="152"/>
      <c r="CK26" s="255">
        <f>CK15+CK18+CK20+CK22+CK24</f>
        <v>9995.1087595212175</v>
      </c>
      <c r="CL26" s="152"/>
      <c r="CM26" s="152"/>
      <c r="CN26" s="152"/>
      <c r="CO26" s="152"/>
      <c r="CP26" s="236"/>
      <c r="CQ26" s="1044"/>
      <c r="CR26" s="152"/>
      <c r="CS26" s="152"/>
      <c r="CT26" s="152"/>
      <c r="CU26" s="236"/>
      <c r="CV26" s="152"/>
      <c r="CW26" s="152"/>
      <c r="CX26" s="152"/>
      <c r="CY26" s="152"/>
      <c r="CZ26" s="236"/>
      <c r="DA26" s="236"/>
      <c r="DB26" s="236"/>
      <c r="DC26" s="236"/>
      <c r="DD26" s="165"/>
      <c r="DE26" s="152"/>
      <c r="DF26" s="236"/>
      <c r="DG26" s="236"/>
      <c r="DH26" s="236"/>
      <c r="DI26" s="452"/>
      <c r="DJ26" s="452"/>
      <c r="DK26" s="152"/>
      <c r="DL26" s="152"/>
      <c r="DM26" s="152"/>
      <c r="DT26" s="829"/>
      <c r="DU26" s="152"/>
      <c r="DV26" s="170"/>
      <c r="DW26" s="170"/>
      <c r="DX26" s="152"/>
      <c r="DY26" s="171"/>
      <c r="DZ26" s="171"/>
      <c r="EA26" s="171"/>
      <c r="EB26" s="171"/>
      <c r="EC26" s="2"/>
      <c r="ED26" s="2"/>
      <c r="EE26" s="152"/>
      <c r="EF26" s="152"/>
      <c r="EG26" s="152"/>
      <c r="EH26" s="169"/>
      <c r="EI26" s="169"/>
      <c r="EJ26" s="2"/>
      <c r="EK26" s="2"/>
      <c r="EL26" s="2"/>
    </row>
    <row r="27" spans="1:142" ht="12" customHeight="1">
      <c r="A27" s="1109">
        <f t="shared" si="0"/>
        <v>24</v>
      </c>
      <c r="B27" s="10"/>
      <c r="C27" s="6" t="s">
        <v>1141</v>
      </c>
      <c r="D27" s="6"/>
      <c r="E27" s="1060">
        <v>6681</v>
      </c>
      <c r="F27" s="1060">
        <v>6003</v>
      </c>
      <c r="G27" s="1060">
        <v>10430</v>
      </c>
      <c r="H27" s="1060">
        <v>8977</v>
      </c>
      <c r="I27" s="1060">
        <v>9748</v>
      </c>
      <c r="J27" s="1061">
        <v>2965</v>
      </c>
      <c r="K27" s="1061">
        <v>2177</v>
      </c>
      <c r="L27" s="1061">
        <v>1430</v>
      </c>
      <c r="M27" s="1061">
        <v>1627</v>
      </c>
      <c r="N27" s="1060">
        <v>8199</v>
      </c>
      <c r="O27" s="1061">
        <v>1923</v>
      </c>
      <c r="P27" s="1061">
        <v>-742</v>
      </c>
      <c r="Q27" s="1061">
        <v>-458</v>
      </c>
      <c r="R27" s="1061">
        <v>-6678</v>
      </c>
      <c r="S27" s="1060">
        <v>-5955</v>
      </c>
      <c r="T27" s="1061">
        <v>32</v>
      </c>
      <c r="U27" s="1061">
        <v>851</v>
      </c>
      <c r="V27" s="1061">
        <v>-407</v>
      </c>
      <c r="W27" s="1061">
        <v>-268</v>
      </c>
      <c r="X27" s="1060">
        <v>208</v>
      </c>
      <c r="Y27" s="1061">
        <v>1171</v>
      </c>
      <c r="Z27" s="1061">
        <v>512</v>
      </c>
      <c r="AA27" s="1061">
        <v>17</v>
      </c>
      <c r="AB27" s="1061">
        <v>-1332</v>
      </c>
      <c r="AC27" s="1060">
        <v>368</v>
      </c>
      <c r="AD27" s="1061">
        <v>2662</v>
      </c>
      <c r="AE27" s="1061">
        <v>1421</v>
      </c>
      <c r="AF27" s="1061">
        <v>278</v>
      </c>
      <c r="AG27" s="1061">
        <v>-1495</v>
      </c>
      <c r="AH27" s="1060">
        <v>2866</v>
      </c>
      <c r="AI27" s="1061">
        <v>1339</v>
      </c>
      <c r="AJ27" s="1061">
        <v>438</v>
      </c>
      <c r="AK27" s="1061">
        <v>-1283</v>
      </c>
      <c r="AL27" s="1061">
        <v>-2044</v>
      </c>
      <c r="AM27" s="1060">
        <v>-1550</v>
      </c>
      <c r="AN27" s="1061">
        <v>-2641</v>
      </c>
      <c r="AO27" s="1061">
        <v>-1184</v>
      </c>
      <c r="AP27" s="1061">
        <v>-6980</v>
      </c>
      <c r="AQ27" s="1061">
        <v>-6168</v>
      </c>
      <c r="AR27" s="1060">
        <v>-16973</v>
      </c>
      <c r="AS27" s="1061">
        <v>-334</v>
      </c>
      <c r="AT27" s="1061">
        <v>-215</v>
      </c>
      <c r="AU27" s="1061">
        <v>359</v>
      </c>
      <c r="AV27" s="1061">
        <v>-1234</v>
      </c>
      <c r="AW27" s="1060">
        <v>-1424</v>
      </c>
      <c r="AX27" s="1061">
        <v>167</v>
      </c>
      <c r="AY27" s="1061">
        <v>-1382</v>
      </c>
      <c r="AZ27" s="1061">
        <v>-2952</v>
      </c>
      <c r="BA27" s="1061">
        <v>-4212</v>
      </c>
      <c r="BB27" s="1060">
        <v>-8379</v>
      </c>
      <c r="BC27" s="1061">
        <v>-2889</v>
      </c>
      <c r="BD27" s="1061">
        <v>-1386</v>
      </c>
      <c r="BE27" s="1061">
        <v>872</v>
      </c>
      <c r="BF27" s="1061">
        <v>1502</v>
      </c>
      <c r="BG27" s="1060">
        <v>-1901</v>
      </c>
      <c r="BH27" s="1061">
        <v>1741</v>
      </c>
      <c r="BI27" s="1061">
        <v>2826</v>
      </c>
      <c r="BJ27" s="1061">
        <v>1606</v>
      </c>
      <c r="BK27" s="1061">
        <v>608</v>
      </c>
      <c r="BL27" s="1060">
        <v>6781</v>
      </c>
      <c r="BM27" s="1061">
        <v>2508</v>
      </c>
      <c r="BN27" s="1061">
        <v>2489</v>
      </c>
      <c r="BO27" s="1061">
        <v>1565</v>
      </c>
      <c r="BP27" s="1061">
        <v>1634</v>
      </c>
      <c r="BQ27" s="1060">
        <v>8196</v>
      </c>
      <c r="BR27" s="1061">
        <v>2072</v>
      </c>
      <c r="BS27" s="1061">
        <v>1635</v>
      </c>
      <c r="BT27" s="1061">
        <v>1820</v>
      </c>
      <c r="BU27" s="1061">
        <v>1156</v>
      </c>
      <c r="BV27" s="1060">
        <v>6683</v>
      </c>
      <c r="BW27" s="1061">
        <v>1782</v>
      </c>
      <c r="BX27" s="1061">
        <v>2174</v>
      </c>
      <c r="BY27" s="1061">
        <v>2097</v>
      </c>
      <c r="BZ27" s="1061">
        <v>875</v>
      </c>
      <c r="CA27" s="1060">
        <v>6928</v>
      </c>
      <c r="CB27" s="1061">
        <v>888</v>
      </c>
      <c r="CC27" s="1061">
        <v>2053</v>
      </c>
      <c r="CD27" s="1061">
        <v>652</v>
      </c>
      <c r="CE27" s="1061">
        <v>1543</v>
      </c>
      <c r="CF27" s="1060">
        <v>5136</v>
      </c>
      <c r="CG27" s="1061">
        <v>1243</v>
      </c>
      <c r="CH27" s="1061">
        <v>2648</v>
      </c>
      <c r="CI27" s="1061">
        <v>2640</v>
      </c>
      <c r="CJ27" s="1061">
        <v>1814</v>
      </c>
      <c r="CK27" s="304">
        <f>Drivers!CK78</f>
        <v>9995.1087595212175</v>
      </c>
      <c r="CL27" s="172">
        <f>Drivers!CL78</f>
        <v>4052</v>
      </c>
      <c r="CM27" s="172">
        <f>Drivers!CM78</f>
        <v>3218</v>
      </c>
      <c r="CN27" s="172">
        <f>Drivers!CN78</f>
        <v>1665</v>
      </c>
      <c r="CO27" s="172">
        <f>Drivers!CO78</f>
        <v>2390</v>
      </c>
      <c r="CP27" s="304">
        <f>SUM(CL27:CO27)</f>
        <v>11325</v>
      </c>
      <c r="CQ27" s="172">
        <f>Drivers!CQ78</f>
        <v>2512</v>
      </c>
      <c r="CR27" s="172">
        <f>Drivers!CR78</f>
        <v>2798</v>
      </c>
      <c r="CS27" s="172">
        <f>Drivers!CS78</f>
        <v>2272</v>
      </c>
      <c r="CT27" s="172">
        <f>Drivers!CT78</f>
        <v>2044</v>
      </c>
      <c r="CU27" s="304">
        <f>SUM(CQ27:CT27)</f>
        <v>9626</v>
      </c>
      <c r="CV27" s="172">
        <f>Drivers!CV78</f>
        <v>2091.6499999999996</v>
      </c>
      <c r="CW27" s="172">
        <f>Drivers!CW78</f>
        <v>2415.4</v>
      </c>
      <c r="CX27" s="172">
        <f>Drivers!CX78</f>
        <v>1899.35</v>
      </c>
      <c r="CY27" s="172">
        <f>Drivers!CY78</f>
        <v>1726.1</v>
      </c>
      <c r="CZ27" s="164">
        <f>SUM(CV27:CY27)</f>
        <v>8132.5</v>
      </c>
      <c r="DA27" s="164">
        <f>Drivers!DA78</f>
        <v>7661.8827971731616</v>
      </c>
      <c r="DB27" s="164">
        <f>Drivers!DB78</f>
        <v>8054.3135245366429</v>
      </c>
      <c r="DC27" s="164">
        <f>Drivers!DC78</f>
        <v>8533.884515174359</v>
      </c>
      <c r="DD27" s="1027"/>
      <c r="DE27" s="172"/>
      <c r="DF27" s="304">
        <f>CT27</f>
        <v>2044</v>
      </c>
      <c r="DG27" s="304">
        <v>1359.1340756749487</v>
      </c>
      <c r="DH27" s="304">
        <f>CO27</f>
        <v>2390</v>
      </c>
      <c r="DI27" s="451">
        <f>IF(ISERROR(DF27/DG27-1),"NM",DF27/DG27-1)</f>
        <v>0.50389872241628964</v>
      </c>
      <c r="DJ27" s="451">
        <f>IF(ISERROR(DF27/DH27-1),"NM",DF27/DH27-1)</f>
        <v>-0.14476987447698741</v>
      </c>
      <c r="DK27" s="172"/>
      <c r="DL27" s="172"/>
      <c r="DM27" s="172"/>
      <c r="DT27" s="834"/>
      <c r="DU27" s="172"/>
      <c r="DV27" s="173"/>
      <c r="DW27" s="173"/>
      <c r="DX27" s="173"/>
      <c r="DY27" s="173"/>
      <c r="DZ27" s="173"/>
      <c r="EA27" s="173"/>
      <c r="EB27" s="173"/>
      <c r="EC27" s="3"/>
      <c r="ED27" s="2"/>
      <c r="EE27" s="173"/>
      <c r="EF27" s="173"/>
      <c r="EG27" s="173"/>
      <c r="EH27" s="174"/>
      <c r="EI27" s="174"/>
      <c r="EJ27" s="2"/>
      <c r="EK27" s="2"/>
      <c r="EL27" s="2"/>
    </row>
    <row r="28" spans="1:142" ht="12" customHeight="1">
      <c r="A28" s="1109">
        <f t="shared" si="0"/>
        <v>25</v>
      </c>
      <c r="B28" s="10"/>
      <c r="C28" s="1091" t="s">
        <v>77</v>
      </c>
      <c r="D28" s="38"/>
      <c r="E28" s="236">
        <f t="shared" ref="E28:BP28" si="28">E27/E15</f>
        <v>4.8717705652012222E-2</v>
      </c>
      <c r="F28" s="236">
        <f t="shared" si="28"/>
        <v>4.0839235055207465E-2</v>
      </c>
      <c r="G28" s="236">
        <f t="shared" si="28"/>
        <v>6.7891711743378449E-2</v>
      </c>
      <c r="H28" s="236">
        <f t="shared" si="28"/>
        <v>6.2160702415244851E-2</v>
      </c>
      <c r="I28" s="236">
        <f t="shared" si="28"/>
        <v>6.0675472120902789E-2</v>
      </c>
      <c r="J28" s="152">
        <f t="shared" si="28"/>
        <v>6.912388679069334E-2</v>
      </c>
      <c r="K28" s="152">
        <f t="shared" si="28"/>
        <v>4.8922447695453827E-2</v>
      </c>
      <c r="L28" s="152">
        <f t="shared" si="28"/>
        <v>3.5700911247035325E-2</v>
      </c>
      <c r="M28" s="152">
        <f t="shared" si="28"/>
        <v>3.8183524994132835E-2</v>
      </c>
      <c r="N28" s="236">
        <f t="shared" si="28"/>
        <v>4.8212962636277036E-2</v>
      </c>
      <c r="O28" s="152">
        <f t="shared" si="28"/>
        <v>4.5304622343683737E-2</v>
      </c>
      <c r="P28" s="152">
        <f t="shared" si="28"/>
        <v>-1.7535567424493075E-2</v>
      </c>
      <c r="Q28" s="152">
        <f t="shared" si="28"/>
        <v>-1.2608743530448189E-2</v>
      </c>
      <c r="R28" s="152">
        <f t="shared" si="28"/>
        <v>-0.16833879505923871</v>
      </c>
      <c r="S28" s="236">
        <f t="shared" si="28"/>
        <v>-3.7044179305025071E-2</v>
      </c>
      <c r="T28" s="152">
        <f t="shared" si="28"/>
        <v>8.0863214818184114E-4</v>
      </c>
      <c r="U28" s="152">
        <f t="shared" si="28"/>
        <v>2.0162532281375128E-2</v>
      </c>
      <c r="V28" s="152">
        <f t="shared" si="28"/>
        <v>-1.0346230108292236E-2</v>
      </c>
      <c r="W28" s="152">
        <f t="shared" si="28"/>
        <v>-6.5146579804560263E-3</v>
      </c>
      <c r="X28" s="236">
        <f t="shared" si="28"/>
        <v>1.2819248594813134E-3</v>
      </c>
      <c r="Y28" s="152">
        <f t="shared" si="28"/>
        <v>2.869043243905427E-2</v>
      </c>
      <c r="Z28" s="152">
        <f t="shared" si="28"/>
        <v>1.2616430929968952E-2</v>
      </c>
      <c r="AA28" s="152">
        <f t="shared" si="28"/>
        <v>4.6268575472211641E-4</v>
      </c>
      <c r="AB28" s="152">
        <f t="shared" si="28"/>
        <v>-2.8831792895950129E-2</v>
      </c>
      <c r="AC28" s="236">
        <f t="shared" si="28"/>
        <v>2.2392873224695445E-3</v>
      </c>
      <c r="AD28" s="152">
        <f t="shared" si="28"/>
        <v>5.952194620217785E-2</v>
      </c>
      <c r="AE28" s="152">
        <f t="shared" si="28"/>
        <v>3.3144403237468804E-2</v>
      </c>
      <c r="AF28" s="152">
        <f t="shared" si="28"/>
        <v>7.1061578180516855E-3</v>
      </c>
      <c r="AG28" s="152">
        <f t="shared" si="28"/>
        <v>-3.2785806706287418E-2</v>
      </c>
      <c r="AH28" s="236">
        <f t="shared" si="28"/>
        <v>1.6632233803013069E-2</v>
      </c>
      <c r="AI28" s="152">
        <f t="shared" si="28"/>
        <v>2.9665898617511521E-2</v>
      </c>
      <c r="AJ28" s="152">
        <f t="shared" si="28"/>
        <v>9.6975601115883627E-3</v>
      </c>
      <c r="AK28" s="152">
        <f t="shared" si="28"/>
        <v>-3.1671192298197974E-2</v>
      </c>
      <c r="AL28" s="152">
        <f t="shared" si="28"/>
        <v>-4.4353788733616874E-2</v>
      </c>
      <c r="AM28" s="236">
        <f t="shared" si="28"/>
        <v>-8.7622105643994207E-3</v>
      </c>
      <c r="AN28" s="152">
        <f t="shared" si="28"/>
        <v>-6.4747848684694409E-2</v>
      </c>
      <c r="AO28" s="152">
        <f t="shared" si="28"/>
        <v>-2.8272601365872296E-2</v>
      </c>
      <c r="AP28" s="152">
        <f t="shared" si="28"/>
        <v>-0.18816552095969807</v>
      </c>
      <c r="AQ28" s="152">
        <f t="shared" si="28"/>
        <v>-0.15304071657196736</v>
      </c>
      <c r="AR28" s="236">
        <f t="shared" si="28"/>
        <v>-0.10603817199262799</v>
      </c>
      <c r="AS28" s="152">
        <f t="shared" si="28"/>
        <v>-7.7665387745610975E-3</v>
      </c>
      <c r="AT28" s="152">
        <f t="shared" si="28"/>
        <v>-4.8596356403417564E-3</v>
      </c>
      <c r="AU28" s="152">
        <f t="shared" si="28"/>
        <v>8.7394712498174206E-3</v>
      </c>
      <c r="AV28" s="152">
        <f t="shared" si="28"/>
        <v>-2.7962837072286428E-2</v>
      </c>
      <c r="AW28" s="236">
        <f t="shared" si="28"/>
        <v>-8.2572265228610369E-3</v>
      </c>
      <c r="AX28" s="152">
        <f t="shared" si="28"/>
        <v>3.8575256398410791E-3</v>
      </c>
      <c r="AY28" s="152">
        <f t="shared" si="28"/>
        <v>-3.3623667948031725E-2</v>
      </c>
      <c r="AZ28" s="152">
        <f t="shared" si="28"/>
        <v>-9.2988092988092991E-2</v>
      </c>
      <c r="BA28" s="152">
        <f t="shared" si="28"/>
        <v>-0.14537171256989026</v>
      </c>
      <c r="BB28" s="236">
        <f t="shared" si="28"/>
        <v>-5.7740810672988134E-2</v>
      </c>
      <c r="BC28" s="152">
        <f t="shared" si="28"/>
        <v>-0.11845018450184502</v>
      </c>
      <c r="BD28" s="152">
        <f t="shared" si="28"/>
        <v>-5.1697127937336815E-2</v>
      </c>
      <c r="BE28" s="152">
        <f t="shared" si="28"/>
        <v>2.8805496828752643E-2</v>
      </c>
      <c r="BF28" s="152">
        <f t="shared" si="28"/>
        <v>4.3147281031857748E-2</v>
      </c>
      <c r="BG28" s="236">
        <f t="shared" si="28"/>
        <v>-1.6348047435996663E-2</v>
      </c>
      <c r="BH28" s="152">
        <f t="shared" si="28"/>
        <v>5.5154279921434457E-2</v>
      </c>
      <c r="BI28" s="152">
        <f t="shared" si="28"/>
        <v>8.0588587560954744E-2</v>
      </c>
      <c r="BJ28" s="152">
        <f t="shared" si="28"/>
        <v>5.372495232997692E-2</v>
      </c>
      <c r="BK28" s="152">
        <f t="shared" si="28"/>
        <v>1.8749229061305044E-2</v>
      </c>
      <c r="BL28" s="236">
        <f t="shared" si="28"/>
        <v>5.2584642585728245E-2</v>
      </c>
      <c r="BM28" s="152">
        <f t="shared" si="28"/>
        <v>7.5738358398260555E-2</v>
      </c>
      <c r="BN28" s="152">
        <f t="shared" si="28"/>
        <v>7.005939144875728E-2</v>
      </c>
      <c r="BO28" s="152">
        <f t="shared" si="28"/>
        <v>4.7356794867915393E-2</v>
      </c>
      <c r="BP28" s="152">
        <f t="shared" si="28"/>
        <v>4.725821378991208E-2</v>
      </c>
      <c r="BQ28" s="236">
        <f t="shared" ref="BQ28:CF28" si="29">BQ27/BQ15</f>
        <v>6.0147948100745613E-2</v>
      </c>
      <c r="BR28" s="152">
        <f t="shared" si="29"/>
        <v>6.3861920172599784E-2</v>
      </c>
      <c r="BS28" s="152">
        <f t="shared" si="29"/>
        <v>4.9230676583059831E-2</v>
      </c>
      <c r="BT28" s="152">
        <f t="shared" si="29"/>
        <v>5.6570931244560488E-2</v>
      </c>
      <c r="BU28" s="152">
        <f t="shared" si="29"/>
        <v>3.235285886205256E-2</v>
      </c>
      <c r="BV28" s="236">
        <f t="shared" si="29"/>
        <v>5.0037811004874248E-2</v>
      </c>
      <c r="BW28" s="152">
        <f t="shared" si="29"/>
        <v>4.9987376925018936E-2</v>
      </c>
      <c r="BX28" s="152">
        <f t="shared" si="29"/>
        <v>5.7326688289428579E-2</v>
      </c>
      <c r="BY28" s="152">
        <f t="shared" si="29"/>
        <v>5.8616352201257861E-2</v>
      </c>
      <c r="BZ28" s="152">
        <f t="shared" si="29"/>
        <v>2.328985892999734E-2</v>
      </c>
      <c r="CA28" s="236">
        <f t="shared" si="29"/>
        <v>4.7155877127902146E-2</v>
      </c>
      <c r="CB28" s="152">
        <f t="shared" si="29"/>
        <v>2.4751923291336828E-2</v>
      </c>
      <c r="CC28" s="152">
        <f t="shared" si="29"/>
        <v>5.4876907861324209E-2</v>
      </c>
      <c r="CD28" s="152">
        <f t="shared" si="29"/>
        <v>1.8671248568155784E-2</v>
      </c>
      <c r="CE28" s="152">
        <f t="shared" si="29"/>
        <v>4.301644828547533E-2</v>
      </c>
      <c r="CF28" s="236">
        <f t="shared" si="29"/>
        <v>3.5647605100050668E-2</v>
      </c>
      <c r="CG28" s="152">
        <f t="shared" ref="CG28:CQ28" si="30">CG27/CG15</f>
        <v>3.6666666666666667E-2</v>
      </c>
      <c r="CH28" s="152">
        <f t="shared" si="30"/>
        <v>7.106244800472318E-2</v>
      </c>
      <c r="CI28" s="152">
        <f t="shared" si="30"/>
        <v>6.9211409395973159E-2</v>
      </c>
      <c r="CJ28" s="152">
        <f t="shared" si="30"/>
        <v>4.5067203299296914E-2</v>
      </c>
      <c r="CK28" s="236">
        <f t="shared" si="30"/>
        <v>6.683098703861523E-2</v>
      </c>
      <c r="CL28" s="152">
        <f t="shared" si="30"/>
        <v>0.10742881382894109</v>
      </c>
      <c r="CM28" s="152">
        <f t="shared" si="30"/>
        <v>8.1499303532987205E-2</v>
      </c>
      <c r="CN28" s="152">
        <f t="shared" si="30"/>
        <v>4.6323345296719803E-2</v>
      </c>
      <c r="CO28" s="152">
        <f t="shared" si="30"/>
        <v>6.1830599679205255E-2</v>
      </c>
      <c r="CP28" s="236">
        <f t="shared" si="30"/>
        <v>7.4604743083003952E-2</v>
      </c>
      <c r="CQ28" s="152">
        <f t="shared" si="30"/>
        <v>6.4170030143565121E-2</v>
      </c>
      <c r="CR28" s="152">
        <f t="shared" ref="CR28:DC28" si="31">CR27/CR15</f>
        <v>7.0208014453115197E-2</v>
      </c>
      <c r="CS28" s="152">
        <f t="shared" si="31"/>
        <v>6.2330251570601632E-2</v>
      </c>
      <c r="CT28" s="152">
        <f t="shared" si="31"/>
        <v>4.9460388133378504E-2</v>
      </c>
      <c r="CU28" s="236">
        <f t="shared" si="31"/>
        <v>6.139970403633209E-2</v>
      </c>
      <c r="CV28" s="152">
        <f t="shared" si="31"/>
        <v>5.3132658784511518E-2</v>
      </c>
      <c r="CW28" s="152">
        <f t="shared" si="31"/>
        <v>6.0300082408947589E-2</v>
      </c>
      <c r="CX28" s="152">
        <f t="shared" ref="CX28:CY28" si="32">CX27/CX15</f>
        <v>5.1519923876318548E-2</v>
      </c>
      <c r="CY28" s="152">
        <f t="shared" si="32"/>
        <v>4.1350756069503905E-2</v>
      </c>
      <c r="CZ28" s="236">
        <f t="shared" si="31"/>
        <v>5.1461064411544209E-2</v>
      </c>
      <c r="DA28" s="236">
        <f t="shared" si="31"/>
        <v>4.820938411937041E-2</v>
      </c>
      <c r="DB28" s="236">
        <f t="shared" si="31"/>
        <v>4.9249993293490474E-2</v>
      </c>
      <c r="DC28" s="236">
        <f t="shared" si="31"/>
        <v>5.0849344225051156E-2</v>
      </c>
      <c r="DD28" s="165"/>
      <c r="DE28" s="152"/>
      <c r="DF28" s="236">
        <f>CT28</f>
        <v>4.9460388133378504E-2</v>
      </c>
      <c r="DG28" s="236">
        <v>3.5430372712778574E-2</v>
      </c>
      <c r="DH28" s="236">
        <f>CO28</f>
        <v>6.1830599679205255E-2</v>
      </c>
      <c r="DI28" s="452">
        <f>IF(ISERROR(DF28/DG28-1),"NM",DF28/DG28-1)</f>
        <v>0.39598836665750814</v>
      </c>
      <c r="DJ28" s="452">
        <f>IF(ISERROR(DF28/DH28-1),"NM",DF28/DH28-1)</f>
        <v>-0.20006617451564324</v>
      </c>
      <c r="DK28" s="152"/>
      <c r="DL28" s="152"/>
      <c r="DM28" s="152"/>
      <c r="DT28" s="829"/>
      <c r="DU28" s="152"/>
      <c r="DV28" s="152"/>
      <c r="DW28" s="152"/>
      <c r="DX28" s="152"/>
      <c r="DY28" s="152"/>
      <c r="DZ28" s="152"/>
      <c r="EA28" s="152"/>
      <c r="EB28" s="152"/>
      <c r="EC28" s="2"/>
      <c r="ED28" s="2"/>
      <c r="EE28" s="152"/>
      <c r="EF28" s="152"/>
      <c r="EG28" s="152"/>
      <c r="EH28" s="169"/>
      <c r="EI28" s="169"/>
      <c r="EJ28" s="2"/>
      <c r="EK28" s="2"/>
      <c r="EL28" s="2"/>
    </row>
    <row r="29" spans="1:142" ht="12" customHeight="1">
      <c r="A29" s="1109">
        <f t="shared" si="0"/>
        <v>26</v>
      </c>
      <c r="B29" s="10"/>
      <c r="C29" s="1059"/>
      <c r="D29" s="38"/>
      <c r="E29" s="236"/>
      <c r="F29" s="236"/>
      <c r="G29" s="236"/>
      <c r="H29" s="236"/>
      <c r="I29" s="236"/>
      <c r="J29" s="152"/>
      <c r="K29" s="152"/>
      <c r="L29" s="152"/>
      <c r="M29" s="152"/>
      <c r="N29" s="236"/>
      <c r="O29" s="152"/>
      <c r="P29" s="152"/>
      <c r="Q29" s="152"/>
      <c r="R29" s="152"/>
      <c r="S29" s="236"/>
      <c r="T29" s="152"/>
      <c r="U29" s="152"/>
      <c r="V29" s="152"/>
      <c r="W29" s="152"/>
      <c r="X29" s="236"/>
      <c r="Y29" s="152"/>
      <c r="Z29" s="152"/>
      <c r="AA29" s="152"/>
      <c r="AB29" s="152"/>
      <c r="AC29" s="236"/>
      <c r="AD29" s="152"/>
      <c r="AE29" s="152"/>
      <c r="AF29" s="152"/>
      <c r="AG29" s="152"/>
      <c r="AH29" s="236"/>
      <c r="AI29" s="152"/>
      <c r="AJ29" s="152"/>
      <c r="AK29" s="152"/>
      <c r="AL29" s="152"/>
      <c r="AM29" s="236"/>
      <c r="AN29" s="152"/>
      <c r="AO29" s="152"/>
      <c r="AP29" s="152"/>
      <c r="AQ29" s="152"/>
      <c r="AR29" s="236"/>
      <c r="AS29" s="152"/>
      <c r="AT29" s="152"/>
      <c r="AU29" s="152"/>
      <c r="AV29" s="152"/>
      <c r="AW29" s="236"/>
      <c r="AX29" s="152"/>
      <c r="AY29" s="326"/>
      <c r="AZ29" s="152"/>
      <c r="BA29" s="152"/>
      <c r="BB29" s="236"/>
      <c r="BC29" s="152"/>
      <c r="BD29" s="152"/>
      <c r="BE29" s="152"/>
      <c r="BF29" s="152"/>
      <c r="BG29" s="236"/>
      <c r="BH29" s="152"/>
      <c r="BI29" s="152"/>
      <c r="BJ29" s="152"/>
      <c r="BK29" s="152"/>
      <c r="BL29" s="236"/>
      <c r="BM29" s="152"/>
      <c r="BN29" s="152"/>
      <c r="BO29" s="152"/>
      <c r="BP29" s="152"/>
      <c r="BQ29" s="236"/>
      <c r="BR29" s="152"/>
      <c r="BS29" s="152"/>
      <c r="BT29" s="152"/>
      <c r="BU29" s="152"/>
      <c r="BV29" s="236"/>
      <c r="BW29" s="152"/>
      <c r="BX29" s="152"/>
      <c r="BY29" s="152"/>
      <c r="BZ29" s="152"/>
      <c r="CA29" s="236"/>
      <c r="CB29" s="152"/>
      <c r="CC29" s="152"/>
      <c r="CD29" s="152"/>
      <c r="CE29" s="152"/>
      <c r="CF29" s="236"/>
      <c r="CG29" s="152"/>
      <c r="CH29" s="152"/>
      <c r="CI29" s="152"/>
      <c r="CJ29" s="152"/>
      <c r="CK29" s="236"/>
      <c r="CL29" s="152"/>
      <c r="CM29" s="152"/>
      <c r="CN29" s="152"/>
      <c r="CO29" s="152"/>
      <c r="CP29" s="236"/>
      <c r="CQ29" s="152"/>
      <c r="CR29" s="152"/>
      <c r="CS29" s="152"/>
      <c r="CT29" s="152"/>
      <c r="CU29" s="236"/>
      <c r="CV29" s="152"/>
      <c r="CW29" s="152"/>
      <c r="CX29" s="152"/>
      <c r="CY29" s="152"/>
      <c r="CZ29" s="1098"/>
      <c r="DA29" s="1098"/>
      <c r="DB29" s="1098"/>
      <c r="DC29" s="1098"/>
      <c r="DD29" s="165"/>
      <c r="DE29" s="152"/>
      <c r="DF29" s="236"/>
      <c r="DG29" s="236"/>
      <c r="DH29" s="236"/>
      <c r="DI29" s="452"/>
      <c r="DJ29" s="452"/>
      <c r="DK29" s="152"/>
      <c r="DL29" s="152"/>
      <c r="DM29" s="152"/>
      <c r="DT29" s="829"/>
      <c r="DU29" s="152"/>
      <c r="DV29" s="152"/>
      <c r="DW29" s="152"/>
      <c r="DX29" s="2"/>
      <c r="DY29" s="2"/>
      <c r="DZ29" s="2"/>
      <c r="EA29" s="2"/>
      <c r="EB29" s="2"/>
      <c r="EC29" s="2"/>
      <c r="ED29" s="2"/>
      <c r="EE29" s="152"/>
      <c r="EF29" s="152"/>
      <c r="EG29" s="152"/>
      <c r="EH29" s="169"/>
      <c r="EI29" s="169"/>
      <c r="EJ29" s="2"/>
      <c r="EK29" s="2"/>
      <c r="EL29" s="2"/>
    </row>
    <row r="30" spans="1:142" ht="12" customHeight="1">
      <c r="A30" s="1109">
        <f t="shared" si="0"/>
        <v>27</v>
      </c>
      <c r="B30" s="10"/>
      <c r="C30" s="1059" t="s">
        <v>1143</v>
      </c>
      <c r="E30" s="296">
        <v>-622</v>
      </c>
      <c r="F30" s="296">
        <v>-695</v>
      </c>
      <c r="G30" s="296">
        <v>-788</v>
      </c>
      <c r="H30" s="296">
        <v>-829</v>
      </c>
      <c r="I30" s="296">
        <v>-1347</v>
      </c>
      <c r="J30" s="154">
        <v>-318</v>
      </c>
      <c r="K30" s="154">
        <v>-327</v>
      </c>
      <c r="L30" s="154">
        <v>-367</v>
      </c>
      <c r="M30" s="154">
        <f>-1383-SUM(J30:L30)</f>
        <v>-371</v>
      </c>
      <c r="N30" s="235">
        <f>SUM(J30:M30)</f>
        <v>-1383</v>
      </c>
      <c r="O30" s="154">
        <v>-367</v>
      </c>
      <c r="P30" s="154">
        <v>-330</v>
      </c>
      <c r="Q30" s="154">
        <v>-308</v>
      </c>
      <c r="R30" s="154">
        <f>-1376-SUM(O30:Q30)</f>
        <v>-371</v>
      </c>
      <c r="S30" s="235">
        <f>SUM(O30:R30)</f>
        <v>-1376</v>
      </c>
      <c r="T30" s="154">
        <v>0</v>
      </c>
      <c r="U30" s="154">
        <v>0</v>
      </c>
      <c r="V30" s="154">
        <v>0</v>
      </c>
      <c r="W30" s="154">
        <v>0</v>
      </c>
      <c r="X30" s="235">
        <f>SUM(T30:W30)</f>
        <v>0</v>
      </c>
      <c r="Y30" s="154">
        <v>0</v>
      </c>
      <c r="Z30" s="154">
        <v>0</v>
      </c>
      <c r="AA30" s="154">
        <v>0</v>
      </c>
      <c r="AB30" s="154">
        <v>0</v>
      </c>
      <c r="AC30" s="235">
        <f>SUM(Y30:AB30)</f>
        <v>0</v>
      </c>
      <c r="AD30" s="154">
        <v>0</v>
      </c>
      <c r="AE30" s="154">
        <v>0</v>
      </c>
      <c r="AF30" s="154">
        <v>0</v>
      </c>
      <c r="AG30" s="154">
        <v>0</v>
      </c>
      <c r="AH30" s="235">
        <f>SUM(AD30:AG30)</f>
        <v>0</v>
      </c>
      <c r="AI30" s="154">
        <v>0</v>
      </c>
      <c r="AJ30" s="154">
        <v>0</v>
      </c>
      <c r="AK30" s="154">
        <v>0</v>
      </c>
      <c r="AL30" s="154">
        <v>0</v>
      </c>
      <c r="AM30" s="235">
        <f>SUM(AI30:AL30)</f>
        <v>0</v>
      </c>
      <c r="AN30" s="154">
        <v>0</v>
      </c>
      <c r="AO30" s="154">
        <v>0</v>
      </c>
      <c r="AP30" s="154">
        <v>0</v>
      </c>
      <c r="AQ30" s="154">
        <v>0</v>
      </c>
      <c r="AR30" s="235">
        <f>SUM(AN30:AQ30)</f>
        <v>0</v>
      </c>
      <c r="AS30" s="154">
        <v>0</v>
      </c>
      <c r="AT30" s="154">
        <v>0</v>
      </c>
      <c r="AU30" s="154">
        <v>0</v>
      </c>
      <c r="AV30" s="154">
        <v>0</v>
      </c>
      <c r="AW30" s="235">
        <f>SUM(AS30:AV30)</f>
        <v>0</v>
      </c>
      <c r="AX30" s="154">
        <v>0</v>
      </c>
      <c r="AY30" s="154">
        <v>0</v>
      </c>
      <c r="AZ30" s="154">
        <v>0</v>
      </c>
      <c r="BA30" s="154">
        <v>0</v>
      </c>
      <c r="BB30" s="235">
        <f>SUM(AX30:BA30)</f>
        <v>0</v>
      </c>
      <c r="BC30" s="154">
        <v>0</v>
      </c>
      <c r="BD30" s="154">
        <v>0</v>
      </c>
      <c r="BE30" s="154">
        <v>0</v>
      </c>
      <c r="BF30" s="154">
        <v>0</v>
      </c>
      <c r="BG30" s="235">
        <f>SUM(BC30:BF30)</f>
        <v>0</v>
      </c>
      <c r="BH30" s="154">
        <v>0</v>
      </c>
      <c r="BI30" s="154">
        <v>0</v>
      </c>
      <c r="BJ30" s="154">
        <v>0</v>
      </c>
      <c r="BK30" s="154">
        <v>0</v>
      </c>
      <c r="BL30" s="235">
        <f>SUM(BH30:BK30)</f>
        <v>0</v>
      </c>
      <c r="BM30" s="154">
        <v>0</v>
      </c>
      <c r="BN30" s="154">
        <v>0</v>
      </c>
      <c r="BO30" s="154">
        <v>0</v>
      </c>
      <c r="BP30" s="154">
        <f>-817-SUM(BM30:BO30)</f>
        <v>-817</v>
      </c>
      <c r="BQ30" s="235">
        <f>SUM(BM30:BP30)</f>
        <v>-817</v>
      </c>
      <c r="BR30" s="154">
        <v>-185</v>
      </c>
      <c r="BS30" s="154">
        <v>-188</v>
      </c>
      <c r="BT30" s="154">
        <v>-198</v>
      </c>
      <c r="BU30" s="154">
        <f>-713-SUM(BR30:BT30)</f>
        <v>-142</v>
      </c>
      <c r="BV30" s="235">
        <f>SUM(BR30:BU30)</f>
        <v>-713</v>
      </c>
      <c r="BW30" s="154">
        <v>-206</v>
      </c>
      <c r="BX30" s="154">
        <v>-207</v>
      </c>
      <c r="BY30" s="154">
        <v>-204</v>
      </c>
      <c r="BZ30" s="154">
        <f>-829-SUM(BW30:BY30)</f>
        <v>-212</v>
      </c>
      <c r="CA30" s="255">
        <f>+SUM(BW30:BZ30)</f>
        <v>-829</v>
      </c>
      <c r="CB30" s="154">
        <v>-208</v>
      </c>
      <c r="CC30" s="154">
        <v>-207</v>
      </c>
      <c r="CD30" s="154">
        <v>-204</v>
      </c>
      <c r="CE30" s="154">
        <f>-797-SUM(CB30:CD30)</f>
        <v>-178</v>
      </c>
      <c r="CF30" s="255">
        <f>+SUM(CB30:CE30)</f>
        <v>-797</v>
      </c>
      <c r="CG30" s="1073">
        <v>-165</v>
      </c>
      <c r="CH30" s="1073">
        <v>-190</v>
      </c>
      <c r="CI30" s="1073">
        <v>-206</v>
      </c>
      <c r="CJ30" s="1073">
        <f>-773-SUM(CG30:CI30)</f>
        <v>-212</v>
      </c>
      <c r="CK30" s="255">
        <f>+SUM(CG30:CJ30)</f>
        <v>-773</v>
      </c>
      <c r="CL30" s="154">
        <v>-215</v>
      </c>
      <c r="CM30" s="154">
        <v>-225</v>
      </c>
      <c r="CN30" s="154">
        <v>-252</v>
      </c>
      <c r="CO30" s="154">
        <v>-258</v>
      </c>
      <c r="CP30" s="255">
        <f>+SUM(CL30:CO30)</f>
        <v>-950</v>
      </c>
      <c r="CQ30" s="154">
        <v>-293</v>
      </c>
      <c r="CR30" s="154">
        <v>-291</v>
      </c>
      <c r="CS30" s="154">
        <v>-298</v>
      </c>
      <c r="CT30" s="154">
        <v>-307</v>
      </c>
      <c r="CU30" s="255">
        <f>+SUM(CQ30:CT30)</f>
        <v>-1189</v>
      </c>
      <c r="CV30" s="1062">
        <f>-CV120*0.07/4</f>
        <v>-278.79250000000002</v>
      </c>
      <c r="CW30" s="1062">
        <f>-CW120*0.07/4</f>
        <v>-278.79250000000002</v>
      </c>
      <c r="CX30" s="1062">
        <f>-CX120*0.07/4</f>
        <v>-278.79250000000002</v>
      </c>
      <c r="CY30" s="1062">
        <f>-CY120*0.07/4</f>
        <v>-278.79250000000002</v>
      </c>
      <c r="CZ30" s="255">
        <f>+SUM(CV30:CY30)</f>
        <v>-1115.17</v>
      </c>
      <c r="DA30" s="1054">
        <v>-1150</v>
      </c>
      <c r="DB30" s="1054">
        <v>-1200</v>
      </c>
      <c r="DC30" s="1054">
        <v>-1200</v>
      </c>
      <c r="DD30" s="165"/>
      <c r="DE30" s="154"/>
      <c r="DF30" s="255">
        <f>CT30</f>
        <v>-307</v>
      </c>
      <c r="DG30" s="255">
        <v>-226.57599999999999</v>
      </c>
      <c r="DH30" s="255">
        <f>CO30</f>
        <v>-258</v>
      </c>
      <c r="DI30" s="450">
        <f>IF(ISERROR(DF30/DG30-1),"NM",DF30/DG30-1)</f>
        <v>0.35495374620436415</v>
      </c>
      <c r="DJ30" s="450">
        <f>IF(ISERROR(DF30/DH30-1),"NM",DF30/DH30-1)</f>
        <v>0.18992248062015493</v>
      </c>
      <c r="DK30" s="154"/>
      <c r="DL30" s="154"/>
      <c r="DM30" s="154"/>
      <c r="DT30" s="828"/>
      <c r="DU30" s="154"/>
      <c r="DV30" s="155"/>
      <c r="DW30" s="155"/>
      <c r="DX30" s="165"/>
      <c r="DY30" s="165"/>
      <c r="DZ30" s="165"/>
      <c r="EA30" s="165"/>
      <c r="EB30" s="165"/>
      <c r="EC30" s="2"/>
      <c r="ED30" s="2"/>
      <c r="EE30" s="165"/>
      <c r="EF30" s="165"/>
      <c r="EG30" s="165"/>
      <c r="EH30" s="167"/>
      <c r="EI30" s="167"/>
      <c r="EJ30" s="2"/>
      <c r="EK30" s="2"/>
      <c r="EL30" s="2"/>
    </row>
    <row r="31" spans="1:142" ht="12" customHeight="1">
      <c r="A31" s="1109">
        <f t="shared" si="0"/>
        <v>28</v>
      </c>
      <c r="B31" s="10"/>
      <c r="C31" s="1059" t="s">
        <v>778</v>
      </c>
      <c r="E31" s="296">
        <v>800</v>
      </c>
      <c r="F31" s="296">
        <v>841</v>
      </c>
      <c r="G31" s="296">
        <v>1116</v>
      </c>
      <c r="H31" s="296">
        <v>1331</v>
      </c>
      <c r="I31" s="296">
        <v>1418</v>
      </c>
      <c r="J31" s="154">
        <v>368</v>
      </c>
      <c r="K31" s="154">
        <v>389</v>
      </c>
      <c r="L31" s="154">
        <v>382</v>
      </c>
      <c r="M31" s="154">
        <f>1488-SUM(J31:L31)</f>
        <v>349</v>
      </c>
      <c r="N31" s="235">
        <f>SUM(J31:M31)</f>
        <v>1488</v>
      </c>
      <c r="O31" s="154">
        <v>255</v>
      </c>
      <c r="P31" s="154">
        <v>218</v>
      </c>
      <c r="Q31" s="154">
        <v>144</v>
      </c>
      <c r="R31" s="154">
        <f>765-SUM(O31:Q31)</f>
        <v>148</v>
      </c>
      <c r="S31" s="235">
        <f>SUM(O31:R31)</f>
        <v>765</v>
      </c>
      <c r="T31" s="154">
        <v>0</v>
      </c>
      <c r="U31" s="154">
        <v>171</v>
      </c>
      <c r="V31" s="154">
        <v>378</v>
      </c>
      <c r="W31" s="154">
        <f>834-SUM(T31:V31)</f>
        <v>285</v>
      </c>
      <c r="X31" s="235">
        <f>SUM(T31:W31)</f>
        <v>834</v>
      </c>
      <c r="Y31" s="154">
        <v>148</v>
      </c>
      <c r="Z31" s="154">
        <v>134</v>
      </c>
      <c r="AA31" s="154">
        <v>455</v>
      </c>
      <c r="AB31" s="154">
        <f>897-SUM(Y31:AA31)</f>
        <v>160</v>
      </c>
      <c r="AC31" s="235">
        <f>SUM(Y31:AB31)</f>
        <v>897</v>
      </c>
      <c r="AD31" s="154">
        <v>145</v>
      </c>
      <c r="AE31" s="154">
        <v>-20</v>
      </c>
      <c r="AF31" s="154">
        <v>383</v>
      </c>
      <c r="AG31" s="154">
        <f>988-SUM(AD31:AF31)</f>
        <v>480</v>
      </c>
      <c r="AH31" s="235">
        <f>SUM(AD31:AG31)</f>
        <v>988</v>
      </c>
      <c r="AI31" s="154">
        <v>153</v>
      </c>
      <c r="AJ31" s="154">
        <v>651</v>
      </c>
      <c r="AK31" s="154">
        <v>307</v>
      </c>
      <c r="AL31" s="154">
        <f>1249+1095-SUM(AI31:AK31)</f>
        <v>1233</v>
      </c>
      <c r="AM31" s="235">
        <f>SUM(AI31:AL31)</f>
        <v>2344</v>
      </c>
      <c r="AN31" s="154">
        <v>214</v>
      </c>
      <c r="AO31" s="154">
        <v>311</v>
      </c>
      <c r="AP31" s="154">
        <v>555</v>
      </c>
      <c r="AQ31" s="154">
        <f>1478-SUM(AN31:AP31)</f>
        <v>398</v>
      </c>
      <c r="AR31" s="235">
        <f>SUM(AN31:AQ31)</f>
        <v>1478</v>
      </c>
      <c r="AS31" s="154">
        <f>329</f>
        <v>329</v>
      </c>
      <c r="AT31" s="154">
        <f>559</f>
        <v>559</v>
      </c>
      <c r="AU31" s="154">
        <f>-216</f>
        <v>-216</v>
      </c>
      <c r="AV31" s="154">
        <f>1161-SUM(AS31:AU31)</f>
        <v>489</v>
      </c>
      <c r="AW31" s="235">
        <f>SUM(AS31:AV31)</f>
        <v>1161</v>
      </c>
      <c r="AX31" s="154">
        <f>92+56</f>
        <v>148</v>
      </c>
      <c r="AY31" s="154">
        <f>-192+303-57-75</f>
        <v>-21</v>
      </c>
      <c r="AZ31" s="154">
        <f>-244+103</f>
        <v>-141</v>
      </c>
      <c r="BA31" s="154">
        <f>-726-SUM(AX31:AZ31)+(6230-5300)</f>
        <v>218</v>
      </c>
      <c r="BB31" s="235">
        <f>SUM(AX31:BA31)</f>
        <v>204</v>
      </c>
      <c r="BC31" s="154">
        <f>1352+666-1270+2</f>
        <v>750</v>
      </c>
      <c r="BD31" s="154">
        <f>3662+281+100-3385-141-8</f>
        <v>509</v>
      </c>
      <c r="BE31" s="154">
        <f>161-101-160</f>
        <v>-100</v>
      </c>
      <c r="BF31" s="154">
        <f>5284-4714+281+226-110+225-SUM(BC31:BE31)-81</f>
        <v>-48</v>
      </c>
      <c r="BG31" s="235">
        <f>SUM(BC31:BF31)</f>
        <v>1111</v>
      </c>
      <c r="BH31" s="154">
        <f>189-188</f>
        <v>1</v>
      </c>
      <c r="BI31" s="154">
        <f>59-94-40</f>
        <v>-75</v>
      </c>
      <c r="BJ31" s="154">
        <f>88+102+33</f>
        <v>223</v>
      </c>
      <c r="BK31" s="154">
        <f>-362+893+1-4-SUM(BH31:BJ31)</f>
        <v>379</v>
      </c>
      <c r="BL31" s="235">
        <f>SUM(BH31:BK31)</f>
        <v>528</v>
      </c>
      <c r="BM31" s="154">
        <f>40+60-23</f>
        <v>77</v>
      </c>
      <c r="BN31" s="154">
        <f>199+2</f>
        <v>201</v>
      </c>
      <c r="BO31" s="154">
        <f>98+4</f>
        <v>102</v>
      </c>
      <c r="BP31" s="154">
        <f>825-401+47-SUM(BM31:BO31)</f>
        <v>91</v>
      </c>
      <c r="BQ31" s="235">
        <f>SUM(BM31:BP31)</f>
        <v>471</v>
      </c>
      <c r="BR31" s="154">
        <f>232+6</f>
        <v>238</v>
      </c>
      <c r="BS31" s="154">
        <f>16+9+173</f>
        <v>198</v>
      </c>
      <c r="BT31" s="154">
        <f>427+1-136+16</f>
        <v>308</v>
      </c>
      <c r="BU31" s="154">
        <f>1599+4+174-136+27-625-SUM(BR31:BT31)</f>
        <v>299</v>
      </c>
      <c r="BV31" s="235">
        <f>SUM(BR31:BU31)</f>
        <v>1043</v>
      </c>
      <c r="BW31" s="154">
        <f>245+15</f>
        <v>260</v>
      </c>
      <c r="BX31" s="154">
        <f>241</f>
        <v>241</v>
      </c>
      <c r="BY31" s="154">
        <f>200+103</f>
        <v>303</v>
      </c>
      <c r="BZ31" s="154">
        <f>974+103+15-SUM(BW31:BY31)</f>
        <v>288</v>
      </c>
      <c r="CA31" s="255">
        <f>+SUM(BW31:BZ31)</f>
        <v>1092</v>
      </c>
      <c r="CB31" s="154">
        <f>214</f>
        <v>214</v>
      </c>
      <c r="CC31" s="154">
        <f>270</f>
        <v>270</v>
      </c>
      <c r="CD31" s="154">
        <f>255</f>
        <v>255</v>
      </c>
      <c r="CE31" s="154">
        <f>76+800+126-SUM(CB31:CD31)</f>
        <v>263</v>
      </c>
      <c r="CF31" s="255">
        <f>+SUM(CB31:CE31)</f>
        <v>1002</v>
      </c>
      <c r="CG31" s="1073">
        <v>190</v>
      </c>
      <c r="CH31" s="1073">
        <v>272</v>
      </c>
      <c r="CI31" s="1073">
        <f>446-166</f>
        <v>280</v>
      </c>
      <c r="CJ31" s="1073">
        <f>1188-150-SUM(CG31:CI31)</f>
        <v>296</v>
      </c>
      <c r="CK31" s="255">
        <f>+SUM(CG31:CJ31)</f>
        <v>1038</v>
      </c>
      <c r="CL31" s="154">
        <f>768</f>
        <v>768</v>
      </c>
      <c r="CM31" s="154">
        <f>389</f>
        <v>389</v>
      </c>
      <c r="CN31" s="154">
        <f>328</f>
        <v>328</v>
      </c>
      <c r="CO31" s="154">
        <f>1356-SUM(CL31:CN31)</f>
        <v>-129</v>
      </c>
      <c r="CP31" s="255">
        <f>+SUM(CL31:CO31)</f>
        <v>1356</v>
      </c>
      <c r="CQ31" s="154">
        <f>712</f>
        <v>712</v>
      </c>
      <c r="CR31" s="154">
        <v>658</v>
      </c>
      <c r="CS31" s="154">
        <v>709</v>
      </c>
      <c r="CT31" s="154">
        <f>3060-SUM(CQ31:CS31)</f>
        <v>981</v>
      </c>
      <c r="CU31" s="255">
        <f>+SUM(CQ31:CT31)</f>
        <v>3060</v>
      </c>
      <c r="CV31" s="155"/>
      <c r="CW31" s="155"/>
      <c r="CX31" s="155"/>
      <c r="CY31" s="155"/>
      <c r="CZ31" s="255"/>
      <c r="DA31" s="255"/>
      <c r="DB31" s="255"/>
      <c r="DC31" s="255"/>
      <c r="DD31" s="165"/>
      <c r="DE31" s="154"/>
      <c r="DF31" s="255">
        <f>CT31</f>
        <v>981</v>
      </c>
      <c r="DG31" s="255">
        <v>269.42307499999998</v>
      </c>
      <c r="DH31" s="255">
        <f>CO31</f>
        <v>-129</v>
      </c>
      <c r="DI31" s="450">
        <f>IF(ISERROR(DF31/DG31-1),"NM",DF31/DG31-1)</f>
        <v>2.6411135163534158</v>
      </c>
      <c r="DJ31" s="450">
        <f>IF(ISERROR(DF31/DH31-1),"NM",DF31/DH31-1)</f>
        <v>-8.6046511627906987</v>
      </c>
      <c r="DK31" s="154"/>
      <c r="DL31" s="154"/>
      <c r="DM31" s="154"/>
      <c r="DT31" s="828"/>
      <c r="DU31" s="154"/>
      <c r="DV31" s="155"/>
      <c r="DW31" s="155"/>
      <c r="DX31" s="165"/>
      <c r="DY31" s="165"/>
      <c r="DZ31" s="165"/>
      <c r="EA31" s="165"/>
      <c r="EB31" s="165"/>
      <c r="EC31" s="2"/>
      <c r="ED31" s="2"/>
      <c r="EE31" s="165"/>
      <c r="EF31" s="165"/>
      <c r="EG31" s="165"/>
      <c r="EH31" s="167"/>
      <c r="EI31" s="167"/>
      <c r="EJ31" s="2"/>
      <c r="EK31" s="2"/>
      <c r="EL31" s="2"/>
    </row>
    <row r="32" spans="1:142" ht="12" customHeight="1">
      <c r="A32" s="1109">
        <f t="shared" si="0"/>
        <v>29</v>
      </c>
      <c r="B32" s="10"/>
      <c r="C32" s="1059" t="s">
        <v>779</v>
      </c>
      <c r="E32" s="296">
        <v>0</v>
      </c>
      <c r="F32" s="296">
        <v>650</v>
      </c>
      <c r="G32" s="296">
        <v>269</v>
      </c>
      <c r="H32" s="296">
        <v>15955</v>
      </c>
      <c r="I32" s="296">
        <v>0</v>
      </c>
      <c r="J32" s="154">
        <v>0</v>
      </c>
      <c r="K32" s="154">
        <v>0</v>
      </c>
      <c r="L32" s="154">
        <v>0</v>
      </c>
      <c r="M32" s="154">
        <f>0-SUM(J32:L32)</f>
        <v>0</v>
      </c>
      <c r="N32" s="235">
        <f>SUM(J32:M32)</f>
        <v>0</v>
      </c>
      <c r="O32" s="154">
        <v>0</v>
      </c>
      <c r="P32" s="154">
        <v>0</v>
      </c>
      <c r="Q32" s="154">
        <v>0</v>
      </c>
      <c r="R32" s="154">
        <f>0-SUM(O32:Q32)</f>
        <v>0</v>
      </c>
      <c r="S32" s="235">
        <f>SUM(O32:R32)</f>
        <v>0</v>
      </c>
      <c r="T32" s="154">
        <v>0</v>
      </c>
      <c r="U32" s="154">
        <v>0</v>
      </c>
      <c r="V32" s="154">
        <v>0</v>
      </c>
      <c r="W32" s="154">
        <f>0-SUM(T32:V32)</f>
        <v>0</v>
      </c>
      <c r="X32" s="235">
        <f>SUM(T32:W32)</f>
        <v>0</v>
      </c>
      <c r="Y32" s="154">
        <v>0</v>
      </c>
      <c r="Z32" s="154">
        <v>0</v>
      </c>
      <c r="AA32" s="154">
        <v>0</v>
      </c>
      <c r="AB32" s="154">
        <f>0-SUM(Y32:AA32)</f>
        <v>0</v>
      </c>
      <c r="AC32" s="235">
        <f>SUM(Y32:AB32)</f>
        <v>0</v>
      </c>
      <c r="AD32" s="154">
        <v>0</v>
      </c>
      <c r="AE32" s="154">
        <v>0</v>
      </c>
      <c r="AF32" s="154">
        <v>0</v>
      </c>
      <c r="AG32" s="154">
        <f>0-SUM(AD32:AF32)</f>
        <v>0</v>
      </c>
      <c r="AH32" s="235">
        <f>SUM(AD32:AG32)</f>
        <v>0</v>
      </c>
      <c r="AI32" s="154">
        <v>0</v>
      </c>
      <c r="AJ32" s="154">
        <v>0</v>
      </c>
      <c r="AK32" s="154">
        <v>0</v>
      </c>
      <c r="AL32" s="154">
        <v>0</v>
      </c>
      <c r="AM32" s="235">
        <f>SUM(AI32:AL32)</f>
        <v>0</v>
      </c>
      <c r="AN32" s="154">
        <v>0</v>
      </c>
      <c r="AO32" s="154">
        <v>0</v>
      </c>
      <c r="AP32" s="154">
        <v>0</v>
      </c>
      <c r="AQ32" s="154">
        <f>0-SUM(AN32:AP32)</f>
        <v>0</v>
      </c>
      <c r="AR32" s="235">
        <f>SUM(AN32:AQ32)</f>
        <v>0</v>
      </c>
      <c r="AS32" s="154">
        <v>0</v>
      </c>
      <c r="AT32" s="154">
        <v>0</v>
      </c>
      <c r="AU32" s="154">
        <v>0</v>
      </c>
      <c r="AV32" s="154">
        <f>0-SUM(AS32:AU32)</f>
        <v>0</v>
      </c>
      <c r="AW32" s="235">
        <f>SUM(AS32:AV32)</f>
        <v>0</v>
      </c>
      <c r="AX32" s="154">
        <v>229</v>
      </c>
      <c r="AY32" s="154">
        <f>406</f>
        <v>406</v>
      </c>
      <c r="AZ32" s="154">
        <v>300</v>
      </c>
      <c r="BA32" s="154">
        <f>1149-SUM(AX32:AZ32)</f>
        <v>214</v>
      </c>
      <c r="BB32" s="235">
        <f>SUM(AX32:BA32)</f>
        <v>1149</v>
      </c>
      <c r="BC32" s="154">
        <f>113+90</f>
        <v>203</v>
      </c>
      <c r="BD32" s="154">
        <v>187</v>
      </c>
      <c r="BE32" s="154">
        <f>131-9</f>
        <v>122</v>
      </c>
      <c r="BF32" s="154">
        <f>552+81-SUM(BC32:BE32)</f>
        <v>121</v>
      </c>
      <c r="BG32" s="235">
        <f>SUM(BC32:BF32)</f>
        <v>633</v>
      </c>
      <c r="BH32" s="154">
        <v>126</v>
      </c>
      <c r="BI32" s="154">
        <v>67</v>
      </c>
      <c r="BJ32" s="154">
        <v>108</v>
      </c>
      <c r="BK32" s="154">
        <f>315-SUM(BH32:BJ32)</f>
        <v>14</v>
      </c>
      <c r="BL32" s="235">
        <f>SUM(BH32:BK32)</f>
        <v>315</v>
      </c>
      <c r="BM32" s="154">
        <v>85</v>
      </c>
      <c r="BN32" s="154">
        <v>53</v>
      </c>
      <c r="BO32" s="154">
        <v>176</v>
      </c>
      <c r="BP32" s="154">
        <f>413-SUM(BM32:BO32)</f>
        <v>99</v>
      </c>
      <c r="BQ32" s="235">
        <f>SUM(BM32:BP32)</f>
        <v>413</v>
      </c>
      <c r="BR32" s="154">
        <v>73</v>
      </c>
      <c r="BS32" s="154">
        <v>83</v>
      </c>
      <c r="BT32" s="154">
        <v>104</v>
      </c>
      <c r="BU32" s="154">
        <f>365-SUM(BR32:BT32)</f>
        <v>105</v>
      </c>
      <c r="BV32" s="235">
        <f>SUM(BR32:BU32)</f>
        <v>365</v>
      </c>
      <c r="BW32" s="154">
        <v>96</v>
      </c>
      <c r="BX32" s="154">
        <v>74</v>
      </c>
      <c r="BY32" s="154">
        <v>100</v>
      </c>
      <c r="BZ32" s="154">
        <f>348-SUM(BW32:BY32)</f>
        <v>78</v>
      </c>
      <c r="CA32" s="255">
        <f>+SUM(BW32:BZ32)</f>
        <v>348</v>
      </c>
      <c r="CB32" s="154">
        <v>68</v>
      </c>
      <c r="CC32" s="154">
        <v>87</v>
      </c>
      <c r="CD32" s="154">
        <v>90</v>
      </c>
      <c r="CE32" s="154">
        <f>348-SUM(CB32:CD32)</f>
        <v>103</v>
      </c>
      <c r="CF32" s="255">
        <f>+SUM(CB32:CE32)</f>
        <v>348</v>
      </c>
      <c r="CG32" s="1073">
        <v>74</v>
      </c>
      <c r="CH32" s="1073">
        <v>70</v>
      </c>
      <c r="CI32" s="1073">
        <v>97</v>
      </c>
      <c r="CJ32" s="1073">
        <f>372-SUM(CG32:CI32)</f>
        <v>131</v>
      </c>
      <c r="CK32" s="255">
        <f>+SUM(CG32:CJ32)</f>
        <v>372</v>
      </c>
      <c r="CL32" s="154">
        <v>91</v>
      </c>
      <c r="CM32" s="154">
        <v>82</v>
      </c>
      <c r="CN32" s="154">
        <v>132</v>
      </c>
      <c r="CO32" s="154">
        <f>438-SUM(CL32:CN32)</f>
        <v>133</v>
      </c>
      <c r="CP32" s="255">
        <f>+SUM(CL32:CO32)</f>
        <v>438</v>
      </c>
      <c r="CQ32" s="154">
        <v>22</v>
      </c>
      <c r="CR32" s="154">
        <v>74</v>
      </c>
      <c r="CS32" s="154">
        <v>45</v>
      </c>
      <c r="CT32" s="154">
        <f>207-SUM(CQ32:CS32)</f>
        <v>66</v>
      </c>
      <c r="CU32" s="255">
        <f>+SUM(CQ32:CT32)</f>
        <v>207</v>
      </c>
      <c r="CV32" s="155"/>
      <c r="CW32" s="155"/>
      <c r="CX32" s="155"/>
      <c r="CY32" s="155"/>
      <c r="CZ32" s="255"/>
      <c r="DA32" s="255"/>
      <c r="DB32" s="255"/>
      <c r="DC32" s="255"/>
      <c r="DD32" s="165"/>
      <c r="DE32" s="154"/>
      <c r="DF32" s="255">
        <f>CT32</f>
        <v>66</v>
      </c>
      <c r="DG32" s="255">
        <v>115</v>
      </c>
      <c r="DH32" s="255">
        <f>CO32</f>
        <v>133</v>
      </c>
      <c r="DI32" s="450">
        <f>IF(ISERROR(DF32/DG32-1),"NM",DF32/DG32-1)</f>
        <v>-0.42608695652173911</v>
      </c>
      <c r="DJ32" s="450">
        <f>IF(ISERROR(DF32/DH32-1),"NM",DF32/DH32-1)</f>
        <v>-0.50375939849624063</v>
      </c>
      <c r="DK32" s="154"/>
      <c r="DL32" s="154"/>
      <c r="DM32" s="154"/>
      <c r="DT32" s="828"/>
      <c r="DU32" s="154"/>
      <c r="DV32" s="155"/>
      <c r="DW32" s="155"/>
      <c r="DX32" s="165"/>
      <c r="DY32" s="165"/>
      <c r="DZ32" s="165"/>
      <c r="EA32" s="165"/>
      <c r="EB32" s="165"/>
      <c r="EC32" s="2"/>
      <c r="ED32" s="2"/>
      <c r="EE32" s="165"/>
      <c r="EF32" s="165"/>
      <c r="EG32" s="165"/>
      <c r="EH32" s="167"/>
      <c r="EI32" s="167"/>
      <c r="EJ32" s="2"/>
      <c r="EK32" s="2"/>
      <c r="EL32" s="2"/>
    </row>
    <row r="33" spans="1:142" ht="12" customHeight="1">
      <c r="A33" s="1109"/>
      <c r="B33" s="10"/>
      <c r="C33" s="1059" t="s">
        <v>1144</v>
      </c>
      <c r="E33" s="1063"/>
      <c r="F33" s="1063"/>
      <c r="G33" s="1063"/>
      <c r="H33" s="1063"/>
      <c r="I33" s="1063"/>
      <c r="J33" s="154"/>
      <c r="K33" s="154"/>
      <c r="L33" s="154"/>
      <c r="M33" s="154"/>
      <c r="N33" s="1064"/>
      <c r="O33" s="154"/>
      <c r="P33" s="154"/>
      <c r="Q33" s="154"/>
      <c r="R33" s="154"/>
      <c r="S33" s="1064"/>
      <c r="T33" s="154"/>
      <c r="U33" s="154"/>
      <c r="V33" s="154"/>
      <c r="W33" s="154"/>
      <c r="X33" s="1064"/>
      <c r="Y33" s="154"/>
      <c r="Z33" s="154"/>
      <c r="AA33" s="154"/>
      <c r="AB33" s="154"/>
      <c r="AC33" s="1064"/>
      <c r="AD33" s="154"/>
      <c r="AE33" s="154"/>
      <c r="AF33" s="154"/>
      <c r="AG33" s="154"/>
      <c r="AH33" s="1064"/>
      <c r="AI33" s="154"/>
      <c r="AJ33" s="154"/>
      <c r="AK33" s="154"/>
      <c r="AL33" s="154"/>
      <c r="AM33" s="1064"/>
      <c r="AN33" s="154"/>
      <c r="AO33" s="154"/>
      <c r="AP33" s="154"/>
      <c r="AQ33" s="154"/>
      <c r="AR33" s="1064"/>
      <c r="AS33" s="154"/>
      <c r="AT33" s="154"/>
      <c r="AU33" s="154"/>
      <c r="AV33" s="154"/>
      <c r="AW33" s="1064"/>
      <c r="AX33" s="154"/>
      <c r="AY33" s="154"/>
      <c r="AZ33" s="154"/>
      <c r="BA33" s="154"/>
      <c r="BB33" s="1064"/>
      <c r="BC33" s="154"/>
      <c r="BD33" s="154"/>
      <c r="BE33" s="154"/>
      <c r="BF33" s="154"/>
      <c r="BG33" s="1064"/>
      <c r="BH33" s="154"/>
      <c r="BI33" s="154"/>
      <c r="BJ33" s="154"/>
      <c r="BK33" s="154"/>
      <c r="BL33" s="1064"/>
      <c r="BM33" s="154"/>
      <c r="BN33" s="154"/>
      <c r="BO33" s="154"/>
      <c r="BP33" s="154"/>
      <c r="BQ33" s="1064"/>
      <c r="BR33" s="154"/>
      <c r="BS33" s="154"/>
      <c r="BT33" s="154"/>
      <c r="BU33" s="154"/>
      <c r="BV33" s="1064"/>
      <c r="BW33" s="154"/>
      <c r="BX33" s="154"/>
      <c r="BY33" s="154"/>
      <c r="BZ33" s="154"/>
      <c r="CA33" s="1065"/>
      <c r="CB33" s="154"/>
      <c r="CC33" s="154"/>
      <c r="CD33" s="154"/>
      <c r="CE33" s="154"/>
      <c r="CF33" s="1065"/>
      <c r="CG33" s="1073"/>
      <c r="CH33" s="1073"/>
      <c r="CI33" s="1073"/>
      <c r="CJ33" s="1073"/>
      <c r="CK33" s="1067">
        <v>-548</v>
      </c>
      <c r="CL33" s="154">
        <v>-186</v>
      </c>
      <c r="CM33" s="154">
        <v>-118</v>
      </c>
      <c r="CN33" s="154">
        <v>-26</v>
      </c>
      <c r="CO33" s="154">
        <v>-3249</v>
      </c>
      <c r="CP33" s="255">
        <f>+SUM(CL33:CO33)</f>
        <v>-3579</v>
      </c>
      <c r="CQ33" s="154">
        <v>24</v>
      </c>
      <c r="CR33" s="154">
        <v>-248</v>
      </c>
      <c r="CS33" s="154">
        <v>-217</v>
      </c>
      <c r="CT33" s="154">
        <v>152</v>
      </c>
      <c r="CU33" s="255">
        <f>+SUM(CQ33:CT33)</f>
        <v>-289</v>
      </c>
      <c r="CV33" s="1062">
        <v>-50</v>
      </c>
      <c r="CW33" s="1062">
        <v>-50</v>
      </c>
      <c r="CX33" s="1062">
        <v>-50</v>
      </c>
      <c r="CY33" s="1062">
        <v>-50</v>
      </c>
      <c r="CZ33" s="255">
        <f>+SUM(CV33:CY33)</f>
        <v>-200</v>
      </c>
      <c r="DA33" s="1054">
        <v>-200</v>
      </c>
      <c r="DB33" s="1054">
        <v>-200</v>
      </c>
      <c r="DC33" s="1054">
        <v>-200</v>
      </c>
      <c r="DD33" s="165"/>
      <c r="DE33" s="154"/>
      <c r="DF33" s="1065"/>
      <c r="DG33" s="1065"/>
      <c r="DH33" s="1065"/>
      <c r="DI33" s="1066"/>
      <c r="DJ33" s="1066"/>
      <c r="DK33" s="154"/>
      <c r="DL33" s="154"/>
      <c r="DM33" s="154"/>
      <c r="DT33" s="828"/>
      <c r="DU33" s="154"/>
      <c r="DV33" s="155"/>
      <c r="DW33" s="155"/>
      <c r="DX33" s="165"/>
      <c r="DY33" s="165"/>
      <c r="DZ33" s="165"/>
      <c r="EA33" s="165"/>
      <c r="EB33" s="165"/>
      <c r="EC33" s="2"/>
      <c r="ED33" s="2"/>
      <c r="EE33" s="165"/>
      <c r="EF33" s="165"/>
      <c r="EG33" s="165"/>
      <c r="EH33" s="167"/>
      <c r="EI33" s="167"/>
      <c r="EJ33" s="2"/>
      <c r="EK33" s="2"/>
      <c r="EL33" s="2"/>
    </row>
    <row r="34" spans="1:142" ht="12" customHeight="1">
      <c r="A34" s="1109">
        <f>A32+1</f>
        <v>30</v>
      </c>
      <c r="B34" s="10"/>
      <c r="C34" s="1059" t="s">
        <v>780</v>
      </c>
      <c r="E34" s="296">
        <v>-154</v>
      </c>
      <c r="F34" s="296">
        <v>-6</v>
      </c>
      <c r="G34" s="296">
        <v>-88</v>
      </c>
      <c r="H34" s="296">
        <v>-38</v>
      </c>
      <c r="I34" s="296">
        <v>35</v>
      </c>
      <c r="J34" s="154">
        <v>-32</v>
      </c>
      <c r="K34" s="154">
        <v>29</v>
      </c>
      <c r="L34" s="154">
        <v>-61</v>
      </c>
      <c r="M34" s="154">
        <f>-70-SUM(J34:L34)</f>
        <v>-6</v>
      </c>
      <c r="N34" s="235">
        <f>SUM(J34:M34)</f>
        <v>-70</v>
      </c>
      <c r="O34" s="154">
        <v>-178</v>
      </c>
      <c r="P34" s="154">
        <v>-162</v>
      </c>
      <c r="Q34" s="154">
        <v>-346</v>
      </c>
      <c r="R34" s="154">
        <f>-856-SUM(O34:Q34)</f>
        <v>-170</v>
      </c>
      <c r="S34" s="235">
        <f>SUM(O34:R34)</f>
        <v>-856</v>
      </c>
      <c r="T34" s="154">
        <v>-59</v>
      </c>
      <c r="U34" s="154">
        <v>-19</v>
      </c>
      <c r="V34" s="154">
        <v>-17</v>
      </c>
      <c r="W34" s="154">
        <f>-91-SUM(T34:V34)</f>
        <v>4</v>
      </c>
      <c r="X34" s="235">
        <f>SUM(T34:W34)</f>
        <v>-91</v>
      </c>
      <c r="Y34" s="154">
        <v>21</v>
      </c>
      <c r="Z34" s="154">
        <v>72</v>
      </c>
      <c r="AA34" s="154">
        <v>-45</v>
      </c>
      <c r="AB34" s="154">
        <f>74-SUM(Y34:AA34)</f>
        <v>26</v>
      </c>
      <c r="AC34" s="235">
        <f>SUM(Y34:AB34)</f>
        <v>74</v>
      </c>
      <c r="AD34" s="154">
        <v>56</v>
      </c>
      <c r="AE34" s="154">
        <v>84</v>
      </c>
      <c r="AF34" s="154">
        <v>57</v>
      </c>
      <c r="AG34" s="154">
        <f>255-SUM(AD34:AF34)</f>
        <v>58</v>
      </c>
      <c r="AH34" s="235">
        <f>SUM(AD34:AG34)</f>
        <v>255</v>
      </c>
      <c r="AI34" s="154">
        <v>57</v>
      </c>
      <c r="AJ34" s="154">
        <v>69</v>
      </c>
      <c r="AK34" s="154">
        <v>133</v>
      </c>
      <c r="AL34" s="154">
        <f>285-SUM(AI34:AK34)</f>
        <v>26</v>
      </c>
      <c r="AM34" s="235">
        <f>SUM(AI34:AL34)</f>
        <v>285</v>
      </c>
      <c r="AN34" s="154">
        <v>79</v>
      </c>
      <c r="AO34" s="154">
        <v>205</v>
      </c>
      <c r="AP34" s="154">
        <v>61</v>
      </c>
      <c r="AQ34" s="154">
        <f>421-SUM(AN34:AP34)</f>
        <v>76</v>
      </c>
      <c r="AR34" s="235">
        <f>SUM(AN34:AQ34)</f>
        <v>421</v>
      </c>
      <c r="AS34" s="154">
        <v>72</v>
      </c>
      <c r="AT34" s="154">
        <v>139</v>
      </c>
      <c r="AU34" s="154">
        <v>51</v>
      </c>
      <c r="AV34" s="154">
        <f>389-SUM(AS34:AU34)</f>
        <v>127</v>
      </c>
      <c r="AW34" s="235">
        <f>SUM(AS34:AV34)</f>
        <v>389</v>
      </c>
      <c r="AX34" s="154">
        <v>142</v>
      </c>
      <c r="AY34" s="154">
        <v>-36</v>
      </c>
      <c r="AZ34" s="154">
        <v>13</v>
      </c>
      <c r="BA34" s="154">
        <f>176-SUM(AX34:AZ34)</f>
        <v>57</v>
      </c>
      <c r="BB34" s="235">
        <f>SUM(AX34:BA34)</f>
        <v>176</v>
      </c>
      <c r="BC34" s="154">
        <v>-89</v>
      </c>
      <c r="BD34" s="154">
        <v>136</v>
      </c>
      <c r="BE34" s="154">
        <v>108</v>
      </c>
      <c r="BF34" s="154">
        <f>195-SUM(BC34:BE34)</f>
        <v>40</v>
      </c>
      <c r="BG34" s="235">
        <f>SUM(BC34:BF34)</f>
        <v>195</v>
      </c>
      <c r="BH34" s="154">
        <v>142</v>
      </c>
      <c r="BI34" s="154">
        <v>124</v>
      </c>
      <c r="BJ34" s="154">
        <v>118</v>
      </c>
      <c r="BK34" s="154">
        <f>538-SUM(BH34:BJ34)</f>
        <v>154</v>
      </c>
      <c r="BL34" s="235">
        <f>SUM(BH34:BK34)</f>
        <v>538</v>
      </c>
      <c r="BM34" s="154">
        <v>167</v>
      </c>
      <c r="BN34" s="154">
        <v>135</v>
      </c>
      <c r="BO34" s="154">
        <v>104</v>
      </c>
      <c r="BP34" s="154">
        <f>500-SUM(BM34:BO34)</f>
        <v>94</v>
      </c>
      <c r="BQ34" s="235">
        <f>SUM(BM34:BP34)</f>
        <v>500</v>
      </c>
      <c r="BR34" s="154">
        <v>95</v>
      </c>
      <c r="BS34" s="154">
        <v>101</v>
      </c>
      <c r="BT34" s="154">
        <v>129</v>
      </c>
      <c r="BU34" s="154">
        <f>588-SUM(BR34:BT34)</f>
        <v>263</v>
      </c>
      <c r="BV34" s="235">
        <f>SUM(BR34:BU34)</f>
        <v>588</v>
      </c>
      <c r="BW34" s="154">
        <v>214</v>
      </c>
      <c r="BX34" s="154">
        <v>273</v>
      </c>
      <c r="BY34" s="154">
        <v>293</v>
      </c>
      <c r="BZ34" s="154">
        <f>1069-SUM(BW34:BY34)</f>
        <v>289</v>
      </c>
      <c r="CA34" s="255">
        <f>+SUM(BW34:BZ34)</f>
        <v>1069</v>
      </c>
      <c r="CB34" s="154">
        <v>419</v>
      </c>
      <c r="CC34" s="154">
        <f>67+329</f>
        <v>396</v>
      </c>
      <c r="CD34" s="154">
        <v>388</v>
      </c>
      <c r="CE34" s="154">
        <f>1275+329-SUM(CB34:CD34)</f>
        <v>401</v>
      </c>
      <c r="CF34" s="255">
        <f>+SUM(CB34:CE34)</f>
        <v>1604</v>
      </c>
      <c r="CG34" s="154">
        <v>437</v>
      </c>
      <c r="CH34" s="154">
        <v>486</v>
      </c>
      <c r="CI34" s="154">
        <v>314</v>
      </c>
      <c r="CJ34" s="154">
        <f>1818-SUM(CG34:CI34)</f>
        <v>581</v>
      </c>
      <c r="CK34" s="255">
        <f>+SUM(CG34:CJ34)</f>
        <v>1818</v>
      </c>
      <c r="CL34" s="154">
        <v>541</v>
      </c>
      <c r="CM34" s="154">
        <v>398</v>
      </c>
      <c r="CN34" s="154">
        <v>403</v>
      </c>
      <c r="CO34" s="154">
        <f>1780-SUM(CL34:CN34)</f>
        <v>438</v>
      </c>
      <c r="CP34" s="255">
        <f>+SUM(CL34:CO34)</f>
        <v>1780</v>
      </c>
      <c r="CQ34" s="154">
        <v>346</v>
      </c>
      <c r="CR34" s="154">
        <v>273</v>
      </c>
      <c r="CS34" s="154">
        <v>316</v>
      </c>
      <c r="CT34" s="154">
        <f>1201-SUM(CQ34:CS34)</f>
        <v>266</v>
      </c>
      <c r="CU34" s="255">
        <f>+SUM(CQ34:CT34)</f>
        <v>1201</v>
      </c>
      <c r="CV34" s="1068">
        <f>$CZ$34/4</f>
        <v>291.50796530568277</v>
      </c>
      <c r="CW34" s="155">
        <f>$CZ$34/4</f>
        <v>291.50796530568277</v>
      </c>
      <c r="CX34" s="155">
        <f>$CZ$34/4</f>
        <v>291.50796530568277</v>
      </c>
      <c r="CY34" s="155">
        <f>$CZ$34/4</f>
        <v>291.50796530568277</v>
      </c>
      <c r="CZ34" s="255">
        <v>1166.0318612227311</v>
      </c>
      <c r="DA34" s="255">
        <v>1094.430897745892</v>
      </c>
      <c r="DB34" s="255">
        <v>1014.0741478808737</v>
      </c>
      <c r="DC34" s="255">
        <f>DB34*1.05</f>
        <v>1064.7778552749176</v>
      </c>
      <c r="DD34" s="165"/>
      <c r="DE34" s="154"/>
      <c r="DF34" s="255">
        <f>CT34</f>
        <v>266</v>
      </c>
      <c r="DG34" s="255">
        <v>431.5</v>
      </c>
      <c r="DH34" s="255">
        <f>CO34</f>
        <v>438</v>
      </c>
      <c r="DI34" s="450">
        <f>IF(ISERROR(DF34/DG34-1),"NM",DF34/DG34-1)</f>
        <v>-0.38354577056778683</v>
      </c>
      <c r="DJ34" s="450">
        <f>IF(ISERROR(DF34/DH34-1),"NM",DF34/DH34-1)</f>
        <v>-0.39269406392694062</v>
      </c>
      <c r="DK34" s="154"/>
      <c r="DL34" s="154"/>
      <c r="DM34" s="154"/>
      <c r="DT34" s="828"/>
      <c r="DU34" s="154"/>
      <c r="DV34" s="154"/>
      <c r="DW34" s="154"/>
      <c r="DX34" s="165"/>
      <c r="DY34" s="154"/>
      <c r="DZ34" s="154"/>
      <c r="EA34" s="154"/>
      <c r="EB34" s="154"/>
      <c r="EC34" s="2"/>
      <c r="ED34" s="2"/>
      <c r="EE34" s="165"/>
      <c r="EF34" s="165"/>
      <c r="EG34" s="165"/>
      <c r="EH34" s="167"/>
      <c r="EI34" s="167"/>
      <c r="EJ34" s="2"/>
      <c r="EK34" s="2"/>
      <c r="EL34" s="2"/>
    </row>
    <row r="35" spans="1:142" ht="12" customHeight="1">
      <c r="A35" s="1109"/>
      <c r="B35" s="10"/>
      <c r="C35" s="1059"/>
      <c r="E35" s="1063"/>
      <c r="F35" s="1063"/>
      <c r="G35" s="1063"/>
      <c r="H35" s="1063"/>
      <c r="I35" s="1063"/>
      <c r="J35" s="154"/>
      <c r="K35" s="154"/>
      <c r="L35" s="154"/>
      <c r="M35" s="154"/>
      <c r="N35" s="1064"/>
      <c r="O35" s="154"/>
      <c r="P35" s="154"/>
      <c r="Q35" s="154"/>
      <c r="R35" s="154"/>
      <c r="S35" s="1064"/>
      <c r="T35" s="154"/>
      <c r="U35" s="154"/>
      <c r="V35" s="154"/>
      <c r="W35" s="154"/>
      <c r="X35" s="1064"/>
      <c r="Y35" s="154"/>
      <c r="Z35" s="154"/>
      <c r="AA35" s="154"/>
      <c r="AB35" s="154"/>
      <c r="AC35" s="1064"/>
      <c r="AD35" s="154"/>
      <c r="AE35" s="154"/>
      <c r="AF35" s="154"/>
      <c r="AG35" s="154"/>
      <c r="AH35" s="1064"/>
      <c r="AI35" s="154"/>
      <c r="AJ35" s="154"/>
      <c r="AK35" s="154"/>
      <c r="AL35" s="154"/>
      <c r="AM35" s="1064"/>
      <c r="AN35" s="154"/>
      <c r="AO35" s="154"/>
      <c r="AP35" s="154"/>
      <c r="AQ35" s="154"/>
      <c r="AR35" s="1064"/>
      <c r="AS35" s="154"/>
      <c r="AT35" s="154"/>
      <c r="AU35" s="154"/>
      <c r="AV35" s="154"/>
      <c r="AW35" s="1064"/>
      <c r="AX35" s="154"/>
      <c r="AY35" s="154"/>
      <c r="AZ35" s="154"/>
      <c r="BA35" s="154"/>
      <c r="BB35" s="1064"/>
      <c r="BC35" s="154"/>
      <c r="BD35" s="154"/>
      <c r="BE35" s="154"/>
      <c r="BF35" s="154"/>
      <c r="BG35" s="1064"/>
      <c r="BH35" s="154"/>
      <c r="BI35" s="154"/>
      <c r="BJ35" s="154"/>
      <c r="BK35" s="154"/>
      <c r="BL35" s="1064"/>
      <c r="BM35" s="154"/>
      <c r="BN35" s="154"/>
      <c r="BO35" s="154"/>
      <c r="BP35" s="154"/>
      <c r="BQ35" s="1064"/>
      <c r="BR35" s="154"/>
      <c r="BS35" s="154"/>
      <c r="BT35" s="154"/>
      <c r="BU35" s="154"/>
      <c r="BV35" s="1064"/>
      <c r="BW35" s="154"/>
      <c r="BX35" s="154"/>
      <c r="BY35" s="154"/>
      <c r="BZ35" s="154"/>
      <c r="CA35" s="1065"/>
      <c r="CB35" s="154"/>
      <c r="CC35" s="154"/>
      <c r="CD35" s="154">
        <f>CD15+CD18+CD20+CD22+CD30+CD40+CD44+CD48</f>
        <v>102</v>
      </c>
      <c r="CE35" s="154"/>
      <c r="CF35" s="1065"/>
      <c r="CG35" s="154"/>
      <c r="CH35" s="154"/>
      <c r="CI35" s="154"/>
      <c r="CJ35" s="154"/>
      <c r="CK35" s="1065"/>
      <c r="CL35" s="154"/>
      <c r="CM35" s="154"/>
      <c r="CN35" s="154"/>
      <c r="CO35" s="154"/>
      <c r="CP35" s="1065"/>
      <c r="CQ35" s="154"/>
      <c r="CR35" s="154"/>
      <c r="CS35" s="154"/>
      <c r="CT35" s="154"/>
      <c r="CU35" s="1065"/>
      <c r="CV35" s="155"/>
      <c r="CW35" s="155"/>
      <c r="CX35" s="155"/>
      <c r="CY35" s="155"/>
      <c r="CZ35" s="1065"/>
      <c r="DA35" s="1065"/>
      <c r="DB35" s="1065"/>
      <c r="DC35" s="1065"/>
      <c r="DD35" s="165"/>
      <c r="DE35" s="154"/>
      <c r="DF35" s="1065"/>
      <c r="DG35" s="1065"/>
      <c r="DH35" s="1065"/>
      <c r="DI35" s="1066"/>
      <c r="DJ35" s="1066"/>
      <c r="DK35" s="154"/>
      <c r="DL35" s="154"/>
      <c r="DM35" s="154"/>
      <c r="DT35" s="828"/>
      <c r="DU35" s="154"/>
      <c r="DV35" s="154"/>
      <c r="DW35" s="154"/>
      <c r="DX35" s="165"/>
      <c r="DY35" s="154"/>
      <c r="DZ35" s="154"/>
      <c r="EA35" s="154"/>
      <c r="EB35" s="154"/>
      <c r="EC35" s="2"/>
      <c r="ED35" s="2"/>
      <c r="EE35" s="165"/>
      <c r="EF35" s="165"/>
      <c r="EG35" s="165"/>
      <c r="EH35" s="167"/>
      <c r="EI35" s="167"/>
      <c r="EJ35" s="2"/>
      <c r="EK35" s="2"/>
      <c r="EL35" s="2"/>
    </row>
    <row r="36" spans="1:142" ht="12" customHeight="1">
      <c r="A36" s="1109">
        <f>A34+1</f>
        <v>31</v>
      </c>
      <c r="B36" s="10"/>
      <c r="C36" s="1059"/>
      <c r="E36" s="296"/>
      <c r="F36" s="296"/>
      <c r="G36" s="296"/>
      <c r="H36" s="296"/>
      <c r="I36" s="296"/>
      <c r="J36" s="154"/>
      <c r="K36" s="154"/>
      <c r="L36" s="154"/>
      <c r="M36" s="154"/>
      <c r="N36" s="235"/>
      <c r="O36" s="154"/>
      <c r="P36" s="154"/>
      <c r="Q36" s="154"/>
      <c r="R36" s="154"/>
      <c r="S36" s="235"/>
      <c r="T36" s="154"/>
      <c r="U36" s="154"/>
      <c r="V36" s="154"/>
      <c r="W36" s="154"/>
      <c r="X36" s="235"/>
      <c r="Y36" s="154"/>
      <c r="Z36" s="154"/>
      <c r="AA36" s="154"/>
      <c r="AB36" s="154"/>
      <c r="AC36" s="235"/>
      <c r="AD36" s="154"/>
      <c r="AE36" s="154"/>
      <c r="AF36" s="154"/>
      <c r="AG36" s="154"/>
      <c r="AH36" s="235"/>
      <c r="AI36" s="154"/>
      <c r="AJ36" s="154"/>
      <c r="AK36" s="154"/>
      <c r="AL36" s="154"/>
      <c r="AM36" s="235"/>
      <c r="AN36" s="154"/>
      <c r="AO36" s="154"/>
      <c r="AP36" s="154"/>
      <c r="AQ36" s="154"/>
      <c r="AR36" s="235"/>
      <c r="AS36" s="154"/>
      <c r="AT36" s="154"/>
      <c r="AU36" s="154"/>
      <c r="AV36" s="154"/>
      <c r="AW36" s="235"/>
      <c r="AX36" s="154"/>
      <c r="AY36" s="154"/>
      <c r="AZ36" s="154"/>
      <c r="BA36" s="154"/>
      <c r="BB36" s="235"/>
      <c r="BC36" s="154"/>
      <c r="BD36" s="154"/>
      <c r="BE36" s="154"/>
      <c r="BF36" s="154"/>
      <c r="BG36" s="235"/>
      <c r="BH36" s="154"/>
      <c r="BI36" s="154"/>
      <c r="BJ36" s="154"/>
      <c r="BK36" s="154"/>
      <c r="BL36" s="235"/>
      <c r="BM36" s="154"/>
      <c r="BN36" s="154"/>
      <c r="BO36" s="154"/>
      <c r="BP36" s="154"/>
      <c r="BQ36" s="235"/>
      <c r="BR36" s="154"/>
      <c r="BS36" s="154"/>
      <c r="BT36" s="154"/>
      <c r="BU36" s="154"/>
      <c r="BV36" s="235"/>
      <c r="BW36" s="154"/>
      <c r="BX36" s="154"/>
      <c r="BY36" s="154"/>
      <c r="BZ36" s="154"/>
      <c r="CA36" s="296"/>
      <c r="CB36" s="154"/>
      <c r="CC36" s="154"/>
      <c r="CD36" s="154"/>
      <c r="CE36" s="154"/>
      <c r="CF36" s="296"/>
      <c r="CG36" s="154"/>
      <c r="CH36" s="154"/>
      <c r="CI36" s="154"/>
      <c r="CJ36" s="154"/>
      <c r="CK36" s="296"/>
      <c r="CL36" s="154"/>
      <c r="CM36" s="154"/>
      <c r="CN36" s="154"/>
      <c r="CO36" s="154"/>
      <c r="CP36" s="296"/>
      <c r="CQ36" s="154"/>
      <c r="CR36" s="154"/>
      <c r="CS36" s="154"/>
      <c r="CT36" s="154"/>
      <c r="CU36" s="296"/>
      <c r="CV36" s="154"/>
      <c r="CW36" s="154"/>
      <c r="CX36" s="154"/>
      <c r="CY36" s="154"/>
      <c r="CZ36" s="296"/>
      <c r="DA36" s="296"/>
      <c r="DB36" s="296"/>
      <c r="DC36" s="296"/>
      <c r="DD36" s="165"/>
      <c r="DE36" s="154"/>
      <c r="DF36" s="296"/>
      <c r="DG36" s="296"/>
      <c r="DH36" s="296"/>
      <c r="DI36" s="453"/>
      <c r="DJ36" s="453"/>
      <c r="DK36" s="154"/>
      <c r="DL36" s="154"/>
      <c r="DM36" s="154"/>
      <c r="DT36" s="828"/>
      <c r="DU36" s="154"/>
      <c r="DV36" s="154"/>
      <c r="DW36" s="154"/>
      <c r="DX36" s="165"/>
      <c r="DY36" s="154"/>
      <c r="DZ36" s="154"/>
      <c r="EA36" s="154"/>
      <c r="EB36" s="154"/>
      <c r="EC36" s="2"/>
      <c r="ED36" s="2"/>
      <c r="EE36" s="165"/>
      <c r="EF36" s="165"/>
      <c r="EG36" s="165"/>
      <c r="EH36" s="167"/>
      <c r="EI36" s="167"/>
      <c r="EJ36" s="2"/>
      <c r="EK36" s="2"/>
      <c r="EL36" s="2"/>
    </row>
    <row r="37" spans="1:142" ht="12" customHeight="1">
      <c r="A37" s="1109">
        <f t="shared" si="0"/>
        <v>32</v>
      </c>
      <c r="B37" s="10"/>
      <c r="C37" s="6" t="s">
        <v>781</v>
      </c>
      <c r="D37" s="6"/>
      <c r="E37" s="304">
        <f t="shared" ref="E37:AJ37" si="33">+E27+E30+E31+E32+E34</f>
        <v>6705</v>
      </c>
      <c r="F37" s="304">
        <f t="shared" si="33"/>
        <v>6793</v>
      </c>
      <c r="G37" s="304">
        <f t="shared" si="33"/>
        <v>10939</v>
      </c>
      <c r="H37" s="304">
        <f t="shared" si="33"/>
        <v>25396</v>
      </c>
      <c r="I37" s="304">
        <f t="shared" si="33"/>
        <v>9854</v>
      </c>
      <c r="J37" s="172">
        <f t="shared" si="33"/>
        <v>2983</v>
      </c>
      <c r="K37" s="172">
        <f t="shared" si="33"/>
        <v>2268</v>
      </c>
      <c r="L37" s="172">
        <f t="shared" si="33"/>
        <v>1384</v>
      </c>
      <c r="M37" s="172">
        <f t="shared" si="33"/>
        <v>1599</v>
      </c>
      <c r="N37" s="304">
        <f t="shared" si="33"/>
        <v>8234</v>
      </c>
      <c r="O37" s="172">
        <f t="shared" si="33"/>
        <v>1633</v>
      </c>
      <c r="P37" s="172">
        <f t="shared" si="33"/>
        <v>-1016</v>
      </c>
      <c r="Q37" s="172">
        <f t="shared" si="33"/>
        <v>-968</v>
      </c>
      <c r="R37" s="172">
        <f t="shared" si="33"/>
        <v>-7071</v>
      </c>
      <c r="S37" s="304">
        <f t="shared" si="33"/>
        <v>-7422</v>
      </c>
      <c r="T37" s="172">
        <f t="shared" si="33"/>
        <v>-27</v>
      </c>
      <c r="U37" s="172">
        <f t="shared" si="33"/>
        <v>1003</v>
      </c>
      <c r="V37" s="172">
        <f t="shared" si="33"/>
        <v>-46</v>
      </c>
      <c r="W37" s="172">
        <f t="shared" si="33"/>
        <v>21</v>
      </c>
      <c r="X37" s="304">
        <f t="shared" si="33"/>
        <v>951</v>
      </c>
      <c r="Y37" s="172">
        <f t="shared" si="33"/>
        <v>1340</v>
      </c>
      <c r="Z37" s="172">
        <f t="shared" si="33"/>
        <v>718</v>
      </c>
      <c r="AA37" s="172">
        <f t="shared" si="33"/>
        <v>427</v>
      </c>
      <c r="AB37" s="172">
        <f t="shared" si="33"/>
        <v>-1146</v>
      </c>
      <c r="AC37" s="304">
        <f t="shared" si="33"/>
        <v>1339</v>
      </c>
      <c r="AD37" s="172">
        <f t="shared" si="33"/>
        <v>2863</v>
      </c>
      <c r="AE37" s="172">
        <f t="shared" si="33"/>
        <v>1485</v>
      </c>
      <c r="AF37" s="172">
        <f t="shared" si="33"/>
        <v>718</v>
      </c>
      <c r="AG37" s="172">
        <f t="shared" si="33"/>
        <v>-957</v>
      </c>
      <c r="AH37" s="304">
        <f t="shared" si="33"/>
        <v>4109</v>
      </c>
      <c r="AI37" s="172">
        <f t="shared" si="33"/>
        <v>1549</v>
      </c>
      <c r="AJ37" s="172">
        <f t="shared" si="33"/>
        <v>1158</v>
      </c>
      <c r="AK37" s="172">
        <f t="shared" ref="AK37:BL37" si="34">+AK27+AK30+AK31+AK32+AK34</f>
        <v>-843</v>
      </c>
      <c r="AL37" s="172">
        <f t="shared" si="34"/>
        <v>-785</v>
      </c>
      <c r="AM37" s="304">
        <f t="shared" si="34"/>
        <v>1079</v>
      </c>
      <c r="AN37" s="172">
        <f t="shared" si="34"/>
        <v>-2348</v>
      </c>
      <c r="AO37" s="172">
        <f t="shared" si="34"/>
        <v>-668</v>
      </c>
      <c r="AP37" s="172">
        <f t="shared" si="34"/>
        <v>-6364</v>
      </c>
      <c r="AQ37" s="172">
        <f t="shared" si="34"/>
        <v>-5694</v>
      </c>
      <c r="AR37" s="304">
        <f t="shared" si="34"/>
        <v>-15074</v>
      </c>
      <c r="AS37" s="172">
        <f t="shared" si="34"/>
        <v>67</v>
      </c>
      <c r="AT37" s="172">
        <f t="shared" si="34"/>
        <v>483</v>
      </c>
      <c r="AU37" s="172">
        <f t="shared" si="34"/>
        <v>194</v>
      </c>
      <c r="AV37" s="172">
        <f t="shared" si="34"/>
        <v>-618</v>
      </c>
      <c r="AW37" s="304">
        <f t="shared" si="34"/>
        <v>126</v>
      </c>
      <c r="AX37" s="172">
        <f t="shared" si="34"/>
        <v>686</v>
      </c>
      <c r="AY37" s="172">
        <f t="shared" si="34"/>
        <v>-1033</v>
      </c>
      <c r="AZ37" s="172">
        <f t="shared" si="34"/>
        <v>-2780</v>
      </c>
      <c r="BA37" s="172">
        <f t="shared" si="34"/>
        <v>-3723</v>
      </c>
      <c r="BB37" s="304">
        <f t="shared" si="34"/>
        <v>-6850</v>
      </c>
      <c r="BC37" s="172">
        <f t="shared" si="34"/>
        <v>-2025</v>
      </c>
      <c r="BD37" s="172">
        <f t="shared" si="34"/>
        <v>-554</v>
      </c>
      <c r="BE37" s="172">
        <f t="shared" si="34"/>
        <v>1002</v>
      </c>
      <c r="BF37" s="172">
        <f t="shared" si="34"/>
        <v>1615</v>
      </c>
      <c r="BG37" s="304">
        <f t="shared" si="34"/>
        <v>38</v>
      </c>
      <c r="BH37" s="172">
        <f t="shared" si="34"/>
        <v>2010</v>
      </c>
      <c r="BI37" s="172">
        <f t="shared" si="34"/>
        <v>2942</v>
      </c>
      <c r="BJ37" s="172">
        <f t="shared" si="34"/>
        <v>2055</v>
      </c>
      <c r="BK37" s="172">
        <f t="shared" si="34"/>
        <v>1155</v>
      </c>
      <c r="BL37" s="304">
        <f t="shared" si="34"/>
        <v>8162</v>
      </c>
      <c r="BM37" s="172">
        <f t="shared" ref="BM37:BP37" si="35">BM27+BM30+BM33</f>
        <v>2508</v>
      </c>
      <c r="BN37" s="172">
        <f t="shared" si="35"/>
        <v>2489</v>
      </c>
      <c r="BO37" s="172">
        <f t="shared" si="35"/>
        <v>1565</v>
      </c>
      <c r="BP37" s="172">
        <f t="shared" si="35"/>
        <v>817</v>
      </c>
      <c r="BQ37" s="304">
        <f t="shared" ref="BQ37:BU37" si="36">BQ27+BQ30+BQ33</f>
        <v>7379</v>
      </c>
      <c r="BR37" s="172">
        <f t="shared" si="36"/>
        <v>1887</v>
      </c>
      <c r="BS37" s="172">
        <f t="shared" si="36"/>
        <v>1447</v>
      </c>
      <c r="BT37" s="172">
        <f t="shared" si="36"/>
        <v>1622</v>
      </c>
      <c r="BU37" s="172">
        <f t="shared" si="36"/>
        <v>1014</v>
      </c>
      <c r="BV37" s="304">
        <f t="shared" ref="BV37:BZ37" si="37">BV27+BV30+BV33</f>
        <v>5970</v>
      </c>
      <c r="BW37" s="172">
        <f t="shared" si="37"/>
        <v>1576</v>
      </c>
      <c r="BX37" s="172">
        <f t="shared" si="37"/>
        <v>1967</v>
      </c>
      <c r="BY37" s="172">
        <f t="shared" si="37"/>
        <v>1893</v>
      </c>
      <c r="BZ37" s="172">
        <f t="shared" si="37"/>
        <v>663</v>
      </c>
      <c r="CA37" s="304">
        <f t="shared" ref="CA37:CJ37" si="38">CA27+CA30+CA33</f>
        <v>6099</v>
      </c>
      <c r="CB37" s="172">
        <f t="shared" si="38"/>
        <v>680</v>
      </c>
      <c r="CC37" s="172">
        <f t="shared" si="38"/>
        <v>1846</v>
      </c>
      <c r="CD37" s="172">
        <f t="shared" si="38"/>
        <v>448</v>
      </c>
      <c r="CE37" s="172">
        <f t="shared" si="38"/>
        <v>1365</v>
      </c>
      <c r="CF37" s="304">
        <f t="shared" si="38"/>
        <v>4339</v>
      </c>
      <c r="CG37" s="172">
        <f t="shared" si="38"/>
        <v>1078</v>
      </c>
      <c r="CH37" s="172">
        <f t="shared" si="38"/>
        <v>2458</v>
      </c>
      <c r="CI37" s="172">
        <f t="shared" si="38"/>
        <v>2434</v>
      </c>
      <c r="CJ37" s="172">
        <f t="shared" si="38"/>
        <v>1602</v>
      </c>
      <c r="CK37" s="304">
        <f>CK27+CK30+CK33</f>
        <v>8674.1087595212175</v>
      </c>
      <c r="CL37" s="172">
        <f t="shared" ref="CL37:DC37" si="39">CL27+CL30+CL33</f>
        <v>3651</v>
      </c>
      <c r="CM37" s="172">
        <f t="shared" si="39"/>
        <v>2875</v>
      </c>
      <c r="CN37" s="172">
        <f t="shared" si="39"/>
        <v>1387</v>
      </c>
      <c r="CO37" s="172">
        <f t="shared" si="39"/>
        <v>-1117</v>
      </c>
      <c r="CP37" s="304">
        <f t="shared" si="39"/>
        <v>6796</v>
      </c>
      <c r="CQ37" s="172">
        <f t="shared" si="39"/>
        <v>2243</v>
      </c>
      <c r="CR37" s="172">
        <f t="shared" si="39"/>
        <v>2259</v>
      </c>
      <c r="CS37" s="172">
        <f t="shared" si="39"/>
        <v>1757</v>
      </c>
      <c r="CT37" s="172">
        <f t="shared" si="39"/>
        <v>1889</v>
      </c>
      <c r="CU37" s="304">
        <f t="shared" si="39"/>
        <v>8148</v>
      </c>
      <c r="CV37" s="172">
        <f>CV27+CV30+CV33</f>
        <v>1762.8574999999996</v>
      </c>
      <c r="CW37" s="172">
        <f t="shared" si="39"/>
        <v>2086.6075000000001</v>
      </c>
      <c r="CX37" s="172">
        <f t="shared" si="39"/>
        <v>1570.5574999999999</v>
      </c>
      <c r="CY37" s="172">
        <f t="shared" si="39"/>
        <v>1397.3074999999999</v>
      </c>
      <c r="CZ37" s="304">
        <f t="shared" si="39"/>
        <v>6817.33</v>
      </c>
      <c r="DA37" s="304">
        <f t="shared" si="39"/>
        <v>6311.8827971731616</v>
      </c>
      <c r="DB37" s="304">
        <f t="shared" si="39"/>
        <v>6654.3135245366429</v>
      </c>
      <c r="DC37" s="304">
        <f t="shared" si="39"/>
        <v>7133.884515174359</v>
      </c>
      <c r="DD37" s="165"/>
      <c r="DE37" s="172"/>
      <c r="DF37" s="304">
        <f>CT37</f>
        <v>1889</v>
      </c>
      <c r="DG37" s="304">
        <v>1948.4811506749486</v>
      </c>
      <c r="DH37" s="304">
        <f>CO37</f>
        <v>-1117</v>
      </c>
      <c r="DI37" s="451">
        <f>IF(ISERROR(DF37/DG37-1),"NM",DF37/DG37-1)</f>
        <v>-3.0526931530409973E-2</v>
      </c>
      <c r="DJ37" s="451">
        <f>IF(ISERROR(DF37/DH37-1),"NM",DF37/DH37-1)</f>
        <v>-2.691136974037601</v>
      </c>
      <c r="DK37" s="172"/>
      <c r="DL37" s="172"/>
      <c r="DM37" s="172"/>
      <c r="DT37" s="834"/>
      <c r="DU37" s="172"/>
      <c r="DV37" s="173"/>
      <c r="DW37" s="173"/>
      <c r="DX37" s="173"/>
      <c r="DY37" s="173"/>
      <c r="DZ37" s="173"/>
      <c r="EA37" s="173"/>
      <c r="EB37" s="173"/>
      <c r="EC37" s="2"/>
      <c r="ED37" s="2"/>
      <c r="EE37" s="173"/>
      <c r="EF37" s="173"/>
      <c r="EG37" s="173"/>
      <c r="EH37" s="174"/>
      <c r="EI37" s="174"/>
      <c r="EJ37" s="2"/>
      <c r="EK37" s="2"/>
      <c r="EL37" s="2"/>
    </row>
    <row r="38" spans="1:142" ht="12" customHeight="1">
      <c r="A38" s="1109">
        <f t="shared" si="0"/>
        <v>33</v>
      </c>
      <c r="B38" s="10"/>
      <c r="C38" s="45" t="s">
        <v>77</v>
      </c>
      <c r="D38" s="38"/>
      <c r="E38" s="236">
        <f t="shared" ref="E38:AJ38" si="40">E37/E15</f>
        <v>4.8892713126289768E-2</v>
      </c>
      <c r="F38" s="236">
        <f t="shared" si="40"/>
        <v>4.6213713764788319E-2</v>
      </c>
      <c r="G38" s="236">
        <f t="shared" si="40"/>
        <v>7.1204931424814655E-2</v>
      </c>
      <c r="H38" s="236">
        <f t="shared" si="40"/>
        <v>0.17585309107024152</v>
      </c>
      <c r="I38" s="236">
        <f t="shared" si="40"/>
        <v>6.1335258748397216E-2</v>
      </c>
      <c r="J38" s="152">
        <f t="shared" si="40"/>
        <v>6.9543525901058417E-2</v>
      </c>
      <c r="K38" s="152">
        <f t="shared" si="40"/>
        <v>5.0967437470504952E-2</v>
      </c>
      <c r="L38" s="152">
        <f t="shared" si="40"/>
        <v>3.4552490325802022E-2</v>
      </c>
      <c r="M38" s="152">
        <f t="shared" si="40"/>
        <v>3.7526402252992253E-2</v>
      </c>
      <c r="N38" s="236">
        <f t="shared" si="40"/>
        <v>4.8418774770960495E-2</v>
      </c>
      <c r="O38" s="152">
        <f t="shared" si="40"/>
        <v>3.847241200584272E-2</v>
      </c>
      <c r="P38" s="152">
        <f t="shared" si="40"/>
        <v>-2.4010965637850358E-2</v>
      </c>
      <c r="Q38" s="152">
        <f t="shared" si="40"/>
        <v>-2.6649047461733289E-2</v>
      </c>
      <c r="R38" s="152">
        <f t="shared" si="40"/>
        <v>-0.1782455255860852</v>
      </c>
      <c r="S38" s="236">
        <f t="shared" si="40"/>
        <v>-4.6169924232056431E-2</v>
      </c>
      <c r="T38" s="152">
        <f t="shared" si="40"/>
        <v>-6.8228337502842845E-4</v>
      </c>
      <c r="U38" s="152">
        <f t="shared" si="40"/>
        <v>2.3763830644205938E-2</v>
      </c>
      <c r="V38" s="152">
        <f t="shared" si="40"/>
        <v>-1.1693527886521937E-3</v>
      </c>
      <c r="W38" s="152">
        <f t="shared" si="40"/>
        <v>5.104769313043901E-4</v>
      </c>
      <c r="X38" s="236">
        <f t="shared" si="40"/>
        <v>5.8611083719554286E-3</v>
      </c>
      <c r="Y38" s="152">
        <f t="shared" si="40"/>
        <v>3.2831067009677813E-2</v>
      </c>
      <c r="Z38" s="152">
        <f t="shared" si="40"/>
        <v>1.7692573061948647E-2</v>
      </c>
      <c r="AA38" s="152">
        <f t="shared" si="40"/>
        <v>1.1621577486255511E-2</v>
      </c>
      <c r="AB38" s="152">
        <f t="shared" si="40"/>
        <v>-2.4805731725794932E-2</v>
      </c>
      <c r="AC38" s="236">
        <f t="shared" si="40"/>
        <v>8.147841643442174E-3</v>
      </c>
      <c r="AD38" s="152">
        <f t="shared" si="40"/>
        <v>6.4016277977774302E-2</v>
      </c>
      <c r="AE38" s="152">
        <f t="shared" si="40"/>
        <v>3.4637184241830522E-2</v>
      </c>
      <c r="AF38" s="152">
        <f t="shared" si="40"/>
        <v>1.8353314076838528E-2</v>
      </c>
      <c r="AG38" s="152">
        <f t="shared" si="40"/>
        <v>-2.0987302353121778E-2</v>
      </c>
      <c r="AH38" s="236">
        <f t="shared" si="40"/>
        <v>2.3845725295387542E-2</v>
      </c>
      <c r="AI38" s="152">
        <f t="shared" si="40"/>
        <v>3.4318504076568591E-2</v>
      </c>
      <c r="AJ38" s="152">
        <f t="shared" si="40"/>
        <v>2.5638754815569233E-2</v>
      </c>
      <c r="AK38" s="152">
        <f t="shared" ref="AK38:BP38" si="41">AK37/AK15</f>
        <v>-2.0809676623056036E-2</v>
      </c>
      <c r="AL38" s="152">
        <f t="shared" si="41"/>
        <v>-1.7034111622255012E-2</v>
      </c>
      <c r="AM38" s="236">
        <f t="shared" si="41"/>
        <v>6.0996291606367587E-3</v>
      </c>
      <c r="AN38" s="152">
        <f t="shared" si="41"/>
        <v>-5.756453945916791E-2</v>
      </c>
      <c r="AO38" s="152">
        <f t="shared" si="41"/>
        <v>-1.5951096040880654E-2</v>
      </c>
      <c r="AP38" s="152">
        <f t="shared" si="41"/>
        <v>-0.17155950936783934</v>
      </c>
      <c r="AQ38" s="152">
        <f t="shared" si="41"/>
        <v>-0.14127980547353794</v>
      </c>
      <c r="AR38" s="236">
        <f t="shared" si="41"/>
        <v>-9.4174241714303566E-2</v>
      </c>
      <c r="AS38" s="152">
        <f t="shared" si="41"/>
        <v>1.5579583769329147E-3</v>
      </c>
      <c r="AT38" s="152">
        <f t="shared" si="41"/>
        <v>1.0917227973418923E-2</v>
      </c>
      <c r="AU38" s="152">
        <f t="shared" si="41"/>
        <v>4.7227226252495253E-3</v>
      </c>
      <c r="AV38" s="152">
        <f t="shared" si="41"/>
        <v>-1.4004078857919782E-2</v>
      </c>
      <c r="AW38" s="236">
        <f t="shared" si="41"/>
        <v>7.3062538053405234E-4</v>
      </c>
      <c r="AX38" s="152">
        <f t="shared" si="41"/>
        <v>1.5845883766053774E-2</v>
      </c>
      <c r="AY38" s="152">
        <f t="shared" si="41"/>
        <v>-2.5132596953919516E-2</v>
      </c>
      <c r="AZ38" s="152">
        <f t="shared" si="41"/>
        <v>-8.7570087570087565E-2</v>
      </c>
      <c r="BA38" s="152">
        <f t="shared" si="41"/>
        <v>-0.12849451232139159</v>
      </c>
      <c r="BB38" s="236">
        <f t="shared" si="41"/>
        <v>-4.7204266990090553E-2</v>
      </c>
      <c r="BC38" s="152">
        <f t="shared" si="41"/>
        <v>-8.3025830258302583E-2</v>
      </c>
      <c r="BD38" s="152">
        <f t="shared" si="41"/>
        <v>-2.0663931368892205E-2</v>
      </c>
      <c r="BE38" s="152">
        <f t="shared" si="41"/>
        <v>3.3099894291754757E-2</v>
      </c>
      <c r="BF38" s="152">
        <f t="shared" si="41"/>
        <v>4.6393381402430267E-2</v>
      </c>
      <c r="BG38" s="236">
        <f t="shared" si="41"/>
        <v>3.2678895453333676E-4</v>
      </c>
      <c r="BH38" s="152">
        <f t="shared" si="41"/>
        <v>6.3676107203953627E-2</v>
      </c>
      <c r="BI38" s="152">
        <f t="shared" si="41"/>
        <v>8.3896540907405823E-2</v>
      </c>
      <c r="BJ38" s="152">
        <f t="shared" si="41"/>
        <v>6.8745191181882048E-2</v>
      </c>
      <c r="BK38" s="152">
        <f t="shared" si="41"/>
        <v>3.5617367706919943E-2</v>
      </c>
      <c r="BL38" s="236">
        <f t="shared" si="41"/>
        <v>6.3293887742916083E-2</v>
      </c>
      <c r="BM38" s="152">
        <f t="shared" si="41"/>
        <v>7.5738358398260555E-2</v>
      </c>
      <c r="BN38" s="152">
        <f t="shared" si="41"/>
        <v>7.005939144875728E-2</v>
      </c>
      <c r="BO38" s="152">
        <f t="shared" si="41"/>
        <v>4.7356794867915393E-2</v>
      </c>
      <c r="BP38" s="152">
        <f t="shared" si="41"/>
        <v>2.362910689495604E-2</v>
      </c>
      <c r="BQ38" s="236">
        <f t="shared" ref="BQ38:CV38" si="42">BQ37/BQ15</f>
        <v>5.4152233898902134E-2</v>
      </c>
      <c r="BR38" s="152">
        <f t="shared" si="42"/>
        <v>5.8159963014331947E-2</v>
      </c>
      <c r="BS38" s="152">
        <f t="shared" si="42"/>
        <v>4.3569901538646837E-2</v>
      </c>
      <c r="BT38" s="152">
        <f t="shared" si="42"/>
        <v>5.0416511252020388E-2</v>
      </c>
      <c r="BU38" s="152">
        <f t="shared" si="42"/>
        <v>2.8378718759620499E-2</v>
      </c>
      <c r="BV38" s="236">
        <f t="shared" si="42"/>
        <v>4.4699346356291976E-2</v>
      </c>
      <c r="BW38" s="152">
        <f t="shared" si="42"/>
        <v>4.420881371146456E-2</v>
      </c>
      <c r="BX38" s="152">
        <f t="shared" si="42"/>
        <v>5.1868259367666057E-2</v>
      </c>
      <c r="BY38" s="152">
        <f t="shared" si="42"/>
        <v>5.291404612159329E-2</v>
      </c>
      <c r="BZ38" s="152">
        <f t="shared" si="42"/>
        <v>1.7647058823529412E-2</v>
      </c>
      <c r="CA38" s="236">
        <f t="shared" si="42"/>
        <v>4.1513235364185219E-2</v>
      </c>
      <c r="CB38" s="152">
        <f t="shared" si="42"/>
        <v>1.8954175493366039E-2</v>
      </c>
      <c r="CC38" s="152">
        <f t="shared" si="42"/>
        <v>4.9343775894790304E-2</v>
      </c>
      <c r="CD38" s="152">
        <f t="shared" si="42"/>
        <v>1.2829324169530355E-2</v>
      </c>
      <c r="CE38" s="152">
        <f t="shared" si="42"/>
        <v>3.805408419291887E-2</v>
      </c>
      <c r="CF38" s="236">
        <f t="shared" si="42"/>
        <v>3.0115840835109004E-2</v>
      </c>
      <c r="CG38" s="152">
        <f t="shared" si="42"/>
        <v>3.1799410029498522E-2</v>
      </c>
      <c r="CH38" s="152">
        <f t="shared" si="42"/>
        <v>6.596355634275286E-2</v>
      </c>
      <c r="CI38" s="152">
        <f t="shared" si="42"/>
        <v>6.3810822147651006E-2</v>
      </c>
      <c r="CJ38" s="152">
        <f t="shared" si="42"/>
        <v>3.9800253409853173E-2</v>
      </c>
      <c r="CK38" s="236">
        <f t="shared" si="42"/>
        <v>5.7998293367932288E-2</v>
      </c>
      <c r="CL38" s="152">
        <f t="shared" si="42"/>
        <v>9.6797285115859805E-2</v>
      </c>
      <c r="CM38" s="152">
        <f t="shared" si="42"/>
        <v>7.2812460428010636E-2</v>
      </c>
      <c r="CN38" s="152">
        <f t="shared" si="42"/>
        <v>3.8588876832762985E-2</v>
      </c>
      <c r="CO38" s="152">
        <f t="shared" si="42"/>
        <v>-2.8897397423293839E-2</v>
      </c>
      <c r="CP38" s="236">
        <f t="shared" si="42"/>
        <v>4.4769433465085641E-2</v>
      </c>
      <c r="CQ38" s="152">
        <f t="shared" si="42"/>
        <v>5.7298319113063913E-2</v>
      </c>
      <c r="CR38" s="152">
        <f t="shared" si="42"/>
        <v>5.6683311168544401E-2</v>
      </c>
      <c r="CS38" s="152">
        <f t="shared" si="42"/>
        <v>4.8201695426737266E-2</v>
      </c>
      <c r="CT38" s="152">
        <f t="shared" si="42"/>
        <v>4.5709722692735807E-2</v>
      </c>
      <c r="CU38" s="236">
        <f t="shared" si="42"/>
        <v>5.1972240649078939E-2</v>
      </c>
      <c r="CV38" s="152">
        <f t="shared" si="42"/>
        <v>4.4780582809369161E-2</v>
      </c>
      <c r="CW38" s="152">
        <f t="shared" ref="CW38:DC38" si="43">CW37/CW15</f>
        <v>5.2091829181555062E-2</v>
      </c>
      <c r="CX38" s="152">
        <f t="shared" si="43"/>
        <v>4.260141777101701E-2</v>
      </c>
      <c r="CY38" s="152">
        <f t="shared" si="43"/>
        <v>3.3474144943275781E-2</v>
      </c>
      <c r="CZ38" s="236">
        <f t="shared" si="43"/>
        <v>4.3138894343037526E-2</v>
      </c>
      <c r="DA38" s="236">
        <f t="shared" si="43"/>
        <v>3.9715040067910608E-2</v>
      </c>
      <c r="DB38" s="236">
        <f t="shared" si="43"/>
        <v>4.068936420935592E-2</v>
      </c>
      <c r="DC38" s="236">
        <f t="shared" si="43"/>
        <v>4.2507412507028941E-2</v>
      </c>
      <c r="DD38" s="165"/>
      <c r="DE38" s="152"/>
      <c r="DF38" s="236">
        <f>CT38</f>
        <v>4.5709722692735807E-2</v>
      </c>
      <c r="DG38" s="236">
        <v>5.0793674169308113E-2</v>
      </c>
      <c r="DH38" s="236">
        <f>CO38</f>
        <v>-2.8897397423293839E-2</v>
      </c>
      <c r="DI38" s="452">
        <f>IF(ISERROR(DF38/DG38-1),"NM",DF38/DG38-1)</f>
        <v>-0.10009024863265881</v>
      </c>
      <c r="DJ38" s="452">
        <f>IF(ISERROR(DF38/DH38-1),"NM",DF38/DH38-1)</f>
        <v>-2.5817937519829988</v>
      </c>
      <c r="DK38" s="152"/>
      <c r="DL38" s="152"/>
      <c r="DM38" s="152"/>
      <c r="DT38" s="829"/>
      <c r="DU38" s="152"/>
      <c r="DV38" s="152"/>
      <c r="DW38" s="152"/>
      <c r="DX38" s="152"/>
      <c r="DY38" s="152"/>
      <c r="DZ38" s="152"/>
      <c r="EA38" s="152"/>
      <c r="EB38" s="152"/>
      <c r="EC38" s="2"/>
      <c r="ED38" s="2"/>
      <c r="EE38" s="152"/>
      <c r="EF38" s="152"/>
      <c r="EG38" s="152"/>
      <c r="EH38" s="169"/>
      <c r="EI38" s="169"/>
      <c r="EJ38" s="2"/>
      <c r="EK38" s="2"/>
      <c r="EL38" s="2"/>
    </row>
    <row r="39" spans="1:142" ht="12" customHeight="1">
      <c r="A39" s="1109">
        <f t="shared" si="0"/>
        <v>34</v>
      </c>
      <c r="B39" s="10"/>
      <c r="C39" s="6"/>
      <c r="D39" s="6"/>
      <c r="E39" s="240"/>
      <c r="F39" s="240"/>
      <c r="G39" s="240"/>
      <c r="H39" s="240"/>
      <c r="I39" s="240"/>
      <c r="J39" s="149"/>
      <c r="K39" s="149"/>
      <c r="L39" s="149"/>
      <c r="M39" s="149"/>
      <c r="N39" s="313"/>
      <c r="O39" s="149"/>
      <c r="P39" s="149"/>
      <c r="Q39" s="149"/>
      <c r="R39" s="149"/>
      <c r="S39" s="313"/>
      <c r="T39" s="149"/>
      <c r="U39" s="149"/>
      <c r="V39" s="149"/>
      <c r="W39" s="149"/>
      <c r="X39" s="313"/>
      <c r="Y39" s="149"/>
      <c r="Z39" s="149"/>
      <c r="AA39" s="149"/>
      <c r="AB39" s="149"/>
      <c r="AC39" s="313"/>
      <c r="AD39" s="149"/>
      <c r="AE39" s="149"/>
      <c r="AF39" s="149"/>
      <c r="AG39" s="149"/>
      <c r="AH39" s="313"/>
      <c r="AI39" s="149"/>
      <c r="AJ39" s="149"/>
      <c r="AK39" s="149"/>
      <c r="AL39" s="149"/>
      <c r="AM39" s="313"/>
      <c r="AN39" s="149"/>
      <c r="AO39" s="149"/>
      <c r="AP39" s="149"/>
      <c r="AQ39" s="149"/>
      <c r="AR39" s="313"/>
      <c r="AS39" s="149"/>
      <c r="AT39" s="149"/>
      <c r="AU39" s="149"/>
      <c r="AV39" s="149"/>
      <c r="AW39" s="313"/>
      <c r="AX39" s="149"/>
      <c r="AY39" s="149"/>
      <c r="AZ39" s="149"/>
      <c r="BA39" s="149"/>
      <c r="BB39" s="313"/>
      <c r="BC39" s="149"/>
      <c r="BD39" s="149"/>
      <c r="BE39" s="149"/>
      <c r="BF39" s="149"/>
      <c r="BG39" s="313"/>
      <c r="BH39" s="149"/>
      <c r="BI39" s="149"/>
      <c r="BJ39" s="149"/>
      <c r="BK39" s="149"/>
      <c r="BL39" s="313"/>
      <c r="BM39" s="149"/>
      <c r="BN39" s="149"/>
      <c r="BO39" s="149"/>
      <c r="BP39" s="149"/>
      <c r="BQ39" s="313"/>
      <c r="BR39" s="149"/>
      <c r="BS39" s="149"/>
      <c r="BT39" s="149"/>
      <c r="BU39" s="149"/>
      <c r="BV39" s="313"/>
      <c r="BW39" s="149"/>
      <c r="BX39" s="149"/>
      <c r="BY39" s="149"/>
      <c r="BZ39" s="149"/>
      <c r="CA39" s="240"/>
      <c r="CB39" s="149"/>
      <c r="CC39" s="149"/>
      <c r="CD39" s="149"/>
      <c r="CE39" s="149"/>
      <c r="CF39" s="240"/>
      <c r="CG39" s="149"/>
      <c r="CH39" s="149"/>
      <c r="CI39" s="149"/>
      <c r="CJ39" s="149"/>
      <c r="CK39" s="240"/>
      <c r="CL39" s="149"/>
      <c r="CM39" s="149"/>
      <c r="CN39" s="149"/>
      <c r="CO39" s="149"/>
      <c r="CP39" s="240"/>
      <c r="CQ39" s="149"/>
      <c r="CR39" s="149"/>
      <c r="CS39" s="149"/>
      <c r="CT39" s="149"/>
      <c r="CU39" s="240"/>
      <c r="CV39" s="149"/>
      <c r="CW39" s="149"/>
      <c r="CX39" s="149"/>
      <c r="CY39" s="149"/>
      <c r="CZ39" s="240"/>
      <c r="DA39" s="240"/>
      <c r="DB39" s="240"/>
      <c r="DC39" s="240"/>
      <c r="DD39" s="165"/>
      <c r="DE39" s="149"/>
      <c r="DF39" s="240"/>
      <c r="DG39" s="240"/>
      <c r="DH39" s="240"/>
      <c r="DI39" s="451"/>
      <c r="DJ39" s="451"/>
      <c r="DK39" s="149"/>
      <c r="DL39" s="149"/>
      <c r="DM39" s="149"/>
      <c r="DT39" s="830"/>
      <c r="DU39" s="149"/>
      <c r="DV39" s="149"/>
      <c r="DW39" s="149"/>
      <c r="DX39" s="176"/>
      <c r="DY39" s="176"/>
      <c r="DZ39" s="176"/>
      <c r="EA39" s="176"/>
      <c r="EB39" s="176"/>
      <c r="EC39" s="2"/>
      <c r="ED39" s="2"/>
      <c r="EE39" s="175"/>
      <c r="EF39" s="175"/>
      <c r="EG39" s="175"/>
      <c r="EH39" s="7"/>
      <c r="EI39" s="7"/>
      <c r="EJ39" s="2"/>
      <c r="EK39" s="2"/>
      <c r="EL39" s="2"/>
    </row>
    <row r="40" spans="1:142" ht="12" customHeight="1">
      <c r="A40" s="1109">
        <f t="shared" si="0"/>
        <v>35</v>
      </c>
      <c r="B40" s="10"/>
      <c r="C40" s="1" t="s">
        <v>782</v>
      </c>
      <c r="E40" s="296">
        <v>-2379</v>
      </c>
      <c r="F40" s="296">
        <v>-2166</v>
      </c>
      <c r="G40" s="296">
        <v>-3741</v>
      </c>
      <c r="H40" s="296">
        <v>-3176</v>
      </c>
      <c r="I40" s="296">
        <v>-3248</v>
      </c>
      <c r="J40" s="154">
        <v>-1022</v>
      </c>
      <c r="K40" s="154">
        <v>-728</v>
      </c>
      <c r="L40" s="154">
        <v>-449</v>
      </c>
      <c r="M40" s="154">
        <f>-2705-SUM(J40:L40)</f>
        <v>-506</v>
      </c>
      <c r="N40" s="235">
        <f>SUM(J40:M40)</f>
        <v>-2705</v>
      </c>
      <c r="O40" s="154">
        <v>-571</v>
      </c>
      <c r="P40" s="154">
        <v>284</v>
      </c>
      <c r="Q40" s="154">
        <v>285</v>
      </c>
      <c r="R40" s="154">
        <f>2097-SUM(O40:Q40)</f>
        <v>2099</v>
      </c>
      <c r="S40" s="235">
        <f>SUM(O40:R40)</f>
        <v>2097</v>
      </c>
      <c r="T40" s="154">
        <v>20</v>
      </c>
      <c r="U40" s="154">
        <v>-289</v>
      </c>
      <c r="V40" s="154">
        <v>-81</v>
      </c>
      <c r="W40" s="154">
        <f>-301-SUM(T40:V40)</f>
        <v>49</v>
      </c>
      <c r="X40" s="235">
        <f>SUM(T40:W40)</f>
        <v>-301</v>
      </c>
      <c r="Y40" s="154">
        <v>-337</v>
      </c>
      <c r="Z40" s="154">
        <v>-194</v>
      </c>
      <c r="AA40" s="154">
        <v>-140</v>
      </c>
      <c r="AB40" s="154">
        <f>-123-SUM(Y40:AA40)</f>
        <v>548</v>
      </c>
      <c r="AC40" s="235">
        <f>SUM(Y40:AB40)</f>
        <v>-123</v>
      </c>
      <c r="AD40" s="154">
        <v>-819</v>
      </c>
      <c r="AE40" s="154">
        <v>-261</v>
      </c>
      <c r="AF40" s="154">
        <v>-197</v>
      </c>
      <c r="AG40" s="154">
        <f>-643-SUM(AD40:AF40)</f>
        <v>634</v>
      </c>
      <c r="AH40" s="235">
        <f>SUM(AD40:AG40)</f>
        <v>-643</v>
      </c>
      <c r="AI40" s="154">
        <v>-314</v>
      </c>
      <c r="AJ40" s="154">
        <v>138</v>
      </c>
      <c r="AK40" s="154">
        <v>314</v>
      </c>
      <c r="AL40" s="154">
        <f>845-SUM(AI40:AK40)</f>
        <v>707</v>
      </c>
      <c r="AM40" s="235">
        <f>SUM(AI40:AL40)</f>
        <v>845</v>
      </c>
      <c r="AN40" s="154">
        <v>982</v>
      </c>
      <c r="AO40" s="154">
        <v>364</v>
      </c>
      <c r="AP40" s="154">
        <v>1160</v>
      </c>
      <c r="AQ40" s="154">
        <f>2655-SUM(AN40:AP40)</f>
        <v>149</v>
      </c>
      <c r="AR40" s="235">
        <f>SUM(AN40:AQ40)</f>
        <v>2655</v>
      </c>
      <c r="AS40" s="154">
        <v>-181</v>
      </c>
      <c r="AT40" s="154">
        <f>-123-17</f>
        <v>-140</v>
      </c>
      <c r="AU40" s="154">
        <f>-162-(-6)</f>
        <v>-156</v>
      </c>
      <c r="AV40" s="154">
        <f>1294-1532-SUM(AS40:AU40)</f>
        <v>239</v>
      </c>
      <c r="AW40" s="235">
        <f>SUM(AS40:AV40)</f>
        <v>-238</v>
      </c>
      <c r="AX40" s="154">
        <f>-95-(-95+87)</f>
        <v>-87</v>
      </c>
      <c r="AY40" s="154">
        <f>443-727</f>
        <v>-284</v>
      </c>
      <c r="AZ40" s="154">
        <f>463-641</f>
        <v>-178</v>
      </c>
      <c r="BA40" s="154">
        <f>-63-144-SUM(AX40:AZ40)</f>
        <v>342</v>
      </c>
      <c r="BB40" s="235">
        <f>SUM(AX40:BA40)</f>
        <v>-207</v>
      </c>
      <c r="BC40" s="154">
        <f>227-3</f>
        <v>224</v>
      </c>
      <c r="BD40" s="154">
        <f>15-(15+84)</f>
        <v>-84</v>
      </c>
      <c r="BE40" s="154">
        <f>-99-(-99+115)</f>
        <v>-115</v>
      </c>
      <c r="BF40" s="154">
        <f>113-SUM(BC40:BE40)-113-19</f>
        <v>-44</v>
      </c>
      <c r="BG40" s="235">
        <f>SUM(BC40:BF40)</f>
        <v>-19</v>
      </c>
      <c r="BH40" s="154">
        <f>-50-(249-50)</f>
        <v>-249</v>
      </c>
      <c r="BI40" s="154">
        <f>-251-(241-251)</f>
        <v>-241</v>
      </c>
      <c r="BJ40" s="154">
        <f>-199-(142-199)</f>
        <v>-142</v>
      </c>
      <c r="BK40" s="154">
        <f>-592-SUM(BH40:BJ40)+4</f>
        <v>44</v>
      </c>
      <c r="BL40" s="235">
        <f>SUM(BH40:BK40)</f>
        <v>-588</v>
      </c>
      <c r="BM40" s="154">
        <f>-220-(852-220)</f>
        <v>-852</v>
      </c>
      <c r="BN40" s="154">
        <f>-206-(896-206)</f>
        <v>-896</v>
      </c>
      <c r="BO40" s="154">
        <f>-194-(579-194)-3</f>
        <v>-582</v>
      </c>
      <c r="BP40" s="154">
        <f>-11541-(2635-11541)-SUM(BM40:BO40)</f>
        <v>-305</v>
      </c>
      <c r="BQ40" s="235">
        <f>SUM(BM40:BP40)</f>
        <v>-2635</v>
      </c>
      <c r="BR40" s="154">
        <f>-640-73</f>
        <v>-713</v>
      </c>
      <c r="BS40" s="154">
        <f>-557-71</f>
        <v>-628</v>
      </c>
      <c r="BT40" s="154">
        <f>-613+26</f>
        <v>-587</v>
      </c>
      <c r="BU40" s="154">
        <f>-2056-315-SUM(BR40:BT40)</f>
        <v>-443</v>
      </c>
      <c r="BV40" s="235">
        <f>SUM(BR40:BU40)</f>
        <v>-2371</v>
      </c>
      <c r="BW40" s="154">
        <f>-511+8</f>
        <v>-503</v>
      </c>
      <c r="BX40" s="154">
        <f>-585-136</f>
        <v>-721</v>
      </c>
      <c r="BY40" s="154">
        <f>-818+51</f>
        <v>-767</v>
      </c>
      <c r="BZ40" s="154">
        <f>135-2157-SUM(BW40:BY40)</f>
        <v>-31</v>
      </c>
      <c r="CA40" s="255">
        <f>+SUM(BW40:BZ40)</f>
        <v>-2022</v>
      </c>
      <c r="CB40" s="154">
        <f>-270-92</f>
        <v>-362</v>
      </c>
      <c r="CC40" s="154">
        <f>-803-162</f>
        <v>-965</v>
      </c>
      <c r="CD40" s="154">
        <f>-188-59</f>
        <v>-247</v>
      </c>
      <c r="CE40" s="154">
        <f>-4-1905-SUM(CB40:CD40)</f>
        <v>-335</v>
      </c>
      <c r="CF40" s="255">
        <f>+SUM(CB40:CE40)</f>
        <v>-1909</v>
      </c>
      <c r="CG40" s="154">
        <v>-625</v>
      </c>
      <c r="CH40" s="154">
        <v>-1125</v>
      </c>
      <c r="CI40" s="154">
        <f>-1099+58</f>
        <v>-1041</v>
      </c>
      <c r="CJ40" s="154">
        <f>-2881-205-SUM(CG40:CI40)</f>
        <v>-295</v>
      </c>
      <c r="CK40" s="255">
        <f>+SUM(CG40:CJ40)</f>
        <v>-3086</v>
      </c>
      <c r="CL40" s="154">
        <v>-1196</v>
      </c>
      <c r="CM40" s="154">
        <v>-903</v>
      </c>
      <c r="CN40" s="154">
        <v>-426</v>
      </c>
      <c r="CO40" s="154">
        <v>336</v>
      </c>
      <c r="CP40" s="255">
        <f>+SUM(CL40:CO40)</f>
        <v>-2189</v>
      </c>
      <c r="CQ40" s="154">
        <v>-649</v>
      </c>
      <c r="CR40" s="154">
        <v>-209</v>
      </c>
      <c r="CS40" s="154">
        <v>-186</v>
      </c>
      <c r="CT40" s="154">
        <v>524</v>
      </c>
      <c r="CU40" s="255">
        <f>+SUM(CQ40:CT40)</f>
        <v>-520</v>
      </c>
      <c r="CV40" s="155">
        <f>-CV37*CV41</f>
        <v>-264.42862499999995</v>
      </c>
      <c r="CW40" s="155">
        <f>-CW37*CW41</f>
        <v>-312.99112500000001</v>
      </c>
      <c r="CX40" s="155">
        <f>-CX37*CX41</f>
        <v>-235.58362499999998</v>
      </c>
      <c r="CY40" s="155">
        <f>-CY37*CY41</f>
        <v>-209.59612499999997</v>
      </c>
      <c r="CZ40" s="255">
        <f>+SUM(CV40:CY40)</f>
        <v>-1022.5995</v>
      </c>
      <c r="DA40" s="255">
        <f>-DA37*DA41</f>
        <v>-1262.3765594346323</v>
      </c>
      <c r="DB40" s="255">
        <f>-DB37*DB41</f>
        <v>-1330.8627049073286</v>
      </c>
      <c r="DC40" s="255">
        <f>-DC37*DC41</f>
        <v>-1426.7769030348718</v>
      </c>
      <c r="DD40" s="165"/>
      <c r="DE40" s="154"/>
      <c r="DF40" s="255">
        <f>CT40</f>
        <v>524</v>
      </c>
      <c r="DG40" s="255">
        <v>-194.84811506749455</v>
      </c>
      <c r="DH40" s="255">
        <f>CO40</f>
        <v>336</v>
      </c>
      <c r="DI40" s="450">
        <f>IF(ISERROR(DF40/DG40-1),"NM",DF40/DG40-1)</f>
        <v>-3.6892741549924084</v>
      </c>
      <c r="DJ40" s="450">
        <f>IF(ISERROR(DF40/DH40-1),"NM",DF40/DH40-1)</f>
        <v>0.55952380952380953</v>
      </c>
      <c r="DK40" s="154"/>
      <c r="DL40" s="154"/>
      <c r="DM40" s="154"/>
      <c r="DT40" s="828"/>
      <c r="DU40" s="154"/>
      <c r="DV40" s="155"/>
      <c r="DW40" s="155"/>
      <c r="DX40" s="165"/>
      <c r="DY40" s="165"/>
      <c r="DZ40" s="165"/>
      <c r="EA40" s="165"/>
      <c r="EB40" s="165"/>
      <c r="EC40" s="2"/>
      <c r="ED40" s="2"/>
      <c r="EE40" s="165"/>
      <c r="EF40" s="165"/>
      <c r="EG40" s="165"/>
      <c r="EH40" s="167"/>
      <c r="EI40" s="167"/>
      <c r="EJ40" s="2"/>
      <c r="EK40" s="2"/>
      <c r="EL40" s="2"/>
    </row>
    <row r="41" spans="1:142" ht="12" customHeight="1">
      <c r="A41" s="1109">
        <f t="shared" si="0"/>
        <v>36</v>
      </c>
      <c r="B41" s="10"/>
      <c r="C41" s="45" t="s">
        <v>243</v>
      </c>
      <c r="D41" s="38"/>
      <c r="E41" s="236">
        <f t="shared" ref="E41:BP41" si="44">-E40/E37</f>
        <v>0.35480984340044741</v>
      </c>
      <c r="F41" s="236">
        <f t="shared" si="44"/>
        <v>0.31885764757838952</v>
      </c>
      <c r="G41" s="236">
        <f t="shared" si="44"/>
        <v>0.34198738458725658</v>
      </c>
      <c r="H41" s="236">
        <f t="shared" si="44"/>
        <v>0.12505906441959364</v>
      </c>
      <c r="I41" s="236">
        <f t="shared" si="44"/>
        <v>0.32961234016642987</v>
      </c>
      <c r="J41" s="152">
        <f t="shared" si="44"/>
        <v>0.34260811263828361</v>
      </c>
      <c r="K41" s="152">
        <f t="shared" si="44"/>
        <v>0.32098765432098764</v>
      </c>
      <c r="L41" s="152">
        <f t="shared" si="44"/>
        <v>0.32442196531791906</v>
      </c>
      <c r="M41" s="152">
        <f t="shared" si="44"/>
        <v>0.31644777986241401</v>
      </c>
      <c r="N41" s="236">
        <f t="shared" si="44"/>
        <v>0.32851590964294392</v>
      </c>
      <c r="O41" s="152">
        <f t="shared" si="44"/>
        <v>0.3496631965707287</v>
      </c>
      <c r="P41" s="152">
        <f t="shared" si="44"/>
        <v>0.27952755905511811</v>
      </c>
      <c r="Q41" s="152">
        <f t="shared" si="44"/>
        <v>0.29442148760330578</v>
      </c>
      <c r="R41" s="152">
        <f t="shared" si="44"/>
        <v>0.29684627351152593</v>
      </c>
      <c r="S41" s="236">
        <f t="shared" si="44"/>
        <v>0.28253839935327407</v>
      </c>
      <c r="T41" s="152">
        <f t="shared" si="44"/>
        <v>0.7407407407407407</v>
      </c>
      <c r="U41" s="152">
        <f t="shared" si="44"/>
        <v>0.28813559322033899</v>
      </c>
      <c r="V41" s="152">
        <f t="shared" si="44"/>
        <v>-1.7608695652173914</v>
      </c>
      <c r="W41" s="152">
        <f t="shared" si="44"/>
        <v>-2.3333333333333335</v>
      </c>
      <c r="X41" s="236">
        <f t="shared" si="44"/>
        <v>0.31650893796004204</v>
      </c>
      <c r="Y41" s="152">
        <f t="shared" si="44"/>
        <v>0.25149253731343285</v>
      </c>
      <c r="Z41" s="152">
        <f t="shared" si="44"/>
        <v>0.27019498607242337</v>
      </c>
      <c r="AA41" s="152">
        <f t="shared" si="44"/>
        <v>0.32786885245901637</v>
      </c>
      <c r="AB41" s="152">
        <f t="shared" si="44"/>
        <v>0.4781849912739965</v>
      </c>
      <c r="AC41" s="236">
        <f t="shared" si="44"/>
        <v>9.1859596713965652E-2</v>
      </c>
      <c r="AD41" s="152">
        <f t="shared" si="44"/>
        <v>0.28606356968215157</v>
      </c>
      <c r="AE41" s="152">
        <f t="shared" si="44"/>
        <v>0.17575757575757575</v>
      </c>
      <c r="AF41" s="152">
        <f t="shared" si="44"/>
        <v>0.27437325905292481</v>
      </c>
      <c r="AG41" s="152">
        <f t="shared" si="44"/>
        <v>0.66248693834900729</v>
      </c>
      <c r="AH41" s="236">
        <f t="shared" si="44"/>
        <v>0.15648576295935751</v>
      </c>
      <c r="AI41" s="152">
        <f t="shared" si="44"/>
        <v>0.20271142672692061</v>
      </c>
      <c r="AJ41" s="152">
        <f t="shared" si="44"/>
        <v>-0.11917098445595854</v>
      </c>
      <c r="AK41" s="152">
        <f t="shared" si="44"/>
        <v>0.37247924080664296</v>
      </c>
      <c r="AL41" s="152">
        <f t="shared" si="44"/>
        <v>0.90063694267515926</v>
      </c>
      <c r="AM41" s="236">
        <f t="shared" si="44"/>
        <v>-0.7831325301204819</v>
      </c>
      <c r="AN41" s="152">
        <f t="shared" si="44"/>
        <v>0.41822827938671209</v>
      </c>
      <c r="AO41" s="152">
        <f t="shared" si="44"/>
        <v>0.54491017964071853</v>
      </c>
      <c r="AP41" s="152">
        <f t="shared" si="44"/>
        <v>0.18227529855436833</v>
      </c>
      <c r="AQ41" s="152">
        <f t="shared" si="44"/>
        <v>2.6167896030909729E-2</v>
      </c>
      <c r="AR41" s="236">
        <f t="shared" si="44"/>
        <v>0.1761310866392464</v>
      </c>
      <c r="AS41" s="152">
        <f t="shared" si="44"/>
        <v>2.7014925373134329</v>
      </c>
      <c r="AT41" s="152">
        <f t="shared" si="44"/>
        <v>0.28985507246376813</v>
      </c>
      <c r="AU41" s="152">
        <f t="shared" si="44"/>
        <v>0.80412371134020622</v>
      </c>
      <c r="AV41" s="152">
        <f t="shared" si="44"/>
        <v>0.38673139158576053</v>
      </c>
      <c r="AW41" s="236">
        <f t="shared" si="44"/>
        <v>1.8888888888888888</v>
      </c>
      <c r="AX41" s="152">
        <f t="shared" si="44"/>
        <v>0.12682215743440234</v>
      </c>
      <c r="AY41" s="152">
        <f t="shared" si="44"/>
        <v>-0.27492739593417231</v>
      </c>
      <c r="AZ41" s="152">
        <f t="shared" si="44"/>
        <v>-6.4028776978417259E-2</v>
      </c>
      <c r="BA41" s="152">
        <f t="shared" si="44"/>
        <v>9.1861402095084616E-2</v>
      </c>
      <c r="BB41" s="236">
        <f t="shared" si="44"/>
        <v>-3.0218978102189781E-2</v>
      </c>
      <c r="BC41" s="152">
        <f t="shared" si="44"/>
        <v>0.11061728395061729</v>
      </c>
      <c r="BD41" s="152">
        <f t="shared" si="44"/>
        <v>-0.15162454873646208</v>
      </c>
      <c r="BE41" s="152">
        <f t="shared" si="44"/>
        <v>0.11477045908183632</v>
      </c>
      <c r="BF41" s="152">
        <f t="shared" si="44"/>
        <v>2.7244582043343655E-2</v>
      </c>
      <c r="BG41" s="236">
        <f t="shared" si="44"/>
        <v>0.5</v>
      </c>
      <c r="BH41" s="152">
        <f t="shared" si="44"/>
        <v>0.12388059701492538</v>
      </c>
      <c r="BI41" s="152">
        <f t="shared" si="44"/>
        <v>8.1917063222297762E-2</v>
      </c>
      <c r="BJ41" s="152">
        <f t="shared" si="44"/>
        <v>6.9099756690997563E-2</v>
      </c>
      <c r="BK41" s="152">
        <f t="shared" si="44"/>
        <v>-3.8095238095238099E-2</v>
      </c>
      <c r="BL41" s="236">
        <f t="shared" si="44"/>
        <v>7.2041166380789029E-2</v>
      </c>
      <c r="BM41" s="152">
        <f t="shared" si="44"/>
        <v>0.33971291866028708</v>
      </c>
      <c r="BN41" s="152">
        <f t="shared" si="44"/>
        <v>0.35998392928887102</v>
      </c>
      <c r="BO41" s="152">
        <f t="shared" si="44"/>
        <v>0.37188498402555908</v>
      </c>
      <c r="BP41" s="152">
        <f t="shared" si="44"/>
        <v>0.37331701346389229</v>
      </c>
      <c r="BQ41" s="236">
        <f t="shared" ref="BQ41:CF41" si="45">-BQ40/BQ37</f>
        <v>0.35709445724352895</v>
      </c>
      <c r="BR41" s="152">
        <f t="shared" si="45"/>
        <v>0.3778484366719661</v>
      </c>
      <c r="BS41" s="152">
        <f t="shared" si="45"/>
        <v>0.43400138217000689</v>
      </c>
      <c r="BT41" s="152">
        <f t="shared" si="45"/>
        <v>0.36189889025893957</v>
      </c>
      <c r="BU41" s="152">
        <f t="shared" si="45"/>
        <v>0.43688362919132151</v>
      </c>
      <c r="BV41" s="236">
        <f t="shared" si="45"/>
        <v>0.39715242881072027</v>
      </c>
      <c r="BW41" s="152">
        <f t="shared" si="45"/>
        <v>0.31916243654822335</v>
      </c>
      <c r="BX41" s="152">
        <f t="shared" si="45"/>
        <v>0.36654804270462632</v>
      </c>
      <c r="BY41" s="152">
        <f t="shared" si="45"/>
        <v>0.40517696777601692</v>
      </c>
      <c r="BZ41" s="152">
        <f t="shared" si="45"/>
        <v>4.6757164404223228E-2</v>
      </c>
      <c r="CA41" s="236">
        <f t="shared" si="45"/>
        <v>0.33152975897688147</v>
      </c>
      <c r="CB41" s="152">
        <f t="shared" si="45"/>
        <v>0.53235294117647058</v>
      </c>
      <c r="CC41" s="152">
        <f t="shared" si="45"/>
        <v>0.52275189599133265</v>
      </c>
      <c r="CD41" s="152">
        <f t="shared" si="45"/>
        <v>0.5513392857142857</v>
      </c>
      <c r="CE41" s="152">
        <f t="shared" si="45"/>
        <v>0.24542124542124541</v>
      </c>
      <c r="CF41" s="236">
        <f t="shared" si="45"/>
        <v>0.4399631251440424</v>
      </c>
      <c r="CG41" s="152">
        <f t="shared" ref="CG41:CQ41" si="46">-CG40/CG37</f>
        <v>0.57977736549165115</v>
      </c>
      <c r="CH41" s="152">
        <f t="shared" si="46"/>
        <v>0.4576891781936534</v>
      </c>
      <c r="CI41" s="152">
        <f t="shared" si="46"/>
        <v>0.42769104354971244</v>
      </c>
      <c r="CJ41" s="152">
        <f t="shared" si="46"/>
        <v>0.18414481897627966</v>
      </c>
      <c r="CK41" s="236">
        <f t="shared" si="46"/>
        <v>0.35577142108261245</v>
      </c>
      <c r="CL41" s="152">
        <f t="shared" si="46"/>
        <v>0.32758148452478775</v>
      </c>
      <c r="CM41" s="152">
        <f t="shared" si="46"/>
        <v>0.31408695652173912</v>
      </c>
      <c r="CN41" s="152">
        <f t="shared" si="46"/>
        <v>0.30713770728190337</v>
      </c>
      <c r="CO41" s="152">
        <f t="shared" si="46"/>
        <v>0.30080572963294538</v>
      </c>
      <c r="CP41" s="236">
        <f t="shared" si="46"/>
        <v>0.32210123602118895</v>
      </c>
      <c r="CQ41" s="152">
        <f t="shared" si="46"/>
        <v>0.28934462773071778</v>
      </c>
      <c r="CR41" s="152">
        <f>-CR40/CR37</f>
        <v>9.2518813634351479E-2</v>
      </c>
      <c r="CS41" s="152">
        <f>-CS40/CS37</f>
        <v>0.10586226522481502</v>
      </c>
      <c r="CT41" s="152">
        <f>-CT40/CT37</f>
        <v>-0.27739544732662785</v>
      </c>
      <c r="CU41" s="236">
        <f t="shared" ref="CU41" si="47">-CU40/CU37</f>
        <v>6.3819342169857629E-2</v>
      </c>
      <c r="CV41" s="1058">
        <v>0.15</v>
      </c>
      <c r="CW41" s="1058">
        <v>0.15</v>
      </c>
      <c r="CX41" s="1058">
        <v>0.15</v>
      </c>
      <c r="CY41" s="1058">
        <v>0.15</v>
      </c>
      <c r="CZ41" s="236">
        <f>-CZ40/CZ37</f>
        <v>0.15</v>
      </c>
      <c r="DA41" s="1049">
        <v>0.2</v>
      </c>
      <c r="DB41" s="1049">
        <v>0.2</v>
      </c>
      <c r="DC41" s="1049">
        <v>0.2</v>
      </c>
      <c r="DD41" s="165"/>
      <c r="DE41" s="152"/>
      <c r="DF41" s="236">
        <f>CT41</f>
        <v>-0.27739544732662785</v>
      </c>
      <c r="DG41" s="236">
        <v>0.15</v>
      </c>
      <c r="DH41" s="236">
        <f>CO41</f>
        <v>0.30080572963294538</v>
      </c>
      <c r="DI41" s="452">
        <f>IF(ISERROR(DF41/DG41-1),"NM",DF41/DG41-1)</f>
        <v>-2.8493029821775191</v>
      </c>
      <c r="DJ41" s="452">
        <f>IF(ISERROR(DF41/DH41-1),"NM",DF41/DH41-1)</f>
        <v>-1.9221747460233432</v>
      </c>
      <c r="DK41" s="152"/>
      <c r="DL41" s="152"/>
      <c r="DM41" s="152"/>
      <c r="DT41" s="829"/>
      <c r="DU41" s="152"/>
      <c r="DV41" s="177"/>
      <c r="DW41" s="177"/>
      <c r="DX41" s="178"/>
      <c r="DY41" s="171"/>
      <c r="DZ41" s="171"/>
      <c r="EA41" s="171"/>
      <c r="EB41" s="171"/>
      <c r="EC41" s="2"/>
      <c r="ED41" s="2"/>
      <c r="EE41" s="152"/>
      <c r="EF41" s="152"/>
      <c r="EG41" s="152"/>
      <c r="EH41" s="169"/>
      <c r="EI41" s="169"/>
      <c r="EJ41" s="2"/>
      <c r="EK41" s="2"/>
      <c r="EL41" s="2"/>
    </row>
    <row r="42" spans="1:142" ht="12" customHeight="1">
      <c r="A42" s="1109">
        <f t="shared" si="0"/>
        <v>37</v>
      </c>
      <c r="B42" s="10"/>
      <c r="C42" s="6" t="s">
        <v>783</v>
      </c>
      <c r="D42" s="6"/>
      <c r="E42" s="304">
        <f>+E37+E40</f>
        <v>4326</v>
      </c>
      <c r="F42" s="304">
        <f>+F37+F40</f>
        <v>4627</v>
      </c>
      <c r="G42" s="304">
        <f>+G37+G40</f>
        <v>7198</v>
      </c>
      <c r="H42" s="304">
        <f>+H37+H40</f>
        <v>22220</v>
      </c>
      <c r="I42" s="304">
        <f>+I37+I40</f>
        <v>6606</v>
      </c>
      <c r="J42" s="172">
        <f t="shared" ref="J42:BU42" si="48">+J37+J40</f>
        <v>1961</v>
      </c>
      <c r="K42" s="172">
        <f t="shared" si="48"/>
        <v>1540</v>
      </c>
      <c r="L42" s="172">
        <f t="shared" si="48"/>
        <v>935</v>
      </c>
      <c r="M42" s="172">
        <f t="shared" si="48"/>
        <v>1093</v>
      </c>
      <c r="N42" s="304">
        <f t="shared" si="48"/>
        <v>5529</v>
      </c>
      <c r="O42" s="172">
        <f t="shared" si="48"/>
        <v>1062</v>
      </c>
      <c r="P42" s="172">
        <f t="shared" si="48"/>
        <v>-732</v>
      </c>
      <c r="Q42" s="172">
        <f t="shared" si="48"/>
        <v>-683</v>
      </c>
      <c r="R42" s="172">
        <f t="shared" si="48"/>
        <v>-4972</v>
      </c>
      <c r="S42" s="304">
        <f t="shared" si="48"/>
        <v>-5325</v>
      </c>
      <c r="T42" s="172">
        <f t="shared" si="48"/>
        <v>-7</v>
      </c>
      <c r="U42" s="172">
        <f t="shared" si="48"/>
        <v>714</v>
      </c>
      <c r="V42" s="172">
        <f t="shared" si="48"/>
        <v>-127</v>
      </c>
      <c r="W42" s="172">
        <f t="shared" si="48"/>
        <v>70</v>
      </c>
      <c r="X42" s="304">
        <f t="shared" si="48"/>
        <v>650</v>
      </c>
      <c r="Y42" s="172">
        <f t="shared" si="48"/>
        <v>1003</v>
      </c>
      <c r="Z42" s="172">
        <f t="shared" si="48"/>
        <v>524</v>
      </c>
      <c r="AA42" s="172">
        <f t="shared" si="48"/>
        <v>287</v>
      </c>
      <c r="AB42" s="172">
        <f t="shared" si="48"/>
        <v>-598</v>
      </c>
      <c r="AC42" s="304">
        <f t="shared" si="48"/>
        <v>1216</v>
      </c>
      <c r="AD42" s="172">
        <f t="shared" si="48"/>
        <v>2044</v>
      </c>
      <c r="AE42" s="172">
        <f t="shared" si="48"/>
        <v>1224</v>
      </c>
      <c r="AF42" s="172">
        <f t="shared" si="48"/>
        <v>521</v>
      </c>
      <c r="AG42" s="172">
        <f t="shared" si="48"/>
        <v>-323</v>
      </c>
      <c r="AH42" s="304">
        <f t="shared" si="48"/>
        <v>3466</v>
      </c>
      <c r="AI42" s="172">
        <f t="shared" si="48"/>
        <v>1235</v>
      </c>
      <c r="AJ42" s="172">
        <f t="shared" si="48"/>
        <v>1296</v>
      </c>
      <c r="AK42" s="172">
        <f t="shared" si="48"/>
        <v>-529</v>
      </c>
      <c r="AL42" s="172">
        <f t="shared" si="48"/>
        <v>-78</v>
      </c>
      <c r="AM42" s="304">
        <f t="shared" si="48"/>
        <v>1924</v>
      </c>
      <c r="AN42" s="172">
        <f t="shared" si="48"/>
        <v>-1366</v>
      </c>
      <c r="AO42" s="172">
        <f t="shared" si="48"/>
        <v>-304</v>
      </c>
      <c r="AP42" s="172">
        <f t="shared" si="48"/>
        <v>-5204</v>
      </c>
      <c r="AQ42" s="172">
        <f t="shared" si="48"/>
        <v>-5545</v>
      </c>
      <c r="AR42" s="304">
        <f t="shared" si="48"/>
        <v>-12419</v>
      </c>
      <c r="AS42" s="172">
        <f t="shared" si="48"/>
        <v>-114</v>
      </c>
      <c r="AT42" s="172">
        <f t="shared" si="48"/>
        <v>343</v>
      </c>
      <c r="AU42" s="172">
        <f t="shared" si="48"/>
        <v>38</v>
      </c>
      <c r="AV42" s="172">
        <f t="shared" si="48"/>
        <v>-379</v>
      </c>
      <c r="AW42" s="304">
        <f t="shared" si="48"/>
        <v>-112</v>
      </c>
      <c r="AX42" s="172">
        <f t="shared" si="48"/>
        <v>599</v>
      </c>
      <c r="AY42" s="172">
        <f t="shared" si="48"/>
        <v>-1317</v>
      </c>
      <c r="AZ42" s="172">
        <f t="shared" si="48"/>
        <v>-2958</v>
      </c>
      <c r="BA42" s="172">
        <f t="shared" si="48"/>
        <v>-3381</v>
      </c>
      <c r="BB42" s="304">
        <f t="shared" si="48"/>
        <v>-7057</v>
      </c>
      <c r="BC42" s="172">
        <f t="shared" si="48"/>
        <v>-1801</v>
      </c>
      <c r="BD42" s="172">
        <f t="shared" si="48"/>
        <v>-638</v>
      </c>
      <c r="BE42" s="172">
        <f t="shared" si="48"/>
        <v>887</v>
      </c>
      <c r="BF42" s="172">
        <f t="shared" si="48"/>
        <v>1571</v>
      </c>
      <c r="BG42" s="304">
        <f t="shared" si="48"/>
        <v>19</v>
      </c>
      <c r="BH42" s="172">
        <f t="shared" si="48"/>
        <v>1761</v>
      </c>
      <c r="BI42" s="172">
        <f t="shared" si="48"/>
        <v>2701</v>
      </c>
      <c r="BJ42" s="172">
        <f t="shared" si="48"/>
        <v>1913</v>
      </c>
      <c r="BK42" s="172">
        <f t="shared" si="48"/>
        <v>1199</v>
      </c>
      <c r="BL42" s="304">
        <f t="shared" si="48"/>
        <v>7574</v>
      </c>
      <c r="BM42" s="172">
        <f t="shared" si="48"/>
        <v>1656</v>
      </c>
      <c r="BN42" s="172">
        <f t="shared" si="48"/>
        <v>1593</v>
      </c>
      <c r="BO42" s="172">
        <f t="shared" si="48"/>
        <v>983</v>
      </c>
      <c r="BP42" s="172">
        <f t="shared" si="48"/>
        <v>512</v>
      </c>
      <c r="BQ42" s="304">
        <f t="shared" si="48"/>
        <v>4744</v>
      </c>
      <c r="BR42" s="172">
        <f t="shared" si="48"/>
        <v>1174</v>
      </c>
      <c r="BS42" s="172">
        <f t="shared" si="48"/>
        <v>819</v>
      </c>
      <c r="BT42" s="172">
        <f t="shared" si="48"/>
        <v>1035</v>
      </c>
      <c r="BU42" s="172">
        <f t="shared" si="48"/>
        <v>571</v>
      </c>
      <c r="BV42" s="304">
        <f t="shared" ref="BV42:CF42" si="49">+BV37+BV40</f>
        <v>3599</v>
      </c>
      <c r="BW42" s="172">
        <f t="shared" si="49"/>
        <v>1073</v>
      </c>
      <c r="BX42" s="172">
        <f t="shared" si="49"/>
        <v>1246</v>
      </c>
      <c r="BY42" s="172">
        <f t="shared" si="49"/>
        <v>1126</v>
      </c>
      <c r="BZ42" s="172">
        <f t="shared" si="49"/>
        <v>632</v>
      </c>
      <c r="CA42" s="304">
        <f t="shared" si="49"/>
        <v>4077</v>
      </c>
      <c r="CB42" s="172">
        <f t="shared" si="49"/>
        <v>318</v>
      </c>
      <c r="CC42" s="172">
        <f t="shared" si="49"/>
        <v>881</v>
      </c>
      <c r="CD42" s="172">
        <f t="shared" si="49"/>
        <v>201</v>
      </c>
      <c r="CE42" s="172">
        <f t="shared" si="49"/>
        <v>1030</v>
      </c>
      <c r="CF42" s="304">
        <f t="shared" si="49"/>
        <v>2430</v>
      </c>
      <c r="CG42" s="172">
        <f t="shared" ref="CG42:CT42" si="50">+CG37+CG40</f>
        <v>453</v>
      </c>
      <c r="CH42" s="172">
        <f t="shared" si="50"/>
        <v>1333</v>
      </c>
      <c r="CI42" s="172">
        <f t="shared" si="50"/>
        <v>1393</v>
      </c>
      <c r="CJ42" s="172">
        <f t="shared" si="50"/>
        <v>1307</v>
      </c>
      <c r="CK42" s="304">
        <f t="shared" si="50"/>
        <v>5588.1087595212175</v>
      </c>
      <c r="CL42" s="172">
        <f t="shared" si="50"/>
        <v>2455</v>
      </c>
      <c r="CM42" s="172">
        <f t="shared" si="50"/>
        <v>1972</v>
      </c>
      <c r="CN42" s="172">
        <f t="shared" si="50"/>
        <v>961</v>
      </c>
      <c r="CO42" s="172">
        <f t="shared" si="50"/>
        <v>-781</v>
      </c>
      <c r="CP42" s="304">
        <f t="shared" si="50"/>
        <v>4607</v>
      </c>
      <c r="CQ42" s="172">
        <f t="shared" si="50"/>
        <v>1594</v>
      </c>
      <c r="CR42" s="172">
        <f>+CR37+CR40</f>
        <v>2050</v>
      </c>
      <c r="CS42" s="172">
        <f>+CS37+CS40</f>
        <v>1571</v>
      </c>
      <c r="CT42" s="172">
        <f t="shared" si="50"/>
        <v>2413</v>
      </c>
      <c r="CU42" s="304">
        <f t="shared" ref="CU42" si="51">+CU37+CU40</f>
        <v>7628</v>
      </c>
      <c r="CV42" s="172">
        <f>+CV37+CV40</f>
        <v>1498.4288749999996</v>
      </c>
      <c r="CW42" s="172">
        <f t="shared" ref="CW42:DC42" si="52">+CW37+CW40</f>
        <v>1773.6163750000001</v>
      </c>
      <c r="CX42" s="172">
        <f t="shared" si="52"/>
        <v>1334.9738749999999</v>
      </c>
      <c r="CY42" s="172">
        <f t="shared" si="52"/>
        <v>1187.7113749999999</v>
      </c>
      <c r="CZ42" s="304">
        <f t="shared" si="52"/>
        <v>5794.7304999999997</v>
      </c>
      <c r="DA42" s="304">
        <f t="shared" si="52"/>
        <v>5049.5062377385293</v>
      </c>
      <c r="DB42" s="304">
        <f t="shared" si="52"/>
        <v>5323.4508196293145</v>
      </c>
      <c r="DC42" s="304">
        <f t="shared" si="52"/>
        <v>5707.1076121394872</v>
      </c>
      <c r="DD42" s="1027"/>
      <c r="DE42" s="172"/>
      <c r="DF42" s="304">
        <f>CT42</f>
        <v>2413</v>
      </c>
      <c r="DG42" s="304">
        <v>1753.6330356074541</v>
      </c>
      <c r="DH42" s="304">
        <f>CO42</f>
        <v>-781</v>
      </c>
      <c r="DI42" s="451">
        <f>IF(ISERROR(DF42/DG42-1),"NM",DF42/DG42-1)</f>
        <v>0.37600053774314479</v>
      </c>
      <c r="DJ42" s="451">
        <f>IF(ISERROR(DF42/DH42-1),"NM",DF42/DH42-1)</f>
        <v>-4.0896286811779774</v>
      </c>
      <c r="DK42" s="172"/>
      <c r="DL42" s="172"/>
      <c r="DM42" s="172"/>
      <c r="DT42" s="834"/>
      <c r="DU42" s="172"/>
      <c r="DV42" s="173"/>
      <c r="DW42" s="173"/>
      <c r="DX42" s="173"/>
      <c r="DY42" s="173"/>
      <c r="DZ42" s="173"/>
      <c r="EA42" s="173"/>
      <c r="EB42" s="173"/>
      <c r="EC42" s="2"/>
      <c r="ED42" s="2"/>
      <c r="EE42" s="173"/>
      <c r="EF42" s="173"/>
      <c r="EG42" s="173"/>
      <c r="EH42" s="174"/>
      <c r="EI42" s="174"/>
      <c r="EJ42" s="2"/>
      <c r="EK42" s="2"/>
      <c r="EL42" s="2"/>
    </row>
    <row r="43" spans="1:142" ht="12" customHeight="1">
      <c r="A43" s="1109">
        <f t="shared" si="0"/>
        <v>38</v>
      </c>
      <c r="B43" s="10"/>
      <c r="C43" s="45"/>
      <c r="D43" s="38"/>
      <c r="E43" s="236"/>
      <c r="F43" s="236"/>
      <c r="G43" s="236"/>
      <c r="H43" s="236"/>
      <c r="I43" s="236"/>
      <c r="J43" s="152"/>
      <c r="K43" s="152"/>
      <c r="L43" s="152"/>
      <c r="M43" s="152"/>
      <c r="N43" s="236"/>
      <c r="O43" s="152"/>
      <c r="P43" s="152"/>
      <c r="Q43" s="152"/>
      <c r="R43" s="152"/>
      <c r="S43" s="236"/>
      <c r="T43" s="152"/>
      <c r="U43" s="152"/>
      <c r="V43" s="152"/>
      <c r="W43" s="152"/>
      <c r="X43" s="236"/>
      <c r="Y43" s="152"/>
      <c r="Z43" s="152"/>
      <c r="AA43" s="152"/>
      <c r="AB43" s="152"/>
      <c r="AC43" s="236"/>
      <c r="AD43" s="152"/>
      <c r="AE43" s="152"/>
      <c r="AF43" s="152"/>
      <c r="AG43" s="152"/>
      <c r="AH43" s="236"/>
      <c r="AI43" s="152"/>
      <c r="AJ43" s="152"/>
      <c r="AK43" s="152"/>
      <c r="AL43" s="152"/>
      <c r="AM43" s="236"/>
      <c r="AN43" s="152"/>
      <c r="AO43" s="152"/>
      <c r="AP43" s="152"/>
      <c r="AQ43" s="152"/>
      <c r="AR43" s="236"/>
      <c r="AS43" s="152"/>
      <c r="AT43" s="152"/>
      <c r="AU43" s="152"/>
      <c r="AV43" s="152"/>
      <c r="AW43" s="236"/>
      <c r="AX43" s="152"/>
      <c r="AY43" s="152"/>
      <c r="AZ43" s="152"/>
      <c r="BA43" s="152"/>
      <c r="BB43" s="236"/>
      <c r="BC43" s="326"/>
      <c r="BD43" s="152"/>
      <c r="BE43" s="152"/>
      <c r="BF43" s="152"/>
      <c r="BG43" s="236"/>
      <c r="BH43" s="152"/>
      <c r="BI43" s="152"/>
      <c r="BJ43" s="152"/>
      <c r="BK43" s="152"/>
      <c r="BL43" s="236"/>
      <c r="BM43" s="152"/>
      <c r="BN43" s="152"/>
      <c r="BO43" s="152"/>
      <c r="BP43" s="152"/>
      <c r="BQ43" s="236"/>
      <c r="BR43" s="152"/>
      <c r="BS43" s="152"/>
      <c r="BT43" s="152"/>
      <c r="BU43" s="152"/>
      <c r="BV43" s="236"/>
      <c r="BW43" s="152"/>
      <c r="BX43" s="152"/>
      <c r="BY43" s="152"/>
      <c r="BZ43" s="152"/>
      <c r="CA43" s="236"/>
      <c r="CB43" s="152"/>
      <c r="CC43" s="152"/>
      <c r="CD43" s="152"/>
      <c r="CE43" s="152"/>
      <c r="CF43" s="236"/>
      <c r="CG43" s="152"/>
      <c r="CH43" s="152"/>
      <c r="CI43" s="152"/>
      <c r="CJ43" s="152"/>
      <c r="CK43" s="236"/>
      <c r="CL43" s="152"/>
      <c r="CM43" s="152"/>
      <c r="CN43" s="152"/>
      <c r="CO43" s="152"/>
      <c r="CP43" s="236"/>
      <c r="CQ43" s="152"/>
      <c r="CR43" s="152"/>
      <c r="CS43" s="152"/>
      <c r="CT43" s="152"/>
      <c r="CU43" s="236"/>
      <c r="CV43" s="152"/>
      <c r="CW43" s="152"/>
      <c r="CX43" s="152"/>
      <c r="CY43" s="152"/>
      <c r="CZ43" s="236"/>
      <c r="DA43" s="236"/>
      <c r="DB43" s="236"/>
      <c r="DC43" s="236"/>
      <c r="DD43" s="165"/>
      <c r="DE43" s="152"/>
      <c r="DF43" s="236"/>
      <c r="DG43" s="236"/>
      <c r="DH43" s="236"/>
      <c r="DI43" s="452"/>
      <c r="DJ43" s="452"/>
      <c r="DK43" s="152"/>
      <c r="DL43" s="152"/>
      <c r="DM43" s="152"/>
      <c r="DT43" s="829"/>
      <c r="DU43" s="152"/>
      <c r="DV43" s="177"/>
      <c r="DW43" s="177"/>
      <c r="DX43" s="178"/>
      <c r="DY43" s="171"/>
      <c r="DZ43" s="171"/>
      <c r="EA43" s="171"/>
      <c r="EB43" s="171"/>
      <c r="EC43" s="2"/>
      <c r="ED43" s="2"/>
      <c r="EE43" s="152"/>
      <c r="EF43" s="152"/>
      <c r="EG43" s="152"/>
      <c r="EH43" s="169"/>
      <c r="EI43" s="169"/>
      <c r="EJ43" s="2"/>
      <c r="EK43" s="2"/>
      <c r="EL43" s="2"/>
    </row>
    <row r="44" spans="1:142" ht="12" customHeight="1">
      <c r="A44" s="1109">
        <f t="shared" si="0"/>
        <v>39</v>
      </c>
      <c r="B44" s="10"/>
      <c r="C44" s="1" t="s">
        <v>784</v>
      </c>
      <c r="E44" s="296">
        <v>-187</v>
      </c>
      <c r="F44" s="296">
        <v>-181</v>
      </c>
      <c r="G44" s="296">
        <v>-278</v>
      </c>
      <c r="H44" s="296">
        <v>-149</v>
      </c>
      <c r="I44" s="296">
        <v>-104</v>
      </c>
      <c r="J44" s="154">
        <v>-29</v>
      </c>
      <c r="K44" s="154">
        <v>-27</v>
      </c>
      <c r="L44" s="154">
        <v>-47</v>
      </c>
      <c r="M44" s="154">
        <f>-119-SUM(J44:L44)</f>
        <v>-16</v>
      </c>
      <c r="N44" s="235">
        <f>SUM(J44:M44)</f>
        <v>-119</v>
      </c>
      <c r="O44" s="154">
        <v>-3</v>
      </c>
      <c r="P44" s="154">
        <v>-20</v>
      </c>
      <c r="Q44" s="154">
        <v>-9</v>
      </c>
      <c r="R44" s="154">
        <f>-24-SUM(O44:Q44)</f>
        <v>8</v>
      </c>
      <c r="S44" s="235">
        <f>SUM(O44:R44)</f>
        <v>-24</v>
      </c>
      <c r="T44" s="154">
        <v>-73</v>
      </c>
      <c r="U44" s="154">
        <v>-95</v>
      </c>
      <c r="V44" s="154">
        <v>-117</v>
      </c>
      <c r="W44" s="154">
        <f>-367-SUM(T44:V44)</f>
        <v>-82</v>
      </c>
      <c r="X44" s="235">
        <f>SUM(T44:W44)</f>
        <v>-367</v>
      </c>
      <c r="Y44" s="154">
        <v>-102</v>
      </c>
      <c r="Z44" s="154">
        <v>-98</v>
      </c>
      <c r="AA44" s="154">
        <v>-45</v>
      </c>
      <c r="AB44" s="154">
        <f>-314-SUM(Y44:AA44)</f>
        <v>-69</v>
      </c>
      <c r="AC44" s="235">
        <f>SUM(Y44:AB44)</f>
        <v>-314</v>
      </c>
      <c r="AD44" s="154">
        <v>-85</v>
      </c>
      <c r="AE44" s="154">
        <v>-72</v>
      </c>
      <c r="AF44" s="154">
        <v>-62</v>
      </c>
      <c r="AG44" s="154">
        <f>-282-SUM(AD44:AF44)</f>
        <v>-63</v>
      </c>
      <c r="AH44" s="235">
        <f>SUM(AD44:AG44)</f>
        <v>-282</v>
      </c>
      <c r="AI44" s="154">
        <v>-58</v>
      </c>
      <c r="AJ44" s="154">
        <v>-84</v>
      </c>
      <c r="AK44" s="154">
        <v>-54</v>
      </c>
      <c r="AL44" s="154">
        <f>-280-SUM(AI44:AK44)</f>
        <v>-84</v>
      </c>
      <c r="AM44" s="235">
        <f>SUM(AI44:AL44)</f>
        <v>-280</v>
      </c>
      <c r="AN44" s="154">
        <v>-59</v>
      </c>
      <c r="AO44" s="154">
        <v>-19</v>
      </c>
      <c r="AP44" s="154">
        <v>-48</v>
      </c>
      <c r="AQ44" s="154">
        <f>-210-SUM(AN44:AP44)</f>
        <v>-84</v>
      </c>
      <c r="AR44" s="235">
        <f>SUM(AN44:AQ44)</f>
        <v>-210</v>
      </c>
      <c r="AS44" s="154">
        <v>-58</v>
      </c>
      <c r="AT44" s="154">
        <v>-85</v>
      </c>
      <c r="AU44" s="154">
        <v>-62</v>
      </c>
      <c r="AV44" s="154">
        <f>-312-SUM(AS44:AU44)</f>
        <v>-107</v>
      </c>
      <c r="AW44" s="235">
        <f>SUM(AS44:AV44)</f>
        <v>-312</v>
      </c>
      <c r="AX44" s="154">
        <v>-122</v>
      </c>
      <c r="AY44" s="154">
        <v>-89</v>
      </c>
      <c r="AZ44" s="154">
        <v>-51</v>
      </c>
      <c r="BA44" s="154">
        <f>-214-SUM(AX44:AZ44)</f>
        <v>48</v>
      </c>
      <c r="BB44" s="235">
        <f>SUM(AX44:BA44)</f>
        <v>-214</v>
      </c>
      <c r="BC44" s="154">
        <v>8</v>
      </c>
      <c r="BD44" s="154">
        <v>0</v>
      </c>
      <c r="BE44" s="154">
        <v>-16</v>
      </c>
      <c r="BF44" s="154">
        <f>0-SUM(BC44:BE44)</f>
        <v>8</v>
      </c>
      <c r="BG44" s="235">
        <f>SUM(BC44:BF44)</f>
        <v>0</v>
      </c>
      <c r="BH44" s="154">
        <v>0</v>
      </c>
      <c r="BI44" s="154">
        <v>3</v>
      </c>
      <c r="BJ44" s="154">
        <v>-1</v>
      </c>
      <c r="BK44" s="154">
        <f>4-SUM(BH44:BJ44)</f>
        <v>2</v>
      </c>
      <c r="BL44" s="235">
        <f>SUM(BH44:BK44)</f>
        <v>4</v>
      </c>
      <c r="BM44" s="154">
        <v>-5</v>
      </c>
      <c r="BN44" s="154">
        <v>-2</v>
      </c>
      <c r="BO44" s="154">
        <v>-3</v>
      </c>
      <c r="BP44" s="154">
        <f>-9-SUM(BM44:BO44)</f>
        <v>1</v>
      </c>
      <c r="BQ44" s="235">
        <f>SUM(BM44:BP44)</f>
        <v>-9</v>
      </c>
      <c r="BR44" s="154">
        <v>-2</v>
      </c>
      <c r="BS44" s="154">
        <v>2</v>
      </c>
      <c r="BT44" s="154">
        <v>-2</v>
      </c>
      <c r="BU44" s="154">
        <f>1-SUM(BR44:BT44)</f>
        <v>3</v>
      </c>
      <c r="BV44" s="235">
        <f>SUM(BR44:BU44)</f>
        <v>1</v>
      </c>
      <c r="BW44" s="154">
        <v>-1</v>
      </c>
      <c r="BX44" s="154">
        <v>-1</v>
      </c>
      <c r="BY44" s="154">
        <v>-1</v>
      </c>
      <c r="BZ44" s="154">
        <f>7-SUM(BW44:BY44)</f>
        <v>10</v>
      </c>
      <c r="CA44" s="255">
        <f>+SUM(BW44:BZ44)</f>
        <v>7</v>
      </c>
      <c r="CB44" s="154">
        <v>0</v>
      </c>
      <c r="CC44" s="154">
        <v>-4</v>
      </c>
      <c r="CD44" s="154">
        <v>2</v>
      </c>
      <c r="CE44" s="154">
        <f>1-SUM(CB44:CD44)</f>
        <v>3</v>
      </c>
      <c r="CF44" s="255">
        <f>+SUM(CB44:CE44)</f>
        <v>1</v>
      </c>
      <c r="CG44" s="154">
        <v>-1</v>
      </c>
      <c r="CH44" s="154">
        <v>-1</v>
      </c>
      <c r="CI44" s="154">
        <v>0</v>
      </c>
      <c r="CJ44" s="154">
        <f>2-SUM(CG44:CI44)</f>
        <v>4</v>
      </c>
      <c r="CK44" s="255">
        <f>+SUM(CG44:CJ44)</f>
        <v>2</v>
      </c>
      <c r="CL44" s="154">
        <v>-3</v>
      </c>
      <c r="CM44" s="154">
        <v>-2</v>
      </c>
      <c r="CN44" s="154">
        <v>-4</v>
      </c>
      <c r="CO44" s="154">
        <f>-11-SUM(CL44:CN44)</f>
        <v>-2</v>
      </c>
      <c r="CP44" s="255">
        <f>+SUM(CL44:CO44)</f>
        <v>-11</v>
      </c>
      <c r="CQ44" s="154">
        <v>-7</v>
      </c>
      <c r="CR44" s="154">
        <v>-8</v>
      </c>
      <c r="CS44" s="154">
        <v>-7</v>
      </c>
      <c r="CT44" s="154">
        <v>-4</v>
      </c>
      <c r="CU44" s="255">
        <f>+SUM(CQ44:CT44)</f>
        <v>-26</v>
      </c>
      <c r="CV44" s="155">
        <f>CV45*CV42*-1</f>
        <v>-2.4839268545379189</v>
      </c>
      <c r="CW44" s="155">
        <f>CW45*CW42*-1</f>
        <v>-2.9401017405719023</v>
      </c>
      <c r="CX44" s="155">
        <f>CX45*CX42*-1</f>
        <v>-2.2129695399917111</v>
      </c>
      <c r="CY44" s="155">
        <f>CY45*CY42*-1</f>
        <v>-1.968854330708661</v>
      </c>
      <c r="CZ44" s="255">
        <f>+SUM(CV44:CY44)</f>
        <v>-9.6058524658101927</v>
      </c>
      <c r="DA44" s="255">
        <f>DA45*DA42*-1</f>
        <v>-8.3705035022603038</v>
      </c>
      <c r="DB44" s="255">
        <f>DB45*DB42*-1</f>
        <v>-8.8246180184489251</v>
      </c>
      <c r="DC44" s="255">
        <f>DC45*DC42*-1</f>
        <v>-9.4606010976203674</v>
      </c>
      <c r="DD44" s="165"/>
      <c r="DE44" s="154"/>
      <c r="DF44" s="255">
        <f>CT44</f>
        <v>-4</v>
      </c>
      <c r="DG44" s="255">
        <v>-7.050793365452142</v>
      </c>
      <c r="DH44" s="255">
        <f>CO44</f>
        <v>-2</v>
      </c>
      <c r="DI44" s="450">
        <f>IF(ISERROR(DF44/DG44-1),"NM",DF44/DG44-1)</f>
        <v>-0.4326879554293257</v>
      </c>
      <c r="DJ44" s="450">
        <f>IF(ISERROR(DF44/DH44-1),"NM",DF44/DH44-1)</f>
        <v>1</v>
      </c>
      <c r="DK44" s="154"/>
      <c r="DL44" s="154"/>
      <c r="DM44" s="154"/>
      <c r="DT44" s="828"/>
      <c r="DU44" s="154"/>
      <c r="DV44" s="155"/>
      <c r="DW44" s="155"/>
      <c r="DX44" s="165"/>
      <c r="DY44" s="155"/>
      <c r="DZ44" s="155"/>
      <c r="EA44" s="155"/>
      <c r="EB44" s="155"/>
      <c r="EC44" s="2"/>
      <c r="ED44" s="2"/>
      <c r="EE44" s="165"/>
      <c r="EF44" s="165"/>
      <c r="EG44" s="165"/>
      <c r="EH44" s="167"/>
      <c r="EI44" s="167"/>
      <c r="EJ44" s="2"/>
      <c r="EK44" s="2"/>
      <c r="EL44" s="2"/>
    </row>
    <row r="45" spans="1:142" ht="12" customHeight="1">
      <c r="A45" s="1109">
        <f t="shared" si="0"/>
        <v>40</v>
      </c>
      <c r="B45" s="10"/>
      <c r="C45" s="45" t="s">
        <v>785</v>
      </c>
      <c r="D45" s="38"/>
      <c r="E45" s="236">
        <f t="shared" ref="E45:BP45" si="53">-E44/E42</f>
        <v>4.3226999537679146E-2</v>
      </c>
      <c r="F45" s="236">
        <f t="shared" si="53"/>
        <v>3.9118219148476331E-2</v>
      </c>
      <c r="G45" s="236">
        <f t="shared" si="53"/>
        <v>3.862183939983329E-2</v>
      </c>
      <c r="H45" s="236">
        <f t="shared" si="53"/>
        <v>6.7056705670567058E-3</v>
      </c>
      <c r="I45" s="236">
        <f t="shared" si="53"/>
        <v>1.5743263699666971E-2</v>
      </c>
      <c r="J45" s="152">
        <f t="shared" si="53"/>
        <v>1.4788373278939317E-2</v>
      </c>
      <c r="K45" s="152">
        <f t="shared" si="53"/>
        <v>1.7532467532467531E-2</v>
      </c>
      <c r="L45" s="152">
        <f t="shared" si="53"/>
        <v>5.0267379679144387E-2</v>
      </c>
      <c r="M45" s="152">
        <f t="shared" si="53"/>
        <v>1.463860933211345E-2</v>
      </c>
      <c r="N45" s="236">
        <f t="shared" si="53"/>
        <v>2.1522879363356846E-2</v>
      </c>
      <c r="O45" s="152">
        <f t="shared" si="53"/>
        <v>2.8248587570621469E-3</v>
      </c>
      <c r="P45" s="152">
        <f t="shared" si="53"/>
        <v>-2.7322404371584699E-2</v>
      </c>
      <c r="Q45" s="152">
        <f t="shared" si="53"/>
        <v>-1.3177159590043924E-2</v>
      </c>
      <c r="R45" s="152">
        <f t="shared" si="53"/>
        <v>1.6090104585679806E-3</v>
      </c>
      <c r="S45" s="236">
        <f t="shared" si="53"/>
        <v>-4.507042253521127E-3</v>
      </c>
      <c r="T45" s="152">
        <f t="shared" si="53"/>
        <v>-10.428571428571429</v>
      </c>
      <c r="U45" s="152">
        <f t="shared" si="53"/>
        <v>0.13305322128851541</v>
      </c>
      <c r="V45" s="152">
        <f t="shared" si="53"/>
        <v>-0.92125984251968507</v>
      </c>
      <c r="W45" s="152">
        <f t="shared" si="53"/>
        <v>1.1714285714285715</v>
      </c>
      <c r="X45" s="236">
        <f t="shared" si="53"/>
        <v>0.56461538461538463</v>
      </c>
      <c r="Y45" s="152">
        <f t="shared" si="53"/>
        <v>0.10169491525423729</v>
      </c>
      <c r="Z45" s="152">
        <f t="shared" si="53"/>
        <v>0.18702290076335878</v>
      </c>
      <c r="AA45" s="152">
        <f t="shared" si="53"/>
        <v>0.156794425087108</v>
      </c>
      <c r="AB45" s="152">
        <f t="shared" si="53"/>
        <v>-0.11538461538461539</v>
      </c>
      <c r="AC45" s="236">
        <f t="shared" si="53"/>
        <v>0.25822368421052633</v>
      </c>
      <c r="AD45" s="152">
        <f t="shared" si="53"/>
        <v>4.1585127201565555E-2</v>
      </c>
      <c r="AE45" s="152">
        <f t="shared" si="53"/>
        <v>5.8823529411764705E-2</v>
      </c>
      <c r="AF45" s="152">
        <f t="shared" si="53"/>
        <v>0.11900191938579655</v>
      </c>
      <c r="AG45" s="152">
        <f t="shared" si="53"/>
        <v>-0.19504643962848298</v>
      </c>
      <c r="AH45" s="236">
        <f t="shared" si="53"/>
        <v>8.1361800346220425E-2</v>
      </c>
      <c r="AI45" s="152">
        <f t="shared" si="53"/>
        <v>4.6963562753036439E-2</v>
      </c>
      <c r="AJ45" s="152">
        <f t="shared" si="53"/>
        <v>6.4814814814814811E-2</v>
      </c>
      <c r="AK45" s="152">
        <f t="shared" si="53"/>
        <v>-0.10207939508506617</v>
      </c>
      <c r="AL45" s="152">
        <f t="shared" si="53"/>
        <v>-1.0769230769230769</v>
      </c>
      <c r="AM45" s="236">
        <f t="shared" si="53"/>
        <v>0.14553014553014554</v>
      </c>
      <c r="AN45" s="152">
        <f t="shared" si="53"/>
        <v>-4.3191800878477307E-2</v>
      </c>
      <c r="AO45" s="152">
        <f t="shared" si="53"/>
        <v>-6.25E-2</v>
      </c>
      <c r="AP45" s="152">
        <f t="shared" si="53"/>
        <v>-9.2236740968485772E-3</v>
      </c>
      <c r="AQ45" s="152">
        <f t="shared" si="53"/>
        <v>-1.51487826871055E-2</v>
      </c>
      <c r="AR45" s="236">
        <f t="shared" si="53"/>
        <v>-1.6909574039777761E-2</v>
      </c>
      <c r="AS45" s="152">
        <f t="shared" si="53"/>
        <v>-0.50877192982456143</v>
      </c>
      <c r="AT45" s="152">
        <f t="shared" si="53"/>
        <v>0.24781341107871721</v>
      </c>
      <c r="AU45" s="152">
        <f t="shared" si="53"/>
        <v>1.631578947368421</v>
      </c>
      <c r="AV45" s="152">
        <f t="shared" si="53"/>
        <v>-0.28232189973614774</v>
      </c>
      <c r="AW45" s="236">
        <f t="shared" si="53"/>
        <v>-2.7857142857142856</v>
      </c>
      <c r="AX45" s="152">
        <f t="shared" si="53"/>
        <v>0.2036727879799666</v>
      </c>
      <c r="AY45" s="152">
        <f t="shared" si="53"/>
        <v>-6.7577828397873962E-2</v>
      </c>
      <c r="AZ45" s="152">
        <f t="shared" si="53"/>
        <v>-1.7241379310344827E-2</v>
      </c>
      <c r="BA45" s="152">
        <f t="shared" si="53"/>
        <v>1.419698314108252E-2</v>
      </c>
      <c r="BB45" s="236">
        <f t="shared" si="53"/>
        <v>-3.0324500495961457E-2</v>
      </c>
      <c r="BC45" s="152">
        <f t="shared" si="53"/>
        <v>4.4419766796224324E-3</v>
      </c>
      <c r="BD45" s="152">
        <f t="shared" si="53"/>
        <v>0</v>
      </c>
      <c r="BE45" s="152">
        <f t="shared" si="53"/>
        <v>1.8038331454340473E-2</v>
      </c>
      <c r="BF45" s="152">
        <f t="shared" si="53"/>
        <v>-5.0922978994271161E-3</v>
      </c>
      <c r="BG45" s="236">
        <f t="shared" si="53"/>
        <v>0</v>
      </c>
      <c r="BH45" s="152">
        <f t="shared" si="53"/>
        <v>0</v>
      </c>
      <c r="BI45" s="152">
        <f t="shared" si="53"/>
        <v>-1.1106997408367272E-3</v>
      </c>
      <c r="BJ45" s="152">
        <f t="shared" si="53"/>
        <v>5.2273915316257186E-4</v>
      </c>
      <c r="BK45" s="152">
        <f t="shared" si="53"/>
        <v>-1.6680567139282735E-3</v>
      </c>
      <c r="BL45" s="236">
        <f t="shared" si="53"/>
        <v>-5.2812252442566675E-4</v>
      </c>
      <c r="BM45" s="152">
        <f t="shared" si="53"/>
        <v>3.0193236714975845E-3</v>
      </c>
      <c r="BN45" s="152">
        <f t="shared" si="53"/>
        <v>1.2554927809165098E-3</v>
      </c>
      <c r="BO45" s="152">
        <f t="shared" si="53"/>
        <v>3.0518819938962359E-3</v>
      </c>
      <c r="BP45" s="152">
        <f t="shared" si="53"/>
        <v>-1.953125E-3</v>
      </c>
      <c r="BQ45" s="236">
        <f t="shared" ref="BQ45:CF45" si="54">-BQ44/BQ42</f>
        <v>1.8971332209106238E-3</v>
      </c>
      <c r="BR45" s="152">
        <f t="shared" si="54"/>
        <v>1.7035775127768314E-3</v>
      </c>
      <c r="BS45" s="152">
        <f t="shared" si="54"/>
        <v>-2.442002442002442E-3</v>
      </c>
      <c r="BT45" s="152">
        <f t="shared" si="54"/>
        <v>1.9323671497584541E-3</v>
      </c>
      <c r="BU45" s="152">
        <f t="shared" si="54"/>
        <v>-5.2539404553415062E-3</v>
      </c>
      <c r="BV45" s="236">
        <f t="shared" si="54"/>
        <v>-2.7785495971103082E-4</v>
      </c>
      <c r="BW45" s="152">
        <f t="shared" si="54"/>
        <v>9.3196644920782849E-4</v>
      </c>
      <c r="BX45" s="152">
        <f t="shared" si="54"/>
        <v>8.0256821829855537E-4</v>
      </c>
      <c r="BY45" s="152">
        <f t="shared" si="54"/>
        <v>8.8809946714031975E-4</v>
      </c>
      <c r="BZ45" s="152">
        <f t="shared" si="54"/>
        <v>-1.5822784810126583E-2</v>
      </c>
      <c r="CA45" s="236">
        <f t="shared" si="54"/>
        <v>-1.7169487368162864E-3</v>
      </c>
      <c r="CB45" s="152">
        <f t="shared" si="54"/>
        <v>0</v>
      </c>
      <c r="CC45" s="152">
        <f t="shared" si="54"/>
        <v>4.5402951191827468E-3</v>
      </c>
      <c r="CD45" s="152">
        <f t="shared" si="54"/>
        <v>-9.9502487562189053E-3</v>
      </c>
      <c r="CE45" s="152">
        <f t="shared" si="54"/>
        <v>-2.9126213592233011E-3</v>
      </c>
      <c r="CF45" s="236">
        <f t="shared" si="54"/>
        <v>-4.1152263374485596E-4</v>
      </c>
      <c r="CG45" s="152">
        <f t="shared" ref="CG45:CT45" si="55">-CG44/CG42</f>
        <v>2.2075055187637969E-3</v>
      </c>
      <c r="CH45" s="152">
        <f t="shared" si="55"/>
        <v>7.501875468867217E-4</v>
      </c>
      <c r="CI45" s="152">
        <f t="shared" si="55"/>
        <v>0</v>
      </c>
      <c r="CJ45" s="152">
        <f t="shared" si="55"/>
        <v>-3.06044376434583E-3</v>
      </c>
      <c r="CK45" s="236">
        <f t="shared" si="55"/>
        <v>-3.5790284084795756E-4</v>
      </c>
      <c r="CL45" s="152">
        <f t="shared" si="55"/>
        <v>1.2219959266802445E-3</v>
      </c>
      <c r="CM45" s="152">
        <f t="shared" si="55"/>
        <v>1.0141987829614604E-3</v>
      </c>
      <c r="CN45" s="152">
        <f t="shared" si="55"/>
        <v>4.1623309053069723E-3</v>
      </c>
      <c r="CO45" s="152">
        <f t="shared" si="55"/>
        <v>-2.5608194622279128E-3</v>
      </c>
      <c r="CP45" s="236">
        <f t="shared" si="55"/>
        <v>2.3876709355328848E-3</v>
      </c>
      <c r="CQ45" s="152">
        <f t="shared" si="55"/>
        <v>4.3914680050188204E-3</v>
      </c>
      <c r="CR45" s="152">
        <f t="shared" si="55"/>
        <v>3.9024390243902439E-3</v>
      </c>
      <c r="CS45" s="152">
        <f t="shared" si="55"/>
        <v>4.4557606619987271E-3</v>
      </c>
      <c r="CT45" s="152">
        <f t="shared" si="55"/>
        <v>1.6576875259013675E-3</v>
      </c>
      <c r="CU45" s="236">
        <f t="shared" ref="CU45" si="56">-CU44/CU42</f>
        <v>3.4084950183534348E-3</v>
      </c>
      <c r="CV45" s="241">
        <f>CT45</f>
        <v>1.6576875259013675E-3</v>
      </c>
      <c r="CW45" s="241">
        <f>CV45</f>
        <v>1.6576875259013675E-3</v>
      </c>
      <c r="CX45" s="241">
        <f>CW45</f>
        <v>1.6576875259013675E-3</v>
      </c>
      <c r="CY45" s="241">
        <f>CX45</f>
        <v>1.6576875259013675E-3</v>
      </c>
      <c r="CZ45" s="236">
        <f>-CZ44/CZ42</f>
        <v>1.6576875259013673E-3</v>
      </c>
      <c r="DA45" s="239">
        <f>CZ45</f>
        <v>1.6576875259013673E-3</v>
      </c>
      <c r="DB45" s="239">
        <f>DA45</f>
        <v>1.6576875259013673E-3</v>
      </c>
      <c r="DC45" s="239">
        <f>DB45</f>
        <v>1.6576875259013673E-3</v>
      </c>
      <c r="DD45" s="165"/>
      <c r="DE45" s="152"/>
      <c r="DF45" s="236">
        <f>CT45</f>
        <v>1.6576875259013675E-3</v>
      </c>
      <c r="DG45" s="236">
        <v>4.0206777713957496E-3</v>
      </c>
      <c r="DH45" s="236">
        <f>CO45</f>
        <v>-2.5608194622279128E-3</v>
      </c>
      <c r="DI45" s="452">
        <f>IF(ISERROR(DF45/DG45-1),"NM",DF45/DG45-1)</f>
        <v>-0.58770943105795981</v>
      </c>
      <c r="DJ45" s="452">
        <f>IF(ISERROR(DF45/DH45-1),"NM",DF45/DH45-1)</f>
        <v>-1.6473269788644842</v>
      </c>
      <c r="DK45" s="152"/>
      <c r="DL45" s="152"/>
      <c r="DM45" s="152"/>
      <c r="DT45" s="829"/>
      <c r="DU45" s="152"/>
      <c r="DV45" s="177"/>
      <c r="DW45" s="177"/>
      <c r="DX45" s="178"/>
      <c r="DY45" s="171"/>
      <c r="DZ45" s="171"/>
      <c r="EA45" s="171"/>
      <c r="EB45" s="171"/>
      <c r="EC45" s="2"/>
      <c r="ED45" s="2"/>
      <c r="EE45" s="152"/>
      <c r="EF45" s="152"/>
      <c r="EG45" s="152"/>
      <c r="EH45" s="169"/>
      <c r="EI45" s="169"/>
      <c r="EJ45" s="2"/>
      <c r="EK45" s="2"/>
      <c r="EL45" s="2"/>
    </row>
    <row r="46" spans="1:142" ht="12" customHeight="1">
      <c r="A46" s="1109">
        <f t="shared" si="0"/>
        <v>41</v>
      </c>
      <c r="B46" s="10"/>
      <c r="C46" s="6" t="s">
        <v>62</v>
      </c>
      <c r="D46" s="6"/>
      <c r="E46" s="304">
        <f>E42+E44</f>
        <v>4139</v>
      </c>
      <c r="F46" s="304">
        <f>F42+F44</f>
        <v>4446</v>
      </c>
      <c r="G46" s="304">
        <f>G42+G44</f>
        <v>6920</v>
      </c>
      <c r="H46" s="304">
        <f>H42+H44</f>
        <v>22071</v>
      </c>
      <c r="I46" s="304">
        <f>I42+I44</f>
        <v>6502</v>
      </c>
      <c r="J46" s="172">
        <f t="shared" ref="J46:BU46" si="57">J42+J44</f>
        <v>1932</v>
      </c>
      <c r="K46" s="172">
        <f t="shared" si="57"/>
        <v>1513</v>
      </c>
      <c r="L46" s="172">
        <f t="shared" si="57"/>
        <v>888</v>
      </c>
      <c r="M46" s="172">
        <f t="shared" si="57"/>
        <v>1077</v>
      </c>
      <c r="N46" s="304">
        <f t="shared" si="57"/>
        <v>5410</v>
      </c>
      <c r="O46" s="172">
        <f t="shared" si="57"/>
        <v>1059</v>
      </c>
      <c r="P46" s="172">
        <f t="shared" si="57"/>
        <v>-752</v>
      </c>
      <c r="Q46" s="172">
        <f t="shared" si="57"/>
        <v>-692</v>
      </c>
      <c r="R46" s="172">
        <f t="shared" si="57"/>
        <v>-4964</v>
      </c>
      <c r="S46" s="304">
        <f t="shared" si="57"/>
        <v>-5349</v>
      </c>
      <c r="T46" s="172">
        <f t="shared" si="57"/>
        <v>-80</v>
      </c>
      <c r="U46" s="172">
        <f t="shared" si="57"/>
        <v>619</v>
      </c>
      <c r="V46" s="172">
        <f t="shared" si="57"/>
        <v>-244</v>
      </c>
      <c r="W46" s="172">
        <f t="shared" si="57"/>
        <v>-12</v>
      </c>
      <c r="X46" s="304">
        <f t="shared" si="57"/>
        <v>283</v>
      </c>
      <c r="Y46" s="172">
        <f t="shared" si="57"/>
        <v>901</v>
      </c>
      <c r="Z46" s="172">
        <f t="shared" si="57"/>
        <v>426</v>
      </c>
      <c r="AA46" s="172">
        <f t="shared" si="57"/>
        <v>242</v>
      </c>
      <c r="AB46" s="172">
        <f t="shared" si="57"/>
        <v>-667</v>
      </c>
      <c r="AC46" s="304">
        <f t="shared" si="57"/>
        <v>902</v>
      </c>
      <c r="AD46" s="172">
        <f t="shared" si="57"/>
        <v>1959</v>
      </c>
      <c r="AE46" s="172">
        <f t="shared" si="57"/>
        <v>1152</v>
      </c>
      <c r="AF46" s="172">
        <f t="shared" si="57"/>
        <v>459</v>
      </c>
      <c r="AG46" s="172">
        <f t="shared" si="57"/>
        <v>-386</v>
      </c>
      <c r="AH46" s="304">
        <f t="shared" si="57"/>
        <v>3184</v>
      </c>
      <c r="AI46" s="172">
        <f t="shared" si="57"/>
        <v>1177</v>
      </c>
      <c r="AJ46" s="172">
        <f t="shared" si="57"/>
        <v>1212</v>
      </c>
      <c r="AK46" s="172">
        <f t="shared" si="57"/>
        <v>-583</v>
      </c>
      <c r="AL46" s="172">
        <f t="shared" si="57"/>
        <v>-162</v>
      </c>
      <c r="AM46" s="304">
        <f t="shared" si="57"/>
        <v>1644</v>
      </c>
      <c r="AN46" s="172">
        <f t="shared" si="57"/>
        <v>-1425</v>
      </c>
      <c r="AO46" s="172">
        <f t="shared" si="57"/>
        <v>-323</v>
      </c>
      <c r="AP46" s="172">
        <f t="shared" si="57"/>
        <v>-5252</v>
      </c>
      <c r="AQ46" s="172">
        <f t="shared" si="57"/>
        <v>-5629</v>
      </c>
      <c r="AR46" s="304">
        <f t="shared" si="57"/>
        <v>-12629</v>
      </c>
      <c r="AS46" s="172">
        <f t="shared" si="57"/>
        <v>-172</v>
      </c>
      <c r="AT46" s="172">
        <f t="shared" si="57"/>
        <v>258</v>
      </c>
      <c r="AU46" s="172">
        <f t="shared" si="57"/>
        <v>-24</v>
      </c>
      <c r="AV46" s="172">
        <f t="shared" si="57"/>
        <v>-486</v>
      </c>
      <c r="AW46" s="304">
        <f t="shared" si="57"/>
        <v>-424</v>
      </c>
      <c r="AX46" s="172">
        <f t="shared" si="57"/>
        <v>477</v>
      </c>
      <c r="AY46" s="172">
        <f t="shared" si="57"/>
        <v>-1406</v>
      </c>
      <c r="AZ46" s="172">
        <f t="shared" si="57"/>
        <v>-3009</v>
      </c>
      <c r="BA46" s="172">
        <f t="shared" si="57"/>
        <v>-3333</v>
      </c>
      <c r="BB46" s="304">
        <f t="shared" si="57"/>
        <v>-7271</v>
      </c>
      <c r="BC46" s="172">
        <f t="shared" si="57"/>
        <v>-1793</v>
      </c>
      <c r="BD46" s="172">
        <f t="shared" si="57"/>
        <v>-638</v>
      </c>
      <c r="BE46" s="172">
        <f t="shared" si="57"/>
        <v>871</v>
      </c>
      <c r="BF46" s="172">
        <f t="shared" si="57"/>
        <v>1579</v>
      </c>
      <c r="BG46" s="304">
        <f t="shared" si="57"/>
        <v>19</v>
      </c>
      <c r="BH46" s="172">
        <f t="shared" si="57"/>
        <v>1761</v>
      </c>
      <c r="BI46" s="172">
        <f t="shared" si="57"/>
        <v>2704</v>
      </c>
      <c r="BJ46" s="172">
        <f t="shared" si="57"/>
        <v>1912</v>
      </c>
      <c r="BK46" s="172">
        <f t="shared" si="57"/>
        <v>1201</v>
      </c>
      <c r="BL46" s="304">
        <f t="shared" si="57"/>
        <v>7578</v>
      </c>
      <c r="BM46" s="172">
        <f t="shared" si="57"/>
        <v>1651</v>
      </c>
      <c r="BN46" s="172">
        <f t="shared" si="57"/>
        <v>1591</v>
      </c>
      <c r="BO46" s="172">
        <f t="shared" si="57"/>
        <v>980</v>
      </c>
      <c r="BP46" s="172">
        <f t="shared" si="57"/>
        <v>513</v>
      </c>
      <c r="BQ46" s="304">
        <f t="shared" si="57"/>
        <v>4735</v>
      </c>
      <c r="BR46" s="172">
        <f t="shared" si="57"/>
        <v>1172</v>
      </c>
      <c r="BS46" s="172">
        <f t="shared" si="57"/>
        <v>821</v>
      </c>
      <c r="BT46" s="172">
        <f t="shared" si="57"/>
        <v>1033</v>
      </c>
      <c r="BU46" s="172">
        <f t="shared" si="57"/>
        <v>574</v>
      </c>
      <c r="BV46" s="304">
        <f t="shared" ref="BV46:CF46" si="58">BV42+BV44</f>
        <v>3600</v>
      </c>
      <c r="BW46" s="172">
        <f t="shared" si="58"/>
        <v>1072</v>
      </c>
      <c r="BX46" s="172">
        <f t="shared" si="58"/>
        <v>1245</v>
      </c>
      <c r="BY46" s="172">
        <f t="shared" si="58"/>
        <v>1125</v>
      </c>
      <c r="BZ46" s="172">
        <f t="shared" si="58"/>
        <v>642</v>
      </c>
      <c r="CA46" s="304">
        <f t="shared" si="58"/>
        <v>4084</v>
      </c>
      <c r="CB46" s="172">
        <f t="shared" si="58"/>
        <v>318</v>
      </c>
      <c r="CC46" s="172">
        <f t="shared" si="58"/>
        <v>877</v>
      </c>
      <c r="CD46" s="172">
        <f t="shared" si="58"/>
        <v>203</v>
      </c>
      <c r="CE46" s="172">
        <f t="shared" si="58"/>
        <v>1033</v>
      </c>
      <c r="CF46" s="304">
        <f t="shared" si="58"/>
        <v>2431</v>
      </c>
      <c r="CG46" s="172">
        <f t="shared" ref="CG46:CT46" si="59">CG42+CG44</f>
        <v>452</v>
      </c>
      <c r="CH46" s="172">
        <f t="shared" si="59"/>
        <v>1332</v>
      </c>
      <c r="CI46" s="172">
        <f t="shared" si="59"/>
        <v>1393</v>
      </c>
      <c r="CJ46" s="172">
        <f t="shared" si="59"/>
        <v>1311</v>
      </c>
      <c r="CK46" s="304">
        <f t="shared" si="59"/>
        <v>5590.1087595212175</v>
      </c>
      <c r="CL46" s="172">
        <f t="shared" si="59"/>
        <v>2452</v>
      </c>
      <c r="CM46" s="172">
        <f t="shared" si="59"/>
        <v>1970</v>
      </c>
      <c r="CN46" s="172">
        <f t="shared" si="59"/>
        <v>957</v>
      </c>
      <c r="CO46" s="172">
        <f t="shared" si="59"/>
        <v>-783</v>
      </c>
      <c r="CP46" s="304">
        <f t="shared" si="59"/>
        <v>4596</v>
      </c>
      <c r="CQ46" s="172">
        <f t="shared" si="59"/>
        <v>1587</v>
      </c>
      <c r="CR46" s="172">
        <f>CR42+CR44</f>
        <v>2042</v>
      </c>
      <c r="CS46" s="172">
        <f t="shared" si="59"/>
        <v>1564</v>
      </c>
      <c r="CT46" s="172">
        <f t="shared" si="59"/>
        <v>2409</v>
      </c>
      <c r="CU46" s="304">
        <f t="shared" ref="CU46" si="60">CU42+CU44</f>
        <v>7602</v>
      </c>
      <c r="CV46" s="172">
        <f>CV42+CV44</f>
        <v>1495.9449481454617</v>
      </c>
      <c r="CW46" s="172">
        <f t="shared" ref="CW46:DC46" si="61">CW42+CW44</f>
        <v>1770.6762732594282</v>
      </c>
      <c r="CX46" s="172">
        <f t="shared" si="61"/>
        <v>1332.7609054600082</v>
      </c>
      <c r="CY46" s="172">
        <f t="shared" si="61"/>
        <v>1185.7425206692913</v>
      </c>
      <c r="CZ46" s="304">
        <f t="shared" si="61"/>
        <v>5785.1246475341895</v>
      </c>
      <c r="DA46" s="304">
        <f t="shared" si="61"/>
        <v>5041.1357342362689</v>
      </c>
      <c r="DB46" s="304">
        <f t="shared" si="61"/>
        <v>5314.6262016108658</v>
      </c>
      <c r="DC46" s="304">
        <f t="shared" si="61"/>
        <v>5697.6470110418668</v>
      </c>
      <c r="DD46" s="165"/>
      <c r="DE46" s="172"/>
      <c r="DF46" s="304">
        <f>CT46</f>
        <v>2409</v>
      </c>
      <c r="DG46" s="304">
        <v>1746.5822422420019</v>
      </c>
      <c r="DH46" s="304">
        <f>CO46</f>
        <v>-783</v>
      </c>
      <c r="DI46" s="451">
        <f>IF(ISERROR(DF46/DG46-1),"NM",DF46/DG46-1)</f>
        <v>0.37926513950335661</v>
      </c>
      <c r="DJ46" s="451">
        <f>IF(ISERROR(DF46/DH46-1),"NM",DF46/DH46-1)</f>
        <v>-4.0766283524904221</v>
      </c>
      <c r="DK46" s="172"/>
      <c r="DL46" s="172"/>
      <c r="DM46" s="172"/>
      <c r="DT46" s="834"/>
      <c r="DU46" s="172"/>
      <c r="DV46" s="173"/>
      <c r="DW46" s="173"/>
      <c r="DX46" s="173"/>
      <c r="DY46" s="173"/>
      <c r="DZ46" s="173"/>
      <c r="EA46" s="173"/>
      <c r="EB46" s="173"/>
      <c r="EC46" s="2"/>
      <c r="ED46" s="2"/>
      <c r="EE46" s="173"/>
      <c r="EF46" s="173"/>
      <c r="EG46" s="173"/>
      <c r="EH46" s="174"/>
      <c r="EI46" s="174"/>
      <c r="EJ46" s="2"/>
      <c r="EK46" s="2"/>
      <c r="EL46" s="2"/>
    </row>
    <row r="47" spans="1:142" ht="12" customHeight="1">
      <c r="A47" s="1109">
        <f t="shared" si="0"/>
        <v>42</v>
      </c>
      <c r="B47" s="10"/>
      <c r="C47" s="6"/>
      <c r="D47" s="6"/>
      <c r="E47" s="240"/>
      <c r="F47" s="240"/>
      <c r="G47" s="240"/>
      <c r="H47" s="240"/>
      <c r="I47" s="240"/>
      <c r="J47" s="149"/>
      <c r="K47" s="149"/>
      <c r="L47" s="149"/>
      <c r="M47" s="149"/>
      <c r="N47" s="313"/>
      <c r="O47" s="149"/>
      <c r="P47" s="149"/>
      <c r="Q47" s="149"/>
      <c r="R47" s="149"/>
      <c r="S47" s="313"/>
      <c r="T47" s="149"/>
      <c r="U47" s="149"/>
      <c r="V47" s="149"/>
      <c r="W47" s="149"/>
      <c r="X47" s="313"/>
      <c r="Y47" s="149"/>
      <c r="Z47" s="149"/>
      <c r="AA47" s="149"/>
      <c r="AB47" s="149"/>
      <c r="AC47" s="313"/>
      <c r="AD47" s="149"/>
      <c r="AE47" s="149"/>
      <c r="AF47" s="149"/>
      <c r="AG47" s="2"/>
      <c r="AH47" s="240"/>
      <c r="AI47" s="149"/>
      <c r="AJ47" s="149"/>
      <c r="AK47" s="149"/>
      <c r="AL47" s="149"/>
      <c r="AM47" s="313"/>
      <c r="AN47" s="149"/>
      <c r="AO47" s="149"/>
      <c r="AP47" s="149"/>
      <c r="AQ47" s="149"/>
      <c r="AR47" s="313"/>
      <c r="AS47" s="149"/>
      <c r="AT47" s="149"/>
      <c r="AU47" s="149"/>
      <c r="AV47" s="149"/>
      <c r="AW47" s="313"/>
      <c r="AX47" s="149"/>
      <c r="AY47" s="149"/>
      <c r="AZ47" s="149"/>
      <c r="BA47" s="149"/>
      <c r="BB47" s="313"/>
      <c r="BC47" s="149"/>
      <c r="BD47" s="149"/>
      <c r="BE47" s="149"/>
      <c r="BF47" s="149"/>
      <c r="BG47" s="313"/>
      <c r="BH47" s="149"/>
      <c r="BI47" s="149"/>
      <c r="BJ47" s="149"/>
      <c r="BK47" s="149"/>
      <c r="BL47" s="313"/>
      <c r="BM47" s="149"/>
      <c r="BN47" s="149"/>
      <c r="BO47" s="149"/>
      <c r="BP47" s="149"/>
      <c r="BQ47" s="313"/>
      <c r="BR47" s="149"/>
      <c r="BS47" s="149"/>
      <c r="BT47" s="149"/>
      <c r="BU47" s="149"/>
      <c r="BV47" s="313"/>
      <c r="BW47" s="149"/>
      <c r="BX47" s="149"/>
      <c r="BY47" s="149"/>
      <c r="BZ47" s="149"/>
      <c r="CA47" s="240"/>
      <c r="CB47" s="149"/>
      <c r="CC47" s="149"/>
      <c r="CD47" s="149"/>
      <c r="CE47" s="149"/>
      <c r="CF47" s="240"/>
      <c r="CG47" s="149"/>
      <c r="CH47" s="149"/>
      <c r="CI47" s="195"/>
      <c r="CJ47" s="149"/>
      <c r="CK47" s="240"/>
      <c r="CL47" s="149"/>
      <c r="CM47" s="149"/>
      <c r="CN47" s="149"/>
      <c r="CO47" s="149"/>
      <c r="CP47" s="240"/>
      <c r="CQ47" s="149"/>
      <c r="CR47" s="149"/>
      <c r="CS47" s="149"/>
      <c r="CT47" s="149"/>
      <c r="CU47" s="240"/>
      <c r="CV47" s="149"/>
      <c r="CW47" s="149"/>
      <c r="CX47" s="149"/>
      <c r="CY47" s="149"/>
      <c r="CZ47" s="839"/>
      <c r="DA47" s="240"/>
      <c r="DB47" s="240"/>
      <c r="DC47" s="240"/>
      <c r="DD47" s="165"/>
      <c r="DE47" s="149"/>
      <c r="DF47" s="240"/>
      <c r="DG47" s="240"/>
      <c r="DH47" s="240"/>
      <c r="DI47" s="451"/>
      <c r="DJ47" s="451"/>
      <c r="DK47" s="149"/>
      <c r="DL47" s="149"/>
      <c r="DM47" s="149"/>
      <c r="DT47" s="830"/>
      <c r="DU47" s="149"/>
      <c r="DV47" s="149"/>
      <c r="DW47" s="149"/>
      <c r="DX47" s="175"/>
      <c r="DY47" s="175"/>
      <c r="DZ47" s="175"/>
      <c r="EA47" s="175"/>
      <c r="EB47" s="175"/>
      <c r="EC47" s="2"/>
      <c r="ED47" s="2"/>
      <c r="EE47" s="149"/>
      <c r="EF47" s="149"/>
      <c r="EG47" s="149"/>
      <c r="EH47" s="7"/>
      <c r="EI47" s="7"/>
      <c r="EJ47" s="2"/>
      <c r="EK47" s="2"/>
      <c r="EL47" s="2"/>
    </row>
    <row r="48" spans="1:142" ht="12" customHeight="1">
      <c r="A48" s="1109">
        <f t="shared" si="0"/>
        <v>43</v>
      </c>
      <c r="B48" s="10"/>
      <c r="C48" s="1" t="s">
        <v>356</v>
      </c>
      <c r="E48" s="296">
        <v>0</v>
      </c>
      <c r="F48" s="296">
        <v>0</v>
      </c>
      <c r="G48" s="296">
        <v>0</v>
      </c>
      <c r="H48" s="296">
        <v>0</v>
      </c>
      <c r="I48" s="296">
        <v>0</v>
      </c>
      <c r="J48" s="154">
        <v>0</v>
      </c>
      <c r="K48" s="154">
        <v>-2252</v>
      </c>
      <c r="L48" s="154">
        <v>0</v>
      </c>
      <c r="M48" s="154">
        <f>-2252-L48-K48-J48</f>
        <v>0</v>
      </c>
      <c r="N48" s="235">
        <f>SUM(J48:M48)</f>
        <v>-2252</v>
      </c>
      <c r="O48" s="154">
        <v>0</v>
      </c>
      <c r="P48" s="154">
        <v>0</v>
      </c>
      <c r="Q48" s="154">
        <v>0</v>
      </c>
      <c r="R48" s="154">
        <f>0-Q48-P48-O48</f>
        <v>0</v>
      </c>
      <c r="S48" s="235">
        <f>SUM(O48:R48)</f>
        <v>0</v>
      </c>
      <c r="T48" s="154">
        <v>-1002</v>
      </c>
      <c r="U48" s="154">
        <v>-9</v>
      </c>
      <c r="V48" s="154">
        <v>0</v>
      </c>
      <c r="W48" s="154">
        <f>-1002-V48-U48-T48</f>
        <v>9</v>
      </c>
      <c r="X48" s="235">
        <f>SUM(T48:W48)</f>
        <v>-1002</v>
      </c>
      <c r="Y48" s="154">
        <v>0</v>
      </c>
      <c r="Z48" s="154">
        <v>0</v>
      </c>
      <c r="AA48" s="154">
        <f>-264</f>
        <v>-264</v>
      </c>
      <c r="AB48" s="154">
        <f>-264-AA48-Z48-Y48</f>
        <v>0</v>
      </c>
      <c r="AC48" s="235">
        <f>SUM(Y48:AB48)</f>
        <v>-264</v>
      </c>
      <c r="AD48" s="154">
        <v>0</v>
      </c>
      <c r="AE48" s="154">
        <v>0</v>
      </c>
      <c r="AF48" s="154">
        <v>0</v>
      </c>
      <c r="AG48" s="154">
        <f>0-AF48-AE48-AD48</f>
        <v>0</v>
      </c>
      <c r="AH48" s="235">
        <f>SUM(AD48:AG48)</f>
        <v>0</v>
      </c>
      <c r="AI48" s="154">
        <v>0</v>
      </c>
      <c r="AJ48" s="154">
        <v>0</v>
      </c>
      <c r="AK48" s="154">
        <v>0</v>
      </c>
      <c r="AL48" s="154">
        <f>-251-SUM(AI48:AK48)</f>
        <v>-251</v>
      </c>
      <c r="AM48" s="235">
        <f>SUM(AI48:AL48)</f>
        <v>-251</v>
      </c>
      <c r="AN48" s="154">
        <v>0</v>
      </c>
      <c r="AO48" s="154">
        <v>0</v>
      </c>
      <c r="AP48" s="154">
        <v>0</v>
      </c>
      <c r="AQ48" s="154">
        <v>0</v>
      </c>
      <c r="AR48" s="235">
        <f>SUM(AN48:AQ48)</f>
        <v>0</v>
      </c>
      <c r="AS48" s="154">
        <v>-113</v>
      </c>
      <c r="AT48" s="154">
        <f>443+17</f>
        <v>460</v>
      </c>
      <c r="AU48" s="154">
        <f>-350-6</f>
        <v>-356</v>
      </c>
      <c r="AV48" s="154">
        <f>-3872+1532-SUM(AS48:AU48)</f>
        <v>-2331</v>
      </c>
      <c r="AW48" s="235">
        <f>SUM(AS48:AV48)</f>
        <v>-2340</v>
      </c>
      <c r="AX48" s="154">
        <f>-400-(95-87)</f>
        <v>-408</v>
      </c>
      <c r="AY48" s="154">
        <f>-469-5471-2086+727</f>
        <v>-7299</v>
      </c>
      <c r="AZ48" s="154">
        <f>2310-103+641</f>
        <v>2848</v>
      </c>
      <c r="BA48" s="154">
        <f>668-6230-2086+144-SUM(AX48:AZ48)</f>
        <v>-2645</v>
      </c>
      <c r="BB48" s="235">
        <f>SUM(AX48:BA48)</f>
        <v>-7504</v>
      </c>
      <c r="BC48" s="154">
        <f>363+3</f>
        <v>366</v>
      </c>
      <c r="BD48" s="154">
        <f>15+84+2795</f>
        <v>2894</v>
      </c>
      <c r="BE48" s="154">
        <f>-160+160+101+9+(115-99)</f>
        <v>126</v>
      </c>
      <c r="BF48" s="154">
        <f>2642-81+19+113-SUM(BC48:BE48)</f>
        <v>-693</v>
      </c>
      <c r="BG48" s="235">
        <f>SUM(BC48:BF48)</f>
        <v>2693</v>
      </c>
      <c r="BH48" s="154">
        <f>-(86+15-38-188)+249-50</f>
        <v>324</v>
      </c>
      <c r="BI48" s="154">
        <f>-(27+232-30-94-40)+241-251</f>
        <v>-105</v>
      </c>
      <c r="BJ48" s="154">
        <f>-168+142-199</f>
        <v>-225</v>
      </c>
      <c r="BK48" s="154">
        <f>-1151+726-592-SUM(BH48:BJ48)</f>
        <v>-1011</v>
      </c>
      <c r="BL48" s="235">
        <f>SUM(BH48:BK48)</f>
        <v>-1017</v>
      </c>
      <c r="BM48" s="154">
        <f>-(22+1+1+60-23-(852-220))</f>
        <v>571</v>
      </c>
      <c r="BN48" s="154">
        <f>-(110+61-5+104+2-(896-206))</f>
        <v>418</v>
      </c>
      <c r="BO48" s="154">
        <f>-(81+42-29+4-(579-194))</f>
        <v>287</v>
      </c>
      <c r="BP48" s="154">
        <f>-(269+151-93-401+109+47)+2635+11541-SUM(BM48:BO48)</f>
        <v>12818</v>
      </c>
      <c r="BQ48" s="235">
        <f>SUM(BM48:BP48)</f>
        <v>14094</v>
      </c>
      <c r="BR48" s="154">
        <f>-(233+16+6-73)</f>
        <v>-182</v>
      </c>
      <c r="BS48" s="154">
        <f>-(39+13+173+9-71)</f>
        <v>-163</v>
      </c>
      <c r="BT48" s="154">
        <f>-(18+18+1+16-136+26)</f>
        <v>57</v>
      </c>
      <c r="BU48" s="154">
        <f>-(481+71+250+4-625+174-136+27-315)-SUM(BR48:BT48)</f>
        <v>357</v>
      </c>
      <c r="BV48" s="235">
        <f>SUM(BR48:BU48)</f>
        <v>69</v>
      </c>
      <c r="BW48" s="154">
        <f>-(23+8)</f>
        <v>-31</v>
      </c>
      <c r="BX48" s="154">
        <f>-(442+294-136)</f>
        <v>-600</v>
      </c>
      <c r="BY48" s="154">
        <f>-(250+145+103+51)</f>
        <v>-549</v>
      </c>
      <c r="BZ48" s="154">
        <f>-(856+594+103+15-2157)-SUM(BW48:BY48)</f>
        <v>1769</v>
      </c>
      <c r="CA48" s="255">
        <f>+SUM(BW48:BZ48)</f>
        <v>589</v>
      </c>
      <c r="CB48" s="154">
        <f>-122+92</f>
        <v>-30</v>
      </c>
      <c r="CC48" s="154">
        <f>-152-329+162</f>
        <v>-319</v>
      </c>
      <c r="CD48" s="154">
        <f>-160+59</f>
        <v>-101</v>
      </c>
      <c r="CE48" s="154">
        <f>-(4123+681+800+329+126-1905)-SUM(CB48:CD48)</f>
        <v>-3704</v>
      </c>
      <c r="CF48" s="255">
        <f>+SUM(CB48:CE48)</f>
        <v>-4154</v>
      </c>
      <c r="CG48" s="154">
        <v>0</v>
      </c>
      <c r="CH48" s="154">
        <v>0</v>
      </c>
      <c r="CI48" s="154">
        <f>166-58</f>
        <v>108</v>
      </c>
      <c r="CJ48" s="154">
        <f>150+205-698-SUM(CG48:CI48)</f>
        <v>-451</v>
      </c>
      <c r="CK48" s="255">
        <f>+SUM(CG48:CJ48)</f>
        <v>-343</v>
      </c>
      <c r="CL48" s="154"/>
      <c r="CM48" s="154"/>
      <c r="CN48" s="154"/>
      <c r="CO48" s="154"/>
      <c r="CP48" s="255">
        <f>+SUM(CL48:CO48)</f>
        <v>0</v>
      </c>
      <c r="CQ48" s="154"/>
      <c r="CR48" s="154"/>
      <c r="CS48" s="154"/>
      <c r="CT48" s="154"/>
      <c r="CU48" s="255">
        <f>+SUM(CQ48:CT48)</f>
        <v>0</v>
      </c>
      <c r="CV48" s="155">
        <v>0</v>
      </c>
      <c r="CW48" s="155">
        <v>0</v>
      </c>
      <c r="CX48" s="155">
        <v>0</v>
      </c>
      <c r="CY48" s="155">
        <v>0</v>
      </c>
      <c r="CZ48" s="255">
        <f>+SUM(CV48:CY48)</f>
        <v>0</v>
      </c>
      <c r="DA48" s="296">
        <v>0</v>
      </c>
      <c r="DB48" s="296">
        <v>0</v>
      </c>
      <c r="DC48" s="296">
        <v>0</v>
      </c>
      <c r="DD48" s="165"/>
      <c r="DE48" s="154"/>
      <c r="DF48" s="255">
        <f>CT48</f>
        <v>0</v>
      </c>
      <c r="DG48" s="255">
        <v>0</v>
      </c>
      <c r="DH48" s="255">
        <f>CO48</f>
        <v>0</v>
      </c>
      <c r="DI48" s="450" t="str">
        <f>IF(ISERROR(DF48/DG48-1),"NM",DF48/DG48-1)</f>
        <v>NM</v>
      </c>
      <c r="DJ48" s="450" t="str">
        <f>IF(ISERROR(DF48/DH48-1),"NM",DF48/DH48-1)</f>
        <v>NM</v>
      </c>
      <c r="DK48" s="154"/>
      <c r="DL48" s="154"/>
      <c r="DM48" s="154"/>
      <c r="DT48" s="828"/>
      <c r="DU48" s="154"/>
      <c r="DV48" s="154"/>
      <c r="DW48" s="154"/>
      <c r="DX48" s="165"/>
      <c r="DY48" s="154"/>
      <c r="DZ48" s="154"/>
      <c r="EA48" s="154"/>
      <c r="EB48" s="154"/>
      <c r="EC48" s="2"/>
      <c r="ED48" s="2"/>
      <c r="EE48" s="165"/>
      <c r="EF48" s="165"/>
      <c r="EG48" s="165"/>
      <c r="EH48" s="167"/>
      <c r="EI48" s="167"/>
      <c r="EJ48" s="2"/>
      <c r="EK48" s="2"/>
      <c r="EL48" s="2"/>
    </row>
    <row r="49" spans="1:142" ht="12" customHeight="1">
      <c r="A49" s="1109">
        <f t="shared" si="0"/>
        <v>44</v>
      </c>
      <c r="B49" s="10"/>
      <c r="C49" s="1" t="s">
        <v>45</v>
      </c>
      <c r="E49" s="296">
        <v>0</v>
      </c>
      <c r="F49" s="296">
        <v>0</v>
      </c>
      <c r="G49" s="296">
        <v>0</v>
      </c>
      <c r="H49" s="296">
        <v>0</v>
      </c>
      <c r="I49" s="296">
        <v>735</v>
      </c>
      <c r="J49" s="154">
        <v>147</v>
      </c>
      <c r="K49" s="154">
        <v>162</v>
      </c>
      <c r="L49" s="154">
        <v>0</v>
      </c>
      <c r="M49" s="154">
        <f>309-SUM(J49:L49)</f>
        <v>0</v>
      </c>
      <c r="N49" s="235">
        <f>SUM(J49:M49)</f>
        <v>309</v>
      </c>
      <c r="O49" s="154">
        <v>0</v>
      </c>
      <c r="P49" s="154">
        <v>0</v>
      </c>
      <c r="Q49" s="154">
        <v>0</v>
      </c>
      <c r="R49" s="154">
        <f>-104-SUM(O49:Q49)</f>
        <v>-104</v>
      </c>
      <c r="S49" s="235">
        <f>SUM(O49:R49)</f>
        <v>-104</v>
      </c>
      <c r="T49" s="154">
        <v>-12</v>
      </c>
      <c r="U49" s="154">
        <v>-40</v>
      </c>
      <c r="V49" s="154">
        <f>-55-27</f>
        <v>-82</v>
      </c>
      <c r="W49" s="154">
        <f>-62-199-SUM(T49:V49)</f>
        <v>-127</v>
      </c>
      <c r="X49" s="235">
        <f>SUM(T49:W49)</f>
        <v>-261</v>
      </c>
      <c r="Y49" s="154">
        <v>-5</v>
      </c>
      <c r="Z49" s="154">
        <v>-9</v>
      </c>
      <c r="AA49" s="154">
        <v>-3</v>
      </c>
      <c r="AB49" s="154">
        <f>-143-SUM(Y49:AA49)</f>
        <v>-126</v>
      </c>
      <c r="AC49" s="235">
        <f>SUM(Y49:AB49)</f>
        <v>-143</v>
      </c>
      <c r="AD49" s="154">
        <v>-7</v>
      </c>
      <c r="AE49" s="154">
        <v>13</v>
      </c>
      <c r="AF49" s="154">
        <v>-193</v>
      </c>
      <c r="AG49" s="154">
        <f>-146-SUM(AD49:AF49)</f>
        <v>41</v>
      </c>
      <c r="AH49" s="235">
        <f>SUM(AD49:AG49)</f>
        <v>-146</v>
      </c>
      <c r="AI49" s="154">
        <v>35</v>
      </c>
      <c r="AJ49" s="154">
        <v>3</v>
      </c>
      <c r="AK49" s="154">
        <v>7</v>
      </c>
      <c r="AL49" s="154">
        <f>47-SUM(AI49:AK49)</f>
        <v>2</v>
      </c>
      <c r="AM49" s="235">
        <f>SUM(AI49:AL49)</f>
        <v>47</v>
      </c>
      <c r="AN49" s="154">
        <v>2</v>
      </c>
      <c r="AO49" s="154">
        <v>6</v>
      </c>
      <c r="AP49" s="154">
        <v>4</v>
      </c>
      <c r="AQ49" s="154">
        <f>16-SUM(AN49:AP49)</f>
        <v>4</v>
      </c>
      <c r="AR49" s="235">
        <f>SUM(AN49:AQ49)</f>
        <v>16</v>
      </c>
      <c r="AS49" s="154">
        <v>3</v>
      </c>
      <c r="AT49" s="154">
        <v>32</v>
      </c>
      <c r="AU49" s="154">
        <v>0</v>
      </c>
      <c r="AV49" s="154">
        <f>41-SUM(AS49:AU49)</f>
        <v>6</v>
      </c>
      <c r="AW49" s="235">
        <f>SUM(AS49:AV49)</f>
        <v>41</v>
      </c>
      <c r="AX49" s="154">
        <v>1</v>
      </c>
      <c r="AY49" s="154">
        <v>8</v>
      </c>
      <c r="AZ49" s="154">
        <v>0</v>
      </c>
      <c r="BA49" s="154">
        <f>9-SUM(AX49:AZ49)</f>
        <v>0</v>
      </c>
      <c r="BB49" s="235">
        <f>SUM(AX49:BA49)</f>
        <v>9</v>
      </c>
      <c r="BC49" s="154">
        <v>0</v>
      </c>
      <c r="BD49" s="154">
        <v>5</v>
      </c>
      <c r="BE49" s="154">
        <v>0</v>
      </c>
      <c r="BF49" s="154">
        <f>5-SUM(BC49:BE49)</f>
        <v>0</v>
      </c>
      <c r="BG49" s="235">
        <f>SUM(BC49:BF49)</f>
        <v>5</v>
      </c>
      <c r="BH49" s="154">
        <v>0</v>
      </c>
      <c r="BI49" s="154">
        <v>0</v>
      </c>
      <c r="BJ49" s="154">
        <v>0</v>
      </c>
      <c r="BK49" s="154">
        <v>0</v>
      </c>
      <c r="BL49" s="235">
        <f>SUM(BH49:BK49)</f>
        <v>0</v>
      </c>
      <c r="BM49" s="154">
        <v>0</v>
      </c>
      <c r="BN49" s="154">
        <v>0</v>
      </c>
      <c r="BO49" s="154">
        <v>0</v>
      </c>
      <c r="BP49" s="154">
        <v>0</v>
      </c>
      <c r="BQ49" s="235">
        <f>SUM(BM49:BP49)</f>
        <v>0</v>
      </c>
      <c r="BR49" s="154">
        <v>0</v>
      </c>
      <c r="BS49" s="154">
        <v>0</v>
      </c>
      <c r="BT49" s="154">
        <v>0</v>
      </c>
      <c r="BU49" s="154">
        <v>0</v>
      </c>
      <c r="BV49" s="235">
        <f>SUM(BR49:BU49)</f>
        <v>0</v>
      </c>
      <c r="BW49" s="154">
        <v>0</v>
      </c>
      <c r="BX49" s="154">
        <v>0</v>
      </c>
      <c r="BY49" s="154">
        <v>0</v>
      </c>
      <c r="BZ49" s="154">
        <f>0-SUM(BW49:BY49)</f>
        <v>0</v>
      </c>
      <c r="CA49" s="255">
        <f>+SUM(BW49:BZ49)</f>
        <v>0</v>
      </c>
      <c r="CB49" s="154">
        <v>0</v>
      </c>
      <c r="CC49" s="154">
        <v>0</v>
      </c>
      <c r="CD49" s="154">
        <v>0</v>
      </c>
      <c r="CE49" s="154">
        <f>0-SUM(CB49:CD49)</f>
        <v>0</v>
      </c>
      <c r="CF49" s="255">
        <f>+SUM(CB49:CE49)</f>
        <v>0</v>
      </c>
      <c r="CG49" s="154">
        <v>0</v>
      </c>
      <c r="CH49" s="154">
        <v>0</v>
      </c>
      <c r="CI49" s="154">
        <v>0</v>
      </c>
      <c r="CJ49" s="154">
        <f>0-SUM(CG49:CI49)</f>
        <v>0</v>
      </c>
      <c r="CK49" s="255">
        <f>+SUM(CG49:CJ49)</f>
        <v>0</v>
      </c>
      <c r="CL49" s="154">
        <v>0</v>
      </c>
      <c r="CM49" s="154">
        <v>0</v>
      </c>
      <c r="CN49" s="154">
        <v>0</v>
      </c>
      <c r="CO49" s="154">
        <f>0-SUM(CL49:CN49)</f>
        <v>0</v>
      </c>
      <c r="CP49" s="255">
        <f>+SUM(CL49:CO49)</f>
        <v>0</v>
      </c>
      <c r="CQ49" s="154">
        <v>0</v>
      </c>
      <c r="CR49" s="154">
        <v>0</v>
      </c>
      <c r="CS49" s="154">
        <v>0</v>
      </c>
      <c r="CT49" s="154">
        <f>0-SUM(CQ49:CS49)</f>
        <v>0</v>
      </c>
      <c r="CU49" s="255">
        <f>+SUM(CQ49:CT49)</f>
        <v>0</v>
      </c>
      <c r="CV49" s="154">
        <v>0</v>
      </c>
      <c r="CW49" s="154">
        <v>0</v>
      </c>
      <c r="CX49" s="154">
        <v>0</v>
      </c>
      <c r="CY49" s="154">
        <v>0</v>
      </c>
      <c r="CZ49" s="255">
        <f>+SUM(CV49:CY49)</f>
        <v>0</v>
      </c>
      <c r="DA49" s="296">
        <v>0</v>
      </c>
      <c r="DB49" s="296">
        <v>0</v>
      </c>
      <c r="DC49" s="296">
        <v>0</v>
      </c>
      <c r="DD49" s="165"/>
      <c r="DE49" s="154"/>
      <c r="DF49" s="255">
        <f>CT49</f>
        <v>0</v>
      </c>
      <c r="DG49" s="255">
        <v>0</v>
      </c>
      <c r="DH49" s="255">
        <f>CO49</f>
        <v>0</v>
      </c>
      <c r="DI49" s="450" t="str">
        <f>IF(ISERROR(DF49/DG49-1),"NM",DF49/DG49-1)</f>
        <v>NM</v>
      </c>
      <c r="DJ49" s="450" t="str">
        <f>IF(ISERROR(DF49/DH49-1),"NM",DF49/DH49-1)</f>
        <v>NM</v>
      </c>
      <c r="DK49" s="154"/>
      <c r="DL49" s="154"/>
      <c r="DM49" s="154"/>
      <c r="DT49" s="828"/>
      <c r="DU49" s="154"/>
      <c r="DV49" s="154"/>
      <c r="DW49" s="154"/>
      <c r="DX49" s="165"/>
      <c r="DY49" s="154"/>
      <c r="DZ49" s="154"/>
      <c r="EA49" s="154"/>
      <c r="EB49" s="154"/>
      <c r="EC49" s="2"/>
      <c r="ED49" s="2"/>
      <c r="EE49" s="165"/>
      <c r="EF49" s="165"/>
      <c r="EG49" s="165"/>
      <c r="EH49" s="167"/>
      <c r="EI49" s="167"/>
      <c r="EJ49" s="2"/>
      <c r="EK49" s="2"/>
      <c r="EL49" s="2"/>
    </row>
    <row r="50" spans="1:142" ht="12" customHeight="1">
      <c r="A50" s="1109">
        <f t="shared" si="0"/>
        <v>45</v>
      </c>
      <c r="B50" s="10"/>
      <c r="C50" s="1" t="s">
        <v>787</v>
      </c>
      <c r="E50" s="296">
        <f>3839-4139</f>
        <v>-300</v>
      </c>
      <c r="F50" s="296">
        <f>4381-4446</f>
        <v>-65</v>
      </c>
      <c r="G50" s="296">
        <f>6866-6920</f>
        <v>-54</v>
      </c>
      <c r="H50" s="296">
        <f>21964-22071</f>
        <v>-107</v>
      </c>
      <c r="I50" s="296">
        <f>7222-7237</f>
        <v>-15</v>
      </c>
      <c r="J50" s="154">
        <f>2075-2079</f>
        <v>-4</v>
      </c>
      <c r="K50" s="154">
        <f>-580-(-577)</f>
        <v>-3</v>
      </c>
      <c r="L50" s="154">
        <f>884-888</f>
        <v>-4</v>
      </c>
      <c r="M50" s="154">
        <f>3452-3467-SUM(J50:L50)</f>
        <v>-4</v>
      </c>
      <c r="N50" s="235">
        <f>SUM(J50:M50)</f>
        <v>-15</v>
      </c>
      <c r="O50" s="154">
        <f>1055-1059</f>
        <v>-4</v>
      </c>
      <c r="P50" s="154">
        <f>-755-(-752)</f>
        <v>-3</v>
      </c>
      <c r="Q50" s="154">
        <f>-696-(-692)</f>
        <v>-4</v>
      </c>
      <c r="R50" s="154">
        <f>-5468-(-5453)-SUM(O50:Q50)</f>
        <v>-4</v>
      </c>
      <c r="S50" s="235">
        <f>SUM(O50:R50)</f>
        <v>-15</v>
      </c>
      <c r="T50" s="154">
        <f>-1098-(-1094)</f>
        <v>-4</v>
      </c>
      <c r="U50" s="154">
        <f>567-570</f>
        <v>-3</v>
      </c>
      <c r="V50" s="154">
        <f>-330-(-326)</f>
        <v>-4</v>
      </c>
      <c r="W50" s="154">
        <f>-995-(-980)-SUM(T50:V50)</f>
        <v>-4</v>
      </c>
      <c r="X50" s="235">
        <f>SUM(T50:W50)</f>
        <v>-15</v>
      </c>
      <c r="Y50" s="154">
        <v>0</v>
      </c>
      <c r="Z50" s="154">
        <v>0</v>
      </c>
      <c r="AA50" s="154">
        <v>0</v>
      </c>
      <c r="AB50" s="154">
        <f>0-SUM(Y50:AA50)</f>
        <v>0</v>
      </c>
      <c r="AC50" s="235">
        <f>SUM(Y50:AB50)</f>
        <v>0</v>
      </c>
      <c r="AD50" s="154">
        <v>0</v>
      </c>
      <c r="AE50" s="154">
        <v>0</v>
      </c>
      <c r="AF50" s="154">
        <v>0</v>
      </c>
      <c r="AG50" s="154">
        <f>0-SUM(AD50:AF50)</f>
        <v>0</v>
      </c>
      <c r="AH50" s="235">
        <f>SUM(AD50:AG50)</f>
        <v>0</v>
      </c>
      <c r="AI50" s="154">
        <v>0</v>
      </c>
      <c r="AJ50" s="154">
        <v>0</v>
      </c>
      <c r="AK50" s="154">
        <v>0</v>
      </c>
      <c r="AL50" s="154">
        <f>0-SUM(AI50:AK50)</f>
        <v>0</v>
      </c>
      <c r="AM50" s="235">
        <f>SUM(AI50:AL50)</f>
        <v>0</v>
      </c>
      <c r="AN50" s="154">
        <v>0</v>
      </c>
      <c r="AO50" s="154">
        <v>0</v>
      </c>
      <c r="AP50" s="154">
        <v>0</v>
      </c>
      <c r="AQ50" s="154">
        <f>0-SUM(AN50:AP50)</f>
        <v>0</v>
      </c>
      <c r="AR50" s="235">
        <f>SUM(AN50:AQ50)</f>
        <v>0</v>
      </c>
      <c r="AS50" s="154">
        <v>0</v>
      </c>
      <c r="AT50" s="154">
        <v>0</v>
      </c>
      <c r="AU50" s="154">
        <v>0</v>
      </c>
      <c r="AV50" s="154">
        <f>0-SUM(AS50:AU50)</f>
        <v>0</v>
      </c>
      <c r="AW50" s="235">
        <f>SUM(AS50:AV50)</f>
        <v>0</v>
      </c>
      <c r="AX50" s="154">
        <v>0</v>
      </c>
      <c r="AY50" s="154">
        <v>0</v>
      </c>
      <c r="AZ50" s="154">
        <v>0</v>
      </c>
      <c r="BA50" s="154">
        <f>0-SUM(AX50:AZ50)</f>
        <v>0</v>
      </c>
      <c r="BB50" s="235">
        <f>SUM(AX50:BA50)</f>
        <v>0</v>
      </c>
      <c r="BC50" s="154">
        <v>0</v>
      </c>
      <c r="BD50" s="154">
        <v>0</v>
      </c>
      <c r="BE50" s="154">
        <v>0</v>
      </c>
      <c r="BF50" s="154">
        <f>0-SUM(BC50:BE50)</f>
        <v>0</v>
      </c>
      <c r="BG50" s="235">
        <f>SUM(BC50:BF50)</f>
        <v>0</v>
      </c>
      <c r="BH50" s="154">
        <v>0</v>
      </c>
      <c r="BI50" s="154">
        <v>0</v>
      </c>
      <c r="BJ50" s="154">
        <v>0</v>
      </c>
      <c r="BK50" s="154">
        <f>0-SUM(BH50:BJ50)</f>
        <v>0</v>
      </c>
      <c r="BL50" s="235">
        <f>SUM(BH50:BK50)</f>
        <v>0</v>
      </c>
      <c r="BM50" s="154">
        <v>0</v>
      </c>
      <c r="BN50" s="154">
        <v>0</v>
      </c>
      <c r="BO50" s="154">
        <v>0</v>
      </c>
      <c r="BP50" s="154">
        <f>0-SUM(BM50:BO50)</f>
        <v>0</v>
      </c>
      <c r="BQ50" s="235">
        <f>SUM(BM50:BP50)</f>
        <v>0</v>
      </c>
      <c r="BR50" s="154">
        <v>0</v>
      </c>
      <c r="BS50" s="154">
        <v>0</v>
      </c>
      <c r="BT50" s="154">
        <v>0</v>
      </c>
      <c r="BU50" s="154">
        <f>0-SUM(BR50:BT50)</f>
        <v>0</v>
      </c>
      <c r="BV50" s="235">
        <f>SUM(BR50:BU50)</f>
        <v>0</v>
      </c>
      <c r="BW50" s="154">
        <v>0</v>
      </c>
      <c r="BX50" s="154">
        <v>0</v>
      </c>
      <c r="BY50" s="154">
        <v>0</v>
      </c>
      <c r="BZ50" s="154">
        <f>0-SUM(BW50:BY50)</f>
        <v>0</v>
      </c>
      <c r="CA50" s="235">
        <f>SUM(BW50:BZ50)</f>
        <v>0</v>
      </c>
      <c r="CB50" s="154">
        <v>0</v>
      </c>
      <c r="CC50" s="154">
        <v>0</v>
      </c>
      <c r="CD50" s="154">
        <v>0</v>
      </c>
      <c r="CE50" s="154">
        <f>0-SUM(CB50:CD50)</f>
        <v>0</v>
      </c>
      <c r="CF50" s="235">
        <f>SUM(CB50:CE50)</f>
        <v>0</v>
      </c>
      <c r="CG50" s="154">
        <v>0</v>
      </c>
      <c r="CH50" s="154">
        <v>0</v>
      </c>
      <c r="CI50" s="154">
        <v>0</v>
      </c>
      <c r="CJ50" s="154">
        <f>0-SUM(CG50:CI50)</f>
        <v>0</v>
      </c>
      <c r="CK50" s="235">
        <f>SUM(CG50:CJ50)</f>
        <v>0</v>
      </c>
      <c r="CL50" s="154">
        <v>0</v>
      </c>
      <c r="CM50" s="154">
        <v>0</v>
      </c>
      <c r="CN50" s="154">
        <v>0</v>
      </c>
      <c r="CO50" s="154">
        <f>0-SUM(CL50:CN50)</f>
        <v>0</v>
      </c>
      <c r="CP50" s="235">
        <f>SUM(CL50:CO50)</f>
        <v>0</v>
      </c>
      <c r="CQ50" s="154">
        <v>0</v>
      </c>
      <c r="CR50" s="154">
        <v>0</v>
      </c>
      <c r="CS50" s="154">
        <v>0</v>
      </c>
      <c r="CT50" s="154">
        <f>0-SUM(CQ50:CS50)</f>
        <v>0</v>
      </c>
      <c r="CU50" s="235">
        <f>SUM(CQ50:CT50)</f>
        <v>0</v>
      </c>
      <c r="CV50" s="154">
        <v>0</v>
      </c>
      <c r="CW50" s="154">
        <v>0</v>
      </c>
      <c r="CX50" s="154">
        <v>0</v>
      </c>
      <c r="CY50" s="154">
        <v>0</v>
      </c>
      <c r="CZ50" s="235">
        <f>SUM(CV50:CY50)</f>
        <v>0</v>
      </c>
      <c r="DA50" s="296">
        <v>0</v>
      </c>
      <c r="DB50" s="296">
        <v>0</v>
      </c>
      <c r="DC50" s="296">
        <v>0</v>
      </c>
      <c r="DD50" s="165"/>
      <c r="DE50" s="154"/>
      <c r="DF50" s="235">
        <f>CT50</f>
        <v>0</v>
      </c>
      <c r="DG50" s="235">
        <v>0</v>
      </c>
      <c r="DH50" s="235">
        <f>CO50</f>
        <v>0</v>
      </c>
      <c r="DI50" s="454" t="str">
        <f>IF(ISERROR(DF50/DG50-1),"NM",DF50/DG50-1)</f>
        <v>NM</v>
      </c>
      <c r="DJ50" s="454" t="str">
        <f>IF(ISERROR(DF50/DH50-1),"NM",DF50/DH50-1)</f>
        <v>NM</v>
      </c>
      <c r="DK50" s="154"/>
      <c r="DL50" s="154"/>
      <c r="DM50" s="154"/>
      <c r="DT50" s="828"/>
      <c r="DU50" s="154"/>
      <c r="DV50" s="154"/>
      <c r="DW50" s="154"/>
      <c r="DX50" s="165"/>
      <c r="DY50" s="154"/>
      <c r="DZ50" s="154"/>
      <c r="EA50" s="154"/>
      <c r="EB50" s="154"/>
      <c r="EC50" s="2"/>
      <c r="ED50" s="2"/>
      <c r="EE50" s="165"/>
      <c r="EF50" s="165"/>
      <c r="EG50" s="165"/>
      <c r="EH50" s="167"/>
      <c r="EI50" s="167"/>
      <c r="EJ50" s="2"/>
      <c r="EK50" s="2"/>
      <c r="EL50" s="2"/>
    </row>
    <row r="51" spans="1:142" ht="12" customHeight="1">
      <c r="A51" s="1109">
        <f>A50+1</f>
        <v>46</v>
      </c>
      <c r="B51" s="10"/>
      <c r="C51" s="6" t="s">
        <v>786</v>
      </c>
      <c r="D51" s="6"/>
      <c r="E51" s="304">
        <f t="shared" ref="E51:AJ51" si="62">E46+E48+E49+E50</f>
        <v>3839</v>
      </c>
      <c r="F51" s="304">
        <f t="shared" si="62"/>
        <v>4381</v>
      </c>
      <c r="G51" s="304">
        <f t="shared" si="62"/>
        <v>6866</v>
      </c>
      <c r="H51" s="304">
        <f t="shared" si="62"/>
        <v>21964</v>
      </c>
      <c r="I51" s="304">
        <f t="shared" si="62"/>
        <v>7222</v>
      </c>
      <c r="J51" s="172">
        <f t="shared" si="62"/>
        <v>2075</v>
      </c>
      <c r="K51" s="172">
        <f t="shared" si="62"/>
        <v>-580</v>
      </c>
      <c r="L51" s="172">
        <f t="shared" si="62"/>
        <v>884</v>
      </c>
      <c r="M51" s="172">
        <f t="shared" si="62"/>
        <v>1073</v>
      </c>
      <c r="N51" s="304">
        <f t="shared" si="62"/>
        <v>3452</v>
      </c>
      <c r="O51" s="172">
        <f t="shared" si="62"/>
        <v>1055</v>
      </c>
      <c r="P51" s="172">
        <f t="shared" si="62"/>
        <v>-755</v>
      </c>
      <c r="Q51" s="172">
        <f t="shared" si="62"/>
        <v>-696</v>
      </c>
      <c r="R51" s="172">
        <f t="shared" si="62"/>
        <v>-5072</v>
      </c>
      <c r="S51" s="304">
        <f t="shared" si="62"/>
        <v>-5468</v>
      </c>
      <c r="T51" s="172">
        <f t="shared" si="62"/>
        <v>-1098</v>
      </c>
      <c r="U51" s="172">
        <f t="shared" si="62"/>
        <v>567</v>
      </c>
      <c r="V51" s="172">
        <f t="shared" si="62"/>
        <v>-330</v>
      </c>
      <c r="W51" s="172">
        <f t="shared" si="62"/>
        <v>-134</v>
      </c>
      <c r="X51" s="304">
        <f t="shared" si="62"/>
        <v>-995</v>
      </c>
      <c r="Y51" s="172">
        <f t="shared" si="62"/>
        <v>896</v>
      </c>
      <c r="Z51" s="172">
        <f t="shared" si="62"/>
        <v>417</v>
      </c>
      <c r="AA51" s="172">
        <f t="shared" si="62"/>
        <v>-25</v>
      </c>
      <c r="AB51" s="172">
        <f t="shared" si="62"/>
        <v>-793</v>
      </c>
      <c r="AC51" s="304">
        <f t="shared" si="62"/>
        <v>495</v>
      </c>
      <c r="AD51" s="172">
        <f t="shared" si="62"/>
        <v>1952</v>
      </c>
      <c r="AE51" s="172">
        <f t="shared" si="62"/>
        <v>1165</v>
      </c>
      <c r="AF51" s="172">
        <f t="shared" si="62"/>
        <v>266</v>
      </c>
      <c r="AG51" s="172">
        <f t="shared" si="62"/>
        <v>-345</v>
      </c>
      <c r="AH51" s="304">
        <f t="shared" si="62"/>
        <v>3038</v>
      </c>
      <c r="AI51" s="172">
        <f t="shared" si="62"/>
        <v>1212</v>
      </c>
      <c r="AJ51" s="172">
        <f t="shared" si="62"/>
        <v>1215</v>
      </c>
      <c r="AK51" s="172">
        <f t="shared" ref="AK51:BP51" si="63">AK46+AK48+AK49+AK50</f>
        <v>-576</v>
      </c>
      <c r="AL51" s="172">
        <f t="shared" si="63"/>
        <v>-411</v>
      </c>
      <c r="AM51" s="304">
        <f t="shared" si="63"/>
        <v>1440</v>
      </c>
      <c r="AN51" s="172">
        <f t="shared" si="63"/>
        <v>-1423</v>
      </c>
      <c r="AO51" s="172">
        <f t="shared" si="63"/>
        <v>-317</v>
      </c>
      <c r="AP51" s="172">
        <f t="shared" si="63"/>
        <v>-5248</v>
      </c>
      <c r="AQ51" s="172">
        <f t="shared" si="63"/>
        <v>-5625</v>
      </c>
      <c r="AR51" s="304">
        <f t="shared" si="63"/>
        <v>-12613</v>
      </c>
      <c r="AS51" s="172">
        <f t="shared" si="63"/>
        <v>-282</v>
      </c>
      <c r="AT51" s="172">
        <f t="shared" si="63"/>
        <v>750</v>
      </c>
      <c r="AU51" s="172">
        <f t="shared" si="63"/>
        <v>-380</v>
      </c>
      <c r="AV51" s="172">
        <f t="shared" si="63"/>
        <v>-2811</v>
      </c>
      <c r="AW51" s="304">
        <f t="shared" si="63"/>
        <v>-2723</v>
      </c>
      <c r="AX51" s="172">
        <f t="shared" si="63"/>
        <v>70</v>
      </c>
      <c r="AY51" s="172">
        <f t="shared" si="63"/>
        <v>-8697</v>
      </c>
      <c r="AZ51" s="172">
        <f t="shared" si="63"/>
        <v>-161</v>
      </c>
      <c r="BA51" s="172">
        <f t="shared" si="63"/>
        <v>-5978</v>
      </c>
      <c r="BB51" s="304">
        <f t="shared" si="63"/>
        <v>-14766</v>
      </c>
      <c r="BC51" s="172">
        <f t="shared" si="63"/>
        <v>-1427</v>
      </c>
      <c r="BD51" s="172">
        <f t="shared" si="63"/>
        <v>2261</v>
      </c>
      <c r="BE51" s="172">
        <f t="shared" si="63"/>
        <v>997</v>
      </c>
      <c r="BF51" s="172">
        <f t="shared" si="63"/>
        <v>886</v>
      </c>
      <c r="BG51" s="304">
        <f t="shared" si="63"/>
        <v>2717</v>
      </c>
      <c r="BH51" s="172">
        <f t="shared" si="63"/>
        <v>2085</v>
      </c>
      <c r="BI51" s="172">
        <f t="shared" si="63"/>
        <v>2599</v>
      </c>
      <c r="BJ51" s="172">
        <f t="shared" si="63"/>
        <v>1687</v>
      </c>
      <c r="BK51" s="172">
        <f t="shared" si="63"/>
        <v>190</v>
      </c>
      <c r="BL51" s="304">
        <f t="shared" si="63"/>
        <v>6561</v>
      </c>
      <c r="BM51" s="172">
        <f t="shared" si="63"/>
        <v>2222</v>
      </c>
      <c r="BN51" s="172">
        <f t="shared" si="63"/>
        <v>2009</v>
      </c>
      <c r="BO51" s="172">
        <f t="shared" si="63"/>
        <v>1267</v>
      </c>
      <c r="BP51" s="172">
        <f t="shared" si="63"/>
        <v>13331</v>
      </c>
      <c r="BQ51" s="304">
        <f t="shared" ref="BQ51:CK51" si="64">BQ46+BQ48+BQ49+BQ50</f>
        <v>18829</v>
      </c>
      <c r="BR51" s="172">
        <f t="shared" si="64"/>
        <v>990</v>
      </c>
      <c r="BS51" s="172">
        <f t="shared" si="64"/>
        <v>658</v>
      </c>
      <c r="BT51" s="172">
        <f t="shared" si="64"/>
        <v>1090</v>
      </c>
      <c r="BU51" s="172">
        <f t="shared" si="64"/>
        <v>931</v>
      </c>
      <c r="BV51" s="304">
        <f t="shared" si="64"/>
        <v>3669</v>
      </c>
      <c r="BW51" s="172">
        <f t="shared" si="64"/>
        <v>1041</v>
      </c>
      <c r="BX51" s="172">
        <f t="shared" si="64"/>
        <v>645</v>
      </c>
      <c r="BY51" s="172">
        <f t="shared" si="64"/>
        <v>576</v>
      </c>
      <c r="BZ51" s="172">
        <f t="shared" si="64"/>
        <v>2411</v>
      </c>
      <c r="CA51" s="304">
        <f t="shared" si="64"/>
        <v>4673</v>
      </c>
      <c r="CB51" s="172">
        <f t="shared" si="64"/>
        <v>288</v>
      </c>
      <c r="CC51" s="172">
        <f t="shared" si="64"/>
        <v>558</v>
      </c>
      <c r="CD51" s="172">
        <f t="shared" si="64"/>
        <v>102</v>
      </c>
      <c r="CE51" s="172">
        <f t="shared" si="64"/>
        <v>-2671</v>
      </c>
      <c r="CF51" s="304">
        <f t="shared" si="64"/>
        <v>-1723</v>
      </c>
      <c r="CG51" s="172">
        <f t="shared" si="64"/>
        <v>452</v>
      </c>
      <c r="CH51" s="172">
        <f t="shared" si="64"/>
        <v>1332</v>
      </c>
      <c r="CI51" s="172">
        <f t="shared" si="64"/>
        <v>1501</v>
      </c>
      <c r="CJ51" s="172">
        <f t="shared" si="64"/>
        <v>860</v>
      </c>
      <c r="CK51" s="304">
        <f t="shared" si="64"/>
        <v>5247.1087595212175</v>
      </c>
      <c r="CL51" s="172">
        <f t="shared" ref="CL51:CQ51" si="65">CL46+CL48+CL49</f>
        <v>2452</v>
      </c>
      <c r="CM51" s="172">
        <f t="shared" si="65"/>
        <v>1970</v>
      </c>
      <c r="CN51" s="172">
        <f t="shared" si="65"/>
        <v>957</v>
      </c>
      <c r="CO51" s="172">
        <f t="shared" si="65"/>
        <v>-783</v>
      </c>
      <c r="CP51" s="304">
        <f t="shared" si="65"/>
        <v>4596</v>
      </c>
      <c r="CQ51" s="172">
        <f t="shared" si="65"/>
        <v>1587</v>
      </c>
      <c r="CR51" s="179">
        <f>CR46+CR48+CR49+CR50</f>
        <v>2042</v>
      </c>
      <c r="CS51" s="179">
        <f>CS46+CS48+CS49+CS50</f>
        <v>1564</v>
      </c>
      <c r="CT51" s="172">
        <f>CT46+CT48+CT49+CT50</f>
        <v>2409</v>
      </c>
      <c r="CU51" s="304">
        <f>CU46+CU48+CU49</f>
        <v>7602</v>
      </c>
      <c r="CV51" s="172">
        <f>CV46+CV48+CV49+CV50</f>
        <v>1495.9449481454617</v>
      </c>
      <c r="CW51" s="172">
        <f>CW46+CW48+CW49+CW50</f>
        <v>1770.6762732594282</v>
      </c>
      <c r="CX51" s="172">
        <f>CX46+CX48+CX49+CX50</f>
        <v>1332.7609054600082</v>
      </c>
      <c r="CY51" s="172">
        <f>CY46+CY48+CY49+CY50</f>
        <v>1185.7425206692913</v>
      </c>
      <c r="CZ51" s="304">
        <f>CZ46+CZ48+CZ49</f>
        <v>5785.1246475341895</v>
      </c>
      <c r="DA51" s="309">
        <f>DA46+DA48+DA49+DA50</f>
        <v>5041.1357342362689</v>
      </c>
      <c r="DB51" s="309">
        <f>DB46+DB48+DB49+DB50</f>
        <v>5314.6262016108658</v>
      </c>
      <c r="DC51" s="309">
        <f>DC46+DC48+DC49+DC50</f>
        <v>5697.6470110418668</v>
      </c>
      <c r="DD51" s="165"/>
      <c r="DE51" s="172"/>
      <c r="DF51" s="304">
        <f>CT51</f>
        <v>2409</v>
      </c>
      <c r="DG51" s="304">
        <v>1746.5822422420019</v>
      </c>
      <c r="DH51" s="304">
        <f>CO51</f>
        <v>-783</v>
      </c>
      <c r="DI51" s="451">
        <f>IF(ISERROR(DF51/DG51-1),"NM",DF51/DG51-1)</f>
        <v>0.37926513950335661</v>
      </c>
      <c r="DJ51" s="451">
        <f>IF(ISERROR(DF51/DH51-1),"NM",DF51/DH51-1)</f>
        <v>-4.0766283524904221</v>
      </c>
      <c r="DK51" s="172"/>
      <c r="DL51" s="172"/>
      <c r="DM51" s="172"/>
      <c r="DT51" s="834"/>
      <c r="DU51" s="172"/>
      <c r="DV51" s="180"/>
      <c r="DW51" s="180"/>
      <c r="DX51" s="173"/>
      <c r="DY51" s="173"/>
      <c r="DZ51" s="173"/>
      <c r="EA51" s="173"/>
      <c r="EB51" s="173"/>
      <c r="EC51" s="2"/>
      <c r="ED51" s="2"/>
      <c r="EE51" s="173"/>
      <c r="EF51" s="173"/>
      <c r="EG51" s="173"/>
      <c r="EH51" s="174"/>
      <c r="EI51" s="174"/>
      <c r="EJ51" s="2"/>
      <c r="EK51" s="2"/>
      <c r="EL51" s="2"/>
    </row>
    <row r="52" spans="1:142" ht="12" customHeight="1">
      <c r="A52" s="1109">
        <f>A51+1</f>
        <v>47</v>
      </c>
      <c r="B52" s="10"/>
      <c r="E52" s="64"/>
      <c r="F52" s="64"/>
      <c r="G52" s="64"/>
      <c r="H52" s="64"/>
      <c r="I52" s="64"/>
      <c r="J52" s="2"/>
      <c r="K52" s="2"/>
      <c r="L52" s="2"/>
      <c r="M52" s="2"/>
      <c r="N52" s="62"/>
      <c r="O52" s="2"/>
      <c r="P52" s="2"/>
      <c r="Q52" s="2"/>
      <c r="R52" s="2"/>
      <c r="S52" s="62"/>
      <c r="T52" s="2"/>
      <c r="U52" s="2"/>
      <c r="V52" s="2"/>
      <c r="W52" s="2"/>
      <c r="X52" s="62"/>
      <c r="Y52" s="2"/>
      <c r="Z52" s="2"/>
      <c r="AA52" s="2"/>
      <c r="AB52" s="2"/>
      <c r="AC52" s="62"/>
      <c r="AD52" s="2"/>
      <c r="AE52" s="2"/>
      <c r="AF52" s="2"/>
      <c r="AG52" s="2"/>
      <c r="AH52" s="62"/>
      <c r="AM52" s="64"/>
      <c r="AR52" s="64"/>
      <c r="AS52" s="2"/>
      <c r="AW52" s="64"/>
      <c r="BA52" s="2"/>
      <c r="BB52" s="64"/>
      <c r="BF52" s="2"/>
      <c r="BG52" s="62"/>
      <c r="BL52" s="64"/>
      <c r="BQ52" s="64"/>
      <c r="BV52" s="64"/>
      <c r="BZ52" s="2"/>
      <c r="CA52" s="62"/>
      <c r="CE52" s="2"/>
      <c r="CF52" s="64"/>
      <c r="CK52" s="64"/>
      <c r="CP52" s="64"/>
      <c r="CS52" s="191"/>
      <c r="CT52" s="2"/>
      <c r="CU52" s="64"/>
      <c r="CZ52" s="64"/>
      <c r="DA52" s="64"/>
      <c r="DB52" s="64"/>
      <c r="DC52" s="64"/>
      <c r="DD52" s="165"/>
      <c r="DE52" s="2"/>
      <c r="DF52" s="64"/>
      <c r="DG52" s="64"/>
      <c r="DH52" s="64"/>
      <c r="DI52" s="455"/>
      <c r="DJ52" s="455"/>
      <c r="DK52" s="2"/>
      <c r="DL52" s="2"/>
      <c r="DM52" s="2"/>
      <c r="DT52" s="831"/>
      <c r="DU52" s="2"/>
      <c r="DV52" s="2"/>
      <c r="DW52" s="2"/>
      <c r="DX52" s="22"/>
      <c r="DY52" s="22"/>
      <c r="DZ52" s="22"/>
      <c r="EA52" s="22"/>
      <c r="EB52" s="22"/>
      <c r="EC52" s="22"/>
      <c r="ED52" s="22"/>
      <c r="EE52" s="2"/>
      <c r="EF52" s="2"/>
      <c r="EG52" s="2"/>
      <c r="EH52" s="174"/>
      <c r="EI52" s="174"/>
      <c r="EJ52" s="2"/>
      <c r="EK52" s="2"/>
      <c r="EL52" s="2"/>
    </row>
    <row r="53" spans="1:142" ht="12" customHeight="1">
      <c r="A53" s="1109">
        <f t="shared" si="0"/>
        <v>48</v>
      </c>
      <c r="B53" s="10"/>
      <c r="C53" s="1" t="s">
        <v>245</v>
      </c>
      <c r="E53" s="311">
        <v>1025</v>
      </c>
      <c r="F53" s="311">
        <v>1175</v>
      </c>
      <c r="G53" s="311">
        <v>1194</v>
      </c>
      <c r="H53" s="311">
        <v>1209</v>
      </c>
      <c r="I53" s="311">
        <v>1206</v>
      </c>
      <c r="J53" s="181">
        <v>1199</v>
      </c>
      <c r="K53" s="181">
        <v>1196</v>
      </c>
      <c r="L53" s="181">
        <v>1807</v>
      </c>
      <c r="M53" s="181">
        <f>M46/0.58</f>
        <v>1856.8965517241381</v>
      </c>
      <c r="N53" s="311">
        <v>1474</v>
      </c>
      <c r="O53" s="181">
        <v>1828</v>
      </c>
      <c r="P53" s="181">
        <v>1811</v>
      </c>
      <c r="Q53" s="181">
        <v>1807</v>
      </c>
      <c r="R53" s="181">
        <f>R46/-2.79</f>
        <v>1779.2114695340501</v>
      </c>
      <c r="S53" s="311">
        <v>1811</v>
      </c>
      <c r="T53" s="181">
        <v>1806</v>
      </c>
      <c r="U53" s="181">
        <v>1812</v>
      </c>
      <c r="V53" s="181">
        <v>1821</v>
      </c>
      <c r="W53" s="181">
        <f>W46/-0.01</f>
        <v>1200</v>
      </c>
      <c r="X53" s="311">
        <v>1818</v>
      </c>
      <c r="Y53" s="181">
        <v>1830</v>
      </c>
      <c r="Z53" s="181">
        <v>1830</v>
      </c>
      <c r="AA53" s="181">
        <v>1825</v>
      </c>
      <c r="AB53" s="181">
        <f>AB46/-0.36</f>
        <v>1852.7777777777778</v>
      </c>
      <c r="AC53" s="311">
        <v>1830</v>
      </c>
      <c r="AD53" s="181">
        <v>1828</v>
      </c>
      <c r="AE53" s="181">
        <v>1827</v>
      </c>
      <c r="AF53" s="181">
        <v>1825</v>
      </c>
      <c r="AG53" s="181">
        <f>AG46/-0.04</f>
        <v>9650</v>
      </c>
      <c r="AH53" s="311">
        <v>1826</v>
      </c>
      <c r="AI53" s="181">
        <v>1827</v>
      </c>
      <c r="AJ53" s="181">
        <v>1839</v>
      </c>
      <c r="AK53" s="181">
        <v>1851</v>
      </c>
      <c r="AL53" s="181">
        <f>AL46/-0.09</f>
        <v>1800</v>
      </c>
      <c r="AM53" s="311">
        <v>1843</v>
      </c>
      <c r="AN53" s="181">
        <v>1863</v>
      </c>
      <c r="AO53" s="181">
        <v>1875</v>
      </c>
      <c r="AP53" s="181">
        <v>1882</v>
      </c>
      <c r="AQ53" s="181">
        <f>AQ46/-2.98</f>
        <v>1888.9261744966443</v>
      </c>
      <c r="AR53" s="311">
        <v>1877</v>
      </c>
      <c r="AS53" s="181">
        <v>1892</v>
      </c>
      <c r="AT53" s="181">
        <v>1895</v>
      </c>
      <c r="AU53" s="181">
        <v>2003</v>
      </c>
      <c r="AV53" s="181">
        <f>AV51/-1.33</f>
        <v>2113.5338345864661</v>
      </c>
      <c r="AW53" s="311">
        <v>1979</v>
      </c>
      <c r="AX53" s="181">
        <v>2188</v>
      </c>
      <c r="AY53" s="181">
        <v>2237</v>
      </c>
      <c r="AZ53" s="181">
        <v>2279</v>
      </c>
      <c r="BA53" s="181">
        <f>BA51/-2.51</f>
        <v>2381.6733067729087</v>
      </c>
      <c r="BB53" s="311">
        <v>2273</v>
      </c>
      <c r="BC53" s="181">
        <v>2397</v>
      </c>
      <c r="BD53" s="181">
        <v>3001</v>
      </c>
      <c r="BE53" s="181">
        <v>3259</v>
      </c>
      <c r="BF53" s="181">
        <f>BF51/0.27</f>
        <v>3281.4814814814813</v>
      </c>
      <c r="BG53" s="311">
        <v>2991</v>
      </c>
      <c r="BH53" s="181">
        <v>3365</v>
      </c>
      <c r="BI53" s="181">
        <v>3411</v>
      </c>
      <c r="BJ53" s="181">
        <v>3446</v>
      </c>
      <c r="BK53" s="181">
        <v>3573</v>
      </c>
      <c r="BL53" s="311">
        <v>3449</v>
      </c>
      <c r="BM53" s="181">
        <v>3771</v>
      </c>
      <c r="BN53" s="181">
        <v>3799</v>
      </c>
      <c r="BO53" s="181">
        <v>3800</v>
      </c>
      <c r="BP53" s="181">
        <v>3800</v>
      </c>
      <c r="BQ53" s="311">
        <v>3793</v>
      </c>
      <c r="BR53" s="181">
        <v>3803</v>
      </c>
      <c r="BS53" s="181">
        <v>3815</v>
      </c>
      <c r="BT53" s="181">
        <v>3814</v>
      </c>
      <c r="BU53" s="181">
        <v>3830</v>
      </c>
      <c r="BV53" s="311">
        <v>3815</v>
      </c>
      <c r="BW53" s="181">
        <v>3923</v>
      </c>
      <c r="BX53" s="181">
        <v>3933</v>
      </c>
      <c r="BY53" s="181">
        <v>3942</v>
      </c>
      <c r="BZ53" s="181">
        <v>3944</v>
      </c>
      <c r="CA53" s="296">
        <v>3935</v>
      </c>
      <c r="CB53" s="154">
        <v>3946</v>
      </c>
      <c r="CC53" s="154">
        <v>3940</v>
      </c>
      <c r="CD53" s="154">
        <v>3861</v>
      </c>
      <c r="CE53" s="154">
        <v>3901</v>
      </c>
      <c r="CF53" s="235">
        <f>AVERAGE(CB53:CE53)</f>
        <v>3912</v>
      </c>
      <c r="CG53" s="154">
        <v>3963</v>
      </c>
      <c r="CH53" s="154">
        <v>3974</v>
      </c>
      <c r="CI53" s="154">
        <v>3969</v>
      </c>
      <c r="CJ53" s="154">
        <v>3969</v>
      </c>
      <c r="CK53" s="235">
        <f>AVERAGE(CG53:CJ53)</f>
        <v>3968.75</v>
      </c>
      <c r="CL53" s="154">
        <v>3970</v>
      </c>
      <c r="CM53" s="154">
        <v>3973</v>
      </c>
      <c r="CN53" s="154">
        <v>3974</v>
      </c>
      <c r="CO53" s="154">
        <v>3974</v>
      </c>
      <c r="CP53" s="235">
        <f>AVERAGE(CL53:CO53)</f>
        <v>3972.75</v>
      </c>
      <c r="CQ53" s="154">
        <v>3976</v>
      </c>
      <c r="CR53" s="154">
        <v>3977</v>
      </c>
      <c r="CS53" s="154">
        <v>3972</v>
      </c>
      <c r="CT53" s="154">
        <v>3973</v>
      </c>
      <c r="CU53" s="235">
        <f>AVERAGE(CQ53:CT53)</f>
        <v>3974.5</v>
      </c>
      <c r="CV53" s="155">
        <f>AVERAGE(CV218,CU218)</f>
        <v>3981.9863070000001</v>
      </c>
      <c r="CW53" s="155">
        <f>AVERAGE(CW218,CV218)</f>
        <v>3981.9863070000001</v>
      </c>
      <c r="CX53" s="155">
        <f>AVERAGE(CX218,CW218)</f>
        <v>3981.9863070000001</v>
      </c>
      <c r="CY53" s="155">
        <f>AVERAGE(CY218,CX218)</f>
        <v>3981.9863070000001</v>
      </c>
      <c r="CZ53" s="235">
        <f>AVERAGE(CV53:CY53)</f>
        <v>3981.9863070000001</v>
      </c>
      <c r="DA53" s="255">
        <f>AVERAGE(DA218,CZ218)</f>
        <v>3981.9863070000001</v>
      </c>
      <c r="DB53" s="255">
        <f>AVERAGE(DB218,DA218)</f>
        <v>3981.9863070000001</v>
      </c>
      <c r="DC53" s="255">
        <f>AVERAGE(DC218,DB218)</f>
        <v>3981.9863070000001</v>
      </c>
      <c r="DD53" s="165"/>
      <c r="DE53" s="181"/>
      <c r="DF53" s="259">
        <f>CT53</f>
        <v>3973</v>
      </c>
      <c r="DG53" s="259">
        <v>3981.9863070000001</v>
      </c>
      <c r="DH53" s="259">
        <f>CO53</f>
        <v>3974</v>
      </c>
      <c r="DI53" s="454">
        <f>IF(ISERROR(DF53/DG53-1),"NM",DF53/DG53-1)</f>
        <v>-2.2567398045048037E-3</v>
      </c>
      <c r="DJ53" s="454">
        <f>IF(ISERROR(DF53/DH53-1),"NM",DF53/DH53-1)</f>
        <v>-2.5163563160546243E-4</v>
      </c>
      <c r="DK53" s="181"/>
      <c r="DL53" s="181"/>
      <c r="DM53" s="148"/>
      <c r="DT53" s="828"/>
      <c r="DU53" s="181"/>
      <c r="DV53" s="181"/>
      <c r="DW53" s="181"/>
      <c r="DX53" s="148"/>
      <c r="DY53" s="148"/>
      <c r="DZ53" s="148"/>
      <c r="EA53" s="148"/>
      <c r="EB53" s="148"/>
      <c r="EC53" s="2"/>
      <c r="ED53" s="3"/>
      <c r="EE53" s="148"/>
      <c r="EF53" s="148"/>
      <c r="EG53" s="165"/>
      <c r="EH53" s="167"/>
      <c r="EI53" s="167"/>
      <c r="EJ53" s="2"/>
      <c r="EK53" s="2"/>
      <c r="EL53" s="2"/>
    </row>
    <row r="54" spans="1:142" ht="12" customHeight="1">
      <c r="A54" s="1109">
        <f t="shared" si="0"/>
        <v>49</v>
      </c>
      <c r="B54" s="10"/>
      <c r="C54" s="1" t="s">
        <v>246</v>
      </c>
      <c r="E54" s="311">
        <v>1175</v>
      </c>
      <c r="F54" s="311">
        <v>1210</v>
      </c>
      <c r="G54" s="311">
        <v>1224</v>
      </c>
      <c r="H54" s="311">
        <v>1237</v>
      </c>
      <c r="I54" s="311">
        <v>1233</v>
      </c>
      <c r="J54" s="181">
        <v>1222</v>
      </c>
      <c r="K54" s="181">
        <v>1222</v>
      </c>
      <c r="L54" s="181">
        <v>1806</v>
      </c>
      <c r="M54" s="181">
        <f>M46/0.57</f>
        <v>1889.4736842105265</v>
      </c>
      <c r="N54" s="311">
        <v>1504</v>
      </c>
      <c r="O54" s="181">
        <v>1868</v>
      </c>
      <c r="P54" s="181">
        <v>1810</v>
      </c>
      <c r="Q54" s="181">
        <v>1806</v>
      </c>
      <c r="R54" s="181">
        <f>R46/-2.79</f>
        <v>1779.2114695340501</v>
      </c>
      <c r="S54" s="311">
        <v>1810</v>
      </c>
      <c r="T54" s="181">
        <v>1805</v>
      </c>
      <c r="U54" s="181">
        <v>2112</v>
      </c>
      <c r="V54" s="181">
        <v>1820</v>
      </c>
      <c r="W54" s="181">
        <f>W46/-0.01</f>
        <v>1200</v>
      </c>
      <c r="X54" s="311">
        <v>1829</v>
      </c>
      <c r="Y54" s="181">
        <v>2117</v>
      </c>
      <c r="Z54" s="181">
        <v>2124</v>
      </c>
      <c r="AA54" s="181">
        <v>2126</v>
      </c>
      <c r="AB54" s="181">
        <f>AB46/-0.36</f>
        <v>1852.7777777777778</v>
      </c>
      <c r="AC54" s="311">
        <v>1843</v>
      </c>
      <c r="AD54" s="181">
        <v>2124</v>
      </c>
      <c r="AE54" s="181">
        <v>2126</v>
      </c>
      <c r="AF54" s="181">
        <v>2126</v>
      </c>
      <c r="AG54" s="181">
        <f>AG46/-0.04</f>
        <v>9650</v>
      </c>
      <c r="AH54" s="311">
        <v>2126</v>
      </c>
      <c r="AI54" s="181">
        <v>2122</v>
      </c>
      <c r="AJ54" s="181">
        <v>2129</v>
      </c>
      <c r="AK54" s="181">
        <v>1851</v>
      </c>
      <c r="AL54" s="181">
        <f>AL46/-0.09</f>
        <v>1800</v>
      </c>
      <c r="AM54" s="311">
        <v>2135</v>
      </c>
      <c r="AN54" s="181">
        <v>1863</v>
      </c>
      <c r="AO54" s="181">
        <v>1875</v>
      </c>
      <c r="AP54" s="181">
        <v>1882</v>
      </c>
      <c r="AQ54" s="181">
        <f>AQ46/-2.98</f>
        <v>1888.9261744966443</v>
      </c>
      <c r="AR54" s="311">
        <v>1877</v>
      </c>
      <c r="AS54" s="181">
        <v>1892</v>
      </c>
      <c r="AT54" s="181">
        <v>2726</v>
      </c>
      <c r="AU54" s="181">
        <v>2003</v>
      </c>
      <c r="AV54" s="181">
        <f>AV51/-1.33</f>
        <v>2113.5338345864661</v>
      </c>
      <c r="AW54" s="311">
        <v>1979</v>
      </c>
      <c r="AX54" s="181">
        <v>2208</v>
      </c>
      <c r="AY54" s="181">
        <v>2237</v>
      </c>
      <c r="AZ54" s="181">
        <v>2279</v>
      </c>
      <c r="BA54" s="181">
        <f>BA51/-2.51</f>
        <v>2381.6733067729087</v>
      </c>
      <c r="BB54" s="311">
        <v>2273</v>
      </c>
      <c r="BC54" s="181">
        <v>2397</v>
      </c>
      <c r="BD54" s="181">
        <v>3352</v>
      </c>
      <c r="BE54" s="181">
        <v>3587</v>
      </c>
      <c r="BF54" s="181">
        <f>BF51/0.25</f>
        <v>3544</v>
      </c>
      <c r="BG54" s="311">
        <v>3312</v>
      </c>
      <c r="BH54" s="181">
        <v>4569</v>
      </c>
      <c r="BI54" s="181">
        <v>4610</v>
      </c>
      <c r="BJ54" s="181">
        <v>4174</v>
      </c>
      <c r="BK54" s="181">
        <v>3839</v>
      </c>
      <c r="BL54" s="311">
        <v>4178</v>
      </c>
      <c r="BM54" s="181">
        <v>4266</v>
      </c>
      <c r="BN54" s="181">
        <v>4102</v>
      </c>
      <c r="BO54" s="181">
        <v>4031</v>
      </c>
      <c r="BP54" s="181">
        <v>4015</v>
      </c>
      <c r="BQ54" s="311">
        <v>4111</v>
      </c>
      <c r="BR54" s="181">
        <v>4055</v>
      </c>
      <c r="BS54" s="181">
        <v>4014</v>
      </c>
      <c r="BT54" s="181">
        <v>3972</v>
      </c>
      <c r="BU54" s="181">
        <v>4008</v>
      </c>
      <c r="BV54" s="311">
        <v>4015</v>
      </c>
      <c r="BW54" s="181">
        <v>4072</v>
      </c>
      <c r="BX54" s="181">
        <v>4084</v>
      </c>
      <c r="BY54" s="181">
        <v>4096</v>
      </c>
      <c r="BZ54" s="181">
        <v>4098</v>
      </c>
      <c r="CA54" s="296">
        <v>4087</v>
      </c>
      <c r="CB54" s="154">
        <v>4094</v>
      </c>
      <c r="CC54" s="154">
        <v>4088</v>
      </c>
      <c r="CD54" s="154">
        <v>4010</v>
      </c>
      <c r="CE54" s="154">
        <v>3942</v>
      </c>
      <c r="CF54" s="235">
        <f>AVERAGE(CB54:CE54)</f>
        <v>4033.5</v>
      </c>
      <c r="CG54" s="154">
        <v>4001</v>
      </c>
      <c r="CH54" s="154">
        <v>4007</v>
      </c>
      <c r="CI54" s="154">
        <v>3999</v>
      </c>
      <c r="CJ54" s="154">
        <v>4002</v>
      </c>
      <c r="CK54" s="235">
        <f>AVERAGE(CG54:CJ54)</f>
        <v>4002.25</v>
      </c>
      <c r="CL54" s="154">
        <v>3996</v>
      </c>
      <c r="CM54" s="154">
        <v>3997</v>
      </c>
      <c r="CN54" s="154">
        <v>4000</v>
      </c>
      <c r="CO54" s="154">
        <v>4000</v>
      </c>
      <c r="CP54" s="235">
        <f>AVERAGE(CL54:CO54)</f>
        <v>3998.25</v>
      </c>
      <c r="CQ54" s="154">
        <v>3999</v>
      </c>
      <c r="CR54" s="154">
        <v>3996</v>
      </c>
      <c r="CS54" s="154">
        <v>3996</v>
      </c>
      <c r="CT54" s="154">
        <v>4000</v>
      </c>
      <c r="CU54" s="235">
        <f>AVERAGE(CQ54:CT54)</f>
        <v>3997.75</v>
      </c>
      <c r="CV54" s="155">
        <f>CT54/CT53*CV53</f>
        <v>4009.0473767933559</v>
      </c>
      <c r="CW54" s="155">
        <f>CV54/CV53*CW53</f>
        <v>4009.0473767933559</v>
      </c>
      <c r="CX54" s="155">
        <f>CW54/CW53*CX53</f>
        <v>4009.0473767933559</v>
      </c>
      <c r="CY54" s="155">
        <f>CX54/CX53*CY53</f>
        <v>4009.0473767933559</v>
      </c>
      <c r="CZ54" s="235">
        <f>AVERAGE(CV54:CY54)</f>
        <v>4009.0473767933559</v>
      </c>
      <c r="DA54" s="255">
        <f>CZ54/CZ53*DA53</f>
        <v>4009.0473767933559</v>
      </c>
      <c r="DB54" s="255">
        <f>DA54/DA53*DB53</f>
        <v>4009.0473767933559</v>
      </c>
      <c r="DC54" s="255">
        <f>DB54/DB53*DC53</f>
        <v>4009.0473767933559</v>
      </c>
      <c r="DD54" s="165"/>
      <c r="DE54" s="181"/>
      <c r="DF54" s="259">
        <f>CT54</f>
        <v>4000</v>
      </c>
      <c r="DG54" s="259">
        <v>4006.0466472235648</v>
      </c>
      <c r="DH54" s="259">
        <f>CO54</f>
        <v>4000</v>
      </c>
      <c r="DI54" s="454">
        <f>IF(ISERROR(DF54/DG54-1),"NM",DF54/DG54-1)</f>
        <v>-1.5093801335926971E-3</v>
      </c>
      <c r="DJ54" s="454">
        <f>IF(ISERROR(DF54/DH54-1),"NM",DF54/DH54-1)</f>
        <v>0</v>
      </c>
      <c r="DK54" s="181"/>
      <c r="DL54" s="181"/>
      <c r="DM54" s="182"/>
      <c r="DT54" s="828"/>
      <c r="DU54" s="181"/>
      <c r="DV54" s="181"/>
      <c r="DW54" s="181"/>
      <c r="DX54" s="148"/>
      <c r="DY54" s="148"/>
      <c r="DZ54" s="148"/>
      <c r="EA54" s="148"/>
      <c r="EB54" s="148"/>
      <c r="EC54" s="2"/>
      <c r="ED54" s="2"/>
      <c r="EE54" s="148"/>
      <c r="EF54" s="148"/>
      <c r="EG54" s="165"/>
      <c r="EH54" s="167"/>
      <c r="EI54" s="167"/>
      <c r="EJ54" s="2"/>
      <c r="EK54" s="2"/>
      <c r="EL54" s="2"/>
    </row>
    <row r="55" spans="1:142" ht="12" customHeight="1">
      <c r="A55" s="1109">
        <f t="shared" si="0"/>
        <v>50</v>
      </c>
      <c r="B55" s="10"/>
      <c r="C55" s="23"/>
      <c r="D55" s="23"/>
      <c r="E55" s="62"/>
      <c r="F55" s="62"/>
      <c r="G55" s="62"/>
      <c r="H55" s="62"/>
      <c r="I55" s="305"/>
      <c r="J55" s="2"/>
      <c r="K55" s="2"/>
      <c r="L55" s="2"/>
      <c r="M55" s="2"/>
      <c r="N55" s="305"/>
      <c r="O55" s="2"/>
      <c r="P55" s="2"/>
      <c r="Q55" s="2"/>
      <c r="R55" s="2"/>
      <c r="S55" s="305"/>
      <c r="T55" s="2"/>
      <c r="U55" s="2"/>
      <c r="V55" s="2"/>
      <c r="W55" s="2"/>
      <c r="X55" s="305"/>
      <c r="Y55" s="2"/>
      <c r="Z55" s="2"/>
      <c r="AA55" s="2"/>
      <c r="AB55" s="2"/>
      <c r="AC55" s="305"/>
      <c r="AD55" s="2"/>
      <c r="AE55" s="2"/>
      <c r="AF55" s="2"/>
      <c r="AG55" s="2"/>
      <c r="AH55" s="305"/>
      <c r="AI55" s="2"/>
      <c r="AJ55" s="2"/>
      <c r="AK55" s="2"/>
      <c r="AL55" s="2"/>
      <c r="AM55" s="305"/>
      <c r="AN55" s="2"/>
      <c r="AO55" s="2"/>
      <c r="AP55" s="2"/>
      <c r="AQ55" s="2"/>
      <c r="AR55" s="305"/>
      <c r="AS55" s="2"/>
      <c r="AT55" s="2"/>
      <c r="AU55" s="2"/>
      <c r="AV55" s="2"/>
      <c r="AW55" s="305"/>
      <c r="AX55" s="2"/>
      <c r="AY55" s="2"/>
      <c r="AZ55" s="2"/>
      <c r="BA55" s="2"/>
      <c r="BB55" s="305"/>
      <c r="BC55" s="2"/>
      <c r="BD55" s="2"/>
      <c r="BE55" s="2"/>
      <c r="BF55" s="2"/>
      <c r="BG55" s="305"/>
      <c r="BH55" s="2"/>
      <c r="BI55" s="2"/>
      <c r="BJ55" s="2"/>
      <c r="BK55" s="2"/>
      <c r="BL55" s="305"/>
      <c r="BM55" s="2"/>
      <c r="BN55" s="2"/>
      <c r="BO55" s="2"/>
      <c r="BP55" s="2"/>
      <c r="BQ55" s="305"/>
      <c r="BR55" s="2"/>
      <c r="BS55" s="2"/>
      <c r="BT55" s="2"/>
      <c r="BU55" s="2"/>
      <c r="BV55" s="305"/>
      <c r="BW55" s="2"/>
      <c r="BX55" s="2"/>
      <c r="BY55" s="2"/>
      <c r="BZ55" s="2"/>
      <c r="CA55" s="305"/>
      <c r="CB55" s="2"/>
      <c r="CC55" s="2"/>
      <c r="CD55" s="2"/>
      <c r="CE55" s="2"/>
      <c r="CF55" s="305"/>
      <c r="CG55" s="2"/>
      <c r="CH55" s="2"/>
      <c r="CI55" s="2"/>
      <c r="CK55" s="305"/>
      <c r="CL55" s="2"/>
      <c r="CM55" s="2"/>
      <c r="CN55" s="2"/>
      <c r="CP55" s="305"/>
      <c r="CQ55" s="2"/>
      <c r="CR55" s="2"/>
      <c r="CS55" s="154"/>
      <c r="CT55" s="154"/>
      <c r="CU55" s="305"/>
      <c r="CZ55" s="305"/>
      <c r="DA55" s="62"/>
      <c r="DB55" s="62"/>
      <c r="DC55" s="62"/>
      <c r="DD55" s="165"/>
      <c r="DE55" s="2"/>
      <c r="DF55" s="305"/>
      <c r="DG55" s="305"/>
      <c r="DH55" s="305"/>
      <c r="DI55" s="450"/>
      <c r="DJ55" s="450"/>
      <c r="DK55" s="2"/>
      <c r="DL55" s="2"/>
      <c r="DM55" s="2"/>
      <c r="DT55" s="831"/>
      <c r="DU55" s="2"/>
      <c r="DV55" s="2"/>
      <c r="DW55" s="2"/>
      <c r="DX55" s="183"/>
      <c r="DY55" s="183"/>
      <c r="DZ55" s="183"/>
      <c r="EA55" s="183"/>
      <c r="EB55" s="183"/>
      <c r="EC55" s="2"/>
      <c r="ED55" s="2"/>
      <c r="EE55" s="2"/>
      <c r="EF55" s="2"/>
      <c r="EG55" s="2"/>
      <c r="EH55" s="174"/>
      <c r="EI55" s="174"/>
      <c r="EJ55" s="2"/>
      <c r="EK55" s="2"/>
      <c r="EL55" s="2"/>
    </row>
    <row r="56" spans="1:142" ht="12" customHeight="1">
      <c r="A56" s="1109">
        <f t="shared" si="0"/>
        <v>51</v>
      </c>
      <c r="B56" s="10"/>
      <c r="C56" s="23" t="s">
        <v>247</v>
      </c>
      <c r="D56" s="23"/>
      <c r="E56" s="269">
        <f t="shared" ref="E56:AJ56" si="66">E51/E53</f>
        <v>3.7453658536585368</v>
      </c>
      <c r="F56" s="269">
        <f t="shared" si="66"/>
        <v>3.7285106382978723</v>
      </c>
      <c r="G56" s="269">
        <f t="shared" si="66"/>
        <v>5.750418760469012</v>
      </c>
      <c r="H56" s="269">
        <f t="shared" si="66"/>
        <v>18.167080231596362</v>
      </c>
      <c r="I56" s="269">
        <f t="shared" si="66"/>
        <v>5.9883913764510783</v>
      </c>
      <c r="J56" s="184">
        <f t="shared" si="66"/>
        <v>1.7306088407005837</v>
      </c>
      <c r="K56" s="184">
        <f t="shared" si="66"/>
        <v>-0.48494983277591974</v>
      </c>
      <c r="L56" s="184">
        <f t="shared" si="66"/>
        <v>0.48920863309352519</v>
      </c>
      <c r="M56" s="184">
        <f t="shared" si="66"/>
        <v>0.57784586815227479</v>
      </c>
      <c r="N56" s="269">
        <f t="shared" si="66"/>
        <v>2.3419267299864317</v>
      </c>
      <c r="O56" s="184">
        <f t="shared" si="66"/>
        <v>0.57713347921225377</v>
      </c>
      <c r="P56" s="184">
        <f t="shared" si="66"/>
        <v>-0.41689674213141908</v>
      </c>
      <c r="Q56" s="184">
        <f t="shared" si="66"/>
        <v>-0.38516878804648591</v>
      </c>
      <c r="R56" s="184">
        <f t="shared" si="66"/>
        <v>-2.8507010475423047</v>
      </c>
      <c r="S56" s="269">
        <f t="shared" si="66"/>
        <v>-3.0193263390392047</v>
      </c>
      <c r="T56" s="184">
        <f t="shared" si="66"/>
        <v>-0.60797342192691028</v>
      </c>
      <c r="U56" s="184">
        <f t="shared" si="66"/>
        <v>0.3129139072847682</v>
      </c>
      <c r="V56" s="184">
        <f t="shared" si="66"/>
        <v>-0.1812191103789127</v>
      </c>
      <c r="W56" s="184">
        <f t="shared" si="66"/>
        <v>-0.11166666666666666</v>
      </c>
      <c r="X56" s="269">
        <f t="shared" si="66"/>
        <v>-0.54730473047304729</v>
      </c>
      <c r="Y56" s="184">
        <f t="shared" si="66"/>
        <v>0.48961748633879781</v>
      </c>
      <c r="Z56" s="184">
        <f t="shared" si="66"/>
        <v>0.22786885245901639</v>
      </c>
      <c r="AA56" s="184">
        <f t="shared" si="66"/>
        <v>-1.3698630136986301E-2</v>
      </c>
      <c r="AB56" s="184">
        <f t="shared" si="66"/>
        <v>-0.42800599700149922</v>
      </c>
      <c r="AC56" s="269">
        <f t="shared" si="66"/>
        <v>0.27049180327868855</v>
      </c>
      <c r="AD56" s="184">
        <f t="shared" si="66"/>
        <v>1.0678336980306347</v>
      </c>
      <c r="AE56" s="184">
        <f t="shared" si="66"/>
        <v>0.63765736179529287</v>
      </c>
      <c r="AF56" s="184">
        <f t="shared" si="66"/>
        <v>0.14575342465753424</v>
      </c>
      <c r="AG56" s="184">
        <f t="shared" si="66"/>
        <v>-3.5751295336787565E-2</v>
      </c>
      <c r="AH56" s="269">
        <f t="shared" si="66"/>
        <v>1.6637458926615554</v>
      </c>
      <c r="AI56" s="184">
        <f t="shared" si="66"/>
        <v>0.66338259441707714</v>
      </c>
      <c r="AJ56" s="184">
        <f t="shared" si="66"/>
        <v>0.66068515497553015</v>
      </c>
      <c r="AK56" s="184">
        <f t="shared" ref="AK56:BP56" si="67">AK51/AK53</f>
        <v>-0.31118314424635335</v>
      </c>
      <c r="AL56" s="184">
        <f t="shared" si="67"/>
        <v>-0.22833333333333333</v>
      </c>
      <c r="AM56" s="269">
        <f t="shared" si="67"/>
        <v>0.78133478024959302</v>
      </c>
      <c r="AN56" s="184">
        <f t="shared" si="67"/>
        <v>-0.7638217928073</v>
      </c>
      <c r="AO56" s="184">
        <f t="shared" si="67"/>
        <v>-0.16906666666666667</v>
      </c>
      <c r="AP56" s="184">
        <f t="shared" si="67"/>
        <v>-2.7885228480340065</v>
      </c>
      <c r="AQ56" s="184">
        <f t="shared" si="67"/>
        <v>-2.9778823947415169</v>
      </c>
      <c r="AR56" s="269">
        <f t="shared" si="67"/>
        <v>-6.7197655833777308</v>
      </c>
      <c r="AS56" s="184">
        <f t="shared" si="67"/>
        <v>-0.14904862579281183</v>
      </c>
      <c r="AT56" s="184">
        <f t="shared" si="67"/>
        <v>0.39577836411609496</v>
      </c>
      <c r="AU56" s="184">
        <f t="shared" si="67"/>
        <v>-0.18971542685971043</v>
      </c>
      <c r="AV56" s="184">
        <f t="shared" si="67"/>
        <v>-1.33</v>
      </c>
      <c r="AW56" s="269">
        <f t="shared" si="67"/>
        <v>-1.3759474482061647</v>
      </c>
      <c r="AX56" s="184">
        <f t="shared" si="67"/>
        <v>3.1992687385740404E-2</v>
      </c>
      <c r="AY56" s="184">
        <f t="shared" si="67"/>
        <v>-3.8877961555654896</v>
      </c>
      <c r="AZ56" s="184">
        <f t="shared" si="67"/>
        <v>-7.0645019745502413E-2</v>
      </c>
      <c r="BA56" s="184">
        <f t="shared" si="67"/>
        <v>-2.5099999999999998</v>
      </c>
      <c r="BB56" s="269">
        <f t="shared" si="67"/>
        <v>-6.4962604487461508</v>
      </c>
      <c r="BC56" s="184">
        <f t="shared" si="67"/>
        <v>-0.59532749269920737</v>
      </c>
      <c r="BD56" s="184">
        <f t="shared" si="67"/>
        <v>0.75341552815728086</v>
      </c>
      <c r="BE56" s="184">
        <f t="shared" si="67"/>
        <v>0.30592206198220312</v>
      </c>
      <c r="BF56" s="184">
        <f t="shared" si="67"/>
        <v>0.27</v>
      </c>
      <c r="BG56" s="269">
        <f t="shared" si="67"/>
        <v>0.90839184219324642</v>
      </c>
      <c r="BH56" s="184">
        <f t="shared" si="67"/>
        <v>0.61961367013372959</v>
      </c>
      <c r="BI56" s="184">
        <f t="shared" si="67"/>
        <v>0.76194664321313399</v>
      </c>
      <c r="BJ56" s="184">
        <f t="shared" si="67"/>
        <v>0.48955310504933258</v>
      </c>
      <c r="BK56" s="184">
        <f t="shared" si="67"/>
        <v>5.3176602294990202E-2</v>
      </c>
      <c r="BL56" s="269">
        <f t="shared" si="67"/>
        <v>1.902290518991012</v>
      </c>
      <c r="BM56" s="184">
        <f t="shared" si="67"/>
        <v>0.58923362503314769</v>
      </c>
      <c r="BN56" s="184">
        <f t="shared" si="67"/>
        <v>0.52882337457225581</v>
      </c>
      <c r="BO56" s="184">
        <f t="shared" si="67"/>
        <v>0.33342105263157895</v>
      </c>
      <c r="BP56" s="184">
        <f t="shared" si="67"/>
        <v>3.5081578947368421</v>
      </c>
      <c r="BQ56" s="269">
        <f t="shared" ref="BQ56:CV56" si="68">BQ51/BQ53</f>
        <v>4.9641444766675455</v>
      </c>
      <c r="BR56" s="184">
        <f t="shared" si="68"/>
        <v>0.26032079936891928</v>
      </c>
      <c r="BS56" s="184">
        <f t="shared" si="68"/>
        <v>0.1724770642201835</v>
      </c>
      <c r="BT56" s="184">
        <f t="shared" si="68"/>
        <v>0.28578919769271105</v>
      </c>
      <c r="BU56" s="184">
        <f t="shared" si="68"/>
        <v>0.24308093994778068</v>
      </c>
      <c r="BV56" s="269">
        <f t="shared" si="68"/>
        <v>0.96173001310615991</v>
      </c>
      <c r="BW56" s="184">
        <f t="shared" si="68"/>
        <v>0.26535814427733878</v>
      </c>
      <c r="BX56" s="184">
        <f t="shared" si="68"/>
        <v>0.16399694889397406</v>
      </c>
      <c r="BY56" s="184">
        <f t="shared" si="68"/>
        <v>0.14611872146118721</v>
      </c>
      <c r="BZ56" s="184">
        <f t="shared" si="68"/>
        <v>0.61130831643002026</v>
      </c>
      <c r="CA56" s="269">
        <f t="shared" si="68"/>
        <v>1.1875476493011436</v>
      </c>
      <c r="CB56" s="184">
        <f t="shared" si="68"/>
        <v>7.2985301571211358E-2</v>
      </c>
      <c r="CC56" s="184">
        <f t="shared" si="68"/>
        <v>0.14162436548223351</v>
      </c>
      <c r="CD56" s="184">
        <f t="shared" si="68"/>
        <v>2.641802641802642E-2</v>
      </c>
      <c r="CE56" s="184">
        <f t="shared" si="68"/>
        <v>-0.68469623173545247</v>
      </c>
      <c r="CF56" s="269">
        <f t="shared" si="68"/>
        <v>-0.44043967280163598</v>
      </c>
      <c r="CG56" s="184">
        <f t="shared" si="68"/>
        <v>0.11405500883169316</v>
      </c>
      <c r="CH56" s="184">
        <f t="shared" si="68"/>
        <v>0.33517866129843987</v>
      </c>
      <c r="CI56" s="184">
        <f t="shared" si="68"/>
        <v>0.37818090199042581</v>
      </c>
      <c r="CJ56" s="184">
        <f t="shared" si="68"/>
        <v>0.21667926429831191</v>
      </c>
      <c r="CK56" s="269">
        <f t="shared" si="68"/>
        <v>1.3221061441313304</v>
      </c>
      <c r="CL56" s="184">
        <f t="shared" si="68"/>
        <v>0.61763224181360199</v>
      </c>
      <c r="CM56" s="184">
        <f t="shared" si="68"/>
        <v>0.49584696702743519</v>
      </c>
      <c r="CN56" s="184">
        <f t="shared" si="68"/>
        <v>0.24081529944640162</v>
      </c>
      <c r="CO56" s="184">
        <f t="shared" si="68"/>
        <v>-0.19703069954705588</v>
      </c>
      <c r="CP56" s="269">
        <f t="shared" si="68"/>
        <v>1.1568812535397395</v>
      </c>
      <c r="CQ56" s="184">
        <f t="shared" si="68"/>
        <v>0.39914486921529174</v>
      </c>
      <c r="CR56" s="184">
        <f t="shared" si="68"/>
        <v>0.51345235101835551</v>
      </c>
      <c r="CS56" s="184">
        <f t="shared" si="68"/>
        <v>0.39375629405840884</v>
      </c>
      <c r="CT56" s="184">
        <f t="shared" si="68"/>
        <v>0.60634281399446266</v>
      </c>
      <c r="CU56" s="269">
        <f t="shared" si="68"/>
        <v>1.9126934205560449</v>
      </c>
      <c r="CV56" s="184">
        <f t="shared" si="68"/>
        <v>0.37567807441118395</v>
      </c>
      <c r="CW56" s="184">
        <f t="shared" ref="CW56:DC56" si="69">CW51/CW53</f>
        <v>0.44467161279453093</v>
      </c>
      <c r="CX56" s="184">
        <f t="shared" si="69"/>
        <v>0.33469751091738453</v>
      </c>
      <c r="CY56" s="184">
        <f t="shared" si="69"/>
        <v>0.29777664443116109</v>
      </c>
      <c r="CZ56" s="269">
        <f t="shared" si="69"/>
        <v>1.4528238425542606</v>
      </c>
      <c r="DA56" s="269">
        <f t="shared" si="69"/>
        <v>1.2659852007462638</v>
      </c>
      <c r="DB56" s="269">
        <f t="shared" si="69"/>
        <v>1.3346671213480057</v>
      </c>
      <c r="DC56" s="269">
        <f t="shared" si="69"/>
        <v>1.4308555006896628</v>
      </c>
      <c r="DD56" s="165"/>
      <c r="DE56" s="184"/>
      <c r="DF56" s="269">
        <f>CT56</f>
        <v>0.60634281399446266</v>
      </c>
      <c r="DG56" s="269">
        <v>0.43862085592098998</v>
      </c>
      <c r="DH56" s="269">
        <f>CO56</f>
        <v>-0.19703069954705588</v>
      </c>
      <c r="DI56" s="450">
        <f>IF(ISERROR(DF56/DG56-1),"NM",DF56/DG56-1)</f>
        <v>0.38238482235711313</v>
      </c>
      <c r="DJ56" s="450">
        <f>IF(ISERROR(DF56/DH56-1),"NM",DF56/DH56-1)</f>
        <v>-4.0774027366717682</v>
      </c>
      <c r="DK56" s="184"/>
      <c r="DL56" s="184"/>
      <c r="DM56" s="184"/>
      <c r="DT56" s="832"/>
      <c r="DU56" s="184"/>
      <c r="DV56" s="184"/>
      <c r="DW56" s="184"/>
      <c r="DX56" s="184"/>
      <c r="DY56" s="184"/>
      <c r="DZ56" s="184"/>
      <c r="EA56" s="184"/>
      <c r="EB56" s="184"/>
      <c r="EC56" s="2"/>
      <c r="ED56" s="2"/>
      <c r="EE56" s="184"/>
      <c r="EF56" s="184"/>
      <c r="EG56" s="184"/>
      <c r="EH56" s="174"/>
      <c r="EI56" s="174"/>
      <c r="EJ56" s="2"/>
      <c r="EK56" s="2"/>
      <c r="EL56" s="2"/>
    </row>
    <row r="57" spans="1:142" ht="12" customHeight="1">
      <c r="A57" s="1109">
        <f t="shared" si="0"/>
        <v>52</v>
      </c>
      <c r="B57" s="10"/>
      <c r="C57" s="23" t="s">
        <v>0</v>
      </c>
      <c r="D57" s="23"/>
      <c r="E57" s="269">
        <f t="shared" ref="E57:AJ57" si="70">E51/E54</f>
        <v>3.2672340425531914</v>
      </c>
      <c r="F57" s="269">
        <f t="shared" si="70"/>
        <v>3.6206611570247933</v>
      </c>
      <c r="G57" s="269">
        <f t="shared" si="70"/>
        <v>5.6094771241830061</v>
      </c>
      <c r="H57" s="269">
        <f t="shared" si="70"/>
        <v>17.755860953920777</v>
      </c>
      <c r="I57" s="269">
        <f t="shared" si="70"/>
        <v>5.8572587185725871</v>
      </c>
      <c r="J57" s="184">
        <f t="shared" si="70"/>
        <v>1.6980360065466449</v>
      </c>
      <c r="K57" s="184">
        <f t="shared" si="70"/>
        <v>-0.4746317512274959</v>
      </c>
      <c r="L57" s="184">
        <f t="shared" si="70"/>
        <v>0.48947951273532669</v>
      </c>
      <c r="M57" s="184">
        <f t="shared" si="70"/>
        <v>0.56788300835654593</v>
      </c>
      <c r="N57" s="269">
        <f t="shared" si="70"/>
        <v>2.2952127659574466</v>
      </c>
      <c r="O57" s="184">
        <f t="shared" si="70"/>
        <v>0.56477516059957178</v>
      </c>
      <c r="P57" s="184">
        <f t="shared" si="70"/>
        <v>-0.41712707182320441</v>
      </c>
      <c r="Q57" s="184">
        <f t="shared" si="70"/>
        <v>-0.38538205980066448</v>
      </c>
      <c r="R57" s="184">
        <f t="shared" si="70"/>
        <v>-2.8507010475423047</v>
      </c>
      <c r="S57" s="269">
        <f t="shared" si="70"/>
        <v>-3.0209944751381217</v>
      </c>
      <c r="T57" s="184">
        <f t="shared" si="70"/>
        <v>-0.60831024930747923</v>
      </c>
      <c r="U57" s="184">
        <f t="shared" si="70"/>
        <v>0.26846590909090912</v>
      </c>
      <c r="V57" s="184">
        <f t="shared" si="70"/>
        <v>-0.18131868131868131</v>
      </c>
      <c r="W57" s="184">
        <f t="shared" si="70"/>
        <v>-0.11166666666666666</v>
      </c>
      <c r="X57" s="269">
        <f t="shared" si="70"/>
        <v>-0.54401312192454898</v>
      </c>
      <c r="Y57" s="184">
        <f t="shared" si="70"/>
        <v>0.42324043457723193</v>
      </c>
      <c r="Z57" s="184">
        <f t="shared" si="70"/>
        <v>0.1963276836158192</v>
      </c>
      <c r="AA57" s="184">
        <f t="shared" si="70"/>
        <v>-1.1759172154280339E-2</v>
      </c>
      <c r="AB57" s="184">
        <f t="shared" si="70"/>
        <v>-0.42800599700149922</v>
      </c>
      <c r="AC57" s="269">
        <f t="shared" si="70"/>
        <v>0.26858383071079761</v>
      </c>
      <c r="AD57" s="184">
        <f t="shared" si="70"/>
        <v>0.91902071563088517</v>
      </c>
      <c r="AE57" s="184">
        <f t="shared" si="70"/>
        <v>0.54797742238946379</v>
      </c>
      <c r="AF57" s="184">
        <f t="shared" si="70"/>
        <v>0.1251175917215428</v>
      </c>
      <c r="AG57" s="184">
        <f t="shared" si="70"/>
        <v>-3.5751295336787565E-2</v>
      </c>
      <c r="AH57" s="269">
        <f t="shared" si="70"/>
        <v>1.4289746001881467</v>
      </c>
      <c r="AI57" s="184">
        <f t="shared" si="70"/>
        <v>0.57115928369462776</v>
      </c>
      <c r="AJ57" s="184">
        <f t="shared" si="70"/>
        <v>0.57069046500704557</v>
      </c>
      <c r="AK57" s="184">
        <f t="shared" ref="AK57:BP57" si="71">AK51/AK54</f>
        <v>-0.31118314424635335</v>
      </c>
      <c r="AL57" s="184">
        <f t="shared" si="71"/>
        <v>-0.22833333333333333</v>
      </c>
      <c r="AM57" s="269">
        <f t="shared" si="71"/>
        <v>0.67447306791569084</v>
      </c>
      <c r="AN57" s="184">
        <f t="shared" si="71"/>
        <v>-0.7638217928073</v>
      </c>
      <c r="AO57" s="184">
        <f t="shared" si="71"/>
        <v>-0.16906666666666667</v>
      </c>
      <c r="AP57" s="184">
        <f t="shared" si="71"/>
        <v>-2.7885228480340065</v>
      </c>
      <c r="AQ57" s="184">
        <f t="shared" si="71"/>
        <v>-2.9778823947415169</v>
      </c>
      <c r="AR57" s="269">
        <f t="shared" si="71"/>
        <v>-6.7197655833777308</v>
      </c>
      <c r="AS57" s="184">
        <f t="shared" si="71"/>
        <v>-0.14904862579281183</v>
      </c>
      <c r="AT57" s="184">
        <f t="shared" si="71"/>
        <v>0.2751283932501834</v>
      </c>
      <c r="AU57" s="184">
        <f t="shared" si="71"/>
        <v>-0.18971542685971043</v>
      </c>
      <c r="AV57" s="184">
        <f t="shared" si="71"/>
        <v>-1.33</v>
      </c>
      <c r="AW57" s="269">
        <f t="shared" si="71"/>
        <v>-1.3759474482061647</v>
      </c>
      <c r="AX57" s="184">
        <f t="shared" si="71"/>
        <v>3.170289855072464E-2</v>
      </c>
      <c r="AY57" s="184">
        <f t="shared" si="71"/>
        <v>-3.8877961555654896</v>
      </c>
      <c r="AZ57" s="184">
        <f t="shared" si="71"/>
        <v>-7.0645019745502413E-2</v>
      </c>
      <c r="BA57" s="184">
        <f t="shared" si="71"/>
        <v>-2.5099999999999998</v>
      </c>
      <c r="BB57" s="269">
        <f t="shared" si="71"/>
        <v>-6.4962604487461508</v>
      </c>
      <c r="BC57" s="184">
        <f t="shared" si="71"/>
        <v>-0.59532749269920737</v>
      </c>
      <c r="BD57" s="184">
        <f t="shared" si="71"/>
        <v>0.6745226730310262</v>
      </c>
      <c r="BE57" s="184">
        <f t="shared" si="71"/>
        <v>0.27794814608307777</v>
      </c>
      <c r="BF57" s="184">
        <f t="shared" si="71"/>
        <v>0.25</v>
      </c>
      <c r="BG57" s="269">
        <f t="shared" si="71"/>
        <v>0.82035024154589375</v>
      </c>
      <c r="BH57" s="184">
        <f t="shared" si="71"/>
        <v>0.45633617859487852</v>
      </c>
      <c r="BI57" s="184">
        <f t="shared" si="71"/>
        <v>0.56377440347071583</v>
      </c>
      <c r="BJ57" s="184">
        <f t="shared" si="71"/>
        <v>0.40416866315285099</v>
      </c>
      <c r="BK57" s="184">
        <f t="shared" si="71"/>
        <v>4.949205522271425E-2</v>
      </c>
      <c r="BL57" s="269">
        <f t="shared" si="71"/>
        <v>1.5703685974150312</v>
      </c>
      <c r="BM57" s="184">
        <f t="shared" si="71"/>
        <v>0.52086263478668537</v>
      </c>
      <c r="BN57" s="184">
        <f t="shared" si="71"/>
        <v>0.48976109215017066</v>
      </c>
      <c r="BO57" s="184">
        <f t="shared" si="71"/>
        <v>0.31431406598858846</v>
      </c>
      <c r="BP57" s="184">
        <f t="shared" si="71"/>
        <v>3.3202988792029888</v>
      </c>
      <c r="BQ57" s="269">
        <f t="shared" ref="BQ57:CV57" si="72">BQ51/BQ54</f>
        <v>4.5801508148868892</v>
      </c>
      <c r="BR57" s="184">
        <f t="shared" si="72"/>
        <v>0.2441430332922318</v>
      </c>
      <c r="BS57" s="184">
        <f t="shared" si="72"/>
        <v>0.1639262580966617</v>
      </c>
      <c r="BT57" s="184">
        <f t="shared" si="72"/>
        <v>0.27442094662638467</v>
      </c>
      <c r="BU57" s="184">
        <f t="shared" si="72"/>
        <v>0.23228542914171657</v>
      </c>
      <c r="BV57" s="269">
        <f t="shared" si="72"/>
        <v>0.91382316313823164</v>
      </c>
      <c r="BW57" s="184">
        <f t="shared" si="72"/>
        <v>0.25564833005893911</v>
      </c>
      <c r="BX57" s="184">
        <f t="shared" si="72"/>
        <v>0.1579333986287953</v>
      </c>
      <c r="BY57" s="184">
        <f t="shared" si="72"/>
        <v>0.140625</v>
      </c>
      <c r="BZ57" s="184">
        <f t="shared" si="72"/>
        <v>0.58833577354807221</v>
      </c>
      <c r="CA57" s="269">
        <f t="shared" si="72"/>
        <v>1.1433814533887938</v>
      </c>
      <c r="CB57" s="184">
        <f t="shared" si="72"/>
        <v>7.0346849047386417E-2</v>
      </c>
      <c r="CC57" s="184">
        <f t="shared" si="72"/>
        <v>0.13649706457925637</v>
      </c>
      <c r="CD57" s="184">
        <f t="shared" si="72"/>
        <v>2.543640897755611E-2</v>
      </c>
      <c r="CE57" s="184">
        <f t="shared" si="72"/>
        <v>-0.67757483510908167</v>
      </c>
      <c r="CF57" s="269">
        <f t="shared" si="72"/>
        <v>-0.42717243089128548</v>
      </c>
      <c r="CG57" s="184">
        <f t="shared" si="72"/>
        <v>0.11297175706073481</v>
      </c>
      <c r="CH57" s="184">
        <f t="shared" si="72"/>
        <v>0.33241826803094582</v>
      </c>
      <c r="CI57" s="184">
        <f t="shared" si="72"/>
        <v>0.37534383595898974</v>
      </c>
      <c r="CJ57" s="184">
        <f t="shared" si="72"/>
        <v>0.21489255372313842</v>
      </c>
      <c r="CK57" s="269">
        <f t="shared" si="72"/>
        <v>1.3110397300321612</v>
      </c>
      <c r="CL57" s="184">
        <f t="shared" si="72"/>
        <v>0.61361361361361366</v>
      </c>
      <c r="CM57" s="184">
        <f t="shared" si="72"/>
        <v>0.49286965223917939</v>
      </c>
      <c r="CN57" s="184">
        <f t="shared" si="72"/>
        <v>0.23924999999999999</v>
      </c>
      <c r="CO57" s="184">
        <f t="shared" si="72"/>
        <v>-0.19575000000000001</v>
      </c>
      <c r="CP57" s="269">
        <f t="shared" si="72"/>
        <v>1.1495029075220409</v>
      </c>
      <c r="CQ57" s="184">
        <f t="shared" si="72"/>
        <v>0.39684921230307579</v>
      </c>
      <c r="CR57" s="184">
        <f t="shared" si="72"/>
        <v>0.51101101101101098</v>
      </c>
      <c r="CS57" s="184">
        <f t="shared" si="72"/>
        <v>0.3913913913913914</v>
      </c>
      <c r="CT57" s="184">
        <f t="shared" si="72"/>
        <v>0.60224999999999995</v>
      </c>
      <c r="CU57" s="269">
        <f t="shared" si="72"/>
        <v>1.9015696329185168</v>
      </c>
      <c r="CV57" s="184">
        <f t="shared" si="72"/>
        <v>0.37314224740890845</v>
      </c>
      <c r="CW57" s="184">
        <f t="shared" ref="CW57:DC57" si="73">CW51/CW54</f>
        <v>0.44167007940816777</v>
      </c>
      <c r="CX57" s="184">
        <f t="shared" si="73"/>
        <v>0.33243830271869212</v>
      </c>
      <c r="CY57" s="184">
        <f t="shared" si="73"/>
        <v>0.29576665208125069</v>
      </c>
      <c r="CZ57" s="269">
        <f t="shared" si="73"/>
        <v>1.443017281617019</v>
      </c>
      <c r="DA57" s="269">
        <f t="shared" si="73"/>
        <v>1.2574398006412264</v>
      </c>
      <c r="DB57" s="269">
        <f t="shared" si="73"/>
        <v>1.3256581182789064</v>
      </c>
      <c r="DC57" s="269">
        <f t="shared" si="73"/>
        <v>1.4211972260600074</v>
      </c>
      <c r="DD57" s="165"/>
      <c r="DE57" s="184"/>
      <c r="DF57" s="269">
        <f>CT57</f>
        <v>0.60224999999999995</v>
      </c>
      <c r="DG57" s="269">
        <v>0.43598649642596904</v>
      </c>
      <c r="DH57" s="269">
        <f>CO57</f>
        <v>-0.19575000000000001</v>
      </c>
      <c r="DI57" s="450">
        <f>IF(ISERROR(DF57/DG57-1),"NM",DF57/DG57-1)</f>
        <v>0.38135012193494067</v>
      </c>
      <c r="DJ57" s="450">
        <f>IF(ISERROR(DF57/DH57-1),"NM",DF57/DH57-1)</f>
        <v>-4.0766283524904212</v>
      </c>
      <c r="DK57" s="184"/>
      <c r="DL57" s="184"/>
      <c r="DM57" s="184"/>
      <c r="DT57" s="832"/>
      <c r="DU57" s="184"/>
      <c r="DV57" s="184"/>
      <c r="DW57" s="184"/>
      <c r="DX57" s="184"/>
      <c r="DY57" s="184"/>
      <c r="DZ57" s="184"/>
      <c r="EA57" s="184"/>
      <c r="EB57" s="184"/>
      <c r="EC57" s="2"/>
      <c r="ED57" s="2"/>
      <c r="EE57" s="184"/>
      <c r="EF57" s="184"/>
      <c r="EG57" s="184"/>
      <c r="EH57" s="174"/>
      <c r="EI57" s="174"/>
      <c r="EJ57" s="2"/>
      <c r="EK57" s="2"/>
      <c r="EL57" s="2"/>
    </row>
    <row r="58" spans="1:142" ht="12" customHeight="1">
      <c r="A58" s="1109">
        <f t="shared" si="0"/>
        <v>53</v>
      </c>
      <c r="B58" s="10"/>
      <c r="C58" s="185" t="s">
        <v>323</v>
      </c>
      <c r="D58" s="185"/>
      <c r="E58" s="306">
        <f t="shared" ref="E58:AJ58" si="74">E46/E54</f>
        <v>3.5225531914893615</v>
      </c>
      <c r="F58" s="306">
        <f t="shared" si="74"/>
        <v>3.6743801652892563</v>
      </c>
      <c r="G58" s="306">
        <f t="shared" si="74"/>
        <v>5.6535947712418304</v>
      </c>
      <c r="H58" s="306">
        <f t="shared" si="74"/>
        <v>17.842360549717057</v>
      </c>
      <c r="I58" s="306">
        <f t="shared" si="74"/>
        <v>5.2733171127331708</v>
      </c>
      <c r="J58" s="186">
        <f t="shared" si="74"/>
        <v>1.5810147299509001</v>
      </c>
      <c r="K58" s="186">
        <f t="shared" si="74"/>
        <v>1.2381342062193126</v>
      </c>
      <c r="L58" s="186">
        <f t="shared" si="74"/>
        <v>0.49169435215946844</v>
      </c>
      <c r="M58" s="186">
        <f t="shared" si="74"/>
        <v>0.56999999999999995</v>
      </c>
      <c r="N58" s="306">
        <f t="shared" si="74"/>
        <v>3.5970744680851063</v>
      </c>
      <c r="O58" s="186">
        <f t="shared" si="74"/>
        <v>0.56691648822269802</v>
      </c>
      <c r="P58" s="186">
        <f t="shared" si="74"/>
        <v>-0.41546961325966852</v>
      </c>
      <c r="Q58" s="186">
        <f t="shared" si="74"/>
        <v>-0.38316722037652268</v>
      </c>
      <c r="R58" s="186">
        <f t="shared" si="74"/>
        <v>-2.79</v>
      </c>
      <c r="S58" s="306">
        <f t="shared" si="74"/>
        <v>-2.9552486187845304</v>
      </c>
      <c r="T58" s="186">
        <f t="shared" si="74"/>
        <v>-4.4321329639889197E-2</v>
      </c>
      <c r="U58" s="186">
        <f t="shared" si="74"/>
        <v>0.29308712121212122</v>
      </c>
      <c r="V58" s="186">
        <f t="shared" si="74"/>
        <v>-0.13406593406593406</v>
      </c>
      <c r="W58" s="186">
        <f t="shared" si="74"/>
        <v>-0.01</v>
      </c>
      <c r="X58" s="306">
        <f t="shared" si="74"/>
        <v>0.15472936030617823</v>
      </c>
      <c r="Y58" s="186">
        <f t="shared" si="74"/>
        <v>0.42560226735947093</v>
      </c>
      <c r="Z58" s="186">
        <f t="shared" si="74"/>
        <v>0.20056497175141244</v>
      </c>
      <c r="AA58" s="186">
        <f t="shared" si="74"/>
        <v>0.11382878645343368</v>
      </c>
      <c r="AB58" s="186">
        <f t="shared" si="74"/>
        <v>-0.36</v>
      </c>
      <c r="AC58" s="306">
        <f t="shared" si="74"/>
        <v>0.48941942485078677</v>
      </c>
      <c r="AD58" s="186">
        <f t="shared" si="74"/>
        <v>0.92231638418079098</v>
      </c>
      <c r="AE58" s="186">
        <f t="shared" si="74"/>
        <v>0.54186265286923796</v>
      </c>
      <c r="AF58" s="186">
        <f t="shared" si="74"/>
        <v>0.21589840075258701</v>
      </c>
      <c r="AG58" s="186">
        <f t="shared" si="74"/>
        <v>-0.04</v>
      </c>
      <c r="AH58" s="306">
        <f t="shared" si="74"/>
        <v>1.497648165569144</v>
      </c>
      <c r="AI58" s="186">
        <f t="shared" si="74"/>
        <v>0.5546654099905749</v>
      </c>
      <c r="AJ58" s="186">
        <f t="shared" si="74"/>
        <v>0.56928135274776892</v>
      </c>
      <c r="AK58" s="186">
        <f t="shared" ref="AK58:BP58" si="75">AK46/AK54</f>
        <v>-0.3149648838465694</v>
      </c>
      <c r="AL58" s="186">
        <f t="shared" si="75"/>
        <v>-0.09</v>
      </c>
      <c r="AM58" s="306">
        <f t="shared" si="75"/>
        <v>0.77002341920374706</v>
      </c>
      <c r="AN58" s="186">
        <f t="shared" si="75"/>
        <v>-0.76489533011272137</v>
      </c>
      <c r="AO58" s="186">
        <f t="shared" si="75"/>
        <v>-0.17226666666666668</v>
      </c>
      <c r="AP58" s="186">
        <f t="shared" si="75"/>
        <v>-2.7906482465462275</v>
      </c>
      <c r="AQ58" s="186">
        <f t="shared" si="75"/>
        <v>-2.98</v>
      </c>
      <c r="AR58" s="306">
        <f t="shared" si="75"/>
        <v>-6.7282898241875335</v>
      </c>
      <c r="AS58" s="192">
        <f t="shared" si="75"/>
        <v>-9.0909090909090912E-2</v>
      </c>
      <c r="AT58" s="186">
        <f t="shared" si="75"/>
        <v>9.4644167278063102E-2</v>
      </c>
      <c r="AU58" s="186">
        <f t="shared" si="75"/>
        <v>-1.1982026959560658E-2</v>
      </c>
      <c r="AV58" s="186">
        <f t="shared" si="75"/>
        <v>-0.22994663820704375</v>
      </c>
      <c r="AW58" s="306">
        <f t="shared" si="75"/>
        <v>-0.21424962102071754</v>
      </c>
      <c r="AX58" s="186">
        <f t="shared" si="75"/>
        <v>0.21603260869565216</v>
      </c>
      <c r="AY58" s="186">
        <f t="shared" si="75"/>
        <v>-0.62852033974072419</v>
      </c>
      <c r="AZ58" s="186">
        <f t="shared" si="75"/>
        <v>-1.3203159280386134</v>
      </c>
      <c r="BA58" s="186">
        <f t="shared" si="75"/>
        <v>-1.3994362663098023</v>
      </c>
      <c r="BB58" s="306">
        <f t="shared" si="75"/>
        <v>-3.1988561372635282</v>
      </c>
      <c r="BC58" s="186">
        <f t="shared" si="75"/>
        <v>-0.74801835627868174</v>
      </c>
      <c r="BD58" s="186">
        <f t="shared" si="75"/>
        <v>-0.19033412887828163</v>
      </c>
      <c r="BE58" s="186">
        <f t="shared" si="75"/>
        <v>0.24282129913576805</v>
      </c>
      <c r="BF58" s="186">
        <f t="shared" si="75"/>
        <v>0.44554176072234764</v>
      </c>
      <c r="BG58" s="306">
        <f t="shared" si="75"/>
        <v>5.736714975845411E-3</v>
      </c>
      <c r="BH58" s="186">
        <f t="shared" si="75"/>
        <v>0.38542350623768878</v>
      </c>
      <c r="BI58" s="186">
        <f t="shared" si="75"/>
        <v>0.58655097613882867</v>
      </c>
      <c r="BJ58" s="186">
        <f t="shared" si="75"/>
        <v>0.45807379012937233</v>
      </c>
      <c r="BK58" s="186">
        <f t="shared" si="75"/>
        <v>0.3128418859077885</v>
      </c>
      <c r="BL58" s="306">
        <f t="shared" si="75"/>
        <v>1.8137865007180469</v>
      </c>
      <c r="BM58" s="186">
        <f t="shared" si="75"/>
        <v>0.38701359587435535</v>
      </c>
      <c r="BN58" s="186">
        <f t="shared" si="75"/>
        <v>0.38785958069234522</v>
      </c>
      <c r="BO58" s="186">
        <f t="shared" si="75"/>
        <v>0.2431158521458695</v>
      </c>
      <c r="BP58" s="186">
        <f t="shared" si="75"/>
        <v>0.12777085927770859</v>
      </c>
      <c r="BQ58" s="306">
        <f t="shared" ref="BQ58:CS58" si="76">BQ46/BQ54</f>
        <v>1.1517878861590853</v>
      </c>
      <c r="BR58" s="186">
        <f t="shared" si="76"/>
        <v>0.28902589395807643</v>
      </c>
      <c r="BS58" s="186">
        <f t="shared" si="76"/>
        <v>0.20453413054309916</v>
      </c>
      <c r="BT58" s="186">
        <f t="shared" si="76"/>
        <v>0.26007049345417926</v>
      </c>
      <c r="BU58" s="186">
        <f t="shared" si="76"/>
        <v>0.14321357285429143</v>
      </c>
      <c r="BV58" s="306">
        <f t="shared" si="76"/>
        <v>0.89663760896637612</v>
      </c>
      <c r="BW58" s="186">
        <f t="shared" si="76"/>
        <v>0.26326129666011788</v>
      </c>
      <c r="BX58" s="186">
        <f t="shared" si="76"/>
        <v>0.30484818805093045</v>
      </c>
      <c r="BY58" s="186">
        <f t="shared" si="76"/>
        <v>0.274658203125</v>
      </c>
      <c r="BZ58" s="186">
        <f t="shared" si="76"/>
        <v>0.15666178623718888</v>
      </c>
      <c r="CA58" s="306">
        <f t="shared" si="76"/>
        <v>0.99926596525568878</v>
      </c>
      <c r="CB58" s="186">
        <f t="shared" si="76"/>
        <v>7.7674645823155836E-2</v>
      </c>
      <c r="CC58" s="186">
        <f t="shared" si="76"/>
        <v>0.21453033268101762</v>
      </c>
      <c r="CD58" s="186">
        <f t="shared" si="76"/>
        <v>5.0623441396508727E-2</v>
      </c>
      <c r="CE58" s="186">
        <f t="shared" si="76"/>
        <v>0.26204972095383056</v>
      </c>
      <c r="CF58" s="306">
        <f t="shared" si="76"/>
        <v>0.60270236767075736</v>
      </c>
      <c r="CG58" s="186">
        <f t="shared" si="76"/>
        <v>0.11297175706073481</v>
      </c>
      <c r="CH58" s="186">
        <f t="shared" si="76"/>
        <v>0.33241826803094582</v>
      </c>
      <c r="CI58" s="186">
        <f t="shared" si="76"/>
        <v>0.34833708427106774</v>
      </c>
      <c r="CJ58" s="186">
        <f t="shared" si="76"/>
        <v>0.32758620689655171</v>
      </c>
      <c r="CK58" s="306">
        <f t="shared" si="76"/>
        <v>1.3967415227737441</v>
      </c>
      <c r="CL58" s="186">
        <f t="shared" si="76"/>
        <v>0.61361361361361366</v>
      </c>
      <c r="CM58" s="186">
        <f t="shared" si="76"/>
        <v>0.49286965223917939</v>
      </c>
      <c r="CN58" s="186">
        <f t="shared" si="76"/>
        <v>0.23924999999999999</v>
      </c>
      <c r="CO58" s="186">
        <f t="shared" si="76"/>
        <v>-0.19575000000000001</v>
      </c>
      <c r="CP58" s="306">
        <f t="shared" si="76"/>
        <v>1.1495029075220409</v>
      </c>
      <c r="CQ58" s="186">
        <f t="shared" si="76"/>
        <v>0.39684921230307579</v>
      </c>
      <c r="CR58" s="186">
        <f t="shared" si="76"/>
        <v>0.51101101101101098</v>
      </c>
      <c r="CS58" s="186">
        <f t="shared" si="76"/>
        <v>0.3913913913913914</v>
      </c>
      <c r="CT58" s="186">
        <v>0.39</v>
      </c>
      <c r="CU58" s="306">
        <f t="shared" ref="CU58:DC58" si="77">CU46/CU54</f>
        <v>1.9015696329185168</v>
      </c>
      <c r="CV58" s="186">
        <f t="shared" si="77"/>
        <v>0.37314224740890845</v>
      </c>
      <c r="CW58" s="186">
        <f t="shared" si="77"/>
        <v>0.44167007940816777</v>
      </c>
      <c r="CX58" s="186">
        <f t="shared" si="77"/>
        <v>0.33243830271869212</v>
      </c>
      <c r="CY58" s="186">
        <f t="shared" si="77"/>
        <v>0.29576665208125069</v>
      </c>
      <c r="CZ58" s="306">
        <f t="shared" si="77"/>
        <v>1.443017281617019</v>
      </c>
      <c r="DA58" s="306">
        <f t="shared" si="77"/>
        <v>1.2574398006412264</v>
      </c>
      <c r="DB58" s="306">
        <f t="shared" si="77"/>
        <v>1.3256581182789064</v>
      </c>
      <c r="DC58" s="306">
        <f t="shared" si="77"/>
        <v>1.4211972260600074</v>
      </c>
      <c r="DD58" s="165"/>
      <c r="DE58" s="192"/>
      <c r="DF58" s="306">
        <f>CT58</f>
        <v>0.39</v>
      </c>
      <c r="DG58" s="306">
        <v>0.43598649642596904</v>
      </c>
      <c r="DH58" s="306">
        <f>CO58</f>
        <v>-0.19575000000000001</v>
      </c>
      <c r="DI58" s="456">
        <f>IF(ISERROR(DF58/DG58-1),"NM",DF58/DG58-1)</f>
        <v>-0.105476882433164</v>
      </c>
      <c r="DJ58" s="456">
        <f>IF(ISERROR(DF58/DH58-1),"NM",DF58/DH58-1)</f>
        <v>-2.9923371647509578</v>
      </c>
      <c r="DK58" s="192"/>
      <c r="DL58" s="192"/>
      <c r="DM58" s="192"/>
      <c r="DT58" s="832"/>
      <c r="DU58" s="192"/>
      <c r="DV58" s="192"/>
      <c r="DW58" s="192"/>
      <c r="DX58" s="192"/>
      <c r="DY58" s="192"/>
      <c r="DZ58" s="192"/>
      <c r="EA58" s="192"/>
      <c r="EB58" s="192"/>
      <c r="EC58" s="6"/>
      <c r="ED58" s="6"/>
      <c r="EE58" s="192"/>
      <c r="EF58" s="192"/>
      <c r="EG58" s="192"/>
      <c r="EH58" s="7"/>
      <c r="EI58" s="7"/>
      <c r="EJ58" s="6"/>
      <c r="EK58" s="6"/>
      <c r="EL58" s="6"/>
    </row>
    <row r="59" spans="1:142" ht="12" customHeight="1">
      <c r="A59" s="1109">
        <f t="shared" si="0"/>
        <v>54</v>
      </c>
      <c r="B59" s="10"/>
      <c r="C59" s="2"/>
      <c r="D59" s="2"/>
      <c r="E59" s="269"/>
      <c r="F59" s="269"/>
      <c r="G59" s="269"/>
      <c r="H59" s="269"/>
      <c r="I59" s="269"/>
      <c r="J59" s="184"/>
      <c r="K59" s="184"/>
      <c r="L59" s="184"/>
      <c r="M59" s="184"/>
      <c r="N59" s="269"/>
      <c r="O59" s="184"/>
      <c r="P59" s="184"/>
      <c r="Q59" s="184"/>
      <c r="R59" s="184"/>
      <c r="S59" s="269"/>
      <c r="T59" s="184"/>
      <c r="U59" s="184"/>
      <c r="V59" s="184"/>
      <c r="W59" s="184"/>
      <c r="X59" s="269"/>
      <c r="Y59" s="184"/>
      <c r="Z59" s="184"/>
      <c r="AA59" s="184"/>
      <c r="AB59" s="184"/>
      <c r="AC59" s="269"/>
      <c r="AD59" s="184"/>
      <c r="AE59" s="184"/>
      <c r="AF59" s="184"/>
      <c r="AG59" s="184"/>
      <c r="AH59" s="269"/>
      <c r="AI59" s="184"/>
      <c r="AJ59" s="184"/>
      <c r="AK59" s="184"/>
      <c r="AL59" s="184"/>
      <c r="AM59" s="269"/>
      <c r="AN59" s="184"/>
      <c r="AO59" s="184"/>
      <c r="AP59" s="184"/>
      <c r="AQ59" s="184"/>
      <c r="AR59" s="269"/>
      <c r="AS59" s="184"/>
      <c r="AT59" s="184"/>
      <c r="AU59" s="184"/>
      <c r="AV59" s="184"/>
      <c r="AW59" s="269"/>
      <c r="AX59" s="184"/>
      <c r="AY59" s="184"/>
      <c r="AZ59" s="184"/>
      <c r="BA59" s="184"/>
      <c r="BB59" s="269"/>
      <c r="BC59" s="184"/>
      <c r="BD59" s="184"/>
      <c r="BE59" s="184"/>
      <c r="BF59" s="184"/>
      <c r="BG59" s="269"/>
      <c r="BH59" s="184"/>
      <c r="BI59" s="184"/>
      <c r="BJ59" s="184"/>
      <c r="BK59" s="184"/>
      <c r="BL59" s="269"/>
      <c r="BM59" s="184"/>
      <c r="BN59" s="184"/>
      <c r="BO59" s="184"/>
      <c r="BP59" s="184"/>
      <c r="BQ59" s="269"/>
      <c r="BR59" s="184"/>
      <c r="BS59" s="184"/>
      <c r="BT59" s="184"/>
      <c r="BU59" s="184"/>
      <c r="BV59" s="269"/>
      <c r="BW59" s="184"/>
      <c r="BX59" s="184"/>
      <c r="BY59" s="184"/>
      <c r="BZ59" s="184"/>
      <c r="CA59" s="269"/>
      <c r="CB59" s="184"/>
      <c r="CC59" s="184"/>
      <c r="CD59" s="184"/>
      <c r="CE59" s="184"/>
      <c r="CF59" s="269"/>
      <c r="CG59" s="184"/>
      <c r="CH59" s="184"/>
      <c r="CI59" s="184"/>
      <c r="CJ59" s="184"/>
      <c r="CK59" s="269"/>
      <c r="CL59" s="184"/>
      <c r="CM59" s="184"/>
      <c r="CN59" s="184"/>
      <c r="CO59" s="184"/>
      <c r="CP59" s="269"/>
      <c r="CQ59" s="184"/>
      <c r="CR59" s="184"/>
      <c r="CS59" s="184"/>
      <c r="CT59" s="184"/>
      <c r="CU59" s="269"/>
      <c r="CV59" s="184"/>
      <c r="CW59" s="184"/>
      <c r="CX59" s="184"/>
      <c r="CY59" s="184"/>
      <c r="CZ59" s="73"/>
      <c r="DA59" s="73"/>
      <c r="DB59" s="73"/>
      <c r="DC59" s="73"/>
      <c r="DD59" s="165"/>
      <c r="DE59" s="187"/>
      <c r="DF59" s="269"/>
      <c r="DG59" s="269"/>
      <c r="DH59" s="269"/>
      <c r="DI59" s="450"/>
      <c r="DJ59" s="450"/>
      <c r="DK59" s="187"/>
      <c r="DL59" s="187"/>
      <c r="DM59" s="187"/>
      <c r="DT59" s="832"/>
      <c r="DU59" s="192"/>
      <c r="DV59" s="192"/>
      <c r="DW59" s="192"/>
      <c r="DX59" s="192"/>
      <c r="DY59" s="192"/>
      <c r="DZ59" s="192"/>
      <c r="EA59" s="192"/>
      <c r="EB59" s="192"/>
      <c r="EC59" s="2"/>
      <c r="ED59" s="2"/>
      <c r="EE59" s="187"/>
      <c r="EF59" s="187"/>
      <c r="EG59" s="187"/>
      <c r="EH59" s="188"/>
      <c r="EI59" s="188"/>
      <c r="EJ59" s="2"/>
      <c r="EK59" s="2"/>
      <c r="EL59" s="2"/>
    </row>
    <row r="60" spans="1:142" ht="12" customHeight="1">
      <c r="A60" s="1109">
        <f t="shared" si="0"/>
        <v>55</v>
      </c>
      <c r="B60" s="10"/>
      <c r="C60" s="24" t="s">
        <v>191</v>
      </c>
      <c r="D60" s="2"/>
      <c r="E60" s="269"/>
      <c r="F60" s="269"/>
      <c r="G60" s="269"/>
      <c r="H60" s="269"/>
      <c r="I60" s="269"/>
      <c r="J60" s="184"/>
      <c r="K60" s="184"/>
      <c r="L60" s="184"/>
      <c r="M60" s="184"/>
      <c r="N60" s="269"/>
      <c r="O60" s="184"/>
      <c r="P60" s="184"/>
      <c r="Q60" s="184"/>
      <c r="R60" s="184"/>
      <c r="S60" s="269"/>
      <c r="T60" s="184"/>
      <c r="U60" s="184"/>
      <c r="V60" s="184"/>
      <c r="W60" s="184"/>
      <c r="X60" s="269"/>
      <c r="Y60" s="184"/>
      <c r="Z60" s="184"/>
      <c r="AA60" s="184"/>
      <c r="AB60" s="184"/>
      <c r="AC60" s="269"/>
      <c r="AD60" s="184"/>
      <c r="AE60" s="184"/>
      <c r="AF60" s="184"/>
      <c r="AG60" s="184"/>
      <c r="AH60" s="269"/>
      <c r="AI60" s="184"/>
      <c r="AJ60" s="184"/>
      <c r="AK60" s="184"/>
      <c r="AL60" s="184"/>
      <c r="AM60" s="269"/>
      <c r="AN60" s="184"/>
      <c r="AO60" s="184"/>
      <c r="AP60" s="184"/>
      <c r="AQ60" s="184"/>
      <c r="AR60" s="269"/>
      <c r="AS60" s="184"/>
      <c r="AT60" s="184"/>
      <c r="AU60" s="184"/>
      <c r="AV60" s="184"/>
      <c r="AW60" s="269"/>
      <c r="AX60" s="184"/>
      <c r="AY60" s="184"/>
      <c r="AZ60" s="184"/>
      <c r="BA60" s="184"/>
      <c r="BB60" s="269"/>
      <c r="BC60" s="184"/>
      <c r="BD60" s="184"/>
      <c r="BE60" s="184"/>
      <c r="BF60" s="184"/>
      <c r="BG60" s="269"/>
      <c r="BH60" s="184"/>
      <c r="BI60" s="184"/>
      <c r="BJ60" s="184"/>
      <c r="BK60" s="184"/>
      <c r="BL60" s="269"/>
      <c r="BM60" s="184"/>
      <c r="BN60" s="184"/>
      <c r="BO60" s="184"/>
      <c r="BP60" s="184"/>
      <c r="BQ60" s="269"/>
      <c r="BR60" s="184"/>
      <c r="BS60" s="184"/>
      <c r="BT60" s="184"/>
      <c r="BU60" s="184"/>
      <c r="BV60" s="269"/>
      <c r="BW60" s="184"/>
      <c r="BX60" s="184"/>
      <c r="BY60" s="184"/>
      <c r="BZ60" s="184"/>
      <c r="CA60" s="269"/>
      <c r="CB60" s="184"/>
      <c r="CC60" s="184"/>
      <c r="CD60" s="184"/>
      <c r="CE60" s="184"/>
      <c r="CF60" s="269"/>
      <c r="CG60" s="184"/>
      <c r="CH60" s="184"/>
      <c r="CI60" s="184"/>
      <c r="CJ60" s="184"/>
      <c r="CK60" s="269"/>
      <c r="CL60" s="184"/>
      <c r="CM60" s="184"/>
      <c r="CN60" s="184"/>
      <c r="CO60" s="184"/>
      <c r="CP60" s="269"/>
      <c r="CQ60" s="184"/>
      <c r="CR60" s="3"/>
      <c r="CS60" s="3"/>
      <c r="CT60" s="3"/>
      <c r="CU60" s="66"/>
      <c r="CV60" s="3"/>
      <c r="CW60" s="3"/>
      <c r="CX60" s="3"/>
      <c r="CY60" s="3"/>
      <c r="CZ60" s="73"/>
      <c r="DA60" s="73"/>
      <c r="DB60" s="73"/>
      <c r="DC60" s="73"/>
      <c r="DD60" s="165"/>
      <c r="DE60" s="187"/>
      <c r="DF60" s="269"/>
      <c r="DG60" s="269"/>
      <c r="DH60" s="269"/>
      <c r="DI60" s="450"/>
      <c r="DJ60" s="450"/>
      <c r="DK60" s="189"/>
      <c r="DL60" s="189"/>
      <c r="DM60" s="189"/>
      <c r="DT60" s="833"/>
      <c r="DU60" s="125"/>
      <c r="DV60" s="125"/>
      <c r="DW60" s="125"/>
      <c r="DX60" s="125"/>
      <c r="DY60" s="125"/>
      <c r="DZ60" s="125"/>
      <c r="EA60" s="125"/>
      <c r="EB60" s="125"/>
      <c r="EC60" s="2"/>
      <c r="ED60" s="2"/>
      <c r="EE60" s="187"/>
      <c r="EF60" s="187"/>
      <c r="EG60" s="187"/>
      <c r="EH60" s="188"/>
      <c r="EI60" s="188"/>
      <c r="EJ60" s="2"/>
      <c r="EK60" s="2"/>
      <c r="EL60" s="2"/>
    </row>
    <row r="61" spans="1:142" ht="12" customHeight="1">
      <c r="A61" s="1109">
        <f t="shared" si="0"/>
        <v>56</v>
      </c>
      <c r="B61" s="10"/>
      <c r="C61" s="190"/>
      <c r="D61" s="2"/>
      <c r="E61" s="269"/>
      <c r="F61" s="269"/>
      <c r="G61" s="269"/>
      <c r="H61" s="269"/>
      <c r="I61" s="269"/>
      <c r="J61" s="184"/>
      <c r="K61" s="184"/>
      <c r="L61" s="184"/>
      <c r="M61" s="184"/>
      <c r="N61" s="269"/>
      <c r="O61" s="184"/>
      <c r="P61" s="184"/>
      <c r="Q61" s="184"/>
      <c r="R61" s="184"/>
      <c r="S61" s="269"/>
      <c r="T61" s="184"/>
      <c r="U61" s="184"/>
      <c r="V61" s="184"/>
      <c r="W61" s="184"/>
      <c r="X61" s="269"/>
      <c r="Y61" s="184"/>
      <c r="Z61" s="184"/>
      <c r="AA61" s="184"/>
      <c r="AB61" s="184"/>
      <c r="AC61" s="269"/>
      <c r="AD61" s="184"/>
      <c r="AE61" s="184"/>
      <c r="AF61" s="184"/>
      <c r="AG61" s="184"/>
      <c r="AH61" s="269"/>
      <c r="AI61" s="184"/>
      <c r="AJ61" s="184"/>
      <c r="AK61" s="184"/>
      <c r="AL61" s="184"/>
      <c r="AM61" s="269"/>
      <c r="AN61" s="184"/>
      <c r="AO61" s="184"/>
      <c r="AP61" s="184"/>
      <c r="AQ61" s="184"/>
      <c r="AR61" s="269"/>
      <c r="AS61" s="184"/>
      <c r="AT61" s="184"/>
      <c r="AU61" s="184"/>
      <c r="AV61" s="184"/>
      <c r="AW61" s="269"/>
      <c r="AX61" s="184"/>
      <c r="AY61" s="184"/>
      <c r="AZ61" s="184"/>
      <c r="BA61" s="184"/>
      <c r="BB61" s="269"/>
      <c r="BC61" s="184"/>
      <c r="BD61" s="184"/>
      <c r="BE61" s="184"/>
      <c r="BF61" s="184"/>
      <c r="BG61" s="269"/>
      <c r="BH61" s="184"/>
      <c r="BI61" s="184"/>
      <c r="BJ61" s="184"/>
      <c r="BK61" s="184"/>
      <c r="BL61" s="269"/>
      <c r="BM61" s="184"/>
      <c r="BN61" s="184"/>
      <c r="BO61" s="184"/>
      <c r="BP61" s="184"/>
      <c r="BQ61" s="269"/>
      <c r="BR61" s="184"/>
      <c r="BS61" s="184"/>
      <c r="BT61" s="184"/>
      <c r="BU61" s="184"/>
      <c r="BV61" s="269"/>
      <c r="BW61" s="184"/>
      <c r="BX61" s="184"/>
      <c r="BY61" s="184"/>
      <c r="BZ61" s="184"/>
      <c r="CA61" s="269"/>
      <c r="CB61" s="184"/>
      <c r="CC61" s="184"/>
      <c r="CD61" s="184"/>
      <c r="CE61" s="184"/>
      <c r="CF61" s="269"/>
      <c r="CG61" s="184"/>
      <c r="CH61" s="184"/>
      <c r="CI61" s="184"/>
      <c r="CJ61" s="184"/>
      <c r="CK61" s="269"/>
      <c r="CL61" s="184"/>
      <c r="CM61" s="184"/>
      <c r="CN61" s="184"/>
      <c r="CO61" s="184"/>
      <c r="CP61" s="269"/>
      <c r="CQ61" s="184"/>
      <c r="CR61" s="184"/>
      <c r="CS61" s="874"/>
      <c r="CT61" s="184"/>
      <c r="CU61" s="269"/>
      <c r="CV61" s="184"/>
      <c r="CW61" s="184"/>
      <c r="CX61" s="184"/>
      <c r="CY61" s="184"/>
      <c r="CZ61" s="269"/>
      <c r="DA61" s="269"/>
      <c r="DB61" s="269"/>
      <c r="DC61" s="269"/>
      <c r="DD61" s="165"/>
      <c r="DE61" s="187"/>
      <c r="DF61" s="269"/>
      <c r="DG61" s="269"/>
      <c r="DH61" s="269"/>
      <c r="DI61" s="450"/>
      <c r="DJ61" s="450"/>
      <c r="DK61" s="189"/>
      <c r="DL61" s="189"/>
      <c r="DM61" s="189"/>
      <c r="DT61" s="833"/>
      <c r="DU61" s="125"/>
      <c r="DV61" s="125"/>
      <c r="DW61" s="125"/>
      <c r="DX61" s="3"/>
      <c r="DY61" s="3"/>
      <c r="DZ61" s="3"/>
      <c r="EA61" s="3"/>
      <c r="EB61" s="3"/>
      <c r="EC61" s="2"/>
      <c r="ED61" s="2"/>
      <c r="EE61" s="187"/>
      <c r="EF61" s="187"/>
      <c r="EG61" s="187"/>
      <c r="EH61" s="188"/>
      <c r="EI61" s="188"/>
      <c r="EJ61" s="2"/>
      <c r="EK61" s="2"/>
      <c r="EL61" s="2"/>
    </row>
    <row r="62" spans="1:142" ht="12" customHeight="1">
      <c r="A62" s="1109">
        <f t="shared" si="0"/>
        <v>57</v>
      </c>
      <c r="B62" s="10"/>
      <c r="C62" s="2" t="s">
        <v>16</v>
      </c>
      <c r="D62" s="2"/>
      <c r="E62" s="237">
        <f t="shared" ref="E62:AJ62" si="78">E27+E133</f>
        <v>18400</v>
      </c>
      <c r="F62" s="237">
        <f t="shared" si="78"/>
        <v>18794</v>
      </c>
      <c r="G62" s="237">
        <f t="shared" si="78"/>
        <v>24013</v>
      </c>
      <c r="H62" s="237">
        <f t="shared" si="78"/>
        <v>23445</v>
      </c>
      <c r="I62" s="237">
        <f t="shared" si="78"/>
        <v>24290</v>
      </c>
      <c r="J62" s="173">
        <f t="shared" si="78"/>
        <v>6590</v>
      </c>
      <c r="K62" s="173">
        <f t="shared" si="78"/>
        <v>5802</v>
      </c>
      <c r="L62" s="173">
        <f t="shared" si="78"/>
        <v>5055</v>
      </c>
      <c r="M62" s="173">
        <f t="shared" si="78"/>
        <v>5252</v>
      </c>
      <c r="N62" s="237">
        <f t="shared" si="78"/>
        <v>22699</v>
      </c>
      <c r="O62" s="173">
        <f t="shared" si="78"/>
        <v>5713.75</v>
      </c>
      <c r="P62" s="173">
        <f t="shared" si="78"/>
        <v>3048.75</v>
      </c>
      <c r="Q62" s="173">
        <f t="shared" si="78"/>
        <v>3332.75</v>
      </c>
      <c r="R62" s="173">
        <f t="shared" si="78"/>
        <v>-2887.25</v>
      </c>
      <c r="S62" s="237">
        <f t="shared" si="78"/>
        <v>9208</v>
      </c>
      <c r="T62" s="173">
        <f t="shared" si="78"/>
        <v>3801.25</v>
      </c>
      <c r="U62" s="173">
        <f t="shared" si="78"/>
        <v>4620.25</v>
      </c>
      <c r="V62" s="173">
        <f t="shared" si="78"/>
        <v>3362.25</v>
      </c>
      <c r="W62" s="173">
        <f t="shared" si="78"/>
        <v>3501.25</v>
      </c>
      <c r="X62" s="237">
        <f t="shared" si="78"/>
        <v>15285</v>
      </c>
      <c r="Y62" s="173">
        <f t="shared" si="78"/>
        <v>4728.75</v>
      </c>
      <c r="Z62" s="173">
        <f t="shared" si="78"/>
        <v>4069.75</v>
      </c>
      <c r="AA62" s="173">
        <f t="shared" si="78"/>
        <v>3574.75</v>
      </c>
      <c r="AB62" s="173">
        <f t="shared" si="78"/>
        <v>2225.75</v>
      </c>
      <c r="AC62" s="237">
        <f t="shared" si="78"/>
        <v>14599</v>
      </c>
      <c r="AD62" s="173">
        <f t="shared" si="78"/>
        <v>5921.5</v>
      </c>
      <c r="AE62" s="173">
        <f t="shared" si="78"/>
        <v>4680.5</v>
      </c>
      <c r="AF62" s="173">
        <f t="shared" si="78"/>
        <v>3537.5</v>
      </c>
      <c r="AG62" s="173">
        <f t="shared" si="78"/>
        <v>1764.5</v>
      </c>
      <c r="AH62" s="237">
        <f t="shared" si="78"/>
        <v>15904</v>
      </c>
      <c r="AI62" s="173">
        <f t="shared" si="78"/>
        <v>4841.75</v>
      </c>
      <c r="AJ62" s="173">
        <f t="shared" si="78"/>
        <v>3940.75</v>
      </c>
      <c r="AK62" s="173">
        <f t="shared" ref="AK62:BP62" si="79">AK27+AK133</f>
        <v>2219.75</v>
      </c>
      <c r="AL62" s="173">
        <f t="shared" si="79"/>
        <v>1458.75</v>
      </c>
      <c r="AM62" s="237">
        <f t="shared" si="79"/>
        <v>12461</v>
      </c>
      <c r="AN62" s="173">
        <f t="shared" si="79"/>
        <v>1472.25</v>
      </c>
      <c r="AO62" s="173">
        <f t="shared" si="79"/>
        <v>2929.25</v>
      </c>
      <c r="AP62" s="173">
        <f t="shared" si="79"/>
        <v>-2866.75</v>
      </c>
      <c r="AQ62" s="173">
        <f t="shared" si="79"/>
        <v>-2054.75</v>
      </c>
      <c r="AR62" s="237">
        <f>AR27+AR133</f>
        <v>-520</v>
      </c>
      <c r="AS62" s="173">
        <f t="shared" si="79"/>
        <v>2929</v>
      </c>
      <c r="AT62" s="173">
        <f t="shared" si="79"/>
        <v>3048</v>
      </c>
      <c r="AU62" s="173">
        <f t="shared" si="79"/>
        <v>3622</v>
      </c>
      <c r="AV62" s="173">
        <f t="shared" si="79"/>
        <v>2029</v>
      </c>
      <c r="AW62" s="237">
        <f t="shared" si="79"/>
        <v>11628</v>
      </c>
      <c r="AX62" s="173">
        <f t="shared" si="79"/>
        <v>3373.5</v>
      </c>
      <c r="AY62" s="173">
        <f t="shared" si="79"/>
        <v>1824.5</v>
      </c>
      <c r="AZ62" s="173">
        <f t="shared" si="79"/>
        <v>254.5</v>
      </c>
      <c r="BA62" s="173">
        <f t="shared" si="79"/>
        <v>-1005.5</v>
      </c>
      <c r="BB62" s="237">
        <f t="shared" si="79"/>
        <v>4447</v>
      </c>
      <c r="BC62" s="173">
        <f t="shared" si="79"/>
        <v>-972.25</v>
      </c>
      <c r="BD62" s="173">
        <f t="shared" si="79"/>
        <v>530.75</v>
      </c>
      <c r="BE62" s="173">
        <f t="shared" si="79"/>
        <v>2788.75</v>
      </c>
      <c r="BF62" s="173">
        <f t="shared" si="79"/>
        <v>3418.75</v>
      </c>
      <c r="BG62" s="237">
        <f t="shared" si="79"/>
        <v>5766</v>
      </c>
      <c r="BH62" s="173">
        <f t="shared" si="79"/>
        <v>3216</v>
      </c>
      <c r="BI62" s="173">
        <f t="shared" si="79"/>
        <v>4301</v>
      </c>
      <c r="BJ62" s="173">
        <f t="shared" si="79"/>
        <v>3081</v>
      </c>
      <c r="BK62" s="173">
        <f t="shared" si="79"/>
        <v>2083</v>
      </c>
      <c r="BL62" s="237">
        <f t="shared" si="79"/>
        <v>12681</v>
      </c>
      <c r="BM62" s="173">
        <f t="shared" si="79"/>
        <v>3852</v>
      </c>
      <c r="BN62" s="173">
        <f t="shared" si="79"/>
        <v>3833</v>
      </c>
      <c r="BO62" s="173">
        <f t="shared" si="79"/>
        <v>2909</v>
      </c>
      <c r="BP62" s="173">
        <f t="shared" si="79"/>
        <v>2978</v>
      </c>
      <c r="BQ62" s="237">
        <f t="shared" ref="BQ62:CV62" si="80">BQ27+BQ133</f>
        <v>13572</v>
      </c>
      <c r="BR62" s="173">
        <f t="shared" si="80"/>
        <v>3443.5</v>
      </c>
      <c r="BS62" s="173">
        <f t="shared" si="80"/>
        <v>3006.5</v>
      </c>
      <c r="BT62" s="173">
        <f t="shared" si="80"/>
        <v>3191.5</v>
      </c>
      <c r="BU62" s="173">
        <f t="shared" si="80"/>
        <v>2527.5</v>
      </c>
      <c r="BV62" s="237">
        <f t="shared" si="80"/>
        <v>12169</v>
      </c>
      <c r="BW62" s="173">
        <f t="shared" si="80"/>
        <v>3408</v>
      </c>
      <c r="BX62" s="173">
        <f t="shared" si="80"/>
        <v>3800</v>
      </c>
      <c r="BY62" s="173">
        <f t="shared" si="80"/>
        <v>3723</v>
      </c>
      <c r="BZ62" s="173">
        <f t="shared" si="80"/>
        <v>2501</v>
      </c>
      <c r="CA62" s="237">
        <f t="shared" si="80"/>
        <v>13432</v>
      </c>
      <c r="CB62" s="173">
        <f t="shared" si="80"/>
        <v>2734.25</v>
      </c>
      <c r="CC62" s="173">
        <f t="shared" si="80"/>
        <v>3899.25</v>
      </c>
      <c r="CD62" s="173">
        <f t="shared" si="80"/>
        <v>2498.25</v>
      </c>
      <c r="CE62" s="173">
        <f t="shared" si="80"/>
        <v>3389.25</v>
      </c>
      <c r="CF62" s="237">
        <f t="shared" si="80"/>
        <v>12521</v>
      </c>
      <c r="CG62" s="173">
        <f t="shared" si="80"/>
        <v>3241.25</v>
      </c>
      <c r="CH62" s="173">
        <f t="shared" si="80"/>
        <v>4646.25</v>
      </c>
      <c r="CI62" s="173">
        <f t="shared" si="80"/>
        <v>4638.25</v>
      </c>
      <c r="CJ62" s="173">
        <f t="shared" si="80"/>
        <v>3812.25</v>
      </c>
      <c r="CK62" s="237">
        <f t="shared" si="80"/>
        <v>17988.108759521216</v>
      </c>
      <c r="CL62" s="173">
        <f t="shared" si="80"/>
        <v>6307.75</v>
      </c>
      <c r="CM62" s="173">
        <f t="shared" si="80"/>
        <v>5473.75</v>
      </c>
      <c r="CN62" s="173">
        <f t="shared" si="80"/>
        <v>3920.75</v>
      </c>
      <c r="CO62" s="173">
        <f t="shared" si="80"/>
        <v>4645.75</v>
      </c>
      <c r="CP62" s="237">
        <f t="shared" si="80"/>
        <v>20348</v>
      </c>
      <c r="CQ62" s="173">
        <f t="shared" si="80"/>
        <v>3712</v>
      </c>
      <c r="CR62" s="173">
        <f t="shared" si="80"/>
        <v>3998</v>
      </c>
      <c r="CS62" s="173">
        <f t="shared" si="80"/>
        <v>3572</v>
      </c>
      <c r="CT62" s="173">
        <f t="shared" si="80"/>
        <v>3344</v>
      </c>
      <c r="CU62" s="237">
        <f t="shared" si="80"/>
        <v>14626</v>
      </c>
      <c r="CV62" s="173">
        <f t="shared" si="80"/>
        <v>3557.4171999999999</v>
      </c>
      <c r="CW62" s="173">
        <f t="shared" ref="CW62:DC62" si="81">CW27+CW133</f>
        <v>3905.9428000000007</v>
      </c>
      <c r="CX62" s="173">
        <f t="shared" si="81"/>
        <v>3259.6812</v>
      </c>
      <c r="CY62" s="173">
        <f t="shared" si="81"/>
        <v>3285.9544000000001</v>
      </c>
      <c r="CZ62" s="237">
        <f t="shared" si="81"/>
        <v>14008.9956</v>
      </c>
      <c r="DA62" s="237">
        <f t="shared" si="81"/>
        <v>13865.214600870164</v>
      </c>
      <c r="DB62" s="237">
        <f t="shared" si="81"/>
        <v>14598.748771458228</v>
      </c>
      <c r="DC62" s="237">
        <f t="shared" si="81"/>
        <v>15414.172806969214</v>
      </c>
      <c r="DD62" s="165"/>
      <c r="DE62" s="173"/>
      <c r="DF62" s="237">
        <f>CT62</f>
        <v>3344</v>
      </c>
      <c r="DG62" s="237">
        <v>3858.5580319249489</v>
      </c>
      <c r="DH62" s="237">
        <f>CO62</f>
        <v>4645.75</v>
      </c>
      <c r="DI62" s="450">
        <f>IF(ISERROR(DF62/DG62-1),"NM",DF62/DG62-1)</f>
        <v>-0.13335500662879685</v>
      </c>
      <c r="DJ62" s="450">
        <f>IF(ISERROR(DF62/DH62-1),"NM",DF62/DH62-1)</f>
        <v>-0.28020233546790074</v>
      </c>
      <c r="DK62" s="173"/>
      <c r="DL62" s="173"/>
      <c r="DM62" s="173"/>
      <c r="DT62" s="834"/>
      <c r="DU62" s="173"/>
      <c r="DV62" s="173"/>
      <c r="DW62" s="173"/>
      <c r="DX62" s="173"/>
      <c r="DY62" s="173"/>
      <c r="DZ62" s="173"/>
      <c r="EA62" s="173"/>
      <c r="EB62" s="173"/>
      <c r="EC62" s="2"/>
      <c r="ED62" s="2"/>
      <c r="EE62" s="173"/>
      <c r="EF62" s="173"/>
      <c r="EG62" s="173"/>
      <c r="EH62" s="174"/>
      <c r="EI62" s="174"/>
      <c r="EJ62" s="2"/>
      <c r="EK62" s="2"/>
      <c r="EL62" s="2"/>
    </row>
    <row r="63" spans="1:142" ht="12" customHeight="1">
      <c r="A63" s="1109">
        <f t="shared" si="0"/>
        <v>58</v>
      </c>
      <c r="B63" s="10"/>
      <c r="C63" s="45" t="s">
        <v>77</v>
      </c>
      <c r="D63" s="38"/>
      <c r="E63" s="236">
        <f t="shared" ref="E63:AJ63" si="82">E62/E15</f>
        <v>0.13417239694611957</v>
      </c>
      <c r="F63" s="236">
        <f t="shared" si="82"/>
        <v>0.12785816818716791</v>
      </c>
      <c r="G63" s="236">
        <f t="shared" si="82"/>
        <v>0.15630715954877725</v>
      </c>
      <c r="H63" s="236">
        <f t="shared" si="82"/>
        <v>0.16234350764458233</v>
      </c>
      <c r="I63" s="236">
        <f t="shared" si="82"/>
        <v>0.15119072813056306</v>
      </c>
      <c r="J63" s="152">
        <f t="shared" si="82"/>
        <v>0.15363454096143983</v>
      </c>
      <c r="K63" s="152">
        <f t="shared" si="82"/>
        <v>0.13038495247084203</v>
      </c>
      <c r="L63" s="152">
        <f t="shared" si="82"/>
        <v>0.12620147297465983</v>
      </c>
      <c r="M63" s="152">
        <f t="shared" si="82"/>
        <v>0.12325745130251115</v>
      </c>
      <c r="N63" s="236">
        <f t="shared" si="82"/>
        <v>0.13347798986228229</v>
      </c>
      <c r="O63" s="152">
        <f t="shared" si="82"/>
        <v>0.13461221316496255</v>
      </c>
      <c r="P63" s="152">
        <f t="shared" si="82"/>
        <v>7.2050621543697124E-2</v>
      </c>
      <c r="Q63" s="152">
        <f t="shared" si="82"/>
        <v>9.1750633190177289E-2</v>
      </c>
      <c r="R63" s="152">
        <f t="shared" si="82"/>
        <v>-7.2781699016889342E-2</v>
      </c>
      <c r="S63" s="236">
        <f t="shared" si="82"/>
        <v>5.7280067681053037E-2</v>
      </c>
      <c r="T63" s="152">
        <f t="shared" si="82"/>
        <v>9.6056654789881984E-2</v>
      </c>
      <c r="U63" s="152">
        <f t="shared" si="82"/>
        <v>0.10946643921624376</v>
      </c>
      <c r="V63" s="152">
        <f t="shared" si="82"/>
        <v>8.5470791600996493E-2</v>
      </c>
      <c r="W63" s="152">
        <f t="shared" si="82"/>
        <v>8.5109874082356943E-2</v>
      </c>
      <c r="X63" s="236">
        <f t="shared" si="82"/>
        <v>9.4202987871018634E-2</v>
      </c>
      <c r="Y63" s="152">
        <f t="shared" si="82"/>
        <v>0.11585814038956266</v>
      </c>
      <c r="Z63" s="152">
        <f t="shared" si="82"/>
        <v>0.10028460893992411</v>
      </c>
      <c r="AA63" s="152">
        <f t="shared" si="82"/>
        <v>9.7293288334875619E-2</v>
      </c>
      <c r="AB63" s="152">
        <f t="shared" si="82"/>
        <v>4.81774497283491E-2</v>
      </c>
      <c r="AC63" s="236">
        <f t="shared" si="82"/>
        <v>8.8835205491121949E-2</v>
      </c>
      <c r="AD63" s="152">
        <f t="shared" si="82"/>
        <v>0.1324039085034546</v>
      </c>
      <c r="AE63" s="152">
        <f t="shared" si="82"/>
        <v>0.10917127329554731</v>
      </c>
      <c r="AF63" s="152">
        <f t="shared" si="82"/>
        <v>9.042458014876921E-2</v>
      </c>
      <c r="AG63" s="152">
        <f t="shared" si="82"/>
        <v>3.8696024035614819E-2</v>
      </c>
      <c r="AH63" s="236">
        <f t="shared" si="82"/>
        <v>9.2295550035980403E-2</v>
      </c>
      <c r="AI63" s="152">
        <f t="shared" si="82"/>
        <v>0.10727024991137894</v>
      </c>
      <c r="AJ63" s="152">
        <f t="shared" si="82"/>
        <v>8.72503653190453E-2</v>
      </c>
      <c r="AK63" s="152">
        <f t="shared" ref="AK63:BP63" si="83">AK62/AK15</f>
        <v>5.4795112317946183E-2</v>
      </c>
      <c r="AL63" s="152">
        <f t="shared" si="83"/>
        <v>3.1654153285305096E-2</v>
      </c>
      <c r="AM63" s="236">
        <f t="shared" si="83"/>
        <v>7.0442519898697542E-2</v>
      </c>
      <c r="AN63" s="152">
        <f t="shared" si="83"/>
        <v>3.6094290127240185E-2</v>
      </c>
      <c r="AO63" s="152">
        <f t="shared" si="83"/>
        <v>6.9947227661301875E-2</v>
      </c>
      <c r="AP63" s="152">
        <f t="shared" si="83"/>
        <v>-7.7281304758053643E-2</v>
      </c>
      <c r="AQ63" s="152">
        <f t="shared" si="83"/>
        <v>-5.0982557129742201E-2</v>
      </c>
      <c r="AR63" s="236">
        <f t="shared" si="83"/>
        <v>-3.2486802236591384E-3</v>
      </c>
      <c r="AS63" s="152">
        <f t="shared" si="83"/>
        <v>6.8108359493082193E-2</v>
      </c>
      <c r="AT63" s="152">
        <f t="shared" si="83"/>
        <v>6.8893811310519415E-2</v>
      </c>
      <c r="AU63" s="152">
        <f t="shared" si="83"/>
        <v>8.8173718292029801E-2</v>
      </c>
      <c r="AV63" s="152">
        <f t="shared" si="83"/>
        <v>4.5977792884658961E-2</v>
      </c>
      <c r="AW63" s="236">
        <f t="shared" si="83"/>
        <v>6.7426285117856838E-2</v>
      </c>
      <c r="AX63" s="152">
        <f t="shared" si="83"/>
        <v>7.7924327820382513E-2</v>
      </c>
      <c r="AY63" s="152">
        <f t="shared" si="83"/>
        <v>4.438956741764391E-2</v>
      </c>
      <c r="AZ63" s="152">
        <f t="shared" si="83"/>
        <v>8.0167580167580174E-3</v>
      </c>
      <c r="BA63" s="152">
        <f t="shared" si="83"/>
        <v>-3.4703527300338231E-2</v>
      </c>
      <c r="BB63" s="236">
        <f t="shared" si="83"/>
        <v>3.0644872307289441E-2</v>
      </c>
      <c r="BC63" s="152">
        <f t="shared" si="83"/>
        <v>-3.9862648626486266E-2</v>
      </c>
      <c r="BD63" s="152">
        <f t="shared" si="83"/>
        <v>1.9796717642670644E-2</v>
      </c>
      <c r="BE63" s="152">
        <f t="shared" si="83"/>
        <v>9.212308403805497E-2</v>
      </c>
      <c r="BF63" s="152">
        <f t="shared" si="83"/>
        <v>9.8208899485794726E-2</v>
      </c>
      <c r="BG63" s="236">
        <f t="shared" si="83"/>
        <v>4.9585923995768943E-2</v>
      </c>
      <c r="BH63" s="152">
        <f t="shared" si="83"/>
        <v>0.1018817715263258</v>
      </c>
      <c r="BI63" s="152">
        <f t="shared" si="83"/>
        <v>0.12265092537143182</v>
      </c>
      <c r="BJ63" s="152">
        <f t="shared" si="83"/>
        <v>0.10306760780115747</v>
      </c>
      <c r="BK63" s="152">
        <f t="shared" si="83"/>
        <v>6.4234612063648694E-2</v>
      </c>
      <c r="BL63" s="236">
        <f t="shared" si="83"/>
        <v>9.8337391628022394E-2</v>
      </c>
      <c r="BM63" s="152">
        <f t="shared" si="83"/>
        <v>0.11632542127196956</v>
      </c>
      <c r="BN63" s="152">
        <f t="shared" si="83"/>
        <v>0.10788977397472345</v>
      </c>
      <c r="BO63" s="152">
        <f t="shared" si="83"/>
        <v>8.8026144581959023E-2</v>
      </c>
      <c r="BP63" s="152">
        <f t="shared" si="83"/>
        <v>8.6129106894956037E-2</v>
      </c>
      <c r="BQ63" s="236">
        <f t="shared" ref="BQ63:CV63" si="84">BQ62/BQ15</f>
        <v>9.9600774966242006E-2</v>
      </c>
      <c r="BR63" s="152">
        <f t="shared" si="84"/>
        <v>0.10613345661889351</v>
      </c>
      <c r="BS63" s="152">
        <f t="shared" si="84"/>
        <v>9.0527234952274854E-2</v>
      </c>
      <c r="BT63" s="152">
        <f t="shared" si="84"/>
        <v>9.9201168718139998E-2</v>
      </c>
      <c r="BU63" s="152">
        <f t="shared" si="84"/>
        <v>7.0736895133077723E-2</v>
      </c>
      <c r="BV63" s="236">
        <f t="shared" si="84"/>
        <v>9.1113290755396495E-2</v>
      </c>
      <c r="BW63" s="152">
        <f t="shared" si="84"/>
        <v>9.5598754523268534E-2</v>
      </c>
      <c r="BX63" s="152">
        <f t="shared" si="84"/>
        <v>0.10020304300820083</v>
      </c>
      <c r="BY63" s="152">
        <f t="shared" si="84"/>
        <v>0.10406708595387841</v>
      </c>
      <c r="BZ63" s="152">
        <f t="shared" si="84"/>
        <v>6.656907106734096E-2</v>
      </c>
      <c r="CA63" s="236">
        <f t="shared" si="84"/>
        <v>9.1425771013565485E-2</v>
      </c>
      <c r="CB63" s="152">
        <f t="shared" si="84"/>
        <v>7.621390344520014E-2</v>
      </c>
      <c r="CC63" s="152">
        <f t="shared" si="84"/>
        <v>0.10422736628264415</v>
      </c>
      <c r="CD63" s="152">
        <f t="shared" si="84"/>
        <v>7.1542096219931267E-2</v>
      </c>
      <c r="CE63" s="152">
        <f t="shared" si="84"/>
        <v>9.4487036520769452E-2</v>
      </c>
      <c r="CF63" s="236">
        <f t="shared" si="84"/>
        <v>8.6904918897533961E-2</v>
      </c>
      <c r="CG63" s="152">
        <f t="shared" si="84"/>
        <v>9.5612094395280234E-2</v>
      </c>
      <c r="CH63" s="152">
        <f t="shared" si="84"/>
        <v>0.12468802833910313</v>
      </c>
      <c r="CI63" s="152">
        <f t="shared" si="84"/>
        <v>0.12159841652684564</v>
      </c>
      <c r="CJ63" s="152">
        <f t="shared" si="84"/>
        <v>9.4711932622791983E-2</v>
      </c>
      <c r="CK63" s="236">
        <f t="shared" si="84"/>
        <v>0.12027513579695646</v>
      </c>
      <c r="CL63" s="152">
        <f t="shared" si="84"/>
        <v>0.16723447690757728</v>
      </c>
      <c r="CM63" s="152">
        <f t="shared" si="84"/>
        <v>0.13862859313663417</v>
      </c>
      <c r="CN63" s="152">
        <f t="shared" si="84"/>
        <v>0.10908243607934785</v>
      </c>
      <c r="CO63" s="152">
        <f t="shared" si="84"/>
        <v>0.12018807885341749</v>
      </c>
      <c r="CP63" s="236">
        <f t="shared" si="84"/>
        <v>0.13404479578392622</v>
      </c>
      <c r="CQ63" s="152">
        <f t="shared" si="84"/>
        <v>9.4824503142083488E-2</v>
      </c>
      <c r="CR63" s="152">
        <f t="shared" si="84"/>
        <v>0.10031867111635259</v>
      </c>
      <c r="CS63" s="152">
        <f t="shared" si="84"/>
        <v>9.7994568050259245E-2</v>
      </c>
      <c r="CT63" s="152">
        <f t="shared" si="84"/>
        <v>8.0917582151672066E-2</v>
      </c>
      <c r="CU63" s="236">
        <f t="shared" si="84"/>
        <v>9.3292340664387408E-2</v>
      </c>
      <c r="CV63" s="152">
        <f t="shared" si="84"/>
        <v>9.0366473473933215E-2</v>
      </c>
      <c r="CW63" s="152">
        <f t="shared" ref="CW63:DC63" si="85">CW62/CW15</f>
        <v>9.75112497824938E-2</v>
      </c>
      <c r="CX63" s="152">
        <f t="shared" si="85"/>
        <v>8.8418947158273462E-2</v>
      </c>
      <c r="CY63" s="152">
        <f t="shared" si="85"/>
        <v>7.8718903221083991E-2</v>
      </c>
      <c r="CZ63" s="236">
        <f t="shared" si="85"/>
        <v>8.8646520124517597E-2</v>
      </c>
      <c r="DA63" s="236">
        <f>DA62/DA15</f>
        <v>8.7241409753418597E-2</v>
      </c>
      <c r="DB63" s="236">
        <f t="shared" si="85"/>
        <v>8.9267480946370617E-2</v>
      </c>
      <c r="DC63" s="236">
        <f t="shared" si="85"/>
        <v>9.184569788966572E-2</v>
      </c>
      <c r="DD63" s="165"/>
      <c r="DE63" s="152"/>
      <c r="DF63" s="236">
        <f>CT63</f>
        <v>8.0917582151672066E-2</v>
      </c>
      <c r="DG63" s="236">
        <v>0.10058621268626186</v>
      </c>
      <c r="DH63" s="236">
        <f>CO63</f>
        <v>0.12018807885341749</v>
      </c>
      <c r="DI63" s="452">
        <f>IF(ISERROR(DF63/DG63-1),"NM",DF63/DG63-1)</f>
        <v>-0.19554002491313749</v>
      </c>
      <c r="DJ63" s="452">
        <f>IF(ISERROR(DF63/DH63-1),"NM",DF63/DH63-1)</f>
        <v>-0.3267420286303111</v>
      </c>
      <c r="DK63" s="152"/>
      <c r="DL63" s="152"/>
      <c r="DM63" s="152"/>
      <c r="DT63" s="829"/>
      <c r="DU63" s="152"/>
      <c r="DV63" s="152"/>
      <c r="DW63" s="152"/>
      <c r="DX63" s="152"/>
      <c r="DY63" s="152"/>
      <c r="DZ63" s="152"/>
      <c r="EA63" s="152"/>
      <c r="EB63" s="152"/>
      <c r="EC63" s="2"/>
      <c r="ED63" s="2"/>
      <c r="EE63" s="152"/>
      <c r="EF63" s="152"/>
      <c r="EG63" s="152"/>
      <c r="EH63" s="169"/>
      <c r="EI63" s="169"/>
      <c r="EJ63" s="2"/>
      <c r="EK63" s="2"/>
      <c r="EL63" s="2"/>
    </row>
    <row r="64" spans="1:142" ht="12" customHeight="1">
      <c r="A64" s="1109">
        <f t="shared" si="0"/>
        <v>59</v>
      </c>
      <c r="B64" s="10"/>
      <c r="C64" s="190"/>
      <c r="D64" s="2"/>
      <c r="E64" s="269"/>
      <c r="F64" s="269"/>
      <c r="G64" s="269"/>
      <c r="H64" s="269"/>
      <c r="I64" s="269"/>
      <c r="J64" s="184"/>
      <c r="K64" s="184"/>
      <c r="L64" s="184"/>
      <c r="M64" s="184"/>
      <c r="N64" s="269"/>
      <c r="O64" s="184"/>
      <c r="P64" s="184"/>
      <c r="Q64" s="184"/>
      <c r="R64" s="184"/>
      <c r="S64" s="269"/>
      <c r="T64" s="184"/>
      <c r="U64" s="184"/>
      <c r="V64" s="184"/>
      <c r="W64" s="184"/>
      <c r="X64" s="269"/>
      <c r="Y64" s="184"/>
      <c r="Z64" s="184"/>
      <c r="AA64" s="184"/>
      <c r="AB64" s="184"/>
      <c r="AC64" s="269"/>
      <c r="AD64" s="184"/>
      <c r="AE64" s="184"/>
      <c r="AF64" s="184"/>
      <c r="AG64" s="184"/>
      <c r="AH64" s="269"/>
      <c r="AI64" s="184"/>
      <c r="AJ64" s="184"/>
      <c r="AK64" s="184"/>
      <c r="AL64" s="184"/>
      <c r="AM64" s="269"/>
      <c r="AN64" s="184"/>
      <c r="AO64" s="184"/>
      <c r="AP64" s="184"/>
      <c r="AQ64" s="184"/>
      <c r="AR64" s="269"/>
      <c r="AS64" s="184"/>
      <c r="AT64" s="184"/>
      <c r="AU64" s="184"/>
      <c r="AV64" s="184"/>
      <c r="AW64" s="269"/>
      <c r="AX64" s="184"/>
      <c r="AY64" s="184"/>
      <c r="AZ64" s="184"/>
      <c r="BA64" s="184"/>
      <c r="BB64" s="269"/>
      <c r="BC64" s="184"/>
      <c r="BD64" s="184"/>
      <c r="BE64" s="184"/>
      <c r="BF64" s="184"/>
      <c r="BG64" s="269"/>
      <c r="BH64" s="184"/>
      <c r="BI64" s="184"/>
      <c r="BJ64" s="184"/>
      <c r="BK64" s="184"/>
      <c r="BL64" s="269"/>
      <c r="BM64" s="184"/>
      <c r="BN64" s="184"/>
      <c r="BO64" s="184"/>
      <c r="BP64" s="184"/>
      <c r="BQ64" s="269"/>
      <c r="BR64" s="184"/>
      <c r="BS64" s="184"/>
      <c r="BT64" s="184"/>
      <c r="BU64" s="184"/>
      <c r="BV64" s="269"/>
      <c r="BW64" s="184"/>
      <c r="BX64" s="184"/>
      <c r="BY64" s="184"/>
      <c r="BZ64" s="184"/>
      <c r="CA64" s="269"/>
      <c r="CB64" s="184"/>
      <c r="CC64" s="184"/>
      <c r="CD64" s="184"/>
      <c r="CE64" s="184"/>
      <c r="CF64" s="269"/>
      <c r="CG64" s="184"/>
      <c r="CH64" s="184"/>
      <c r="CI64" s="184"/>
      <c r="CJ64" s="184"/>
      <c r="CK64" s="269"/>
      <c r="CL64" s="184"/>
      <c r="CM64" s="184"/>
      <c r="CN64" s="184"/>
      <c r="CO64" s="184"/>
      <c r="CP64" s="269"/>
      <c r="CQ64" s="184"/>
      <c r="CR64" s="184"/>
      <c r="CS64" s="184"/>
      <c r="CT64" s="184"/>
      <c r="CU64" s="269"/>
      <c r="CV64" s="184"/>
      <c r="CW64" s="184"/>
      <c r="CX64" s="184"/>
      <c r="CY64" s="184"/>
      <c r="CZ64" s="269"/>
      <c r="DA64" s="269"/>
      <c r="DB64" s="269"/>
      <c r="DC64" s="269"/>
      <c r="DD64" s="165"/>
      <c r="DE64" s="187"/>
      <c r="DF64" s="269"/>
      <c r="DG64" s="269"/>
      <c r="DH64" s="269"/>
      <c r="DI64" s="450"/>
      <c r="DJ64" s="450"/>
      <c r="DK64" s="189"/>
      <c r="DL64" s="189"/>
      <c r="DM64" s="189"/>
      <c r="DT64" s="833"/>
      <c r="DU64" s="125"/>
      <c r="DV64" s="125"/>
      <c r="DW64" s="125"/>
      <c r="DX64" s="3"/>
      <c r="DY64" s="3"/>
      <c r="DZ64" s="3"/>
      <c r="EA64" s="3"/>
      <c r="EB64" s="3"/>
      <c r="EC64" s="2"/>
      <c r="ED64" s="2"/>
      <c r="EE64" s="187"/>
      <c r="EF64" s="187"/>
      <c r="EG64" s="187"/>
      <c r="EH64" s="188"/>
      <c r="EI64" s="188"/>
      <c r="EJ64" s="2"/>
      <c r="EK64" s="2"/>
      <c r="EL64" s="2"/>
    </row>
    <row r="65" spans="1:117" ht="15" customHeight="1">
      <c r="A65" s="1110">
        <f t="shared" si="0"/>
        <v>60</v>
      </c>
      <c r="B65" s="47" t="s">
        <v>335</v>
      </c>
      <c r="C65" s="47"/>
      <c r="D65" s="47"/>
      <c r="E65" s="58" t="str">
        <f t="shared" ref="E65:AJ65" si="86">E5</f>
        <v>FY 1995</v>
      </c>
      <c r="F65" s="58" t="str">
        <f t="shared" si="86"/>
        <v>FY 1996</v>
      </c>
      <c r="G65" s="58" t="str">
        <f t="shared" si="86"/>
        <v>FY 1997</v>
      </c>
      <c r="H65" s="58" t="str">
        <f t="shared" si="86"/>
        <v>FY 1998</v>
      </c>
      <c r="I65" s="58" t="str">
        <f t="shared" si="86"/>
        <v>FY 1999</v>
      </c>
      <c r="J65" s="48" t="str">
        <f t="shared" si="86"/>
        <v>1Q00</v>
      </c>
      <c r="K65" s="48" t="str">
        <f t="shared" si="86"/>
        <v>2Q00</v>
      </c>
      <c r="L65" s="48" t="str">
        <f t="shared" si="86"/>
        <v>3Q00</v>
      </c>
      <c r="M65" s="48" t="str">
        <f t="shared" si="86"/>
        <v>4Q00</v>
      </c>
      <c r="N65" s="58" t="str">
        <f t="shared" si="86"/>
        <v>FY 2000</v>
      </c>
      <c r="O65" s="48" t="str">
        <f t="shared" si="86"/>
        <v>1Q01</v>
      </c>
      <c r="P65" s="48" t="str">
        <f t="shared" si="86"/>
        <v>2Q01</v>
      </c>
      <c r="Q65" s="48" t="str">
        <f t="shared" si="86"/>
        <v>3Q01</v>
      </c>
      <c r="R65" s="48" t="str">
        <f t="shared" si="86"/>
        <v>4Q01</v>
      </c>
      <c r="S65" s="58" t="str">
        <f t="shared" si="86"/>
        <v>FY 2001</v>
      </c>
      <c r="T65" s="48" t="str">
        <f t="shared" si="86"/>
        <v>1Q02</v>
      </c>
      <c r="U65" s="48" t="str">
        <f t="shared" si="86"/>
        <v>2Q02</v>
      </c>
      <c r="V65" s="48" t="str">
        <f t="shared" si="86"/>
        <v>3Q02</v>
      </c>
      <c r="W65" s="48" t="str">
        <f t="shared" si="86"/>
        <v>4Q02</v>
      </c>
      <c r="X65" s="58" t="str">
        <f t="shared" si="86"/>
        <v>FY 2002</v>
      </c>
      <c r="Y65" s="48" t="str">
        <f t="shared" si="86"/>
        <v>1Q03</v>
      </c>
      <c r="Z65" s="48" t="str">
        <f t="shared" si="86"/>
        <v>2Q03</v>
      </c>
      <c r="AA65" s="48" t="str">
        <f t="shared" si="86"/>
        <v>3Q03</v>
      </c>
      <c r="AB65" s="48" t="str">
        <f t="shared" si="86"/>
        <v>4Q03</v>
      </c>
      <c r="AC65" s="58" t="str">
        <f t="shared" si="86"/>
        <v>FY 2003</v>
      </c>
      <c r="AD65" s="48" t="str">
        <f t="shared" si="86"/>
        <v>1Q04</v>
      </c>
      <c r="AE65" s="48" t="str">
        <f t="shared" si="86"/>
        <v>2Q04</v>
      </c>
      <c r="AF65" s="48" t="str">
        <f t="shared" si="86"/>
        <v>3Q04</v>
      </c>
      <c r="AG65" s="48" t="str">
        <f t="shared" si="86"/>
        <v>4Q04</v>
      </c>
      <c r="AH65" s="58" t="str">
        <f t="shared" si="86"/>
        <v>FY 2004</v>
      </c>
      <c r="AI65" s="48" t="str">
        <f t="shared" si="86"/>
        <v>1Q05</v>
      </c>
      <c r="AJ65" s="48" t="str">
        <f t="shared" si="86"/>
        <v>2Q05</v>
      </c>
      <c r="AK65" s="48" t="str">
        <f t="shared" ref="AK65:BP65" si="87">AK5</f>
        <v>3Q05</v>
      </c>
      <c r="AL65" s="48" t="str">
        <f t="shared" si="87"/>
        <v>4Q05</v>
      </c>
      <c r="AM65" s="58" t="str">
        <f t="shared" si="87"/>
        <v>FY 2005</v>
      </c>
      <c r="AN65" s="48" t="str">
        <f t="shared" si="87"/>
        <v>1Q06</v>
      </c>
      <c r="AO65" s="48" t="str">
        <f t="shared" si="87"/>
        <v>2Q06</v>
      </c>
      <c r="AP65" s="48" t="str">
        <f t="shared" si="87"/>
        <v>3Q06</v>
      </c>
      <c r="AQ65" s="48" t="str">
        <f t="shared" si="87"/>
        <v>4Q06</v>
      </c>
      <c r="AR65" s="58" t="str">
        <f t="shared" si="87"/>
        <v>FY 2006</v>
      </c>
      <c r="AS65" s="48" t="str">
        <f t="shared" si="87"/>
        <v>1Q07</v>
      </c>
      <c r="AT65" s="48" t="str">
        <f t="shared" si="87"/>
        <v>2Q07</v>
      </c>
      <c r="AU65" s="48" t="str">
        <f t="shared" si="87"/>
        <v>3Q07</v>
      </c>
      <c r="AV65" s="48" t="str">
        <f t="shared" si="87"/>
        <v>4Q07</v>
      </c>
      <c r="AW65" s="58" t="str">
        <f t="shared" si="87"/>
        <v>FY 2007</v>
      </c>
      <c r="AX65" s="48" t="str">
        <f t="shared" si="87"/>
        <v>1Q08</v>
      </c>
      <c r="AY65" s="48" t="str">
        <f t="shared" si="87"/>
        <v>2Q08</v>
      </c>
      <c r="AZ65" s="48" t="str">
        <f t="shared" si="87"/>
        <v>3Q08</v>
      </c>
      <c r="BA65" s="48" t="str">
        <f t="shared" si="87"/>
        <v>4Q08</v>
      </c>
      <c r="BB65" s="58" t="str">
        <f t="shared" si="87"/>
        <v>FY 2008</v>
      </c>
      <c r="BC65" s="48" t="str">
        <f t="shared" si="87"/>
        <v>1Q09</v>
      </c>
      <c r="BD65" s="48" t="str">
        <f t="shared" si="87"/>
        <v>2Q09</v>
      </c>
      <c r="BE65" s="48" t="str">
        <f t="shared" si="87"/>
        <v>3Q09</v>
      </c>
      <c r="BF65" s="48" t="str">
        <f t="shared" si="87"/>
        <v>4Q09</v>
      </c>
      <c r="BG65" s="58" t="str">
        <f t="shared" si="87"/>
        <v>FY 2009</v>
      </c>
      <c r="BH65" s="48" t="str">
        <f t="shared" si="87"/>
        <v>1Q10</v>
      </c>
      <c r="BI65" s="48" t="str">
        <f t="shared" si="87"/>
        <v>2Q10</v>
      </c>
      <c r="BJ65" s="48" t="str">
        <f t="shared" si="87"/>
        <v>3Q10</v>
      </c>
      <c r="BK65" s="48" t="str">
        <f t="shared" si="87"/>
        <v>4Q10</v>
      </c>
      <c r="BL65" s="58" t="str">
        <f t="shared" si="87"/>
        <v>FY 2010</v>
      </c>
      <c r="BM65" s="48" t="str">
        <f t="shared" si="87"/>
        <v>1Q11</v>
      </c>
      <c r="BN65" s="48" t="str">
        <f t="shared" si="87"/>
        <v>2Q11</v>
      </c>
      <c r="BO65" s="48" t="str">
        <f t="shared" si="87"/>
        <v>3Q11</v>
      </c>
      <c r="BP65" s="48" t="str">
        <f t="shared" si="87"/>
        <v>4Q11</v>
      </c>
      <c r="BQ65" s="58" t="str">
        <f t="shared" ref="BQ65:CV65" si="88">BQ5</f>
        <v>FY 2011</v>
      </c>
      <c r="BR65" s="48" t="str">
        <f t="shared" si="88"/>
        <v>1Q12</v>
      </c>
      <c r="BS65" s="48" t="str">
        <f t="shared" si="88"/>
        <v>2Q12</v>
      </c>
      <c r="BT65" s="48" t="str">
        <f t="shared" si="88"/>
        <v>3Q12</v>
      </c>
      <c r="BU65" s="48" t="str">
        <f t="shared" si="88"/>
        <v>4Q12</v>
      </c>
      <c r="BV65" s="58" t="str">
        <f t="shared" si="88"/>
        <v>FY 2012</v>
      </c>
      <c r="BW65" s="48" t="str">
        <f t="shared" si="88"/>
        <v>1Q13</v>
      </c>
      <c r="BX65" s="48" t="str">
        <f t="shared" si="88"/>
        <v>2Q13</v>
      </c>
      <c r="BY65" s="48" t="str">
        <f t="shared" si="88"/>
        <v>3Q13</v>
      </c>
      <c r="BZ65" s="48" t="str">
        <f t="shared" si="88"/>
        <v>4Q13</v>
      </c>
      <c r="CA65" s="58" t="str">
        <f t="shared" si="88"/>
        <v>FY 2013</v>
      </c>
      <c r="CB65" s="48" t="str">
        <f t="shared" si="88"/>
        <v>1Q14</v>
      </c>
      <c r="CC65" s="48" t="str">
        <f t="shared" si="88"/>
        <v>2Q14</v>
      </c>
      <c r="CD65" s="48" t="str">
        <f t="shared" si="88"/>
        <v>3Q14</v>
      </c>
      <c r="CE65" s="48" t="str">
        <f t="shared" si="88"/>
        <v>4Q14</v>
      </c>
      <c r="CF65" s="58" t="str">
        <f t="shared" si="88"/>
        <v>FY 2014</v>
      </c>
      <c r="CG65" s="48" t="str">
        <f t="shared" si="88"/>
        <v>1Q15</v>
      </c>
      <c r="CH65" s="48" t="str">
        <f t="shared" si="88"/>
        <v>2Q15</v>
      </c>
      <c r="CI65" s="48" t="str">
        <f t="shared" si="88"/>
        <v>3Q15</v>
      </c>
      <c r="CJ65" s="48" t="str">
        <f t="shared" si="88"/>
        <v>4Q15</v>
      </c>
      <c r="CK65" s="58" t="str">
        <f t="shared" si="88"/>
        <v>FY 2015</v>
      </c>
      <c r="CL65" s="48" t="str">
        <f t="shared" si="88"/>
        <v>1Q16</v>
      </c>
      <c r="CM65" s="48" t="str">
        <f t="shared" si="88"/>
        <v>2Q16</v>
      </c>
      <c r="CN65" s="48" t="str">
        <f t="shared" si="88"/>
        <v>3Q16</v>
      </c>
      <c r="CO65" s="48" t="str">
        <f t="shared" si="88"/>
        <v>4Q16</v>
      </c>
      <c r="CP65" s="58" t="str">
        <f t="shared" si="88"/>
        <v>FY 2016</v>
      </c>
      <c r="CQ65" s="48" t="str">
        <f t="shared" si="88"/>
        <v>1Q17</v>
      </c>
      <c r="CR65" s="48" t="str">
        <f t="shared" si="88"/>
        <v>2Q17</v>
      </c>
      <c r="CS65" s="48" t="str">
        <f t="shared" si="88"/>
        <v>3Q17</v>
      </c>
      <c r="CT65" s="48" t="str">
        <f t="shared" si="88"/>
        <v>4Q17</v>
      </c>
      <c r="CU65" s="58" t="str">
        <f t="shared" si="88"/>
        <v>FY 2017</v>
      </c>
      <c r="CV65" s="48" t="str">
        <f t="shared" si="88"/>
        <v>1Q18E</v>
      </c>
      <c r="CW65" s="48" t="str">
        <f t="shared" ref="CW65:DC65" si="89">CW5</f>
        <v>2Q18E</v>
      </c>
      <c r="CX65" s="48" t="str">
        <f t="shared" si="89"/>
        <v>3Q18E</v>
      </c>
      <c r="CY65" s="48" t="str">
        <f t="shared" si="89"/>
        <v>4Q18E</v>
      </c>
      <c r="CZ65" s="58" t="str">
        <f t="shared" si="89"/>
        <v>FY 2018E</v>
      </c>
      <c r="DA65" s="58" t="str">
        <f t="shared" si="89"/>
        <v>FY 2019E</v>
      </c>
      <c r="DB65" s="58" t="str">
        <f t="shared" si="89"/>
        <v>FY 2020E</v>
      </c>
      <c r="DC65" s="58" t="str">
        <f t="shared" si="89"/>
        <v>FY 2021E</v>
      </c>
      <c r="DD65" s="165"/>
      <c r="DE65" s="2"/>
      <c r="DF65" s="58"/>
      <c r="DG65" s="58"/>
      <c r="DH65" s="58"/>
      <c r="DI65" s="457"/>
      <c r="DJ65" s="457"/>
      <c r="DK65" s="2"/>
      <c r="DL65" s="2"/>
      <c r="DM65" s="2"/>
    </row>
    <row r="66" spans="1:117" ht="12" customHeight="1">
      <c r="A66" s="1109">
        <f t="shared" si="0"/>
        <v>61</v>
      </c>
      <c r="B66" s="10"/>
      <c r="C66" s="38"/>
      <c r="D66" s="38"/>
      <c r="E66" s="67"/>
      <c r="F66" s="67"/>
      <c r="G66" s="67"/>
      <c r="H66" s="67"/>
      <c r="I66" s="67"/>
      <c r="J66" s="39"/>
      <c r="K66" s="39"/>
      <c r="L66" s="39"/>
      <c r="M66" s="39"/>
      <c r="N66" s="67"/>
      <c r="O66" s="39"/>
      <c r="P66" s="39"/>
      <c r="Q66" s="39"/>
      <c r="R66" s="39"/>
      <c r="S66" s="67"/>
      <c r="T66" s="39"/>
      <c r="U66" s="39"/>
      <c r="V66" s="39"/>
      <c r="W66" s="39"/>
      <c r="X66" s="67"/>
      <c r="Y66" s="39"/>
      <c r="Z66" s="39"/>
      <c r="AA66" s="39"/>
      <c r="AB66" s="39"/>
      <c r="AC66" s="67"/>
      <c r="AD66" s="39"/>
      <c r="AE66" s="39"/>
      <c r="AF66" s="39"/>
      <c r="AG66" s="39"/>
      <c r="AH66" s="67"/>
      <c r="AI66" s="39"/>
      <c r="AJ66" s="39"/>
      <c r="AK66" s="39"/>
      <c r="AL66" s="39"/>
      <c r="AM66" s="67"/>
      <c r="AN66" s="39"/>
      <c r="AO66" s="39"/>
      <c r="AP66" s="39"/>
      <c r="AQ66" s="39"/>
      <c r="AR66" s="67"/>
      <c r="AS66" s="39"/>
      <c r="AT66" s="39"/>
      <c r="AU66" s="39"/>
      <c r="AV66" s="39"/>
      <c r="AW66" s="67"/>
      <c r="AX66" s="39"/>
      <c r="AY66" s="39"/>
      <c r="AZ66" s="39"/>
      <c r="BA66" s="39"/>
      <c r="BB66" s="67"/>
      <c r="BC66" s="39"/>
      <c r="BD66" s="39"/>
      <c r="BE66" s="39"/>
      <c r="BF66" s="39"/>
      <c r="BG66" s="67"/>
      <c r="BH66" s="39"/>
      <c r="BI66" s="39"/>
      <c r="BJ66" s="39"/>
      <c r="BK66" s="39"/>
      <c r="BL66" s="67"/>
      <c r="BM66" s="40"/>
      <c r="BN66" s="40"/>
      <c r="BO66" s="40"/>
      <c r="BP66" s="40"/>
      <c r="BQ66" s="67"/>
      <c r="BR66" s="40"/>
      <c r="BS66" s="40"/>
      <c r="BT66" s="40"/>
      <c r="BU66" s="40"/>
      <c r="BV66" s="67"/>
      <c r="BW66" s="241"/>
      <c r="BX66" s="241"/>
      <c r="BY66" s="241"/>
      <c r="BZ66" s="241"/>
      <c r="CA66" s="239"/>
      <c r="CB66" s="241"/>
      <c r="CC66" s="241"/>
      <c r="CD66" s="241"/>
      <c r="CE66" s="241"/>
      <c r="CF66" s="239"/>
      <c r="CG66" s="241"/>
      <c r="CH66" s="241"/>
      <c r="CI66" s="241"/>
      <c r="CJ66" s="241"/>
      <c r="CK66" s="239"/>
      <c r="CL66" s="241"/>
      <c r="CM66" s="241"/>
      <c r="CN66" s="241"/>
      <c r="CO66" s="241"/>
      <c r="CP66" s="239"/>
      <c r="CQ66" s="241"/>
      <c r="CR66" s="40"/>
      <c r="CS66" s="40"/>
      <c r="CT66" s="40"/>
      <c r="CU66" s="62"/>
      <c r="CV66" s="40"/>
      <c r="CW66" s="40"/>
      <c r="CX66" s="40"/>
      <c r="CY66" s="40"/>
      <c r="CZ66" s="62"/>
      <c r="DA66" s="62"/>
      <c r="DB66" s="62"/>
      <c r="DC66" s="62"/>
      <c r="DD66" s="165"/>
      <c r="DE66" s="2"/>
      <c r="DF66" s="239"/>
      <c r="DG66" s="239"/>
      <c r="DH66" s="239"/>
      <c r="DI66" s="458"/>
      <c r="DJ66" s="458"/>
      <c r="DK66" s="2"/>
      <c r="DL66" s="2"/>
      <c r="DM66" s="2"/>
    </row>
    <row r="67" spans="1:117" ht="12" customHeight="1">
      <c r="A67" s="1109">
        <f t="shared" si="0"/>
        <v>62</v>
      </c>
      <c r="B67" s="10"/>
      <c r="C67" s="6" t="s">
        <v>181</v>
      </c>
      <c r="D67" s="38"/>
      <c r="E67" s="67"/>
      <c r="F67" s="67"/>
      <c r="G67" s="67"/>
      <c r="H67" s="327"/>
      <c r="I67" s="67"/>
      <c r="J67" s="39"/>
      <c r="K67" s="39"/>
      <c r="L67" s="39"/>
      <c r="M67" s="39"/>
      <c r="N67" s="67"/>
      <c r="O67" s="39"/>
      <c r="P67" s="39"/>
      <c r="Q67" s="39"/>
      <c r="R67" s="39"/>
      <c r="S67" s="67"/>
      <c r="T67" s="39"/>
      <c r="U67" s="39"/>
      <c r="V67" s="39"/>
      <c r="W67" s="39"/>
      <c r="X67" s="67"/>
      <c r="Y67" s="39"/>
      <c r="Z67" s="39"/>
      <c r="AA67" s="39"/>
      <c r="AB67" s="39"/>
      <c r="AC67" s="67"/>
      <c r="AD67" s="39"/>
      <c r="AE67" s="39"/>
      <c r="AF67" s="39"/>
      <c r="AG67" s="39"/>
      <c r="AH67" s="67"/>
      <c r="AI67" s="39"/>
      <c r="AJ67" s="39"/>
      <c r="AK67" s="39"/>
      <c r="AL67" s="39"/>
      <c r="AM67" s="67"/>
      <c r="AN67" s="39"/>
      <c r="AO67" s="39"/>
      <c r="AP67" s="39"/>
      <c r="AQ67" s="39"/>
      <c r="AR67" s="67"/>
      <c r="AS67" s="39"/>
      <c r="AT67" s="39"/>
      <c r="AU67" s="39"/>
      <c r="AV67" s="39"/>
      <c r="AW67" s="67"/>
      <c r="AX67" s="39"/>
      <c r="AY67" s="39"/>
      <c r="AZ67" s="39"/>
      <c r="BA67" s="39"/>
      <c r="BB67" s="67"/>
      <c r="BC67" s="39"/>
      <c r="BD67" s="39"/>
      <c r="BE67" s="39"/>
      <c r="BF67" s="39"/>
      <c r="BG67" s="67"/>
      <c r="BH67" s="39"/>
      <c r="BI67" s="39"/>
      <c r="BJ67" s="39"/>
      <c r="BK67" s="39"/>
      <c r="BL67" s="67"/>
      <c r="BM67" s="40"/>
      <c r="BN67" s="40"/>
      <c r="BO67" s="40"/>
      <c r="BP67" s="40"/>
      <c r="BQ67" s="67"/>
      <c r="BR67" s="40"/>
      <c r="BS67" s="40"/>
      <c r="BT67" s="40"/>
      <c r="BU67" s="40"/>
      <c r="BV67" s="67"/>
      <c r="BW67" s="241"/>
      <c r="BX67" s="241"/>
      <c r="BY67" s="241"/>
      <c r="BZ67" s="241"/>
      <c r="CA67" s="239"/>
      <c r="CB67" s="241"/>
      <c r="CC67" s="241"/>
      <c r="CD67" s="241"/>
      <c r="CE67" s="241"/>
      <c r="CF67" s="239"/>
      <c r="CG67" s="241"/>
      <c r="CH67" s="241"/>
      <c r="CI67" s="241"/>
      <c r="CJ67" s="241"/>
      <c r="CK67" s="239"/>
      <c r="CL67" s="241"/>
      <c r="CM67" s="241"/>
      <c r="CN67" s="241"/>
      <c r="CO67" s="241"/>
      <c r="CP67" s="239"/>
      <c r="CQ67" s="241"/>
      <c r="CR67" s="40"/>
      <c r="CS67" s="40"/>
      <c r="CT67" s="40"/>
      <c r="CU67" s="62"/>
      <c r="CV67" s="40"/>
      <c r="CW67" s="40"/>
      <c r="CX67" s="40"/>
      <c r="CY67" s="40"/>
      <c r="CZ67" s="62"/>
      <c r="DA67" s="62"/>
      <c r="DB67" s="62"/>
      <c r="DC67" s="62"/>
      <c r="DD67" s="165"/>
      <c r="DE67" s="2"/>
      <c r="DF67" s="239"/>
      <c r="DG67" s="239"/>
      <c r="DH67" s="239"/>
      <c r="DI67" s="458"/>
      <c r="DJ67" s="458"/>
      <c r="DK67" s="2"/>
      <c r="DL67" s="2"/>
      <c r="DM67" s="2"/>
    </row>
    <row r="68" spans="1:117" ht="12" customHeight="1">
      <c r="A68" s="1109">
        <f t="shared" si="0"/>
        <v>63</v>
      </c>
      <c r="B68" s="10"/>
      <c r="C68" s="1033" t="s">
        <v>726</v>
      </c>
      <c r="E68" s="319">
        <f>5750+2690</f>
        <v>8440</v>
      </c>
      <c r="F68" s="319">
        <f>3578+3689</f>
        <v>7267</v>
      </c>
      <c r="G68" s="319">
        <f>6316+1618</f>
        <v>7934</v>
      </c>
      <c r="H68" s="319">
        <f>3685+1151</f>
        <v>4836</v>
      </c>
      <c r="I68" s="319">
        <f>2793+1588</f>
        <v>4381</v>
      </c>
      <c r="J68" s="117">
        <f>3875+1883</f>
        <v>5758</v>
      </c>
      <c r="K68" s="117">
        <f>6989+1675</f>
        <v>8664</v>
      </c>
      <c r="L68" s="117">
        <f>3352+2310</f>
        <v>5662</v>
      </c>
      <c r="M68" s="117">
        <f>3374+1477</f>
        <v>4851</v>
      </c>
      <c r="N68" s="60">
        <f t="shared" ref="N68:N73" si="90">M68</f>
        <v>4851</v>
      </c>
      <c r="O68" s="117">
        <f>3953+1429</f>
        <v>5382</v>
      </c>
      <c r="P68" s="117">
        <f>4703+1883</f>
        <v>6586</v>
      </c>
      <c r="Q68" s="117">
        <f>6127+4511</f>
        <v>10638</v>
      </c>
      <c r="R68" s="117">
        <v>7197</v>
      </c>
      <c r="S68" s="60">
        <f t="shared" ref="S68:S73" si="91">R68</f>
        <v>7197</v>
      </c>
      <c r="T68" s="117">
        <f>8073+7947</f>
        <v>16020</v>
      </c>
      <c r="U68" s="117">
        <f>8480+4623</f>
        <v>13103</v>
      </c>
      <c r="V68" s="117">
        <f>8682+7391</f>
        <v>16073</v>
      </c>
      <c r="W68" s="117">
        <v>12221</v>
      </c>
      <c r="X68" s="60">
        <f t="shared" ref="X68:X73" si="92">W68</f>
        <v>12221</v>
      </c>
      <c r="Y68" s="117">
        <v>19237</v>
      </c>
      <c r="Z68" s="117">
        <v>17684</v>
      </c>
      <c r="AA68" s="117">
        <v>27887</v>
      </c>
      <c r="AB68" s="117">
        <v>23208</v>
      </c>
      <c r="AC68" s="60">
        <f t="shared" ref="AC68:AC73" si="93">AB68</f>
        <v>23208</v>
      </c>
      <c r="AD68" s="117">
        <v>18190</v>
      </c>
      <c r="AE68" s="117">
        <v>15648</v>
      </c>
      <c r="AF68" s="117">
        <v>17416</v>
      </c>
      <c r="AG68" s="117">
        <v>22831</v>
      </c>
      <c r="AH68" s="60">
        <f t="shared" ref="AH68:AH73" si="94">AG68</f>
        <v>22831</v>
      </c>
      <c r="AI68" s="117">
        <v>23345</v>
      </c>
      <c r="AJ68" s="117">
        <v>30133</v>
      </c>
      <c r="AK68" s="117">
        <v>28200</v>
      </c>
      <c r="AL68" s="117">
        <v>28406</v>
      </c>
      <c r="AM68" s="60">
        <f t="shared" ref="AM68:AM73" si="95">AL68</f>
        <v>28406</v>
      </c>
      <c r="AN68" s="117">
        <v>21179</v>
      </c>
      <c r="AO68" s="117">
        <v>27985</v>
      </c>
      <c r="AP68" s="117">
        <v>25511</v>
      </c>
      <c r="AQ68" s="117">
        <v>28896</v>
      </c>
      <c r="AR68" s="60">
        <f t="shared" ref="AR68:AR73" si="96">AQ68</f>
        <v>28896</v>
      </c>
      <c r="AS68" s="117">
        <v>26867</v>
      </c>
      <c r="AT68" s="117">
        <v>32000</v>
      </c>
      <c r="AU68" s="117">
        <v>27437</v>
      </c>
      <c r="AV68" s="117">
        <v>35283</v>
      </c>
      <c r="AW68" s="60">
        <f t="shared" ref="AW68:AW73" si="97">AV68</f>
        <v>35283</v>
      </c>
      <c r="AX68" s="117">
        <v>33751</v>
      </c>
      <c r="AY68" s="117">
        <v>30066</v>
      </c>
      <c r="AZ68" s="117">
        <v>24894</v>
      </c>
      <c r="BA68" s="117">
        <v>22049</v>
      </c>
      <c r="BB68" s="60">
        <f t="shared" ref="BB68:BB73" si="98">BA68</f>
        <v>22049</v>
      </c>
      <c r="BC68" s="117">
        <v>21093</v>
      </c>
      <c r="BD68" s="117">
        <v>24011</v>
      </c>
      <c r="BE68" s="117">
        <v>25798</v>
      </c>
      <c r="BF68" s="117">
        <v>20894</v>
      </c>
      <c r="BG68" s="60">
        <f t="shared" ref="BG68:BG73" si="99">BF68</f>
        <v>20894</v>
      </c>
      <c r="BH68" s="117">
        <v>24356</v>
      </c>
      <c r="BI68" s="117">
        <v>18322</v>
      </c>
      <c r="BJ68" s="117">
        <v>17992</v>
      </c>
      <c r="BK68" s="117">
        <v>14805</v>
      </c>
      <c r="BL68" s="60">
        <f t="shared" ref="BL68:BL73" si="100">BK68</f>
        <v>14805</v>
      </c>
      <c r="BM68" s="117">
        <v>21318</v>
      </c>
      <c r="BN68" s="117">
        <v>17472</v>
      </c>
      <c r="BO68" s="117">
        <v>16460</v>
      </c>
      <c r="BP68" s="117">
        <v>17148</v>
      </c>
      <c r="BQ68" s="60">
        <f t="shared" ref="BQ68:BQ73" si="101">BP68</f>
        <v>17148</v>
      </c>
      <c r="BR68" s="117">
        <v>15244</v>
      </c>
      <c r="BS68" s="117">
        <v>15101</v>
      </c>
      <c r="BT68" s="117">
        <v>13539</v>
      </c>
      <c r="BU68" s="117">
        <v>15659</v>
      </c>
      <c r="BV68" s="60">
        <f t="shared" ref="BV68:BV73" si="102">BU68</f>
        <v>15659</v>
      </c>
      <c r="BW68" s="161">
        <v>13820</v>
      </c>
      <c r="BX68" s="161">
        <v>13362</v>
      </c>
      <c r="BY68" s="161">
        <v>14752</v>
      </c>
      <c r="BZ68" s="161">
        <v>14468</v>
      </c>
      <c r="CA68" s="235">
        <f t="shared" ref="CA68:CA73" si="103">BZ68</f>
        <v>14468</v>
      </c>
      <c r="CB68" s="161">
        <v>12983</v>
      </c>
      <c r="CC68" s="161">
        <v>11573</v>
      </c>
      <c r="CD68" s="161">
        <v>13320</v>
      </c>
      <c r="CE68" s="161">
        <v>10757</v>
      </c>
      <c r="CF68" s="235">
        <f t="shared" ref="CF68:CF73" si="104">CE68</f>
        <v>10757</v>
      </c>
      <c r="CG68" s="161">
        <v>12368</v>
      </c>
      <c r="CH68" s="161">
        <v>12897</v>
      </c>
      <c r="CI68" s="154">
        <v>14686</v>
      </c>
      <c r="CJ68" s="161">
        <v>14272</v>
      </c>
      <c r="CK68" s="235">
        <f t="shared" ref="CK68:CK73" si="105">CJ68</f>
        <v>14272</v>
      </c>
      <c r="CL68" s="161">
        <v>15917</v>
      </c>
      <c r="CM68" s="161">
        <v>17063</v>
      </c>
      <c r="CN68" s="161">
        <v>13340</v>
      </c>
      <c r="CO68" s="161">
        <v>15905</v>
      </c>
      <c r="CP68" s="235">
        <f t="shared" ref="CP68:CP73" si="106">CO68</f>
        <v>15905</v>
      </c>
      <c r="CQ68" s="161">
        <v>17823</v>
      </c>
      <c r="CR68" s="161">
        <v>16223</v>
      </c>
      <c r="CS68" s="161">
        <v>17589</v>
      </c>
      <c r="CT68" s="161">
        <v>18492</v>
      </c>
      <c r="CU68" s="235">
        <f t="shared" ref="CU68:CU73" si="107">CT68</f>
        <v>18492</v>
      </c>
      <c r="CV68" s="49">
        <f>CV178</f>
        <v>17158.59278186216</v>
      </c>
      <c r="CW68" s="49">
        <f>CW178</f>
        <v>17629.230747731064</v>
      </c>
      <c r="CX68" s="49">
        <f>CX178</f>
        <v>17458.631374383382</v>
      </c>
      <c r="CY68" s="49">
        <f>CY178</f>
        <v>17398.277321241592</v>
      </c>
      <c r="CZ68" s="235">
        <f t="shared" ref="CZ68:CZ73" si="108">CY68</f>
        <v>17398.277321241592</v>
      </c>
      <c r="DA68" s="87">
        <f>DA178</f>
        <v>16941.281010430022</v>
      </c>
      <c r="DB68" s="87">
        <f>DB178</f>
        <v>16213.86323488505</v>
      </c>
      <c r="DC68" s="87">
        <f>DC178</f>
        <v>16274.516421965986</v>
      </c>
      <c r="DD68" s="165"/>
      <c r="DE68" s="2"/>
      <c r="DF68" s="235">
        <f t="shared" ref="DF68:DF74" si="109">CT68</f>
        <v>18492</v>
      </c>
      <c r="DG68" s="235">
        <v>19535.11479695213</v>
      </c>
      <c r="DH68" s="235">
        <f t="shared" ref="DH68:DH74" si="110">CO68</f>
        <v>15905</v>
      </c>
      <c r="DI68" s="454">
        <f t="shared" ref="DI68:DI74" si="111">IF(ISERROR(DF68/DG68-1),"NM",DF68/DG68-1)</f>
        <v>-5.3396911551033099E-2</v>
      </c>
      <c r="DJ68" s="454">
        <f t="shared" ref="DJ68:DJ74" si="112">IF(ISERROR(DF68/DH68-1),"NM",DF68/DH68-1)</f>
        <v>0.16265325369380701</v>
      </c>
      <c r="DK68" s="2"/>
      <c r="DL68" s="2"/>
      <c r="DM68" s="2"/>
    </row>
    <row r="69" spans="1:117" ht="12" customHeight="1">
      <c r="A69" s="1109">
        <f t="shared" si="0"/>
        <v>64</v>
      </c>
      <c r="B69" s="10"/>
      <c r="C69" s="1033" t="s">
        <v>727</v>
      </c>
      <c r="E69" s="319">
        <f>6656+4553</f>
        <v>11209</v>
      </c>
      <c r="F69" s="319">
        <f>11836+2307</f>
        <v>14143</v>
      </c>
      <c r="G69" s="319">
        <f>14519+2207</f>
        <v>16726</v>
      </c>
      <c r="H69" s="319">
        <f>20120+968</f>
        <v>21088</v>
      </c>
      <c r="I69" s="319">
        <f>18943+733</f>
        <v>19676</v>
      </c>
      <c r="J69" s="117">
        <f>18973+488</f>
        <v>19461</v>
      </c>
      <c r="K69" s="117">
        <f>18568+582</f>
        <v>19150</v>
      </c>
      <c r="L69" s="117">
        <f>15247+752</f>
        <v>15999</v>
      </c>
      <c r="M69" s="117">
        <f>13116+817</f>
        <v>13933</v>
      </c>
      <c r="N69" s="60">
        <f t="shared" si="90"/>
        <v>13933</v>
      </c>
      <c r="O69" s="117">
        <f>11814+662</f>
        <v>12476</v>
      </c>
      <c r="P69" s="117">
        <f>11502+682</f>
        <v>12184</v>
      </c>
      <c r="Q69" s="117">
        <f>6875+416</f>
        <v>7291</v>
      </c>
      <c r="R69" s="117">
        <v>11577</v>
      </c>
      <c r="S69" s="60">
        <f t="shared" si="91"/>
        <v>11577</v>
      </c>
      <c r="T69" s="117">
        <f>11433+598</f>
        <v>12031</v>
      </c>
      <c r="U69" s="117">
        <f>14945+638</f>
        <v>15583</v>
      </c>
      <c r="V69" s="117">
        <f>16137+675</f>
        <v>16812</v>
      </c>
      <c r="W69" s="117">
        <v>18271</v>
      </c>
      <c r="X69" s="60">
        <f t="shared" si="92"/>
        <v>18271</v>
      </c>
      <c r="Y69" s="117">
        <v>17938</v>
      </c>
      <c r="Z69" s="117">
        <f>15684+4647</f>
        <v>20331</v>
      </c>
      <c r="AA69" s="117">
        <f>13549+6942</f>
        <v>20491</v>
      </c>
      <c r="AB69" s="117">
        <f>10439+5667</f>
        <v>16106</v>
      </c>
      <c r="AC69" s="60">
        <f t="shared" si="93"/>
        <v>16106</v>
      </c>
      <c r="AD69" s="117">
        <f>9343+9344</f>
        <v>18687</v>
      </c>
      <c r="AE69" s="117">
        <f>12693+5317</f>
        <v>18010</v>
      </c>
      <c r="AF69" s="117">
        <f>11582+2332</f>
        <v>13914</v>
      </c>
      <c r="AG69" s="117">
        <f>8946+1058</f>
        <v>10004</v>
      </c>
      <c r="AH69" s="60">
        <f t="shared" si="94"/>
        <v>10004</v>
      </c>
      <c r="AI69" s="117">
        <f>10139+839</f>
        <v>10978</v>
      </c>
      <c r="AJ69" s="117">
        <f>8614+734</f>
        <v>9348</v>
      </c>
      <c r="AK69" s="117">
        <f>8614+579</f>
        <v>9193</v>
      </c>
      <c r="AL69" s="117">
        <f>10672+3461</f>
        <v>14133</v>
      </c>
      <c r="AM69" s="60">
        <f t="shared" si="95"/>
        <v>14133</v>
      </c>
      <c r="AN69" s="117">
        <f>14732+3160</f>
        <v>17892</v>
      </c>
      <c r="AO69" s="117">
        <f>12600+33</f>
        <v>12633</v>
      </c>
      <c r="AP69" s="117">
        <f>14552+564</f>
        <v>15116</v>
      </c>
      <c r="AQ69" s="117">
        <f>21472+5256</f>
        <v>26728</v>
      </c>
      <c r="AR69" s="60">
        <f t="shared" si="96"/>
        <v>26728</v>
      </c>
      <c r="AS69" s="117">
        <f>22485+668</f>
        <v>23153</v>
      </c>
      <c r="AT69" s="117">
        <f>16553+4641</f>
        <v>21194</v>
      </c>
      <c r="AU69" s="117">
        <f>11838+7697</f>
        <v>19535</v>
      </c>
      <c r="AV69" s="117">
        <f>5248+10267</f>
        <v>15515</v>
      </c>
      <c r="AW69" s="60">
        <f t="shared" si="97"/>
        <v>15515</v>
      </c>
      <c r="AX69" s="117">
        <f>8593+6746</f>
        <v>15339</v>
      </c>
      <c r="AY69" s="117">
        <f>12525+7347</f>
        <v>19872</v>
      </c>
      <c r="AZ69" s="117">
        <v>16907</v>
      </c>
      <c r="BA69" s="117">
        <v>17411</v>
      </c>
      <c r="BB69" s="60">
        <f t="shared" si="98"/>
        <v>17411</v>
      </c>
      <c r="BC69" s="117">
        <v>20363</v>
      </c>
      <c r="BD69" s="117">
        <v>17123</v>
      </c>
      <c r="BE69" s="117">
        <v>22568</v>
      </c>
      <c r="BF69" s="117">
        <v>21387</v>
      </c>
      <c r="BG69" s="60">
        <f t="shared" si="99"/>
        <v>21387</v>
      </c>
      <c r="BH69" s="117">
        <v>21883</v>
      </c>
      <c r="BI69" s="117">
        <v>21404</v>
      </c>
      <c r="BJ69" s="117">
        <v>26156</v>
      </c>
      <c r="BK69" s="117">
        <v>20765</v>
      </c>
      <c r="BL69" s="60">
        <f t="shared" si="100"/>
        <v>20765</v>
      </c>
      <c r="BM69" s="117">
        <v>13548</v>
      </c>
      <c r="BN69" s="117">
        <v>16049</v>
      </c>
      <c r="BO69" s="117">
        <v>16732</v>
      </c>
      <c r="BP69" s="117">
        <v>18618</v>
      </c>
      <c r="BQ69" s="60">
        <f t="shared" si="101"/>
        <v>18618</v>
      </c>
      <c r="BR69" s="117">
        <v>20783</v>
      </c>
      <c r="BS69" s="117">
        <v>20499</v>
      </c>
      <c r="BT69" s="117">
        <v>21996</v>
      </c>
      <c r="BU69" s="117">
        <v>20284</v>
      </c>
      <c r="BV69" s="60">
        <f t="shared" si="102"/>
        <v>20284</v>
      </c>
      <c r="BW69" s="161">
        <v>20521</v>
      </c>
      <c r="BX69" s="161">
        <v>23344</v>
      </c>
      <c r="BY69" s="161">
        <v>22890</v>
      </c>
      <c r="BZ69" s="161">
        <v>22100</v>
      </c>
      <c r="CA69" s="235">
        <f t="shared" si="103"/>
        <v>22100</v>
      </c>
      <c r="CB69" s="161">
        <v>23546</v>
      </c>
      <c r="CC69" s="161">
        <v>24096</v>
      </c>
      <c r="CD69" s="161">
        <v>20643</v>
      </c>
      <c r="CE69" s="161">
        <v>20393</v>
      </c>
      <c r="CF69" s="235">
        <f t="shared" si="104"/>
        <v>20393</v>
      </c>
      <c r="CG69" s="161">
        <v>20732</v>
      </c>
      <c r="CH69" s="161">
        <v>18405</v>
      </c>
      <c r="CI69" s="154">
        <v>17161</v>
      </c>
      <c r="CJ69" s="161">
        <v>20904</v>
      </c>
      <c r="CK69" s="235">
        <f t="shared" si="105"/>
        <v>20904</v>
      </c>
      <c r="CL69" s="161">
        <v>23556</v>
      </c>
      <c r="CM69" s="161">
        <v>22234</v>
      </c>
      <c r="CN69" s="161">
        <v>20825</v>
      </c>
      <c r="CO69" s="161">
        <v>22922</v>
      </c>
      <c r="CP69" s="235">
        <f t="shared" si="106"/>
        <v>22922</v>
      </c>
      <c r="CQ69" s="161">
        <v>22166</v>
      </c>
      <c r="CR69" s="161">
        <v>22886</v>
      </c>
      <c r="CS69" s="161">
        <v>20492</v>
      </c>
      <c r="CT69" s="161">
        <v>20435</v>
      </c>
      <c r="CU69" s="235">
        <f t="shared" si="107"/>
        <v>20435</v>
      </c>
      <c r="CV69" s="49">
        <f>CU69-CV147-CV149</f>
        <v>20435</v>
      </c>
      <c r="CW69" s="49">
        <f>CV69-CW147-CW149</f>
        <v>20435</v>
      </c>
      <c r="CX69" s="49">
        <f>CW69-CX147-CX149</f>
        <v>20435</v>
      </c>
      <c r="CY69" s="49">
        <f>CX69-CY147-CY149</f>
        <v>20435</v>
      </c>
      <c r="CZ69" s="235">
        <f t="shared" si="108"/>
        <v>20435</v>
      </c>
      <c r="DA69" s="87">
        <f>CZ69-DA147-DA149</f>
        <v>20435</v>
      </c>
      <c r="DB69" s="87">
        <f>DA69-DB147-DB149</f>
        <v>20435</v>
      </c>
      <c r="DC69" s="87">
        <f>DB69-DC147-DC149</f>
        <v>20435</v>
      </c>
      <c r="DD69" s="165"/>
      <c r="DE69" s="2"/>
      <c r="DF69" s="235">
        <f t="shared" si="109"/>
        <v>20435</v>
      </c>
      <c r="DG69" s="235">
        <v>20492</v>
      </c>
      <c r="DH69" s="235">
        <f t="shared" si="110"/>
        <v>22922</v>
      </c>
      <c r="DI69" s="454">
        <f t="shared" si="111"/>
        <v>-2.7815732968963225E-3</v>
      </c>
      <c r="DJ69" s="454">
        <f t="shared" si="112"/>
        <v>-0.10849838583020677</v>
      </c>
      <c r="DK69" s="2"/>
      <c r="DL69" s="2"/>
      <c r="DM69" s="2"/>
    </row>
    <row r="70" spans="1:117" ht="12" customHeight="1">
      <c r="A70" s="1109">
        <f t="shared" si="0"/>
        <v>65</v>
      </c>
      <c r="B70" s="10"/>
      <c r="C70" s="1033" t="s">
        <v>729</v>
      </c>
      <c r="E70" s="319">
        <f>149694+200</f>
        <v>149894</v>
      </c>
      <c r="F70" s="319">
        <v>163030</v>
      </c>
      <c r="G70" s="319">
        <f>175417+416</f>
        <v>175833</v>
      </c>
      <c r="H70" s="319">
        <f>97176+0</f>
        <v>97176</v>
      </c>
      <c r="I70" s="319">
        <f>113298+2304</f>
        <v>115602</v>
      </c>
      <c r="J70" s="117">
        <f>116626+1807</f>
        <v>118433</v>
      </c>
      <c r="K70" s="117">
        <f>121217+1869</f>
        <v>123086</v>
      </c>
      <c r="L70" s="117">
        <f>121094+2052</f>
        <v>123146</v>
      </c>
      <c r="M70" s="117">
        <f>125164+2637</f>
        <v>127801</v>
      </c>
      <c r="N70" s="60">
        <f t="shared" si="90"/>
        <v>127801</v>
      </c>
      <c r="O70" s="117">
        <f>126279+2538</f>
        <v>128817</v>
      </c>
      <c r="P70" s="117">
        <f>128263+1487</f>
        <v>129750</v>
      </c>
      <c r="Q70" s="117">
        <f>112728+1815</f>
        <v>114543</v>
      </c>
      <c r="R70" s="117">
        <v>110190</v>
      </c>
      <c r="S70" s="60">
        <f t="shared" si="91"/>
        <v>110190</v>
      </c>
      <c r="T70" s="117">
        <f>103905+1349</f>
        <v>105254</v>
      </c>
      <c r="U70" s="117">
        <f>108557+1939</f>
        <v>110496</v>
      </c>
      <c r="V70" s="117">
        <f>104551+1904</f>
        <v>106455</v>
      </c>
      <c r="W70" s="117">
        <v>97007</v>
      </c>
      <c r="X70" s="60">
        <f t="shared" si="92"/>
        <v>97007</v>
      </c>
      <c r="Y70" s="117">
        <v>92765</v>
      </c>
      <c r="Z70" s="117">
        <v>109319</v>
      </c>
      <c r="AA70" s="117">
        <v>109173</v>
      </c>
      <c r="AB70" s="117">
        <v>106850</v>
      </c>
      <c r="AC70" s="60">
        <f t="shared" si="93"/>
        <v>106850</v>
      </c>
      <c r="AD70" s="117">
        <v>109867</v>
      </c>
      <c r="AE70" s="117">
        <v>108459</v>
      </c>
      <c r="AF70" s="117">
        <v>112011</v>
      </c>
      <c r="AG70" s="117">
        <v>109563</v>
      </c>
      <c r="AH70" s="60">
        <f t="shared" si="94"/>
        <v>109563</v>
      </c>
      <c r="AI70" s="117">
        <v>102552</v>
      </c>
      <c r="AJ70" s="117">
        <v>97565</v>
      </c>
      <c r="AK70" s="117">
        <v>91774</v>
      </c>
      <c r="AL70" s="117">
        <v>105975</v>
      </c>
      <c r="AM70" s="60">
        <f t="shared" si="95"/>
        <v>105975</v>
      </c>
      <c r="AN70" s="117">
        <v>103986</v>
      </c>
      <c r="AO70" s="117">
        <v>106554</v>
      </c>
      <c r="AP70" s="117">
        <v>106685</v>
      </c>
      <c r="AQ70" s="117">
        <v>106863</v>
      </c>
      <c r="AR70" s="60">
        <f t="shared" si="96"/>
        <v>106863</v>
      </c>
      <c r="AS70" s="117">
        <v>106048</v>
      </c>
      <c r="AT70" s="117">
        <v>108179</v>
      </c>
      <c r="AU70" s="117">
        <v>108486</v>
      </c>
      <c r="AV70" s="117">
        <v>109053</v>
      </c>
      <c r="AW70" s="60">
        <f t="shared" si="97"/>
        <v>109053</v>
      </c>
      <c r="AX70" s="117">
        <v>108858</v>
      </c>
      <c r="AY70" s="117">
        <v>106928</v>
      </c>
      <c r="AZ70" s="117">
        <v>100883</v>
      </c>
      <c r="BA70" s="117">
        <v>93484</v>
      </c>
      <c r="BB70" s="60">
        <f t="shared" si="98"/>
        <v>93484</v>
      </c>
      <c r="BC70" s="117">
        <v>84008</v>
      </c>
      <c r="BD70" s="117">
        <v>80296</v>
      </c>
      <c r="BE70" s="117">
        <v>75613</v>
      </c>
      <c r="BF70" s="117">
        <v>75892</v>
      </c>
      <c r="BG70" s="60">
        <f t="shared" si="99"/>
        <v>75892</v>
      </c>
      <c r="BH70" s="117">
        <v>73837</v>
      </c>
      <c r="BI70" s="117">
        <v>70975</v>
      </c>
      <c r="BJ70" s="117">
        <v>70486</v>
      </c>
      <c r="BK70" s="117">
        <v>70070</v>
      </c>
      <c r="BL70" s="60">
        <f t="shared" si="100"/>
        <v>70070</v>
      </c>
      <c r="BM70" s="117">
        <v>70704</v>
      </c>
      <c r="BN70" s="117">
        <v>71023</v>
      </c>
      <c r="BO70" s="117">
        <v>67789</v>
      </c>
      <c r="BP70" s="117">
        <v>69976</v>
      </c>
      <c r="BQ70" s="60">
        <f t="shared" si="101"/>
        <v>69976</v>
      </c>
      <c r="BR70" s="117">
        <v>69897</v>
      </c>
      <c r="BS70" s="117">
        <v>68094</v>
      </c>
      <c r="BT70" s="117">
        <v>68332</v>
      </c>
      <c r="BU70" s="117">
        <v>70991</v>
      </c>
      <c r="BV70" s="60">
        <f t="shared" si="102"/>
        <v>70991</v>
      </c>
      <c r="BW70" s="161">
        <v>71823</v>
      </c>
      <c r="BX70" s="161">
        <v>72004</v>
      </c>
      <c r="BY70" s="161">
        <v>73418</v>
      </c>
      <c r="BZ70" s="161">
        <v>77481</v>
      </c>
      <c r="CA70" s="235">
        <f t="shared" si="103"/>
        <v>77481</v>
      </c>
      <c r="CB70" s="161">
        <v>77773</v>
      </c>
      <c r="CC70" s="161">
        <v>80026</v>
      </c>
      <c r="CD70" s="161">
        <v>79882</v>
      </c>
      <c r="CE70" s="161">
        <v>81111</v>
      </c>
      <c r="CF70" s="235">
        <f t="shared" si="104"/>
        <v>81111</v>
      </c>
      <c r="CG70" s="161">
        <v>79167</v>
      </c>
      <c r="CH70" s="161">
        <v>82821</v>
      </c>
      <c r="CI70" s="154">
        <v>85208</v>
      </c>
      <c r="CJ70" s="161">
        <v>45137</v>
      </c>
      <c r="CK70" s="235">
        <f t="shared" si="105"/>
        <v>45137</v>
      </c>
      <c r="CL70" s="243">
        <v>94280</v>
      </c>
      <c r="CM70" s="161">
        <v>47860</v>
      </c>
      <c r="CN70" s="161">
        <v>45550</v>
      </c>
      <c r="CO70" s="161">
        <v>46266</v>
      </c>
      <c r="CP70" s="235">
        <f t="shared" si="106"/>
        <v>46266</v>
      </c>
      <c r="CQ70" s="161">
        <v>48605</v>
      </c>
      <c r="CR70" s="161">
        <v>49888</v>
      </c>
      <c r="CS70" s="161">
        <v>49541</v>
      </c>
      <c r="CT70" s="161">
        <v>52210</v>
      </c>
      <c r="CU70" s="235">
        <f t="shared" si="107"/>
        <v>52210</v>
      </c>
      <c r="CV70" s="49">
        <f>+CV201*CV192</f>
        <v>53378.830400000006</v>
      </c>
      <c r="CW70" s="49">
        <f>+CW201*CW192</f>
        <v>53447.962600000006</v>
      </c>
      <c r="CX70" s="49">
        <f>+CX201*CX192</f>
        <v>53589.171400000014</v>
      </c>
      <c r="CY70" s="49">
        <f>+CY201*CY192</f>
        <v>53730.913490000014</v>
      </c>
      <c r="CZ70" s="235">
        <f t="shared" si="108"/>
        <v>53730.913490000014</v>
      </c>
      <c r="DA70" s="87">
        <f>+DA201*DA192</f>
        <v>54830.602242907502</v>
      </c>
      <c r="DB70" s="87">
        <f>+DB201*DB192</f>
        <v>56421.087194998996</v>
      </c>
      <c r="DC70" s="87">
        <f>+DC201*DC192</f>
        <v>57900.258156813848</v>
      </c>
      <c r="DD70" s="165"/>
      <c r="DE70" s="2"/>
      <c r="DF70" s="235">
        <f t="shared" si="109"/>
        <v>52210</v>
      </c>
      <c r="DG70" s="235">
        <v>49446.712196990353</v>
      </c>
      <c r="DH70" s="235">
        <f t="shared" si="110"/>
        <v>46266</v>
      </c>
      <c r="DI70" s="454">
        <f t="shared" si="111"/>
        <v>5.5884156503692495E-2</v>
      </c>
      <c r="DJ70" s="454">
        <f t="shared" si="112"/>
        <v>0.12847447369558629</v>
      </c>
      <c r="DK70" s="2"/>
      <c r="DL70" s="2"/>
      <c r="DM70" s="2"/>
    </row>
    <row r="71" spans="1:117" ht="12" customHeight="1">
      <c r="A71" s="1109">
        <f t="shared" si="0"/>
        <v>66</v>
      </c>
      <c r="B71" s="10"/>
      <c r="C71" s="1033" t="s">
        <v>728</v>
      </c>
      <c r="E71" s="319">
        <v>3321</v>
      </c>
      <c r="F71" s="319">
        <f>3133+473</f>
        <v>3606</v>
      </c>
      <c r="G71" s="319">
        <f>3097+0</f>
        <v>3097</v>
      </c>
      <c r="H71" s="319">
        <f>2604+888</f>
        <v>3492</v>
      </c>
      <c r="I71" s="319">
        <f>5267+1835</f>
        <v>7102</v>
      </c>
      <c r="J71" s="117">
        <f>4406+2283</f>
        <v>6689</v>
      </c>
      <c r="K71" s="117">
        <f>3897+2445</f>
        <v>6342</v>
      </c>
      <c r="L71" s="117">
        <f>4523+3623</f>
        <v>8146</v>
      </c>
      <c r="M71" s="117">
        <f>4685+1587</f>
        <v>6272</v>
      </c>
      <c r="N71" s="60">
        <f t="shared" si="90"/>
        <v>6272</v>
      </c>
      <c r="O71" s="117">
        <f>4069+2637</f>
        <v>6706</v>
      </c>
      <c r="P71" s="117">
        <f>3375+2637</f>
        <v>6012</v>
      </c>
      <c r="Q71" s="117">
        <f>2747+2193</f>
        <v>4940</v>
      </c>
      <c r="R71" s="117">
        <v>2181</v>
      </c>
      <c r="S71" s="60">
        <f t="shared" si="91"/>
        <v>2181</v>
      </c>
      <c r="T71" s="117">
        <f>2321+3712</f>
        <v>6033</v>
      </c>
      <c r="U71" s="117">
        <f>2356+3712</f>
        <v>6068</v>
      </c>
      <c r="V71" s="117">
        <f>2070+3712</f>
        <v>5782</v>
      </c>
      <c r="W71" s="117">
        <v>2047</v>
      </c>
      <c r="X71" s="60">
        <f t="shared" si="92"/>
        <v>2047</v>
      </c>
      <c r="Y71" s="117">
        <v>2296</v>
      </c>
      <c r="Z71" s="117">
        <v>2438</v>
      </c>
      <c r="AA71" s="117">
        <v>2755</v>
      </c>
      <c r="AB71" s="117">
        <v>5851</v>
      </c>
      <c r="AC71" s="60">
        <f t="shared" si="93"/>
        <v>5851</v>
      </c>
      <c r="AD71" s="117">
        <v>3020</v>
      </c>
      <c r="AE71" s="117">
        <v>3016</v>
      </c>
      <c r="AF71" s="117">
        <v>3340</v>
      </c>
      <c r="AG71" s="117">
        <v>5895</v>
      </c>
      <c r="AH71" s="60">
        <f t="shared" si="94"/>
        <v>5895</v>
      </c>
      <c r="AI71" s="117">
        <v>6530</v>
      </c>
      <c r="AJ71" s="117">
        <v>6523</v>
      </c>
      <c r="AK71" s="117">
        <v>5268</v>
      </c>
      <c r="AL71" s="117">
        <v>8536</v>
      </c>
      <c r="AM71" s="60">
        <f t="shared" si="95"/>
        <v>8536</v>
      </c>
      <c r="AN71" s="117">
        <v>8824</v>
      </c>
      <c r="AO71" s="117">
        <v>9215</v>
      </c>
      <c r="AP71" s="117">
        <v>8004</v>
      </c>
      <c r="AQ71" s="117">
        <v>7067</v>
      </c>
      <c r="AR71" s="60">
        <f t="shared" si="96"/>
        <v>7067</v>
      </c>
      <c r="AS71" s="117">
        <v>10727</v>
      </c>
      <c r="AT71" s="117">
        <v>11395</v>
      </c>
      <c r="AU71" s="117">
        <v>11209</v>
      </c>
      <c r="AV71" s="117">
        <v>8210</v>
      </c>
      <c r="AW71" s="60">
        <f t="shared" si="97"/>
        <v>8210</v>
      </c>
      <c r="AX71" s="117">
        <v>8089</v>
      </c>
      <c r="AY71" s="117">
        <v>8964</v>
      </c>
      <c r="AZ71" s="117">
        <v>7529</v>
      </c>
      <c r="BA71" s="117">
        <v>5674</v>
      </c>
      <c r="BB71" s="60">
        <f t="shared" si="98"/>
        <v>5674</v>
      </c>
      <c r="BC71" s="117">
        <v>5390</v>
      </c>
      <c r="BD71" s="117">
        <v>6643</v>
      </c>
      <c r="BE71" s="117">
        <v>7296</v>
      </c>
      <c r="BF71" s="117">
        <v>7194</v>
      </c>
      <c r="BG71" s="60">
        <f t="shared" si="99"/>
        <v>7194</v>
      </c>
      <c r="BH71" s="117">
        <v>6925</v>
      </c>
      <c r="BI71" s="117">
        <v>7985</v>
      </c>
      <c r="BJ71" s="117">
        <v>8368</v>
      </c>
      <c r="BK71" s="117">
        <v>8381</v>
      </c>
      <c r="BL71" s="60">
        <f t="shared" si="100"/>
        <v>8381</v>
      </c>
      <c r="BM71" s="117">
        <v>8999</v>
      </c>
      <c r="BN71" s="117">
        <v>9473</v>
      </c>
      <c r="BO71" s="117">
        <v>9036</v>
      </c>
      <c r="BP71" s="117">
        <v>8565</v>
      </c>
      <c r="BQ71" s="60">
        <f t="shared" si="101"/>
        <v>8565</v>
      </c>
      <c r="BR71" s="117">
        <v>9904</v>
      </c>
      <c r="BS71" s="117">
        <v>10160</v>
      </c>
      <c r="BT71" s="117">
        <v>10737</v>
      </c>
      <c r="BU71" s="117">
        <v>10878</v>
      </c>
      <c r="BV71" s="60">
        <f t="shared" si="102"/>
        <v>10878</v>
      </c>
      <c r="BW71" s="161">
        <v>11384</v>
      </c>
      <c r="BX71" s="161">
        <v>11353</v>
      </c>
      <c r="BY71" s="161">
        <v>11693</v>
      </c>
      <c r="BZ71" s="161">
        <v>9828</v>
      </c>
      <c r="CA71" s="235">
        <f t="shared" si="103"/>
        <v>9828</v>
      </c>
      <c r="CB71" s="161">
        <v>12088</v>
      </c>
      <c r="CC71" s="161">
        <v>12853</v>
      </c>
      <c r="CD71" s="161">
        <v>11143</v>
      </c>
      <c r="CE71" s="161">
        <v>11708</v>
      </c>
      <c r="CF71" s="235">
        <f t="shared" si="104"/>
        <v>11708</v>
      </c>
      <c r="CG71" s="161">
        <v>13005</v>
      </c>
      <c r="CH71" s="161">
        <v>12666</v>
      </c>
      <c r="CI71" s="154">
        <v>13373</v>
      </c>
      <c r="CJ71" s="161">
        <v>11042</v>
      </c>
      <c r="CK71" s="235">
        <f t="shared" si="105"/>
        <v>11042</v>
      </c>
      <c r="CL71" s="243">
        <v>11252</v>
      </c>
      <c r="CM71" s="161">
        <v>10728</v>
      </c>
      <c r="CN71" s="161">
        <v>10029</v>
      </c>
      <c r="CO71" s="161">
        <v>11102</v>
      </c>
      <c r="CP71" s="235">
        <f t="shared" si="106"/>
        <v>11102</v>
      </c>
      <c r="CQ71" s="161">
        <v>10685</v>
      </c>
      <c r="CR71" s="161">
        <v>10159</v>
      </c>
      <c r="CS71" s="161">
        <v>10277</v>
      </c>
      <c r="CT71" s="161">
        <v>10599</v>
      </c>
      <c r="CU71" s="235">
        <f t="shared" si="107"/>
        <v>10599</v>
      </c>
      <c r="CV71" s="49">
        <f>CV192/365*CV197</f>
        <v>10613.911181813542</v>
      </c>
      <c r="CW71" s="49">
        <f>CW192/365*CW197</f>
        <v>10627.657512055417</v>
      </c>
      <c r="CX71" s="49">
        <f>CX192/365*CX197</f>
        <v>10655.7356405955</v>
      </c>
      <c r="CY71" s="49">
        <f>CY192/365*CY197</f>
        <v>10683.91980916403</v>
      </c>
      <c r="CZ71" s="235">
        <f t="shared" si="108"/>
        <v>10683.91980916403</v>
      </c>
      <c r="DA71" s="87">
        <f>DA192/365*DA197</f>
        <v>10667.855905906166</v>
      </c>
      <c r="DB71" s="87">
        <f>DB192/365*DB197</f>
        <v>10753.274510065325</v>
      </c>
      <c r="DC71" s="87">
        <f>DC192/365*DC197</f>
        <v>11035.189166277803</v>
      </c>
      <c r="DD71" s="165"/>
      <c r="DE71" s="2"/>
      <c r="DF71" s="235">
        <f t="shared" si="109"/>
        <v>10599</v>
      </c>
      <c r="DG71" s="235">
        <v>10257.440529025856</v>
      </c>
      <c r="DH71" s="235">
        <f t="shared" si="110"/>
        <v>11102</v>
      </c>
      <c r="DI71" s="454">
        <f t="shared" si="111"/>
        <v>3.3298703512598449E-2</v>
      </c>
      <c r="DJ71" s="454">
        <f t="shared" si="112"/>
        <v>-4.5307151864528938E-2</v>
      </c>
      <c r="DK71" s="2"/>
      <c r="DL71" s="2"/>
      <c r="DM71" s="2"/>
    </row>
    <row r="72" spans="1:117" ht="12" customHeight="1">
      <c r="A72" s="1109">
        <f t="shared" ref="A72:A139" si="113">A71+1</f>
        <v>67</v>
      </c>
      <c r="B72" s="10"/>
      <c r="C72" s="1033" t="s">
        <v>324</v>
      </c>
      <c r="E72" s="319">
        <v>7162</v>
      </c>
      <c r="F72" s="319">
        <v>6656</v>
      </c>
      <c r="G72" s="319">
        <v>5468</v>
      </c>
      <c r="H72" s="319">
        <v>5656</v>
      </c>
      <c r="I72" s="319">
        <v>5684</v>
      </c>
      <c r="J72" s="117">
        <v>6557</v>
      </c>
      <c r="K72" s="117">
        <v>6251</v>
      </c>
      <c r="L72" s="117">
        <v>8189</v>
      </c>
      <c r="M72" s="117">
        <v>7514</v>
      </c>
      <c r="N72" s="60">
        <f t="shared" si="90"/>
        <v>7514</v>
      </c>
      <c r="O72" s="117">
        <v>7664</v>
      </c>
      <c r="P72" s="117">
        <v>7220</v>
      </c>
      <c r="Q72" s="117">
        <v>7110</v>
      </c>
      <c r="R72" s="117">
        <v>6127</v>
      </c>
      <c r="S72" s="60">
        <f t="shared" si="91"/>
        <v>6127</v>
      </c>
      <c r="T72" s="117">
        <v>7068</v>
      </c>
      <c r="U72" s="117">
        <v>7522</v>
      </c>
      <c r="V72" s="117">
        <v>7504</v>
      </c>
      <c r="W72" s="117">
        <v>6977</v>
      </c>
      <c r="X72" s="60">
        <f t="shared" si="92"/>
        <v>6977</v>
      </c>
      <c r="Y72" s="117">
        <v>7953</v>
      </c>
      <c r="Z72" s="117">
        <v>8448</v>
      </c>
      <c r="AA72" s="117">
        <v>10085</v>
      </c>
      <c r="AB72" s="117">
        <v>9151</v>
      </c>
      <c r="AC72" s="60">
        <f t="shared" si="93"/>
        <v>9151</v>
      </c>
      <c r="AD72" s="117">
        <v>10193</v>
      </c>
      <c r="AE72" s="117">
        <v>10614</v>
      </c>
      <c r="AF72" s="117">
        <v>10981</v>
      </c>
      <c r="AG72" s="117">
        <v>10748</v>
      </c>
      <c r="AH72" s="60">
        <f t="shared" si="94"/>
        <v>10748</v>
      </c>
      <c r="AI72" s="117">
        <v>11482</v>
      </c>
      <c r="AJ72" s="117">
        <v>11550</v>
      </c>
      <c r="AK72" s="117">
        <v>11687</v>
      </c>
      <c r="AL72" s="117">
        <v>10271</v>
      </c>
      <c r="AM72" s="60">
        <f t="shared" si="95"/>
        <v>10271</v>
      </c>
      <c r="AN72" s="117">
        <v>11962</v>
      </c>
      <c r="AO72" s="117">
        <v>12116</v>
      </c>
      <c r="AP72" s="117">
        <v>11997</v>
      </c>
      <c r="AQ72" s="117">
        <v>10017</v>
      </c>
      <c r="AR72" s="60">
        <f t="shared" si="96"/>
        <v>10017</v>
      </c>
      <c r="AS72" s="117">
        <v>12525</v>
      </c>
      <c r="AT72" s="117">
        <v>12614</v>
      </c>
      <c r="AU72" s="117">
        <v>12886</v>
      </c>
      <c r="AV72" s="117">
        <v>10121</v>
      </c>
      <c r="AW72" s="60">
        <f t="shared" si="97"/>
        <v>10121</v>
      </c>
      <c r="AX72" s="117">
        <v>11721</v>
      </c>
      <c r="AY72" s="117">
        <v>12987</v>
      </c>
      <c r="AZ72" s="117">
        <v>12048</v>
      </c>
      <c r="BA72" s="117">
        <v>6988</v>
      </c>
      <c r="BB72" s="60">
        <f t="shared" si="98"/>
        <v>6988</v>
      </c>
      <c r="BC72" s="117">
        <v>6575</v>
      </c>
      <c r="BD72" s="117">
        <v>6603</v>
      </c>
      <c r="BE72" s="117">
        <v>6560</v>
      </c>
      <c r="BF72" s="117">
        <v>5041</v>
      </c>
      <c r="BG72" s="60">
        <f t="shared" si="99"/>
        <v>5041</v>
      </c>
      <c r="BH72" s="117">
        <v>6292</v>
      </c>
      <c r="BI72" s="117">
        <v>6076</v>
      </c>
      <c r="BJ72" s="117">
        <v>6855</v>
      </c>
      <c r="BK72" s="117">
        <v>5917</v>
      </c>
      <c r="BL72" s="60">
        <f t="shared" si="100"/>
        <v>5917</v>
      </c>
      <c r="BM72" s="117">
        <v>7414</v>
      </c>
      <c r="BN72" s="117">
        <v>7036</v>
      </c>
      <c r="BO72" s="117">
        <v>7212</v>
      </c>
      <c r="BP72" s="117">
        <v>5901</v>
      </c>
      <c r="BQ72" s="60">
        <f t="shared" si="101"/>
        <v>5901</v>
      </c>
      <c r="BR72" s="117">
        <v>7031</v>
      </c>
      <c r="BS72" s="117">
        <v>7289</v>
      </c>
      <c r="BT72" s="117">
        <v>8208</v>
      </c>
      <c r="BU72" s="117">
        <v>7362</v>
      </c>
      <c r="BV72" s="60">
        <f t="shared" si="102"/>
        <v>7362</v>
      </c>
      <c r="BW72" s="161">
        <v>8423</v>
      </c>
      <c r="BX72" s="161">
        <v>8192</v>
      </c>
      <c r="BY72" s="161">
        <v>8799</v>
      </c>
      <c r="BZ72" s="161">
        <v>7708</v>
      </c>
      <c r="CA72" s="235">
        <f t="shared" si="103"/>
        <v>7708</v>
      </c>
      <c r="CB72" s="161">
        <v>8874</v>
      </c>
      <c r="CC72" s="161">
        <v>9365</v>
      </c>
      <c r="CD72" s="161">
        <v>9296</v>
      </c>
      <c r="CE72" s="161">
        <v>7870</v>
      </c>
      <c r="CF72" s="235">
        <f t="shared" si="104"/>
        <v>7870</v>
      </c>
      <c r="CG72" s="161">
        <v>9519</v>
      </c>
      <c r="CH72" s="161">
        <v>9438</v>
      </c>
      <c r="CI72" s="154">
        <v>9496</v>
      </c>
      <c r="CJ72" s="161">
        <v>8319</v>
      </c>
      <c r="CK72" s="235">
        <f t="shared" si="105"/>
        <v>8319</v>
      </c>
      <c r="CL72" s="243">
        <v>9770</v>
      </c>
      <c r="CM72" s="161">
        <v>9829</v>
      </c>
      <c r="CN72" s="161">
        <v>10219</v>
      </c>
      <c r="CO72" s="161">
        <v>8898</v>
      </c>
      <c r="CP72" s="235">
        <f t="shared" si="106"/>
        <v>8898</v>
      </c>
      <c r="CQ72" s="161">
        <v>10535</v>
      </c>
      <c r="CR72" s="161">
        <v>11092</v>
      </c>
      <c r="CS72" s="161">
        <v>11263</v>
      </c>
      <c r="CT72" s="161">
        <v>10277</v>
      </c>
      <c r="CU72" s="235">
        <f t="shared" si="107"/>
        <v>10277</v>
      </c>
      <c r="CV72" s="49">
        <f>-CV193/365*CV199</f>
        <v>10334.260430507931</v>
      </c>
      <c r="CW72" s="49">
        <f>-CW193/365*CW199</f>
        <v>10408.026511157526</v>
      </c>
      <c r="CX72" s="49">
        <f>-CX193/365*CX199</f>
        <v>10507.338639671461</v>
      </c>
      <c r="CY72" s="49">
        <f>-CY193/365*CY199</f>
        <v>10542.613922407652</v>
      </c>
      <c r="CZ72" s="235">
        <f t="shared" si="108"/>
        <v>10542.613922407652</v>
      </c>
      <c r="DA72" s="87">
        <f>-DA193/365*DA199</f>
        <v>12357.295943249674</v>
      </c>
      <c r="DB72" s="87">
        <f>-DB193/365*DB199</f>
        <v>12715.747108152245</v>
      </c>
      <c r="DC72" s="87">
        <f>-DC193/365*DC199</f>
        <v>13124.978114641664</v>
      </c>
      <c r="DD72" s="165"/>
      <c r="DE72" s="2"/>
      <c r="DF72" s="235">
        <f t="shared" si="109"/>
        <v>10277</v>
      </c>
      <c r="DG72" s="235">
        <v>11428.059291830508</v>
      </c>
      <c r="DH72" s="235">
        <f t="shared" si="110"/>
        <v>8898</v>
      </c>
      <c r="DI72" s="454">
        <f t="shared" si="111"/>
        <v>-0.10072220159492495</v>
      </c>
      <c r="DJ72" s="454">
        <f t="shared" si="112"/>
        <v>0.15497864688694096</v>
      </c>
      <c r="DK72" s="2"/>
      <c r="DL72" s="2"/>
      <c r="DM72" s="2"/>
    </row>
    <row r="73" spans="1:117" ht="12" customHeight="1">
      <c r="A73" s="1109">
        <f t="shared" si="113"/>
        <v>68</v>
      </c>
      <c r="B73" s="10"/>
      <c r="C73" s="1079" t="s">
        <v>72</v>
      </c>
      <c r="D73" s="91"/>
      <c r="E73" s="320">
        <f>1483+2709</f>
        <v>4192</v>
      </c>
      <c r="F73" s="320">
        <f>3193+3296</f>
        <v>6489</v>
      </c>
      <c r="G73" s="320">
        <f>3782+3249</f>
        <v>7031</v>
      </c>
      <c r="H73" s="320">
        <f>3405+3239</f>
        <v>6644</v>
      </c>
      <c r="I73" s="320">
        <f>3831+3762</f>
        <v>7593</v>
      </c>
      <c r="J73" s="117">
        <f>4501+2816</f>
        <v>7317</v>
      </c>
      <c r="K73" s="117">
        <f>5022+2886</f>
        <v>7908</v>
      </c>
      <c r="L73" s="117">
        <f>5006+2645</f>
        <v>7651</v>
      </c>
      <c r="M73" s="138">
        <f>5318+2239</f>
        <v>7557</v>
      </c>
      <c r="N73" s="93">
        <f t="shared" si="90"/>
        <v>7557</v>
      </c>
      <c r="O73" s="117">
        <f>5683+2674</f>
        <v>8357</v>
      </c>
      <c r="P73" s="117">
        <f>5466+2735</f>
        <v>8201</v>
      </c>
      <c r="Q73" s="117">
        <f>5427+2692</f>
        <v>8119</v>
      </c>
      <c r="R73" s="138">
        <v>6153</v>
      </c>
      <c r="S73" s="93">
        <f t="shared" si="91"/>
        <v>6153</v>
      </c>
      <c r="T73" s="117">
        <f>5880+2734</f>
        <v>8614</v>
      </c>
      <c r="U73" s="117">
        <f>2595+5697</f>
        <v>8292</v>
      </c>
      <c r="V73" s="117">
        <f>2596+3929</f>
        <v>6525</v>
      </c>
      <c r="W73" s="138">
        <v>4547</v>
      </c>
      <c r="X73" s="93">
        <f t="shared" si="92"/>
        <v>4547</v>
      </c>
      <c r="Y73" s="117">
        <v>5112</v>
      </c>
      <c r="Z73" s="117">
        <v>6316</v>
      </c>
      <c r="AA73" s="117">
        <v>5514</v>
      </c>
      <c r="AB73" s="138">
        <v>6829</v>
      </c>
      <c r="AC73" s="93">
        <f t="shared" si="93"/>
        <v>6829</v>
      </c>
      <c r="AD73" s="117">
        <v>10806</v>
      </c>
      <c r="AE73" s="117">
        <v>8166</v>
      </c>
      <c r="AF73" s="117">
        <v>8146</v>
      </c>
      <c r="AG73" s="138">
        <v>8916</v>
      </c>
      <c r="AH73" s="93">
        <f t="shared" si="94"/>
        <v>8916</v>
      </c>
      <c r="AI73" s="138">
        <v>0</v>
      </c>
      <c r="AJ73" s="138">
        <v>0</v>
      </c>
      <c r="AK73" s="138">
        <v>0</v>
      </c>
      <c r="AL73" s="138">
        <v>8177</v>
      </c>
      <c r="AM73" s="93">
        <f t="shared" si="95"/>
        <v>8177</v>
      </c>
      <c r="AN73" s="117">
        <v>9049</v>
      </c>
      <c r="AO73" s="117">
        <v>9397</v>
      </c>
      <c r="AP73" s="117">
        <v>7891</v>
      </c>
      <c r="AQ73" s="138">
        <v>7616</v>
      </c>
      <c r="AR73" s="93">
        <f t="shared" si="96"/>
        <v>7616</v>
      </c>
      <c r="AS73" s="117">
        <v>6031</v>
      </c>
      <c r="AT73" s="117">
        <v>7027</v>
      </c>
      <c r="AU73" s="117">
        <v>7428</v>
      </c>
      <c r="AV73" s="138">
        <v>5514</v>
      </c>
      <c r="AW73" s="93">
        <f t="shared" si="97"/>
        <v>5514</v>
      </c>
      <c r="AX73" s="117">
        <v>6206</v>
      </c>
      <c r="AY73" s="117">
        <v>7035</v>
      </c>
      <c r="AZ73" s="117">
        <v>4756</v>
      </c>
      <c r="BA73" s="138">
        <v>3450</v>
      </c>
      <c r="BB73" s="93">
        <f t="shared" si="98"/>
        <v>3450</v>
      </c>
      <c r="BC73" s="117">
        <v>2099</v>
      </c>
      <c r="BD73" s="117">
        <v>2843</v>
      </c>
      <c r="BE73" s="117">
        <v>2796</v>
      </c>
      <c r="BF73" s="138">
        <v>688</v>
      </c>
      <c r="BG73" s="93">
        <f t="shared" si="99"/>
        <v>688</v>
      </c>
      <c r="BH73" s="117">
        <v>2797</v>
      </c>
      <c r="BI73" s="117">
        <v>723</v>
      </c>
      <c r="BJ73" s="117">
        <v>817</v>
      </c>
      <c r="BK73" s="138">
        <v>610</v>
      </c>
      <c r="BL73" s="93">
        <f t="shared" si="100"/>
        <v>610</v>
      </c>
      <c r="BM73" s="117">
        <v>796</v>
      </c>
      <c r="BN73" s="117">
        <v>1571</v>
      </c>
      <c r="BO73" s="117">
        <v>934</v>
      </c>
      <c r="BP73" s="138">
        <v>1053</v>
      </c>
      <c r="BQ73" s="93">
        <f t="shared" si="101"/>
        <v>1053</v>
      </c>
      <c r="BR73" s="117">
        <v>1066</v>
      </c>
      <c r="BS73" s="117">
        <v>1029</v>
      </c>
      <c r="BT73" s="117">
        <v>849</v>
      </c>
      <c r="BU73" s="138">
        <v>1124</v>
      </c>
      <c r="BV73" s="93">
        <f t="shared" si="102"/>
        <v>1124</v>
      </c>
      <c r="BW73" s="161">
        <v>1197</v>
      </c>
      <c r="BX73" s="161">
        <v>878</v>
      </c>
      <c r="BY73" s="161">
        <v>900</v>
      </c>
      <c r="BZ73" s="244">
        <v>1034</v>
      </c>
      <c r="CA73" s="245">
        <f t="shared" si="103"/>
        <v>1034</v>
      </c>
      <c r="CB73" s="161">
        <v>1462</v>
      </c>
      <c r="CC73" s="161">
        <v>1169</v>
      </c>
      <c r="CD73" s="161">
        <v>1305</v>
      </c>
      <c r="CE73" s="244">
        <v>1347</v>
      </c>
      <c r="CF73" s="245">
        <f t="shared" si="104"/>
        <v>1347</v>
      </c>
      <c r="CG73" s="161">
        <v>1925</v>
      </c>
      <c r="CH73" s="161">
        <v>1372</v>
      </c>
      <c r="CI73" s="159">
        <v>1588</v>
      </c>
      <c r="CJ73" s="244">
        <v>2913</v>
      </c>
      <c r="CK73" s="245">
        <f t="shared" si="105"/>
        <v>2913</v>
      </c>
      <c r="CL73" s="243">
        <v>1791</v>
      </c>
      <c r="CM73" s="161">
        <v>3053</v>
      </c>
      <c r="CN73" s="161">
        <v>3552</v>
      </c>
      <c r="CO73" s="244">
        <v>3368</v>
      </c>
      <c r="CP73" s="245">
        <f t="shared" si="106"/>
        <v>3368</v>
      </c>
      <c r="CQ73" s="244">
        <v>3414</v>
      </c>
      <c r="CR73" s="244">
        <v>3291</v>
      </c>
      <c r="CS73" s="244">
        <v>3570</v>
      </c>
      <c r="CT73" s="244">
        <v>3889</v>
      </c>
      <c r="CU73" s="245">
        <f t="shared" si="107"/>
        <v>3889</v>
      </c>
      <c r="CV73" s="95">
        <f>CU73-CV150-CV148-CV156-CV154-CV153</f>
        <v>3889</v>
      </c>
      <c r="CW73" s="95">
        <f>CV73-CW150-CW148-CW156-CW154-CW153</f>
        <v>3889</v>
      </c>
      <c r="CX73" s="95">
        <f>CW73-CX150-CX148-CX156-CX154-CX153</f>
        <v>3889</v>
      </c>
      <c r="CY73" s="95">
        <f>CX73-CY150-CY148-CY156-CY154-CY153</f>
        <v>3889</v>
      </c>
      <c r="CZ73" s="245">
        <f t="shared" si="108"/>
        <v>3889</v>
      </c>
      <c r="DA73" s="96">
        <f>CZ73-DA150-DA148-DA156-DA154-DA153</f>
        <v>3889</v>
      </c>
      <c r="DB73" s="96">
        <f>DA73-DB150-DB148-DB156-DB154-DB153</f>
        <v>3889</v>
      </c>
      <c r="DC73" s="96">
        <f>DB73-DC150-DC148-DC156-DC154-DC153</f>
        <v>3889</v>
      </c>
      <c r="DD73" s="165"/>
      <c r="DE73" s="2"/>
      <c r="DF73" s="245">
        <f t="shared" si="109"/>
        <v>3889</v>
      </c>
      <c r="DG73" s="245">
        <v>3570</v>
      </c>
      <c r="DH73" s="245">
        <f t="shared" si="110"/>
        <v>3368</v>
      </c>
      <c r="DI73" s="459">
        <f t="shared" si="111"/>
        <v>8.9355742296918672E-2</v>
      </c>
      <c r="DJ73" s="459">
        <f t="shared" si="112"/>
        <v>0.15469121140142517</v>
      </c>
      <c r="DK73" s="2"/>
      <c r="DL73" s="2"/>
      <c r="DM73" s="2"/>
    </row>
    <row r="74" spans="1:117" ht="12" customHeight="1">
      <c r="A74" s="1109">
        <f t="shared" si="113"/>
        <v>69</v>
      </c>
      <c r="B74" s="10"/>
      <c r="C74" s="1059" t="s">
        <v>27</v>
      </c>
      <c r="D74" s="2"/>
      <c r="E74" s="61">
        <f t="shared" ref="E74:BP74" si="114">SUM(E68:E73)</f>
        <v>184218</v>
      </c>
      <c r="F74" s="61">
        <f t="shared" si="114"/>
        <v>201191</v>
      </c>
      <c r="G74" s="61">
        <f t="shared" si="114"/>
        <v>216089</v>
      </c>
      <c r="H74" s="61">
        <f t="shared" si="114"/>
        <v>138892</v>
      </c>
      <c r="I74" s="61">
        <f t="shared" si="114"/>
        <v>160038</v>
      </c>
      <c r="J74" s="114">
        <f t="shared" si="114"/>
        <v>164215</v>
      </c>
      <c r="K74" s="114">
        <f t="shared" si="114"/>
        <v>171401</v>
      </c>
      <c r="L74" s="114">
        <f t="shared" si="114"/>
        <v>168793</v>
      </c>
      <c r="M74" s="46">
        <f t="shared" si="114"/>
        <v>167928</v>
      </c>
      <c r="N74" s="60">
        <f t="shared" si="114"/>
        <v>167928</v>
      </c>
      <c r="O74" s="114">
        <f t="shared" si="114"/>
        <v>169402</v>
      </c>
      <c r="P74" s="114">
        <f t="shared" si="114"/>
        <v>169953</v>
      </c>
      <c r="Q74" s="114">
        <f t="shared" si="114"/>
        <v>152641</v>
      </c>
      <c r="R74" s="46">
        <f t="shared" si="114"/>
        <v>143425</v>
      </c>
      <c r="S74" s="60">
        <f t="shared" si="114"/>
        <v>143425</v>
      </c>
      <c r="T74" s="114">
        <f t="shared" si="114"/>
        <v>155020</v>
      </c>
      <c r="U74" s="114">
        <f t="shared" si="114"/>
        <v>161064</v>
      </c>
      <c r="V74" s="114">
        <f t="shared" si="114"/>
        <v>159151</v>
      </c>
      <c r="W74" s="46">
        <f t="shared" si="114"/>
        <v>141070</v>
      </c>
      <c r="X74" s="60">
        <f t="shared" si="114"/>
        <v>141070</v>
      </c>
      <c r="Y74" s="114">
        <f t="shared" si="114"/>
        <v>145301</v>
      </c>
      <c r="Z74" s="114">
        <f t="shared" si="114"/>
        <v>164536</v>
      </c>
      <c r="AA74" s="114">
        <f t="shared" si="114"/>
        <v>175905</v>
      </c>
      <c r="AB74" s="46">
        <f t="shared" si="114"/>
        <v>167995</v>
      </c>
      <c r="AC74" s="60">
        <f t="shared" si="114"/>
        <v>167995</v>
      </c>
      <c r="AD74" s="114">
        <f t="shared" si="114"/>
        <v>170763</v>
      </c>
      <c r="AE74" s="114">
        <f t="shared" si="114"/>
        <v>163913</v>
      </c>
      <c r="AF74" s="114">
        <f t="shared" si="114"/>
        <v>165808</v>
      </c>
      <c r="AG74" s="46">
        <f t="shared" si="114"/>
        <v>167957</v>
      </c>
      <c r="AH74" s="60">
        <f t="shared" si="114"/>
        <v>167957</v>
      </c>
      <c r="AI74" s="114">
        <f t="shared" si="114"/>
        <v>154887</v>
      </c>
      <c r="AJ74" s="114">
        <f t="shared" si="114"/>
        <v>155119</v>
      </c>
      <c r="AK74" s="114">
        <f t="shared" si="114"/>
        <v>146122</v>
      </c>
      <c r="AL74" s="46">
        <f t="shared" si="114"/>
        <v>175498</v>
      </c>
      <c r="AM74" s="60">
        <f t="shared" si="114"/>
        <v>175498</v>
      </c>
      <c r="AN74" s="114">
        <f t="shared" si="114"/>
        <v>172892</v>
      </c>
      <c r="AO74" s="114">
        <f t="shared" si="114"/>
        <v>177900</v>
      </c>
      <c r="AP74" s="114">
        <f t="shared" si="114"/>
        <v>175204</v>
      </c>
      <c r="AQ74" s="46">
        <f t="shared" si="114"/>
        <v>187187</v>
      </c>
      <c r="AR74" s="60">
        <f t="shared" si="114"/>
        <v>187187</v>
      </c>
      <c r="AS74" s="114">
        <f t="shared" si="114"/>
        <v>185351</v>
      </c>
      <c r="AT74" s="114">
        <f t="shared" si="114"/>
        <v>192409</v>
      </c>
      <c r="AU74" s="114">
        <f t="shared" si="114"/>
        <v>186981</v>
      </c>
      <c r="AV74" s="46">
        <f t="shared" si="114"/>
        <v>183696</v>
      </c>
      <c r="AW74" s="60">
        <f t="shared" si="114"/>
        <v>183696</v>
      </c>
      <c r="AX74" s="114">
        <f t="shared" si="114"/>
        <v>183964</v>
      </c>
      <c r="AY74" s="114">
        <f t="shared" si="114"/>
        <v>185852</v>
      </c>
      <c r="AZ74" s="114">
        <f t="shared" si="114"/>
        <v>167017</v>
      </c>
      <c r="BA74" s="46">
        <f t="shared" si="114"/>
        <v>149056</v>
      </c>
      <c r="BB74" s="60">
        <f t="shared" si="114"/>
        <v>149056</v>
      </c>
      <c r="BC74" s="114">
        <f t="shared" si="114"/>
        <v>139528</v>
      </c>
      <c r="BD74" s="114">
        <f t="shared" si="114"/>
        <v>137519</v>
      </c>
      <c r="BE74" s="114">
        <f t="shared" si="114"/>
        <v>140631</v>
      </c>
      <c r="BF74" s="46">
        <f t="shared" si="114"/>
        <v>131096</v>
      </c>
      <c r="BG74" s="60">
        <f t="shared" si="114"/>
        <v>131096</v>
      </c>
      <c r="BH74" s="114">
        <f t="shared" si="114"/>
        <v>136090</v>
      </c>
      <c r="BI74" s="114">
        <f t="shared" si="114"/>
        <v>125485</v>
      </c>
      <c r="BJ74" s="114">
        <f t="shared" si="114"/>
        <v>130674</v>
      </c>
      <c r="BK74" s="46">
        <f t="shared" si="114"/>
        <v>120548</v>
      </c>
      <c r="BL74" s="60">
        <f t="shared" si="114"/>
        <v>120548</v>
      </c>
      <c r="BM74" s="114">
        <f t="shared" si="114"/>
        <v>122779</v>
      </c>
      <c r="BN74" s="114">
        <f t="shared" si="114"/>
        <v>122624</v>
      </c>
      <c r="BO74" s="114">
        <f t="shared" si="114"/>
        <v>118163</v>
      </c>
      <c r="BP74" s="46">
        <f t="shared" si="114"/>
        <v>121261</v>
      </c>
      <c r="BQ74" s="60">
        <f t="shared" ref="BQ74:CP74" si="115">SUM(BQ68:BQ73)</f>
        <v>121261</v>
      </c>
      <c r="BR74" s="114">
        <f t="shared" si="115"/>
        <v>123925</v>
      </c>
      <c r="BS74" s="114">
        <f t="shared" si="115"/>
        <v>122172</v>
      </c>
      <c r="BT74" s="114">
        <f t="shared" si="115"/>
        <v>123661</v>
      </c>
      <c r="BU74" s="46">
        <f t="shared" si="115"/>
        <v>126298</v>
      </c>
      <c r="BV74" s="60">
        <f t="shared" si="115"/>
        <v>126298</v>
      </c>
      <c r="BW74" s="238">
        <f t="shared" si="115"/>
        <v>127168</v>
      </c>
      <c r="BX74" s="238">
        <f t="shared" si="115"/>
        <v>129133</v>
      </c>
      <c r="BY74" s="238">
        <f t="shared" si="115"/>
        <v>132452</v>
      </c>
      <c r="BZ74" s="173">
        <f t="shared" si="115"/>
        <v>132619</v>
      </c>
      <c r="CA74" s="235">
        <f t="shared" si="115"/>
        <v>132619</v>
      </c>
      <c r="CB74" s="238">
        <f t="shared" si="115"/>
        <v>136726</v>
      </c>
      <c r="CC74" s="238">
        <f t="shared" si="115"/>
        <v>139082</v>
      </c>
      <c r="CD74" s="238">
        <f t="shared" si="115"/>
        <v>135589</v>
      </c>
      <c r="CE74" s="173">
        <f t="shared" si="115"/>
        <v>133186</v>
      </c>
      <c r="CF74" s="235">
        <f t="shared" si="115"/>
        <v>133186</v>
      </c>
      <c r="CG74" s="238">
        <f t="shared" si="115"/>
        <v>136716</v>
      </c>
      <c r="CH74" s="238">
        <f t="shared" si="115"/>
        <v>137599</v>
      </c>
      <c r="CI74" s="238">
        <f t="shared" si="115"/>
        <v>141512</v>
      </c>
      <c r="CJ74" s="173">
        <f t="shared" si="115"/>
        <v>102587</v>
      </c>
      <c r="CK74" s="235">
        <f t="shared" si="115"/>
        <v>102587</v>
      </c>
      <c r="CL74" s="238">
        <f t="shared" si="115"/>
        <v>156566</v>
      </c>
      <c r="CM74" s="238">
        <f t="shared" si="115"/>
        <v>110767</v>
      </c>
      <c r="CN74" s="238">
        <f t="shared" si="115"/>
        <v>103515</v>
      </c>
      <c r="CO74" s="173">
        <f t="shared" si="115"/>
        <v>108461</v>
      </c>
      <c r="CP74" s="235">
        <f t="shared" si="115"/>
        <v>108461</v>
      </c>
      <c r="CQ74" s="173">
        <f t="shared" ref="CQ74:DC74" si="116">SUM(CQ68:CQ73)</f>
        <v>113228</v>
      </c>
      <c r="CR74" s="49">
        <f t="shared" si="116"/>
        <v>113539</v>
      </c>
      <c r="CS74" s="49">
        <f t="shared" si="116"/>
        <v>112732</v>
      </c>
      <c r="CT74" s="49">
        <f t="shared" si="116"/>
        <v>115902</v>
      </c>
      <c r="CU74" s="235">
        <f t="shared" si="116"/>
        <v>115902</v>
      </c>
      <c r="CV74" s="49">
        <f t="shared" si="116"/>
        <v>115809.59479418363</v>
      </c>
      <c r="CW74" s="49">
        <f t="shared" si="116"/>
        <v>116436.87737094403</v>
      </c>
      <c r="CX74" s="49">
        <f t="shared" si="116"/>
        <v>116534.87705465035</v>
      </c>
      <c r="CY74" s="49">
        <f t="shared" si="116"/>
        <v>116679.72454281327</v>
      </c>
      <c r="CZ74" s="235">
        <f t="shared" si="116"/>
        <v>116679.72454281327</v>
      </c>
      <c r="DA74" s="87">
        <f t="shared" si="116"/>
        <v>119121.03510249336</v>
      </c>
      <c r="DB74" s="87">
        <f t="shared" si="116"/>
        <v>120427.97204810163</v>
      </c>
      <c r="DC74" s="87">
        <f t="shared" si="116"/>
        <v>122658.94185969931</v>
      </c>
      <c r="DD74" s="165"/>
      <c r="DE74" s="2"/>
      <c r="DF74" s="235">
        <f t="shared" si="109"/>
        <v>115902</v>
      </c>
      <c r="DG74" s="235">
        <v>114729.32681479884</v>
      </c>
      <c r="DH74" s="235">
        <f t="shared" si="110"/>
        <v>108461</v>
      </c>
      <c r="DI74" s="454">
        <f t="shared" si="111"/>
        <v>1.0221215601605937E-2</v>
      </c>
      <c r="DJ74" s="454">
        <f t="shared" si="112"/>
        <v>6.8605305132720451E-2</v>
      </c>
      <c r="DK74" s="2"/>
      <c r="DL74" s="2"/>
      <c r="DM74" s="2"/>
    </row>
    <row r="75" spans="1:117" ht="12" customHeight="1">
      <c r="A75" s="1109">
        <f t="shared" si="113"/>
        <v>70</v>
      </c>
      <c r="B75" s="10"/>
      <c r="C75" s="1059"/>
      <c r="D75" s="2"/>
      <c r="E75" s="321"/>
      <c r="F75" s="321"/>
      <c r="G75" s="321"/>
      <c r="H75" s="321"/>
      <c r="I75" s="321"/>
      <c r="J75" s="120"/>
      <c r="K75" s="120"/>
      <c r="L75" s="120"/>
      <c r="M75" s="120"/>
      <c r="N75" s="68"/>
      <c r="O75" s="120"/>
      <c r="P75" s="120"/>
      <c r="Q75" s="120"/>
      <c r="R75" s="120"/>
      <c r="S75" s="68"/>
      <c r="T75" s="120"/>
      <c r="U75" s="120"/>
      <c r="V75" s="120"/>
      <c r="W75" s="120"/>
      <c r="X75" s="68"/>
      <c r="Y75" s="120"/>
      <c r="Z75" s="120"/>
      <c r="AA75" s="120"/>
      <c r="AB75" s="120"/>
      <c r="AC75" s="68"/>
      <c r="AD75" s="120"/>
      <c r="AE75" s="120"/>
      <c r="AF75" s="120"/>
      <c r="AG75" s="120"/>
      <c r="AH75" s="68"/>
      <c r="AI75" s="120"/>
      <c r="AJ75" s="120"/>
      <c r="AK75" s="120"/>
      <c r="AL75" s="120"/>
      <c r="AM75" s="68"/>
      <c r="AN75" s="120"/>
      <c r="AO75" s="120"/>
      <c r="AP75" s="120"/>
      <c r="AQ75" s="120"/>
      <c r="AR75" s="68"/>
      <c r="AS75" s="120"/>
      <c r="AT75" s="120"/>
      <c r="AU75" s="120"/>
      <c r="AV75" s="120"/>
      <c r="AW75" s="68"/>
      <c r="AX75" s="120"/>
      <c r="AY75" s="120"/>
      <c r="AZ75" s="120"/>
      <c r="BA75" s="120"/>
      <c r="BB75" s="68"/>
      <c r="BC75" s="120"/>
      <c r="BD75" s="120"/>
      <c r="BE75" s="120"/>
      <c r="BF75" s="120"/>
      <c r="BG75" s="68"/>
      <c r="BH75" s="120"/>
      <c r="BI75" s="120"/>
      <c r="BJ75" s="120"/>
      <c r="BK75" s="120"/>
      <c r="BL75" s="68"/>
      <c r="BM75" s="120"/>
      <c r="BN75" s="120"/>
      <c r="BO75" s="120"/>
      <c r="BP75" s="120"/>
      <c r="BQ75" s="68"/>
      <c r="BR75" s="120"/>
      <c r="BS75" s="120"/>
      <c r="BT75" s="120"/>
      <c r="BU75" s="120"/>
      <c r="BV75" s="68"/>
      <c r="BW75" s="246"/>
      <c r="BX75" s="246"/>
      <c r="BY75" s="246"/>
      <c r="BZ75" s="246"/>
      <c r="CA75" s="68"/>
      <c r="CB75" s="246"/>
      <c r="CC75" s="246"/>
      <c r="CD75" s="246"/>
      <c r="CE75" s="246"/>
      <c r="CF75" s="68"/>
      <c r="CG75" s="246"/>
      <c r="CH75" s="246"/>
      <c r="CI75" s="176"/>
      <c r="CJ75" s="246"/>
      <c r="CK75" s="68"/>
      <c r="CL75" s="246"/>
      <c r="CM75" s="246"/>
      <c r="CN75" s="246"/>
      <c r="CO75" s="246"/>
      <c r="CP75" s="68"/>
      <c r="CQ75" s="246"/>
      <c r="CR75" s="18"/>
      <c r="CS75" s="18"/>
      <c r="CT75" s="18"/>
      <c r="CU75" s="68"/>
      <c r="CV75" s="18"/>
      <c r="CW75" s="18"/>
      <c r="CX75" s="18"/>
      <c r="CY75" s="18"/>
      <c r="CZ75" s="68"/>
      <c r="DA75" s="293"/>
      <c r="DB75" s="293"/>
      <c r="DC75" s="293"/>
      <c r="DD75" s="165"/>
      <c r="DE75" s="2"/>
      <c r="DF75" s="68"/>
      <c r="DG75" s="68"/>
      <c r="DH75" s="68"/>
      <c r="DI75" s="454"/>
      <c r="DJ75" s="454"/>
      <c r="DK75" s="2"/>
      <c r="DL75" s="2"/>
      <c r="DM75" s="2"/>
    </row>
    <row r="76" spans="1:117" ht="12" customHeight="1">
      <c r="A76" s="1109">
        <f t="shared" si="113"/>
        <v>71</v>
      </c>
      <c r="B76" s="10"/>
      <c r="C76" s="1059" t="s">
        <v>729</v>
      </c>
      <c r="D76" s="2"/>
      <c r="E76" s="319">
        <v>0</v>
      </c>
      <c r="F76" s="319">
        <v>0</v>
      </c>
      <c r="G76" s="319">
        <v>0</v>
      </c>
      <c r="H76" s="319">
        <v>0</v>
      </c>
      <c r="I76" s="319">
        <v>0</v>
      </c>
      <c r="J76" s="117">
        <v>0</v>
      </c>
      <c r="K76" s="117">
        <v>0</v>
      </c>
      <c r="L76" s="117">
        <v>0</v>
      </c>
      <c r="M76" s="117">
        <v>0</v>
      </c>
      <c r="N76" s="60">
        <f t="shared" ref="N76:N82" si="117">M76</f>
        <v>0</v>
      </c>
      <c r="O76" s="117">
        <v>0</v>
      </c>
      <c r="P76" s="117">
        <v>0</v>
      </c>
      <c r="Q76" s="117">
        <v>0</v>
      </c>
      <c r="R76" s="117">
        <v>0</v>
      </c>
      <c r="S76" s="60">
        <f t="shared" ref="S76:S82" si="118">R76</f>
        <v>0</v>
      </c>
      <c r="T76" s="117">
        <v>0</v>
      </c>
      <c r="U76" s="117">
        <v>0</v>
      </c>
      <c r="V76" s="117">
        <v>0</v>
      </c>
      <c r="W76" s="117">
        <v>0</v>
      </c>
      <c r="X76" s="60">
        <f t="shared" ref="X76:X82" si="119">W76</f>
        <v>0</v>
      </c>
      <c r="Y76" s="117">
        <v>0</v>
      </c>
      <c r="Z76" s="117">
        <v>0</v>
      </c>
      <c r="AA76" s="117">
        <v>0</v>
      </c>
      <c r="AB76" s="117">
        <v>0</v>
      </c>
      <c r="AC76" s="60">
        <f t="shared" ref="AC76:AC82" si="120">AB76</f>
        <v>0</v>
      </c>
      <c r="AD76" s="117">
        <v>0</v>
      </c>
      <c r="AE76" s="117">
        <v>0</v>
      </c>
      <c r="AF76" s="117">
        <v>0</v>
      </c>
      <c r="AG76" s="117">
        <v>0</v>
      </c>
      <c r="AH76" s="60">
        <f t="shared" ref="AH76:AH82" si="121">AG76</f>
        <v>0</v>
      </c>
      <c r="AI76" s="117">
        <v>0</v>
      </c>
      <c r="AJ76" s="117">
        <v>0</v>
      </c>
      <c r="AK76" s="117">
        <v>0</v>
      </c>
      <c r="AL76" s="117">
        <v>0</v>
      </c>
      <c r="AM76" s="60">
        <f t="shared" ref="AM76:AM82" si="122">AL76</f>
        <v>0</v>
      </c>
      <c r="AN76" s="117">
        <v>0</v>
      </c>
      <c r="AO76" s="117">
        <v>0</v>
      </c>
      <c r="AP76" s="117">
        <v>0</v>
      </c>
      <c r="AQ76" s="117">
        <v>0</v>
      </c>
      <c r="AR76" s="60">
        <f t="shared" ref="AR76:AR82" si="123">AQ76</f>
        <v>0</v>
      </c>
      <c r="AS76" s="117">
        <v>0</v>
      </c>
      <c r="AT76" s="117">
        <v>0</v>
      </c>
      <c r="AU76" s="117">
        <v>0</v>
      </c>
      <c r="AV76" s="117">
        <v>0</v>
      </c>
      <c r="AW76" s="60">
        <f t="shared" ref="AW76:AW82" si="124">AV76</f>
        <v>0</v>
      </c>
      <c r="AX76" s="117">
        <v>0</v>
      </c>
      <c r="AY76" s="117">
        <v>0</v>
      </c>
      <c r="AZ76" s="117">
        <v>0</v>
      </c>
      <c r="BA76" s="117">
        <v>0</v>
      </c>
      <c r="BB76" s="60">
        <f t="shared" ref="BB76:BB82" si="125">BA76</f>
        <v>0</v>
      </c>
      <c r="BC76" s="117">
        <v>0</v>
      </c>
      <c r="BD76" s="117">
        <v>0</v>
      </c>
      <c r="BE76" s="117">
        <v>0</v>
      </c>
      <c r="BF76" s="117">
        <v>0</v>
      </c>
      <c r="BG76" s="60">
        <f t="shared" ref="BG76:BG82" si="126">BF76</f>
        <v>0</v>
      </c>
      <c r="BH76" s="117">
        <v>0</v>
      </c>
      <c r="BI76" s="117">
        <v>0</v>
      </c>
      <c r="BJ76" s="117">
        <v>0</v>
      </c>
      <c r="BK76" s="117">
        <v>0</v>
      </c>
      <c r="BL76" s="60">
        <f t="shared" ref="BL76:BL82" si="127">BK76</f>
        <v>0</v>
      </c>
      <c r="BM76" s="117">
        <v>0</v>
      </c>
      <c r="BN76" s="117">
        <v>0</v>
      </c>
      <c r="BO76" s="117">
        <v>0</v>
      </c>
      <c r="BP76" s="117">
        <v>0</v>
      </c>
      <c r="BQ76" s="60">
        <f t="shared" ref="BQ76:BQ82" si="128">BP76</f>
        <v>0</v>
      </c>
      <c r="BR76" s="117">
        <v>0</v>
      </c>
      <c r="BS76" s="117">
        <v>0</v>
      </c>
      <c r="BT76" s="117">
        <v>0</v>
      </c>
      <c r="BU76" s="117">
        <v>0</v>
      </c>
      <c r="BV76" s="60">
        <f t="shared" ref="BV76:BV82" si="129">BU76</f>
        <v>0</v>
      </c>
      <c r="BW76" s="161">
        <v>0</v>
      </c>
      <c r="BX76" s="161">
        <v>0</v>
      </c>
      <c r="BY76" s="161">
        <v>0</v>
      </c>
      <c r="BZ76" s="161">
        <v>0</v>
      </c>
      <c r="CA76" s="235">
        <f t="shared" ref="CA76:CA82" si="130">BZ76</f>
        <v>0</v>
      </c>
      <c r="CB76" s="161">
        <v>0</v>
      </c>
      <c r="CC76" s="161">
        <v>0</v>
      </c>
      <c r="CD76" s="161">
        <v>0</v>
      </c>
      <c r="CE76" s="161">
        <v>0</v>
      </c>
      <c r="CF76" s="235">
        <f t="shared" ref="CF76:CF82" si="131">CE76</f>
        <v>0</v>
      </c>
      <c r="CG76" s="161"/>
      <c r="CH76" s="161">
        <v>0</v>
      </c>
      <c r="CI76" s="176">
        <v>0</v>
      </c>
      <c r="CJ76" s="161">
        <v>45554</v>
      </c>
      <c r="CK76" s="235">
        <f t="shared" ref="CK76:CK82" si="132">CJ76</f>
        <v>45554</v>
      </c>
      <c r="CL76" s="161">
        <v>0</v>
      </c>
      <c r="CM76" s="161">
        <v>47427</v>
      </c>
      <c r="CN76" s="161">
        <v>49614</v>
      </c>
      <c r="CO76" s="161">
        <v>49924</v>
      </c>
      <c r="CP76" s="235">
        <f t="shared" ref="CP76:CP82" si="133">CO76</f>
        <v>49924</v>
      </c>
      <c r="CQ76" s="161">
        <v>50694</v>
      </c>
      <c r="CR76" s="161">
        <v>51551</v>
      </c>
      <c r="CS76" s="161">
        <v>54323</v>
      </c>
      <c r="CT76" s="161">
        <v>56182</v>
      </c>
      <c r="CU76" s="235">
        <f t="shared" ref="CU76:CU82" si="134">CT76</f>
        <v>56182</v>
      </c>
      <c r="CV76" s="49">
        <f>+CV202*CV192</f>
        <v>56261.039533602088</v>
      </c>
      <c r="CW76" s="49">
        <f>+CW202*CW192</f>
        <v>56333.904551589541</v>
      </c>
      <c r="CX76" s="49">
        <f>+CX202*CX192</f>
        <v>56482.737971500748</v>
      </c>
      <c r="CY76" s="49">
        <f>+CY202*CY192</f>
        <v>56632.133476597199</v>
      </c>
      <c r="CZ76" s="235">
        <f t="shared" ref="CZ76:DA82" si="135">CY76</f>
        <v>56632.133476597199</v>
      </c>
      <c r="DA76" s="87">
        <f>+DA202*DA192</f>
        <v>56953.646691171853</v>
      </c>
      <c r="DB76" s="87">
        <f>+DB202*DB192</f>
        <v>58605.715322987067</v>
      </c>
      <c r="DC76" s="87">
        <f>+DC202*DC192</f>
        <v>60142.159879656901</v>
      </c>
      <c r="DD76" s="165"/>
      <c r="DE76" s="2"/>
      <c r="DF76" s="235">
        <f t="shared" ref="DF76:DF83" si="136">CT76</f>
        <v>56182</v>
      </c>
      <c r="DG76" s="235">
        <v>54219.610962174898</v>
      </c>
      <c r="DH76" s="235">
        <f t="shared" ref="DH76:DH83" si="137">CO76</f>
        <v>49924</v>
      </c>
      <c r="DI76" s="454">
        <f t="shared" ref="DI76:DI83" si="138">IF(ISERROR(DF76/DG76-1),"NM",DF76/DG76-1)</f>
        <v>3.6193344124031412E-2</v>
      </c>
      <c r="DJ76" s="454">
        <f t="shared" ref="DJ76:DJ83" si="139">IF(ISERROR(DF76/DH76-1),"NM",DF76/DH76-1)</f>
        <v>0.12535053280987096</v>
      </c>
      <c r="DK76" s="2"/>
      <c r="DL76" s="2"/>
      <c r="DM76" s="2"/>
    </row>
    <row r="77" spans="1:117" ht="12" customHeight="1">
      <c r="A77" s="1109">
        <f t="shared" si="113"/>
        <v>72</v>
      </c>
      <c r="B77" s="10"/>
      <c r="C77" s="1059" t="s">
        <v>730</v>
      </c>
      <c r="D77" s="2"/>
      <c r="E77" s="319"/>
      <c r="F77" s="319"/>
      <c r="G77" s="319"/>
      <c r="H77" s="319">
        <v>41173</v>
      </c>
      <c r="I77" s="319">
        <v>42471</v>
      </c>
      <c r="J77" s="117">
        <v>43890</v>
      </c>
      <c r="K77" s="117">
        <v>46385</v>
      </c>
      <c r="L77" s="117">
        <v>47321</v>
      </c>
      <c r="M77" s="117">
        <v>46593</v>
      </c>
      <c r="N77" s="60">
        <f t="shared" si="117"/>
        <v>46593</v>
      </c>
      <c r="O77" s="117">
        <v>47575</v>
      </c>
      <c r="P77" s="117">
        <v>49195</v>
      </c>
      <c r="Q77" s="117">
        <v>49112</v>
      </c>
      <c r="R77" s="117">
        <v>45388</v>
      </c>
      <c r="S77" s="60">
        <f t="shared" si="118"/>
        <v>45388</v>
      </c>
      <c r="T77" s="117">
        <v>46486</v>
      </c>
      <c r="U77" s="117">
        <v>46930</v>
      </c>
      <c r="V77" s="117">
        <v>44329</v>
      </c>
      <c r="W77" s="117">
        <v>39727</v>
      </c>
      <c r="X77" s="60">
        <f t="shared" si="119"/>
        <v>39727</v>
      </c>
      <c r="Y77" s="117">
        <v>37540</v>
      </c>
      <c r="Z77" s="117">
        <v>36273</v>
      </c>
      <c r="AA77" s="117">
        <v>33761</v>
      </c>
      <c r="AB77" s="117">
        <v>31859</v>
      </c>
      <c r="AC77" s="60">
        <f t="shared" si="120"/>
        <v>31859</v>
      </c>
      <c r="AD77" s="117">
        <v>31293</v>
      </c>
      <c r="AE77" s="117">
        <v>32412</v>
      </c>
      <c r="AF77" s="117">
        <v>31785</v>
      </c>
      <c r="AG77" s="117">
        <v>25564</v>
      </c>
      <c r="AH77" s="60">
        <f t="shared" si="121"/>
        <v>25564</v>
      </c>
      <c r="AI77" s="117">
        <v>32475</v>
      </c>
      <c r="AJ77" s="117">
        <v>33859</v>
      </c>
      <c r="AK77" s="117">
        <v>23007</v>
      </c>
      <c r="AL77" s="117">
        <v>27099</v>
      </c>
      <c r="AM77" s="60">
        <f t="shared" si="122"/>
        <v>27099</v>
      </c>
      <c r="AN77" s="117">
        <v>28952</v>
      </c>
      <c r="AO77" s="117">
        <v>31884</v>
      </c>
      <c r="AP77" s="117">
        <v>30943</v>
      </c>
      <c r="AQ77" s="117">
        <v>29787</v>
      </c>
      <c r="AR77" s="60">
        <f t="shared" si="123"/>
        <v>29787</v>
      </c>
      <c r="AS77" s="117">
        <v>30404</v>
      </c>
      <c r="AT77" s="117">
        <v>32949</v>
      </c>
      <c r="AU77" s="117">
        <v>33717</v>
      </c>
      <c r="AV77" s="117">
        <v>33255</v>
      </c>
      <c r="AW77" s="60">
        <f t="shared" si="124"/>
        <v>33255</v>
      </c>
      <c r="AX77" s="117">
        <v>32493</v>
      </c>
      <c r="AY77" s="117">
        <v>31074</v>
      </c>
      <c r="AZ77" s="117">
        <v>29179</v>
      </c>
      <c r="BA77" s="117">
        <v>25250</v>
      </c>
      <c r="BB77" s="60">
        <f t="shared" si="125"/>
        <v>25250</v>
      </c>
      <c r="BC77" s="117">
        <v>21912</v>
      </c>
      <c r="BD77" s="117">
        <v>20808</v>
      </c>
      <c r="BE77" s="117">
        <v>18803</v>
      </c>
      <c r="BF77" s="117">
        <v>17270</v>
      </c>
      <c r="BG77" s="60">
        <f t="shared" si="126"/>
        <v>17270</v>
      </c>
      <c r="BH77" s="117">
        <v>15818</v>
      </c>
      <c r="BI77" s="117">
        <v>14723</v>
      </c>
      <c r="BJ77" s="117">
        <v>13010</v>
      </c>
      <c r="BK77" s="117">
        <v>11675</v>
      </c>
      <c r="BL77" s="60">
        <f t="shared" si="127"/>
        <v>11675</v>
      </c>
      <c r="BM77" s="117">
        <v>11239</v>
      </c>
      <c r="BN77" s="117">
        <v>12155</v>
      </c>
      <c r="BO77" s="117">
        <v>12326</v>
      </c>
      <c r="BP77" s="117">
        <v>12838</v>
      </c>
      <c r="BQ77" s="60">
        <f t="shared" si="128"/>
        <v>12838</v>
      </c>
      <c r="BR77" s="117">
        <v>13476</v>
      </c>
      <c r="BS77" s="117">
        <v>15177</v>
      </c>
      <c r="BT77" s="117">
        <v>16117</v>
      </c>
      <c r="BU77" s="117">
        <v>15303</v>
      </c>
      <c r="BV77" s="60">
        <f t="shared" si="129"/>
        <v>15303</v>
      </c>
      <c r="BW77" s="161">
        <v>17265</v>
      </c>
      <c r="BX77" s="161">
        <v>19851</v>
      </c>
      <c r="BY77" s="161">
        <v>20959</v>
      </c>
      <c r="BZ77" s="161">
        <v>19984</v>
      </c>
      <c r="CA77" s="235">
        <f t="shared" si="130"/>
        <v>19984</v>
      </c>
      <c r="CB77" s="161">
        <v>20024</v>
      </c>
      <c r="CC77" s="161">
        <v>22069</v>
      </c>
      <c r="CD77" s="161">
        <v>23010</v>
      </c>
      <c r="CE77" s="161">
        <v>23217</v>
      </c>
      <c r="CF77" s="235">
        <f t="shared" si="131"/>
        <v>23217</v>
      </c>
      <c r="CG77" s="161">
        <v>23914</v>
      </c>
      <c r="CH77" s="161">
        <v>26148</v>
      </c>
      <c r="CI77" s="161">
        <v>26907</v>
      </c>
      <c r="CJ77" s="161">
        <v>27093</v>
      </c>
      <c r="CK77" s="235">
        <f t="shared" si="132"/>
        <v>27093</v>
      </c>
      <c r="CL77" s="161">
        <v>28234</v>
      </c>
      <c r="CM77" s="161">
        <v>29468</v>
      </c>
      <c r="CN77" s="161">
        <v>29196</v>
      </c>
      <c r="CO77" s="161">
        <v>28829</v>
      </c>
      <c r="CP77" s="235">
        <f t="shared" si="133"/>
        <v>28829</v>
      </c>
      <c r="CQ77" s="161">
        <v>27914</v>
      </c>
      <c r="CR77" s="161">
        <v>28597</v>
      </c>
      <c r="CS77" s="161">
        <v>28714</v>
      </c>
      <c r="CT77" s="161">
        <v>28235</v>
      </c>
      <c r="CU77" s="235">
        <f t="shared" si="134"/>
        <v>28235</v>
      </c>
      <c r="CV77" s="49">
        <f>CU77</f>
        <v>28235</v>
      </c>
      <c r="CW77" s="49">
        <f>CV77</f>
        <v>28235</v>
      </c>
      <c r="CX77" s="49">
        <f>CW77</f>
        <v>28235</v>
      </c>
      <c r="CY77" s="49">
        <f>CX77</f>
        <v>28235</v>
      </c>
      <c r="CZ77" s="235">
        <f t="shared" si="135"/>
        <v>28235</v>
      </c>
      <c r="DA77" s="87">
        <f t="shared" si="135"/>
        <v>28235</v>
      </c>
      <c r="DB77" s="87">
        <f>DA77</f>
        <v>28235</v>
      </c>
      <c r="DC77" s="87">
        <f>DB77</f>
        <v>28235</v>
      </c>
      <c r="DD77" s="165"/>
      <c r="DE77" s="2"/>
      <c r="DF77" s="235">
        <f t="shared" si="136"/>
        <v>28235</v>
      </c>
      <c r="DG77" s="235">
        <v>28714</v>
      </c>
      <c r="DH77" s="235">
        <f t="shared" si="137"/>
        <v>28829</v>
      </c>
      <c r="DI77" s="454">
        <f t="shared" si="138"/>
        <v>-1.6681758027443094E-2</v>
      </c>
      <c r="DJ77" s="454">
        <f t="shared" si="139"/>
        <v>-2.0604252662249856E-2</v>
      </c>
      <c r="DK77" s="2"/>
      <c r="DL77" s="2"/>
      <c r="DM77" s="2"/>
    </row>
    <row r="78" spans="1:117" ht="12" customHeight="1">
      <c r="A78" s="1109">
        <f t="shared" si="113"/>
        <v>73</v>
      </c>
      <c r="B78" s="10"/>
      <c r="C78" s="1033" t="s">
        <v>731</v>
      </c>
      <c r="E78" s="319">
        <v>31273</v>
      </c>
      <c r="F78" s="319">
        <v>33527</v>
      </c>
      <c r="G78" s="319">
        <v>34594</v>
      </c>
      <c r="H78" s="319">
        <v>37320</v>
      </c>
      <c r="I78" s="319">
        <v>36528</v>
      </c>
      <c r="J78" s="117">
        <v>35831</v>
      </c>
      <c r="K78" s="117">
        <v>34677</v>
      </c>
      <c r="L78" s="117">
        <v>35600</v>
      </c>
      <c r="M78" s="117">
        <v>37508</v>
      </c>
      <c r="N78" s="60">
        <f t="shared" si="117"/>
        <v>37508</v>
      </c>
      <c r="O78" s="117">
        <v>36133</v>
      </c>
      <c r="P78" s="117">
        <v>35421</v>
      </c>
      <c r="Q78" s="117">
        <v>35825</v>
      </c>
      <c r="R78" s="117">
        <v>34575</v>
      </c>
      <c r="S78" s="60">
        <f t="shared" si="118"/>
        <v>34575</v>
      </c>
      <c r="T78" s="117">
        <v>33537</v>
      </c>
      <c r="U78" s="117">
        <v>35162</v>
      </c>
      <c r="V78" s="117">
        <v>35172</v>
      </c>
      <c r="W78" s="117">
        <v>37923</v>
      </c>
      <c r="X78" s="60">
        <f t="shared" si="119"/>
        <v>37923</v>
      </c>
      <c r="Y78" s="117">
        <v>38151</v>
      </c>
      <c r="Z78" s="117">
        <v>39634</v>
      </c>
      <c r="AA78" s="117">
        <v>42077</v>
      </c>
      <c r="AB78" s="117">
        <v>43506</v>
      </c>
      <c r="AC78" s="60">
        <f t="shared" si="120"/>
        <v>43506</v>
      </c>
      <c r="AD78" s="117">
        <v>42799</v>
      </c>
      <c r="AE78" s="117">
        <v>42325</v>
      </c>
      <c r="AF78" s="117">
        <v>42904</v>
      </c>
      <c r="AG78" s="117">
        <v>43303</v>
      </c>
      <c r="AH78" s="60">
        <f t="shared" si="121"/>
        <v>43303</v>
      </c>
      <c r="AI78" s="117">
        <v>43395</v>
      </c>
      <c r="AJ78" s="117">
        <v>42281</v>
      </c>
      <c r="AK78" s="117">
        <v>41887</v>
      </c>
      <c r="AL78" s="117">
        <v>40676</v>
      </c>
      <c r="AM78" s="60">
        <f t="shared" si="122"/>
        <v>40676</v>
      </c>
      <c r="AN78" s="117">
        <v>40941</v>
      </c>
      <c r="AO78" s="117">
        <v>41655</v>
      </c>
      <c r="AP78" s="117">
        <v>37844</v>
      </c>
      <c r="AQ78" s="117">
        <v>36055</v>
      </c>
      <c r="AR78" s="60">
        <f t="shared" si="123"/>
        <v>36055</v>
      </c>
      <c r="AS78" s="117">
        <v>37638</v>
      </c>
      <c r="AT78" s="117">
        <v>37303</v>
      </c>
      <c r="AU78" s="117">
        <v>37831</v>
      </c>
      <c r="AV78" s="117">
        <v>36239</v>
      </c>
      <c r="AW78" s="60">
        <f t="shared" si="124"/>
        <v>36239</v>
      </c>
      <c r="AX78" s="117">
        <v>37007</v>
      </c>
      <c r="AY78" s="117">
        <v>32149</v>
      </c>
      <c r="AZ78" s="117">
        <v>30253</v>
      </c>
      <c r="BA78" s="117">
        <v>24143</v>
      </c>
      <c r="BB78" s="60">
        <f t="shared" si="125"/>
        <v>24143</v>
      </c>
      <c r="BC78" s="117">
        <v>23779</v>
      </c>
      <c r="BD78" s="117">
        <v>24801</v>
      </c>
      <c r="BE78" s="117">
        <v>24812</v>
      </c>
      <c r="BF78" s="117">
        <v>22637</v>
      </c>
      <c r="BG78" s="60">
        <f t="shared" si="126"/>
        <v>22637</v>
      </c>
      <c r="BH78" s="117">
        <v>22826</v>
      </c>
      <c r="BI78" s="117">
        <v>22210</v>
      </c>
      <c r="BJ78" s="117">
        <v>22956</v>
      </c>
      <c r="BK78" s="117">
        <v>23179</v>
      </c>
      <c r="BL78" s="60">
        <f t="shared" si="127"/>
        <v>23179</v>
      </c>
      <c r="BM78" s="117">
        <v>23407</v>
      </c>
      <c r="BN78" s="117">
        <v>23263</v>
      </c>
      <c r="BO78" s="117">
        <v>22304</v>
      </c>
      <c r="BP78" s="117">
        <v>22371</v>
      </c>
      <c r="BQ78" s="60">
        <f t="shared" si="128"/>
        <v>22371</v>
      </c>
      <c r="BR78" s="117">
        <v>23150</v>
      </c>
      <c r="BS78" s="117">
        <v>22808</v>
      </c>
      <c r="BT78" s="117">
        <v>24347</v>
      </c>
      <c r="BU78" s="117">
        <v>24942</v>
      </c>
      <c r="BV78" s="60">
        <f t="shared" si="129"/>
        <v>24942</v>
      </c>
      <c r="BW78" s="161">
        <v>25795</v>
      </c>
      <c r="BX78" s="161">
        <v>25863</v>
      </c>
      <c r="BY78" s="161">
        <v>26836</v>
      </c>
      <c r="BZ78" s="161">
        <v>27616</v>
      </c>
      <c r="CA78" s="235">
        <f t="shared" si="130"/>
        <v>27616</v>
      </c>
      <c r="CB78" s="161">
        <v>28447</v>
      </c>
      <c r="CC78" s="161">
        <v>29294</v>
      </c>
      <c r="CD78" s="161">
        <v>30048</v>
      </c>
      <c r="CE78" s="161">
        <v>30126</v>
      </c>
      <c r="CF78" s="235">
        <f t="shared" si="131"/>
        <v>30126</v>
      </c>
      <c r="CG78" s="161">
        <v>29612</v>
      </c>
      <c r="CH78" s="161">
        <v>30750</v>
      </c>
      <c r="CI78" s="154">
        <v>30137</v>
      </c>
      <c r="CJ78" s="161">
        <v>30163</v>
      </c>
      <c r="CK78" s="235">
        <f t="shared" si="132"/>
        <v>30163</v>
      </c>
      <c r="CL78" s="161">
        <v>31164</v>
      </c>
      <c r="CM78" s="161">
        <v>31940</v>
      </c>
      <c r="CN78" s="161">
        <v>32257</v>
      </c>
      <c r="CO78" s="161">
        <v>32072</v>
      </c>
      <c r="CP78" s="235">
        <f t="shared" si="133"/>
        <v>32072</v>
      </c>
      <c r="CQ78" s="161">
        <v>32668</v>
      </c>
      <c r="CR78" s="161">
        <v>33794</v>
      </c>
      <c r="CS78" s="161">
        <v>34760</v>
      </c>
      <c r="CT78" s="161">
        <v>35327</v>
      </c>
      <c r="CU78" s="235">
        <f t="shared" si="134"/>
        <v>35327</v>
      </c>
      <c r="CV78" s="49">
        <f>CU78-CV144-CV133</f>
        <v>35745.19152</v>
      </c>
      <c r="CW78" s="49">
        <f>CV78-CW144-CW133</f>
        <v>36141.047399999996</v>
      </c>
      <c r="CX78" s="49">
        <f>CW78-CX144-CX133</f>
        <v>36672.098719999995</v>
      </c>
      <c r="CY78" s="49">
        <f>CX78-CY144-CY133</f>
        <v>37008.629501999996</v>
      </c>
      <c r="CZ78" s="235">
        <f t="shared" si="135"/>
        <v>37008.629501999996</v>
      </c>
      <c r="DA78" s="87">
        <f>CZ78-DA144-DA133</f>
        <v>38751.761791477998</v>
      </c>
      <c r="DB78" s="87">
        <f>DA78-DB144-DB133</f>
        <v>40384.295703251919</v>
      </c>
      <c r="DC78" s="87">
        <f>DB78-DC144-DC133</f>
        <v>41559.695502839859</v>
      </c>
      <c r="DD78" s="165"/>
      <c r="DE78" s="2"/>
      <c r="DF78" s="235">
        <f t="shared" si="136"/>
        <v>35327</v>
      </c>
      <c r="DG78" s="235">
        <v>33990.946474999997</v>
      </c>
      <c r="DH78" s="235">
        <f t="shared" si="137"/>
        <v>32072</v>
      </c>
      <c r="DI78" s="454">
        <f t="shared" si="138"/>
        <v>3.9306158361393617E-2</v>
      </c>
      <c r="DJ78" s="454">
        <f t="shared" si="139"/>
        <v>0.10149039660763282</v>
      </c>
      <c r="DK78" s="2"/>
      <c r="DL78" s="2"/>
      <c r="DM78" s="2"/>
    </row>
    <row r="79" spans="1:117" ht="12" customHeight="1">
      <c r="A79" s="1109">
        <f t="shared" si="113"/>
        <v>74</v>
      </c>
      <c r="B79" s="10"/>
      <c r="C79" s="1033" t="s">
        <v>732</v>
      </c>
      <c r="E79" s="319">
        <v>2248</v>
      </c>
      <c r="F79" s="319">
        <v>2483</v>
      </c>
      <c r="G79" s="319">
        <v>1951</v>
      </c>
      <c r="H79" s="319">
        <v>2401</v>
      </c>
      <c r="I79" s="319">
        <v>2539</v>
      </c>
      <c r="J79" s="117">
        <v>2716</v>
      </c>
      <c r="K79" s="117">
        <v>5349</v>
      </c>
      <c r="L79" s="117">
        <v>2863</v>
      </c>
      <c r="M79" s="117">
        <v>2949</v>
      </c>
      <c r="N79" s="60">
        <f t="shared" si="117"/>
        <v>2949</v>
      </c>
      <c r="O79" s="117">
        <v>3003</v>
      </c>
      <c r="P79" s="117">
        <v>2961</v>
      </c>
      <c r="Q79" s="117">
        <v>2662</v>
      </c>
      <c r="R79" s="117">
        <v>3713</v>
      </c>
      <c r="S79" s="60">
        <f t="shared" si="118"/>
        <v>3713</v>
      </c>
      <c r="T79" s="117">
        <v>2399</v>
      </c>
      <c r="U79" s="117">
        <v>2317</v>
      </c>
      <c r="V79" s="117">
        <v>2434</v>
      </c>
      <c r="W79" s="117">
        <v>3569</v>
      </c>
      <c r="X79" s="60">
        <f t="shared" si="119"/>
        <v>3569</v>
      </c>
      <c r="Y79" s="117">
        <v>3520</v>
      </c>
      <c r="Z79" s="117">
        <v>3596</v>
      </c>
      <c r="AA79" s="117">
        <v>2877</v>
      </c>
      <c r="AB79" s="117">
        <v>2959</v>
      </c>
      <c r="AC79" s="60">
        <f t="shared" si="120"/>
        <v>2959</v>
      </c>
      <c r="AD79" s="117">
        <v>2971</v>
      </c>
      <c r="AE79" s="117">
        <v>2867</v>
      </c>
      <c r="AF79" s="117">
        <v>2812</v>
      </c>
      <c r="AG79" s="117">
        <v>2835</v>
      </c>
      <c r="AH79" s="60">
        <f t="shared" si="121"/>
        <v>2835</v>
      </c>
      <c r="AI79" s="117">
        <v>2872</v>
      </c>
      <c r="AJ79" s="117">
        <v>2861</v>
      </c>
      <c r="AK79" s="117">
        <v>2594</v>
      </c>
      <c r="AL79" s="117">
        <v>2579</v>
      </c>
      <c r="AM79" s="60">
        <f t="shared" si="122"/>
        <v>2579</v>
      </c>
      <c r="AN79" s="117">
        <v>2557</v>
      </c>
      <c r="AO79" s="117">
        <v>2751</v>
      </c>
      <c r="AP79" s="117">
        <v>2828</v>
      </c>
      <c r="AQ79" s="117">
        <v>2790</v>
      </c>
      <c r="AR79" s="60">
        <f t="shared" si="123"/>
        <v>2790</v>
      </c>
      <c r="AS79" s="117">
        <v>2817</v>
      </c>
      <c r="AT79" s="117">
        <v>2875</v>
      </c>
      <c r="AU79" s="117">
        <v>2661</v>
      </c>
      <c r="AV79" s="117">
        <v>2853</v>
      </c>
      <c r="AW79" s="60">
        <f t="shared" si="124"/>
        <v>2853</v>
      </c>
      <c r="AX79" s="117">
        <v>3120</v>
      </c>
      <c r="AY79" s="117">
        <v>3189</v>
      </c>
      <c r="AZ79" s="117">
        <v>3065</v>
      </c>
      <c r="BA79" s="117">
        <v>1599</v>
      </c>
      <c r="BB79" s="60">
        <f t="shared" si="125"/>
        <v>1599</v>
      </c>
      <c r="BC79" s="117">
        <v>1736</v>
      </c>
      <c r="BD79" s="117">
        <v>1742</v>
      </c>
      <c r="BE79" s="117">
        <v>1544</v>
      </c>
      <c r="BF79" s="117">
        <v>2367</v>
      </c>
      <c r="BG79" s="60">
        <f t="shared" si="126"/>
        <v>2367</v>
      </c>
      <c r="BH79" s="117">
        <v>2544</v>
      </c>
      <c r="BI79" s="117">
        <v>2523</v>
      </c>
      <c r="BJ79" s="117">
        <v>2676</v>
      </c>
      <c r="BK79" s="117">
        <v>2569</v>
      </c>
      <c r="BL79" s="60">
        <f t="shared" si="127"/>
        <v>2569</v>
      </c>
      <c r="BM79" s="117">
        <v>2525</v>
      </c>
      <c r="BN79" s="117">
        <v>2593</v>
      </c>
      <c r="BO79" s="117">
        <v>2608</v>
      </c>
      <c r="BP79" s="117">
        <v>2936</v>
      </c>
      <c r="BQ79" s="60">
        <f t="shared" si="128"/>
        <v>2936</v>
      </c>
      <c r="BR79" s="117">
        <v>2964</v>
      </c>
      <c r="BS79" s="117">
        <v>2938</v>
      </c>
      <c r="BT79" s="117">
        <v>2716</v>
      </c>
      <c r="BU79" s="117">
        <v>3246</v>
      </c>
      <c r="BV79" s="60">
        <f t="shared" si="129"/>
        <v>3246</v>
      </c>
      <c r="BW79" s="161">
        <v>3291</v>
      </c>
      <c r="BX79" s="161">
        <v>3223</v>
      </c>
      <c r="BY79" s="161">
        <v>3466</v>
      </c>
      <c r="BZ79" s="161">
        <v>3679</v>
      </c>
      <c r="CA79" s="235">
        <f t="shared" si="130"/>
        <v>3679</v>
      </c>
      <c r="CB79" s="161">
        <v>3982</v>
      </c>
      <c r="CC79" s="161">
        <v>3356</v>
      </c>
      <c r="CD79" s="161">
        <v>3103</v>
      </c>
      <c r="CE79" s="161">
        <v>3357</v>
      </c>
      <c r="CF79" s="235">
        <f t="shared" si="131"/>
        <v>3357</v>
      </c>
      <c r="CG79" s="161">
        <v>3628</v>
      </c>
      <c r="CH79" s="161">
        <v>3469</v>
      </c>
      <c r="CI79" s="154">
        <v>3505</v>
      </c>
      <c r="CJ79" s="161">
        <v>3224</v>
      </c>
      <c r="CK79" s="235">
        <f t="shared" si="132"/>
        <v>3224</v>
      </c>
      <c r="CL79" s="161">
        <v>3820</v>
      </c>
      <c r="CM79" s="161">
        <v>3349</v>
      </c>
      <c r="CN79" s="161">
        <v>3795</v>
      </c>
      <c r="CO79" s="161">
        <v>3304</v>
      </c>
      <c r="CP79" s="235">
        <f t="shared" si="133"/>
        <v>3304</v>
      </c>
      <c r="CQ79" s="161">
        <v>3642</v>
      </c>
      <c r="CR79" s="161">
        <v>3241</v>
      </c>
      <c r="CS79" s="161">
        <v>3344</v>
      </c>
      <c r="CT79" s="161">
        <v>3085</v>
      </c>
      <c r="CU79" s="235">
        <f t="shared" si="134"/>
        <v>3085</v>
      </c>
      <c r="CV79" s="49">
        <f>CU79</f>
        <v>3085</v>
      </c>
      <c r="CW79" s="49">
        <f>CV79</f>
        <v>3085</v>
      </c>
      <c r="CX79" s="49">
        <f>CW79</f>
        <v>3085</v>
      </c>
      <c r="CY79" s="49">
        <f>CX79</f>
        <v>3085</v>
      </c>
      <c r="CZ79" s="235">
        <f t="shared" si="135"/>
        <v>3085</v>
      </c>
      <c r="DA79" s="87">
        <f t="shared" si="135"/>
        <v>3085</v>
      </c>
      <c r="DB79" s="87">
        <f>DA79</f>
        <v>3085</v>
      </c>
      <c r="DC79" s="87">
        <f>DB79</f>
        <v>3085</v>
      </c>
      <c r="DD79" s="165"/>
      <c r="DE79" s="2"/>
      <c r="DF79" s="235">
        <f t="shared" si="136"/>
        <v>3085</v>
      </c>
      <c r="DG79" s="235">
        <v>3344</v>
      </c>
      <c r="DH79" s="235">
        <f t="shared" si="137"/>
        <v>3304</v>
      </c>
      <c r="DI79" s="454">
        <f t="shared" si="138"/>
        <v>-7.7452153110047828E-2</v>
      </c>
      <c r="DJ79" s="454">
        <f t="shared" si="139"/>
        <v>-6.628329297820823E-2</v>
      </c>
      <c r="DK79" s="2"/>
      <c r="DL79" s="2"/>
      <c r="DM79" s="2"/>
    </row>
    <row r="80" spans="1:117" ht="12" customHeight="1">
      <c r="A80" s="1109">
        <f t="shared" si="113"/>
        <v>75</v>
      </c>
      <c r="B80" s="10"/>
      <c r="C80" s="1033" t="s">
        <v>742</v>
      </c>
      <c r="E80" s="319">
        <v>0</v>
      </c>
      <c r="F80" s="319">
        <v>0</v>
      </c>
      <c r="G80" s="319">
        <v>0</v>
      </c>
      <c r="H80" s="319">
        <v>0</v>
      </c>
      <c r="I80" s="319">
        <v>0</v>
      </c>
      <c r="J80" s="117">
        <v>0</v>
      </c>
      <c r="K80" s="117">
        <v>0</v>
      </c>
      <c r="L80" s="117">
        <v>0</v>
      </c>
      <c r="M80" s="117">
        <v>0</v>
      </c>
      <c r="N80" s="60">
        <f t="shared" si="117"/>
        <v>0</v>
      </c>
      <c r="O80" s="117">
        <v>0</v>
      </c>
      <c r="P80" s="117">
        <v>0</v>
      </c>
      <c r="Q80" s="117">
        <v>0</v>
      </c>
      <c r="R80" s="117">
        <f>6255+1390</f>
        <v>7645</v>
      </c>
      <c r="S80" s="60">
        <f t="shared" si="118"/>
        <v>7645</v>
      </c>
      <c r="T80" s="117">
        <f>4481+1036+1352</f>
        <v>6869</v>
      </c>
      <c r="U80" s="117">
        <f>4712+809+254+1110</f>
        <v>6885</v>
      </c>
      <c r="V80" s="117">
        <f>4645+798+796+251</f>
        <v>6490</v>
      </c>
      <c r="W80" s="117">
        <f>1060+5468</f>
        <v>6528</v>
      </c>
      <c r="X80" s="60">
        <f t="shared" si="119"/>
        <v>6528</v>
      </c>
      <c r="Y80" s="117">
        <v>1049</v>
      </c>
      <c r="Z80" s="117">
        <v>1074</v>
      </c>
      <c r="AA80" s="117">
        <v>1078</v>
      </c>
      <c r="AB80" s="117">
        <v>7000</v>
      </c>
      <c r="AC80" s="60">
        <f t="shared" si="120"/>
        <v>7000</v>
      </c>
      <c r="AD80" s="117">
        <v>7173</v>
      </c>
      <c r="AE80" s="117">
        <v>7186</v>
      </c>
      <c r="AF80" s="117">
        <v>7014</v>
      </c>
      <c r="AG80" s="117">
        <v>6394</v>
      </c>
      <c r="AH80" s="60">
        <f t="shared" si="121"/>
        <v>6394</v>
      </c>
      <c r="AI80" s="117">
        <v>7011</v>
      </c>
      <c r="AJ80" s="117">
        <v>6679</v>
      </c>
      <c r="AK80" s="117">
        <v>6072</v>
      </c>
      <c r="AL80" s="117">
        <v>5945</v>
      </c>
      <c r="AM80" s="60">
        <f t="shared" si="122"/>
        <v>5945</v>
      </c>
      <c r="AN80" s="117">
        <v>6072</v>
      </c>
      <c r="AO80" s="117">
        <v>6392</v>
      </c>
      <c r="AP80" s="117">
        <v>6396</v>
      </c>
      <c r="AQ80" s="117">
        <v>3611</v>
      </c>
      <c r="AR80" s="60">
        <f t="shared" si="123"/>
        <v>3611</v>
      </c>
      <c r="AS80" s="117">
        <v>6308</v>
      </c>
      <c r="AT80" s="117">
        <v>6344</v>
      </c>
      <c r="AU80" s="117">
        <v>6487</v>
      </c>
      <c r="AV80" s="117">
        <v>2069</v>
      </c>
      <c r="AW80" s="60">
        <f t="shared" si="124"/>
        <v>2069</v>
      </c>
      <c r="AX80" s="117">
        <v>2064</v>
      </c>
      <c r="AY80" s="117">
        <v>2044</v>
      </c>
      <c r="AZ80" s="117">
        <v>1805</v>
      </c>
      <c r="BA80" s="117">
        <v>246</v>
      </c>
      <c r="BB80" s="60">
        <f t="shared" si="125"/>
        <v>246</v>
      </c>
      <c r="BC80" s="117">
        <v>227</v>
      </c>
      <c r="BD80" s="117">
        <v>235</v>
      </c>
      <c r="BE80" s="117">
        <v>225</v>
      </c>
      <c r="BF80" s="117">
        <v>165</v>
      </c>
      <c r="BG80" s="60">
        <f t="shared" si="126"/>
        <v>165</v>
      </c>
      <c r="BH80" s="117">
        <v>192</v>
      </c>
      <c r="BI80" s="117">
        <v>183</v>
      </c>
      <c r="BJ80" s="117">
        <v>123</v>
      </c>
      <c r="BK80" s="117">
        <v>102</v>
      </c>
      <c r="BL80" s="60">
        <f t="shared" si="127"/>
        <v>102</v>
      </c>
      <c r="BM80" s="117">
        <v>98</v>
      </c>
      <c r="BN80" s="117">
        <v>103</v>
      </c>
      <c r="BO80" s="117">
        <v>100</v>
      </c>
      <c r="BP80" s="117">
        <v>100</v>
      </c>
      <c r="BQ80" s="60">
        <f t="shared" si="128"/>
        <v>100</v>
      </c>
      <c r="BR80" s="117">
        <v>97</v>
      </c>
      <c r="BS80" s="117">
        <v>95</v>
      </c>
      <c r="BT80" s="117">
        <v>89</v>
      </c>
      <c r="BU80" s="117">
        <v>0</v>
      </c>
      <c r="BV80" s="60">
        <f t="shared" si="129"/>
        <v>0</v>
      </c>
      <c r="BW80" s="161">
        <v>84</v>
      </c>
      <c r="BX80" s="161">
        <v>82</v>
      </c>
      <c r="BY80" s="161">
        <v>86</v>
      </c>
      <c r="BZ80" s="161">
        <v>0</v>
      </c>
      <c r="CA80" s="235">
        <f t="shared" si="130"/>
        <v>0</v>
      </c>
      <c r="CB80" s="161">
        <v>0</v>
      </c>
      <c r="CC80" s="161">
        <v>0</v>
      </c>
      <c r="CD80" s="161">
        <v>0</v>
      </c>
      <c r="CE80" s="161">
        <v>0</v>
      </c>
      <c r="CF80" s="235">
        <f t="shared" si="131"/>
        <v>0</v>
      </c>
      <c r="CG80" s="161">
        <v>0</v>
      </c>
      <c r="CH80" s="161">
        <v>0</v>
      </c>
      <c r="CI80" s="161">
        <v>0</v>
      </c>
      <c r="CJ80" s="161">
        <v>0</v>
      </c>
      <c r="CK80" s="235">
        <f t="shared" si="132"/>
        <v>0</v>
      </c>
      <c r="CL80" s="161">
        <v>0</v>
      </c>
      <c r="CM80" s="161">
        <v>0</v>
      </c>
      <c r="CN80" s="161">
        <v>0</v>
      </c>
      <c r="CO80" s="161">
        <v>0</v>
      </c>
      <c r="CP80" s="235">
        <f t="shared" si="133"/>
        <v>0</v>
      </c>
      <c r="CQ80" s="161">
        <v>0</v>
      </c>
      <c r="CR80" s="161">
        <v>0</v>
      </c>
      <c r="CS80" s="161">
        <f>CR80-CS155-CS152</f>
        <v>0</v>
      </c>
      <c r="CT80" s="161">
        <f>CS80-CT155-CT152</f>
        <v>0</v>
      </c>
      <c r="CU80" s="235">
        <f t="shared" si="134"/>
        <v>0</v>
      </c>
      <c r="CV80" s="49">
        <f>CU80-CV155-CV152</f>
        <v>0</v>
      </c>
      <c r="CW80" s="49">
        <f>CV80-CW155-CW152</f>
        <v>0</v>
      </c>
      <c r="CX80" s="49">
        <f>CW80-CX155-CX152</f>
        <v>0</v>
      </c>
      <c r="CY80" s="49">
        <f>CX80-CY155-CY152</f>
        <v>0</v>
      </c>
      <c r="CZ80" s="235">
        <f t="shared" si="135"/>
        <v>0</v>
      </c>
      <c r="DA80" s="87">
        <f>CZ80-DA155-DA152</f>
        <v>0</v>
      </c>
      <c r="DB80" s="87">
        <f>DA80-DB155-DB152</f>
        <v>0</v>
      </c>
      <c r="DC80" s="87">
        <f>DB80-DC155-DC152</f>
        <v>0</v>
      </c>
      <c r="DD80" s="165"/>
      <c r="DE80" s="2"/>
      <c r="DF80" s="235">
        <f t="shared" si="136"/>
        <v>0</v>
      </c>
      <c r="DG80" s="235">
        <v>0</v>
      </c>
      <c r="DH80" s="235">
        <f t="shared" si="137"/>
        <v>0</v>
      </c>
      <c r="DI80" s="454" t="str">
        <f t="shared" si="138"/>
        <v>NM</v>
      </c>
      <c r="DJ80" s="454" t="str">
        <f t="shared" si="139"/>
        <v>NM</v>
      </c>
      <c r="DK80" s="2"/>
      <c r="DL80" s="2"/>
      <c r="DM80" s="2"/>
    </row>
    <row r="81" spans="1:117" ht="12" customHeight="1">
      <c r="A81" s="1109">
        <f t="shared" si="113"/>
        <v>76</v>
      </c>
      <c r="B81" s="10"/>
      <c r="C81" s="1033" t="s">
        <v>733</v>
      </c>
      <c r="E81" s="319">
        <v>4802</v>
      </c>
      <c r="F81" s="319">
        <v>4429</v>
      </c>
      <c r="G81" s="319">
        <v>3712</v>
      </c>
      <c r="H81" s="319">
        <v>3175</v>
      </c>
      <c r="I81" s="319">
        <v>2454</v>
      </c>
      <c r="J81" s="117">
        <v>2562</v>
      </c>
      <c r="K81" s="117">
        <v>3587</v>
      </c>
      <c r="L81" s="117">
        <v>3795</v>
      </c>
      <c r="M81" s="117">
        <v>3342</v>
      </c>
      <c r="N81" s="60">
        <f t="shared" si="117"/>
        <v>3342</v>
      </c>
      <c r="O81" s="117">
        <v>3235</v>
      </c>
      <c r="P81" s="117">
        <v>3504</v>
      </c>
      <c r="Q81" s="117">
        <v>3503</v>
      </c>
      <c r="R81" s="117">
        <v>8639</v>
      </c>
      <c r="S81" s="60">
        <f t="shared" si="118"/>
        <v>8639</v>
      </c>
      <c r="T81" s="117">
        <v>7592</v>
      </c>
      <c r="U81" s="117">
        <v>7541</v>
      </c>
      <c r="V81" s="117">
        <v>7670</v>
      </c>
      <c r="W81" s="117">
        <v>2978</v>
      </c>
      <c r="X81" s="60">
        <f t="shared" si="119"/>
        <v>2978</v>
      </c>
      <c r="Y81" s="117">
        <v>15204</v>
      </c>
      <c r="Z81" s="117">
        <v>15320</v>
      </c>
      <c r="AA81" s="117">
        <v>14397</v>
      </c>
      <c r="AB81" s="117">
        <v>7389</v>
      </c>
      <c r="AC81" s="60">
        <f t="shared" si="120"/>
        <v>7389</v>
      </c>
      <c r="AD81" s="117">
        <v>4162</v>
      </c>
      <c r="AE81" s="117">
        <v>3242</v>
      </c>
      <c r="AF81" s="117">
        <v>3182</v>
      </c>
      <c r="AG81" s="117">
        <v>6616</v>
      </c>
      <c r="AH81" s="60">
        <f t="shared" si="121"/>
        <v>6616</v>
      </c>
      <c r="AI81" s="117">
        <v>2926</v>
      </c>
      <c r="AJ81" s="117">
        <v>4567</v>
      </c>
      <c r="AK81" s="117">
        <v>4611</v>
      </c>
      <c r="AL81" s="117">
        <v>5880</v>
      </c>
      <c r="AM81" s="60">
        <f t="shared" si="122"/>
        <v>5880</v>
      </c>
      <c r="AN81" s="117">
        <v>6767</v>
      </c>
      <c r="AO81" s="117">
        <v>6905</v>
      </c>
      <c r="AP81" s="117">
        <v>4197</v>
      </c>
      <c r="AQ81" s="117">
        <v>4922</v>
      </c>
      <c r="AR81" s="60">
        <f t="shared" si="123"/>
        <v>4922</v>
      </c>
      <c r="AS81" s="117">
        <v>3942</v>
      </c>
      <c r="AT81" s="117">
        <v>4253</v>
      </c>
      <c r="AU81" s="117">
        <v>4103</v>
      </c>
      <c r="AV81" s="117">
        <v>3500</v>
      </c>
      <c r="AW81" s="60">
        <f t="shared" si="124"/>
        <v>3500</v>
      </c>
      <c r="AX81" s="117">
        <v>3331</v>
      </c>
      <c r="AY81" s="117">
        <v>3251</v>
      </c>
      <c r="AZ81" s="117">
        <v>3032</v>
      </c>
      <c r="BA81" s="117">
        <v>3108</v>
      </c>
      <c r="BB81" s="60">
        <f t="shared" si="125"/>
        <v>3108</v>
      </c>
      <c r="BC81" s="117">
        <v>2818</v>
      </c>
      <c r="BD81" s="117">
        <v>3015</v>
      </c>
      <c r="BE81" s="117">
        <v>3664</v>
      </c>
      <c r="BF81" s="117">
        <v>3479</v>
      </c>
      <c r="BG81" s="60">
        <f t="shared" si="126"/>
        <v>3479</v>
      </c>
      <c r="BH81" s="117">
        <v>2861</v>
      </c>
      <c r="BI81" s="117">
        <v>2080</v>
      </c>
      <c r="BJ81" s="117">
        <v>2201</v>
      </c>
      <c r="BK81" s="117">
        <v>2003</v>
      </c>
      <c r="BL81" s="60">
        <f t="shared" si="127"/>
        <v>2003</v>
      </c>
      <c r="BM81" s="117">
        <v>1962</v>
      </c>
      <c r="BN81" s="117">
        <v>2103</v>
      </c>
      <c r="BO81" s="117">
        <v>1694</v>
      </c>
      <c r="BP81" s="117">
        <v>15125</v>
      </c>
      <c r="BQ81" s="60">
        <f t="shared" si="128"/>
        <v>15125</v>
      </c>
      <c r="BR81" s="117">
        <v>14535</v>
      </c>
      <c r="BS81" s="117">
        <v>14064</v>
      </c>
      <c r="BT81" s="117">
        <v>13526</v>
      </c>
      <c r="BU81" s="117">
        <v>15185</v>
      </c>
      <c r="BV81" s="60">
        <f t="shared" si="129"/>
        <v>15185</v>
      </c>
      <c r="BW81" s="161">
        <v>14479</v>
      </c>
      <c r="BX81" s="161">
        <v>13694</v>
      </c>
      <c r="BY81" s="161">
        <v>13023</v>
      </c>
      <c r="BZ81" s="161">
        <v>13468</v>
      </c>
      <c r="CA81" s="235">
        <f t="shared" si="130"/>
        <v>13468</v>
      </c>
      <c r="CB81" s="161">
        <v>13134</v>
      </c>
      <c r="CC81" s="161">
        <v>12596</v>
      </c>
      <c r="CD81" s="161">
        <v>12312</v>
      </c>
      <c r="CE81" s="161">
        <v>14024</v>
      </c>
      <c r="CF81" s="235">
        <f t="shared" si="131"/>
        <v>14024</v>
      </c>
      <c r="CG81" s="161">
        <v>12939</v>
      </c>
      <c r="CH81" s="161">
        <v>12497</v>
      </c>
      <c r="CI81" s="154">
        <v>11434</v>
      </c>
      <c r="CJ81" s="161">
        <v>11509</v>
      </c>
      <c r="CK81" s="235">
        <f t="shared" si="132"/>
        <v>11509</v>
      </c>
      <c r="CL81" s="161">
        <v>10579</v>
      </c>
      <c r="CM81" s="161">
        <v>9822</v>
      </c>
      <c r="CN81" s="161">
        <v>9475</v>
      </c>
      <c r="CO81" s="161">
        <v>9705</v>
      </c>
      <c r="CP81" s="235">
        <f t="shared" si="133"/>
        <v>9705</v>
      </c>
      <c r="CQ81" s="161">
        <v>10055</v>
      </c>
      <c r="CR81" s="161">
        <v>10145</v>
      </c>
      <c r="CS81" s="161">
        <v>10359</v>
      </c>
      <c r="CT81" s="161">
        <v>10973</v>
      </c>
      <c r="CU81" s="235">
        <f t="shared" si="134"/>
        <v>10973</v>
      </c>
      <c r="CV81" s="49">
        <f>CU81</f>
        <v>10973</v>
      </c>
      <c r="CW81" s="49">
        <f>CV81</f>
        <v>10973</v>
      </c>
      <c r="CX81" s="49">
        <f>CW81</f>
        <v>10973</v>
      </c>
      <c r="CY81" s="49">
        <f>CX81</f>
        <v>10973</v>
      </c>
      <c r="CZ81" s="235">
        <f t="shared" si="135"/>
        <v>10973</v>
      </c>
      <c r="DA81" s="87">
        <f t="shared" si="135"/>
        <v>10973</v>
      </c>
      <c r="DB81" s="87">
        <f>DA81</f>
        <v>10973</v>
      </c>
      <c r="DC81" s="87">
        <f>DB81</f>
        <v>10973</v>
      </c>
      <c r="DD81" s="165"/>
      <c r="DE81" s="2"/>
      <c r="DF81" s="235">
        <f t="shared" si="136"/>
        <v>10973</v>
      </c>
      <c r="DG81" s="235">
        <v>10359</v>
      </c>
      <c r="DH81" s="235">
        <f t="shared" si="137"/>
        <v>9705</v>
      </c>
      <c r="DI81" s="454">
        <f t="shared" si="138"/>
        <v>5.9272130514528509E-2</v>
      </c>
      <c r="DJ81" s="454">
        <f t="shared" si="139"/>
        <v>0.13065430190623384</v>
      </c>
      <c r="DK81" s="2"/>
      <c r="DL81" s="2"/>
      <c r="DM81" s="2"/>
    </row>
    <row r="82" spans="1:117" ht="12" customHeight="1">
      <c r="A82" s="1109">
        <f t="shared" si="113"/>
        <v>77</v>
      </c>
      <c r="B82" s="10"/>
      <c r="C82" s="1079" t="s">
        <v>26</v>
      </c>
      <c r="D82" s="91"/>
      <c r="E82" s="319">
        <f>7168+13574</f>
        <v>20742</v>
      </c>
      <c r="F82" s="319">
        <f>7527+13710</f>
        <v>21237</v>
      </c>
      <c r="G82" s="319">
        <f>7975+14776</f>
        <v>22751</v>
      </c>
      <c r="H82" s="319">
        <f>7139+7445</f>
        <v>14584</v>
      </c>
      <c r="I82" s="319">
        <f>13530+11123+1566</f>
        <v>26219</v>
      </c>
      <c r="J82" s="117">
        <f>13421+1644+10745</f>
        <v>25810</v>
      </c>
      <c r="K82" s="117">
        <f>12262+10919</f>
        <v>23181</v>
      </c>
      <c r="L82" s="117">
        <f>12938+10975</f>
        <v>23913</v>
      </c>
      <c r="M82" s="117">
        <f>12680+8703+3687</f>
        <v>25070</v>
      </c>
      <c r="N82" s="93">
        <f t="shared" si="117"/>
        <v>25070</v>
      </c>
      <c r="O82" s="117">
        <f>13045+12194</f>
        <v>25239</v>
      </c>
      <c r="P82" s="117">
        <f>12714+15798</f>
        <v>28512</v>
      </c>
      <c r="Q82" s="117">
        <f>12847+20937</f>
        <v>33784</v>
      </c>
      <c r="R82" s="117">
        <f>19609+2504+12548-R73</f>
        <v>28508</v>
      </c>
      <c r="S82" s="93">
        <f t="shared" si="118"/>
        <v>28508</v>
      </c>
      <c r="T82" s="117">
        <f>6514+7656+9575</f>
        <v>23745</v>
      </c>
      <c r="U82" s="117">
        <f>6421+11515+12456</f>
        <v>30392</v>
      </c>
      <c r="V82" s="117">
        <f>6573+9675+14202</f>
        <v>30450</v>
      </c>
      <c r="W82" s="117">
        <f>29227+17618+3029-W73</f>
        <v>45327</v>
      </c>
      <c r="X82" s="93">
        <f t="shared" si="119"/>
        <v>45327</v>
      </c>
      <c r="Y82" s="117">
        <f>29810+92+18092+5677-Y73</f>
        <v>48559</v>
      </c>
      <c r="Z82" s="117">
        <f>31686+5856+14530-Z73</f>
        <v>45756</v>
      </c>
      <c r="AA82" s="117">
        <f>29569+10203+5975-AA73</f>
        <v>40233</v>
      </c>
      <c r="AB82" s="117">
        <f>30729+2220+12569-AB73</f>
        <v>38689</v>
      </c>
      <c r="AC82" s="93">
        <f t="shared" si="120"/>
        <v>38689</v>
      </c>
      <c r="AD82" s="117">
        <f>37907+13369+448-AD73</f>
        <v>40918</v>
      </c>
      <c r="AE82" s="117">
        <f>33051+16396+387-AE73</f>
        <v>41668</v>
      </c>
      <c r="AF82" s="117">
        <f>33732+9473+114-AF73</f>
        <v>35173</v>
      </c>
      <c r="AG82" s="117">
        <f>26210+16346+9178-AG73</f>
        <v>42818</v>
      </c>
      <c r="AH82" s="93">
        <f t="shared" si="121"/>
        <v>42818</v>
      </c>
      <c r="AI82" s="117">
        <f>26379+2615+8028</f>
        <v>37022</v>
      </c>
      <c r="AJ82" s="117">
        <f>26158+23+5287</f>
        <v>31468</v>
      </c>
      <c r="AK82" s="117">
        <f>24052+15535+4415</f>
        <v>44002</v>
      </c>
      <c r="AL82" s="117">
        <f>18534+5+1420-AL73</f>
        <v>11782</v>
      </c>
      <c r="AM82" s="93">
        <f t="shared" si="122"/>
        <v>11782</v>
      </c>
      <c r="AN82" s="117">
        <f>18545+1399-AN73</f>
        <v>10895</v>
      </c>
      <c r="AO82" s="117">
        <f>17785+1150-AO73</f>
        <v>9538</v>
      </c>
      <c r="AP82" s="117">
        <f>16871+1073-AP73</f>
        <v>10053</v>
      </c>
      <c r="AQ82" s="117">
        <f>13255+8215+990-AQ73</f>
        <v>14844</v>
      </c>
      <c r="AR82" s="93">
        <f t="shared" si="123"/>
        <v>14844</v>
      </c>
      <c r="AS82" s="117">
        <f>9738+1107+936-AS73</f>
        <v>5750</v>
      </c>
      <c r="AT82" s="117">
        <f>9078+166+868-AT73</f>
        <v>3085</v>
      </c>
      <c r="AU82" s="117">
        <f>11051+760-AU73</f>
        <v>4383</v>
      </c>
      <c r="AV82" s="117">
        <f>14976+7537+653-AV73</f>
        <v>17652</v>
      </c>
      <c r="AW82" s="93">
        <f t="shared" si="124"/>
        <v>17652</v>
      </c>
      <c r="AX82" s="117">
        <f>16664+10002+474-AX73</f>
        <v>20934</v>
      </c>
      <c r="AY82" s="117">
        <f>14365+28+380-AY73</f>
        <v>7738</v>
      </c>
      <c r="AZ82" s="117">
        <f>12316+154-AZ73</f>
        <v>7714</v>
      </c>
      <c r="BA82" s="117">
        <f>9734+8612-BA73</f>
        <v>14896</v>
      </c>
      <c r="BB82" s="93">
        <f t="shared" si="125"/>
        <v>14896</v>
      </c>
      <c r="BC82" s="117">
        <f>7960+7273-BC73</f>
        <v>13134</v>
      </c>
      <c r="BD82" s="117">
        <f>7383+7530-BD73</f>
        <v>12070</v>
      </c>
      <c r="BE82" s="117">
        <f>7200+9023-BE73</f>
        <v>13427</v>
      </c>
      <c r="BF82" s="117">
        <f>8096+7618-BF73</f>
        <v>15026</v>
      </c>
      <c r="BG82" s="93">
        <f t="shared" si="126"/>
        <v>15026</v>
      </c>
      <c r="BH82" s="117">
        <f>6358+8076-BH73</f>
        <v>11637</v>
      </c>
      <c r="BI82" s="117">
        <f>5740+7529-BI73</f>
        <v>12546</v>
      </c>
      <c r="BJ82" s="117">
        <f>6255-BJ73</f>
        <v>5438</v>
      </c>
      <c r="BK82" s="117">
        <f>5221-BK73</f>
        <v>4611</v>
      </c>
      <c r="BL82" s="93">
        <f t="shared" si="127"/>
        <v>4611</v>
      </c>
      <c r="BM82" s="117">
        <f>6177-BM73</f>
        <v>5381</v>
      </c>
      <c r="BN82" s="117">
        <f>6397-BN73+419</f>
        <v>5245</v>
      </c>
      <c r="BO82" s="117">
        <f>5977+502-BO73</f>
        <v>5545</v>
      </c>
      <c r="BP82" s="117">
        <f>4770-BP73</f>
        <v>3717</v>
      </c>
      <c r="BQ82" s="93">
        <f t="shared" si="128"/>
        <v>3717</v>
      </c>
      <c r="BR82" s="117">
        <f>4994-BR73</f>
        <v>3928</v>
      </c>
      <c r="BS82" s="117">
        <f>5011-1029</f>
        <v>3982</v>
      </c>
      <c r="BT82" s="117">
        <f>5073-BT73</f>
        <v>4224</v>
      </c>
      <c r="BU82" s="117">
        <f>5556-BU73</f>
        <v>4432</v>
      </c>
      <c r="BV82" s="93">
        <f t="shared" si="129"/>
        <v>4432</v>
      </c>
      <c r="BW82" s="161">
        <f>5554--571-BW73</f>
        <v>4928</v>
      </c>
      <c r="BX82" s="161">
        <f>4978+264-BX73</f>
        <v>4364</v>
      </c>
      <c r="BY82" s="161">
        <f>5051+98-BY73</f>
        <v>4249</v>
      </c>
      <c r="BZ82" s="161">
        <f>5847-BZ73</f>
        <v>4813</v>
      </c>
      <c r="CA82" s="245">
        <f t="shared" si="130"/>
        <v>4813</v>
      </c>
      <c r="CB82" s="161">
        <f>6231-CB73</f>
        <v>4769</v>
      </c>
      <c r="CC82" s="161">
        <f>5717-CC73</f>
        <v>4548</v>
      </c>
      <c r="CD82" s="161">
        <f>6078-CD73</f>
        <v>4773</v>
      </c>
      <c r="CE82" s="161">
        <f>6052-CE73</f>
        <v>4705</v>
      </c>
      <c r="CF82" s="245">
        <f t="shared" si="131"/>
        <v>4705</v>
      </c>
      <c r="CG82" s="161">
        <f>7490-CG73</f>
        <v>5565</v>
      </c>
      <c r="CH82" s="161">
        <f>6954-CH73</f>
        <v>5582</v>
      </c>
      <c r="CI82" s="159">
        <f>7524-CI73</f>
        <v>5936</v>
      </c>
      <c r="CJ82" s="161">
        <v>4795</v>
      </c>
      <c r="CK82" s="245">
        <f t="shared" si="132"/>
        <v>4795</v>
      </c>
      <c r="CL82" s="161">
        <f>8716-CL73</f>
        <v>6925</v>
      </c>
      <c r="CM82" s="161">
        <v>6905</v>
      </c>
      <c r="CN82" s="161">
        <v>7111</v>
      </c>
      <c r="CO82" s="161">
        <v>5656</v>
      </c>
      <c r="CP82" s="245">
        <f t="shared" si="133"/>
        <v>5656</v>
      </c>
      <c r="CQ82" s="161">
        <v>5893</v>
      </c>
      <c r="CR82" s="161">
        <v>6602</v>
      </c>
      <c r="CS82" s="161">
        <v>7041</v>
      </c>
      <c r="CT82" s="161">
        <v>8104</v>
      </c>
      <c r="CU82" s="245">
        <f t="shared" si="134"/>
        <v>8104</v>
      </c>
      <c r="CV82" s="95">
        <f>CV200*CV192</f>
        <v>8115.401096086136</v>
      </c>
      <c r="CW82" s="95">
        <f>CW200*CW192</f>
        <v>8125.9115461550246</v>
      </c>
      <c r="CX82" s="95">
        <f>CX200*CX192</f>
        <v>8147.38009542277</v>
      </c>
      <c r="CY82" s="95">
        <f>CY200*CY192</f>
        <v>8168.9297229422891</v>
      </c>
      <c r="CZ82" s="245">
        <f t="shared" si="135"/>
        <v>8168.9297229422891</v>
      </c>
      <c r="DA82" s="96">
        <f>DA200*DA192</f>
        <v>8215.306553438053</v>
      </c>
      <c r="DB82" s="96">
        <f>DB200*DB192</f>
        <v>8453.609999243301</v>
      </c>
      <c r="DC82" s="96">
        <f>DC200*DC192</f>
        <v>8675.2351939186847</v>
      </c>
      <c r="DD82" s="165"/>
      <c r="DE82" s="2"/>
      <c r="DF82" s="245">
        <f t="shared" si="136"/>
        <v>8104</v>
      </c>
      <c r="DG82" s="245">
        <v>7027.5993738319576</v>
      </c>
      <c r="DH82" s="245">
        <f t="shared" si="137"/>
        <v>5656</v>
      </c>
      <c r="DI82" s="459">
        <f t="shared" si="138"/>
        <v>0.15316761370549092</v>
      </c>
      <c r="DJ82" s="459">
        <f t="shared" si="139"/>
        <v>0.43281471004243288</v>
      </c>
      <c r="DK82" s="2"/>
      <c r="DL82" s="2"/>
      <c r="DM82" s="2"/>
    </row>
    <row r="83" spans="1:117" ht="12" customHeight="1">
      <c r="A83" s="1109">
        <f t="shared" si="113"/>
        <v>78</v>
      </c>
      <c r="B83" s="10"/>
      <c r="C83" s="1059" t="s">
        <v>325</v>
      </c>
      <c r="D83" s="2"/>
      <c r="E83" s="314">
        <f t="shared" ref="E83:BP83" si="140">SUM(E76:E82,E74)</f>
        <v>243283</v>
      </c>
      <c r="F83" s="314">
        <f t="shared" si="140"/>
        <v>262867</v>
      </c>
      <c r="G83" s="314">
        <f t="shared" si="140"/>
        <v>279097</v>
      </c>
      <c r="H83" s="314">
        <f t="shared" si="140"/>
        <v>237545</v>
      </c>
      <c r="I83" s="314">
        <f t="shared" si="140"/>
        <v>270249</v>
      </c>
      <c r="J83" s="114">
        <f t="shared" si="140"/>
        <v>275024</v>
      </c>
      <c r="K83" s="114">
        <f t="shared" si="140"/>
        <v>284580</v>
      </c>
      <c r="L83" s="114">
        <f t="shared" si="140"/>
        <v>282285</v>
      </c>
      <c r="M83" s="114">
        <f t="shared" si="140"/>
        <v>283390</v>
      </c>
      <c r="N83" s="314">
        <f t="shared" si="140"/>
        <v>283390</v>
      </c>
      <c r="O83" s="114">
        <f t="shared" si="140"/>
        <v>284587</v>
      </c>
      <c r="P83" s="114">
        <f t="shared" si="140"/>
        <v>289546</v>
      </c>
      <c r="Q83" s="114">
        <f t="shared" si="140"/>
        <v>277527</v>
      </c>
      <c r="R83" s="114">
        <f t="shared" si="140"/>
        <v>271893</v>
      </c>
      <c r="S83" s="314">
        <f t="shared" si="140"/>
        <v>271893</v>
      </c>
      <c r="T83" s="114">
        <f t="shared" si="140"/>
        <v>275648</v>
      </c>
      <c r="U83" s="114">
        <f t="shared" si="140"/>
        <v>290291</v>
      </c>
      <c r="V83" s="114">
        <f t="shared" si="140"/>
        <v>285696</v>
      </c>
      <c r="W83" s="114">
        <f t="shared" si="140"/>
        <v>277122</v>
      </c>
      <c r="X83" s="314">
        <f t="shared" si="140"/>
        <v>277122</v>
      </c>
      <c r="Y83" s="114">
        <f t="shared" si="140"/>
        <v>289324</v>
      </c>
      <c r="Z83" s="114">
        <f t="shared" si="140"/>
        <v>306189</v>
      </c>
      <c r="AA83" s="114">
        <f t="shared" si="140"/>
        <v>310328</v>
      </c>
      <c r="AB83" s="114">
        <f t="shared" si="140"/>
        <v>299397</v>
      </c>
      <c r="AC83" s="314">
        <f t="shared" si="140"/>
        <v>299397</v>
      </c>
      <c r="AD83" s="114">
        <f t="shared" si="140"/>
        <v>300079</v>
      </c>
      <c r="AE83" s="114">
        <f t="shared" si="140"/>
        <v>293613</v>
      </c>
      <c r="AF83" s="114">
        <f t="shared" si="140"/>
        <v>288678</v>
      </c>
      <c r="AG83" s="114">
        <f t="shared" si="140"/>
        <v>295487</v>
      </c>
      <c r="AH83" s="314">
        <f t="shared" si="140"/>
        <v>295487</v>
      </c>
      <c r="AI83" s="114">
        <f t="shared" si="140"/>
        <v>280588</v>
      </c>
      <c r="AJ83" s="114">
        <f t="shared" si="140"/>
        <v>276834</v>
      </c>
      <c r="AK83" s="114">
        <f t="shared" si="140"/>
        <v>268295</v>
      </c>
      <c r="AL83" s="114">
        <f t="shared" si="140"/>
        <v>269459</v>
      </c>
      <c r="AM83" s="314">
        <f t="shared" si="140"/>
        <v>269459</v>
      </c>
      <c r="AN83" s="114">
        <f t="shared" si="140"/>
        <v>269076</v>
      </c>
      <c r="AO83" s="114">
        <f t="shared" si="140"/>
        <v>277025</v>
      </c>
      <c r="AP83" s="114">
        <f t="shared" si="140"/>
        <v>267465</v>
      </c>
      <c r="AQ83" s="114">
        <f t="shared" si="140"/>
        <v>279196</v>
      </c>
      <c r="AR83" s="314">
        <f t="shared" si="140"/>
        <v>279196</v>
      </c>
      <c r="AS83" s="114">
        <f t="shared" si="140"/>
        <v>272210</v>
      </c>
      <c r="AT83" s="114">
        <f t="shared" si="140"/>
        <v>279218</v>
      </c>
      <c r="AU83" s="114">
        <f t="shared" si="140"/>
        <v>276163</v>
      </c>
      <c r="AV83" s="114">
        <f t="shared" si="140"/>
        <v>279264</v>
      </c>
      <c r="AW83" s="314">
        <f t="shared" si="140"/>
        <v>279264</v>
      </c>
      <c r="AX83" s="114">
        <f t="shared" si="140"/>
        <v>282913</v>
      </c>
      <c r="AY83" s="114">
        <f t="shared" si="140"/>
        <v>265297</v>
      </c>
      <c r="AZ83" s="114">
        <f t="shared" si="140"/>
        <v>242065</v>
      </c>
      <c r="BA83" s="114">
        <f t="shared" si="140"/>
        <v>218298</v>
      </c>
      <c r="BB83" s="314">
        <f t="shared" si="140"/>
        <v>218298</v>
      </c>
      <c r="BC83" s="114">
        <f t="shared" si="140"/>
        <v>203134</v>
      </c>
      <c r="BD83" s="114">
        <f t="shared" si="140"/>
        <v>200190</v>
      </c>
      <c r="BE83" s="114">
        <f t="shared" si="140"/>
        <v>203106</v>
      </c>
      <c r="BF83" s="114">
        <f t="shared" si="140"/>
        <v>192040</v>
      </c>
      <c r="BG83" s="314">
        <f t="shared" si="140"/>
        <v>192040</v>
      </c>
      <c r="BH83" s="114">
        <f t="shared" si="140"/>
        <v>191968</v>
      </c>
      <c r="BI83" s="114">
        <f t="shared" si="140"/>
        <v>179750</v>
      </c>
      <c r="BJ83" s="114">
        <f t="shared" si="140"/>
        <v>177078</v>
      </c>
      <c r="BK83" s="114">
        <f t="shared" si="140"/>
        <v>164687</v>
      </c>
      <c r="BL83" s="314">
        <f t="shared" si="140"/>
        <v>164687</v>
      </c>
      <c r="BM83" s="114">
        <f t="shared" si="140"/>
        <v>167391</v>
      </c>
      <c r="BN83" s="114">
        <f t="shared" si="140"/>
        <v>168086</v>
      </c>
      <c r="BO83" s="114">
        <f t="shared" si="140"/>
        <v>162740</v>
      </c>
      <c r="BP83" s="114">
        <f t="shared" si="140"/>
        <v>178348</v>
      </c>
      <c r="BQ83" s="314">
        <f t="shared" ref="BQ83:CP83" si="141">SUM(BQ76:BQ82,BQ74)</f>
        <v>178348</v>
      </c>
      <c r="BR83" s="114">
        <f t="shared" si="141"/>
        <v>182075</v>
      </c>
      <c r="BS83" s="114">
        <f t="shared" si="141"/>
        <v>181236</v>
      </c>
      <c r="BT83" s="114">
        <f t="shared" si="141"/>
        <v>184680</v>
      </c>
      <c r="BU83" s="114">
        <f t="shared" si="141"/>
        <v>189406</v>
      </c>
      <c r="BV83" s="314">
        <f t="shared" si="141"/>
        <v>189406</v>
      </c>
      <c r="BW83" s="238">
        <f t="shared" si="141"/>
        <v>193010</v>
      </c>
      <c r="BX83" s="238">
        <f t="shared" si="141"/>
        <v>196210</v>
      </c>
      <c r="BY83" s="238">
        <f t="shared" si="141"/>
        <v>201071</v>
      </c>
      <c r="BZ83" s="238">
        <f t="shared" si="141"/>
        <v>202179</v>
      </c>
      <c r="CA83" s="307">
        <f t="shared" si="141"/>
        <v>202179</v>
      </c>
      <c r="CB83" s="238">
        <f t="shared" si="141"/>
        <v>207082</v>
      </c>
      <c r="CC83" s="238">
        <f t="shared" si="141"/>
        <v>210945</v>
      </c>
      <c r="CD83" s="238">
        <f t="shared" si="141"/>
        <v>208835</v>
      </c>
      <c r="CE83" s="238">
        <f t="shared" si="141"/>
        <v>208615</v>
      </c>
      <c r="CF83" s="307">
        <f t="shared" si="141"/>
        <v>208615</v>
      </c>
      <c r="CG83" s="238">
        <f t="shared" si="141"/>
        <v>212374</v>
      </c>
      <c r="CH83" s="238">
        <f t="shared" si="141"/>
        <v>216045</v>
      </c>
      <c r="CI83" s="238">
        <f t="shared" si="141"/>
        <v>219431</v>
      </c>
      <c r="CJ83" s="238">
        <f t="shared" si="141"/>
        <v>224925</v>
      </c>
      <c r="CK83" s="307">
        <f t="shared" si="141"/>
        <v>224925</v>
      </c>
      <c r="CL83" s="238">
        <f t="shared" si="141"/>
        <v>237288</v>
      </c>
      <c r="CM83" s="238">
        <f t="shared" si="141"/>
        <v>239678</v>
      </c>
      <c r="CN83" s="238">
        <f t="shared" si="141"/>
        <v>234963</v>
      </c>
      <c r="CO83" s="238">
        <f t="shared" si="141"/>
        <v>237951</v>
      </c>
      <c r="CP83" s="307">
        <f t="shared" si="141"/>
        <v>237951</v>
      </c>
      <c r="CQ83" s="238">
        <f>SUM(CQ76:CQ82)+CQ74</f>
        <v>244094</v>
      </c>
      <c r="CR83" s="238">
        <f>SUM(CR76:CR82)+CR74</f>
        <v>247469</v>
      </c>
      <c r="CS83" s="238">
        <f>SUM(CS76:CS82)+CS74</f>
        <v>251273</v>
      </c>
      <c r="CT83" s="238">
        <f>SUM(CT76:CT82)+CT74</f>
        <v>257808</v>
      </c>
      <c r="CU83" s="307">
        <f>SUM(CU76:CU82,CU74)</f>
        <v>257808</v>
      </c>
      <c r="CV83" s="49">
        <f>SUM(CV76:CV82)+CV74</f>
        <v>258224.22694387188</v>
      </c>
      <c r="CW83" s="49">
        <f>SUM(CW76:CW82)+CW74</f>
        <v>259330.74086868862</v>
      </c>
      <c r="CX83" s="49">
        <f>SUM(CX76:CX82)+CX74</f>
        <v>260130.09384157386</v>
      </c>
      <c r="CY83" s="49">
        <f>SUM(CY76:CY82)+CY74</f>
        <v>260782.41724435275</v>
      </c>
      <c r="CZ83" s="307">
        <f>SUM(CZ76:CZ82,CZ74)</f>
        <v>260782.41724435275</v>
      </c>
      <c r="DA83" s="87">
        <f>SUM(DA76:DA82)+DA74</f>
        <v>265334.75013858126</v>
      </c>
      <c r="DB83" s="87">
        <f>SUM(DB76:DB82)+DB74</f>
        <v>270164.59307358391</v>
      </c>
      <c r="DC83" s="87">
        <f>SUM(DC76:DC82)+DC74</f>
        <v>275329.03243611474</v>
      </c>
      <c r="DD83" s="165"/>
      <c r="DE83" s="2"/>
      <c r="DF83" s="307">
        <f t="shared" si="136"/>
        <v>257808</v>
      </c>
      <c r="DG83" s="307">
        <v>252384.4836258057</v>
      </c>
      <c r="DH83" s="307">
        <f t="shared" si="137"/>
        <v>237951</v>
      </c>
      <c r="DI83" s="460">
        <f t="shared" si="138"/>
        <v>2.1489103831895617E-2</v>
      </c>
      <c r="DJ83" s="460">
        <f t="shared" si="139"/>
        <v>8.3449953982122294E-2</v>
      </c>
      <c r="DK83" s="2"/>
      <c r="DL83" s="2"/>
      <c r="DM83" s="2"/>
    </row>
    <row r="84" spans="1:117" ht="12" customHeight="1">
      <c r="A84" s="1109">
        <f t="shared" si="113"/>
        <v>79</v>
      </c>
      <c r="B84" s="10"/>
      <c r="C84" s="1059"/>
      <c r="D84" s="2"/>
      <c r="E84" s="322"/>
      <c r="F84" s="322"/>
      <c r="G84" s="322"/>
      <c r="H84" s="322"/>
      <c r="I84" s="322"/>
      <c r="J84" s="26"/>
      <c r="K84" s="26"/>
      <c r="L84" s="26"/>
      <c r="M84" s="26"/>
      <c r="N84" s="68"/>
      <c r="O84" s="26"/>
      <c r="P84" s="26"/>
      <c r="Q84" s="26"/>
      <c r="R84" s="26"/>
      <c r="S84" s="68"/>
      <c r="T84" s="26"/>
      <c r="U84" s="26"/>
      <c r="V84" s="26"/>
      <c r="W84" s="26"/>
      <c r="X84" s="68"/>
      <c r="Y84" s="26"/>
      <c r="Z84" s="26"/>
      <c r="AA84" s="26"/>
      <c r="AB84" s="26"/>
      <c r="AC84" s="68"/>
      <c r="AD84" s="26"/>
      <c r="AE84" s="26"/>
      <c r="AF84" s="26"/>
      <c r="AG84" s="26"/>
      <c r="AH84" s="68"/>
      <c r="AI84" s="26"/>
      <c r="AJ84" s="26"/>
      <c r="AK84" s="26"/>
      <c r="AL84" s="26"/>
      <c r="AM84" s="68"/>
      <c r="AN84" s="26"/>
      <c r="AO84" s="26"/>
      <c r="AP84" s="26"/>
      <c r="AQ84" s="26"/>
      <c r="AR84" s="68"/>
      <c r="AS84" s="26"/>
      <c r="AT84" s="26"/>
      <c r="AU84" s="26"/>
      <c r="AV84" s="26"/>
      <c r="AW84" s="68"/>
      <c r="AX84" s="26"/>
      <c r="AY84" s="26"/>
      <c r="AZ84" s="26"/>
      <c r="BA84" s="26"/>
      <c r="BB84" s="68"/>
      <c r="BC84" s="26"/>
      <c r="BD84" s="26"/>
      <c r="BE84" s="26"/>
      <c r="BF84" s="26"/>
      <c r="BG84" s="68"/>
      <c r="BH84" s="26"/>
      <c r="BI84" s="26"/>
      <c r="BJ84" s="26"/>
      <c r="BK84" s="26"/>
      <c r="BL84" s="68"/>
      <c r="BM84" s="26"/>
      <c r="BN84" s="26"/>
      <c r="BO84" s="26"/>
      <c r="BP84" s="26"/>
      <c r="BQ84" s="68"/>
      <c r="BR84" s="26"/>
      <c r="BS84" s="26"/>
      <c r="BT84" s="26"/>
      <c r="BU84" s="26"/>
      <c r="BV84" s="68"/>
      <c r="BW84" s="247"/>
      <c r="BX84" s="247"/>
      <c r="BY84" s="247"/>
      <c r="BZ84" s="247"/>
      <c r="CA84" s="68"/>
      <c r="CB84" s="247"/>
      <c r="CC84" s="247"/>
      <c r="CD84" s="247"/>
      <c r="CE84" s="247"/>
      <c r="CF84" s="68"/>
      <c r="CG84" s="247"/>
      <c r="CH84" s="247"/>
      <c r="CI84" s="2"/>
      <c r="CJ84" s="247"/>
      <c r="CK84" s="68"/>
      <c r="CL84" s="247"/>
      <c r="CM84" s="247"/>
      <c r="CN84" s="247"/>
      <c r="CO84" s="247"/>
      <c r="CP84" s="68"/>
      <c r="CQ84" s="2"/>
      <c r="CR84" s="2"/>
      <c r="CS84" s="2"/>
      <c r="CT84" s="2"/>
      <c r="CU84" s="68"/>
      <c r="CZ84" s="68"/>
      <c r="DA84" s="62"/>
      <c r="DB84" s="62"/>
      <c r="DC84" s="62"/>
      <c r="DD84" s="165"/>
      <c r="DE84" s="2"/>
      <c r="DF84" s="68"/>
      <c r="DG84" s="68"/>
      <c r="DH84" s="68"/>
      <c r="DI84" s="454"/>
      <c r="DJ84" s="454"/>
      <c r="DK84" s="2"/>
      <c r="DL84" s="2"/>
      <c r="DM84" s="2"/>
    </row>
    <row r="85" spans="1:117" ht="12" customHeight="1">
      <c r="A85" s="1109">
        <f t="shared" si="113"/>
        <v>80</v>
      </c>
      <c r="B85" s="10"/>
      <c r="C85" s="6" t="s">
        <v>182</v>
      </c>
      <c r="D85" s="2"/>
      <c r="E85" s="322"/>
      <c r="F85" s="322"/>
      <c r="G85" s="322"/>
      <c r="H85" s="322"/>
      <c r="I85" s="322"/>
      <c r="J85" s="26"/>
      <c r="K85" s="26"/>
      <c r="L85" s="26"/>
      <c r="M85" s="26"/>
      <c r="N85" s="68"/>
      <c r="O85" s="26"/>
      <c r="P85" s="26"/>
      <c r="Q85" s="26"/>
      <c r="R85" s="26"/>
      <c r="S85" s="68"/>
      <c r="T85" s="26"/>
      <c r="U85" s="26"/>
      <c r="V85" s="26"/>
      <c r="W85" s="26"/>
      <c r="X85" s="68"/>
      <c r="Y85" s="26"/>
      <c r="Z85" s="26"/>
      <c r="AA85" s="26"/>
      <c r="AB85" s="26"/>
      <c r="AC85" s="68"/>
      <c r="AD85" s="26"/>
      <c r="AE85" s="26"/>
      <c r="AF85" s="26"/>
      <c r="AG85" s="26"/>
      <c r="AH85" s="68"/>
      <c r="AI85" s="26"/>
      <c r="AJ85" s="26"/>
      <c r="AK85" s="26"/>
      <c r="AL85" s="26"/>
      <c r="AM85" s="68"/>
      <c r="AN85" s="26"/>
      <c r="AO85" s="26"/>
      <c r="AP85" s="26"/>
      <c r="AQ85" s="26"/>
      <c r="AR85" s="68"/>
      <c r="AS85" s="26"/>
      <c r="AT85" s="26"/>
      <c r="AU85" s="26"/>
      <c r="AV85" s="26"/>
      <c r="AW85" s="68"/>
      <c r="AX85" s="26"/>
      <c r="AY85" s="26"/>
      <c r="AZ85" s="26"/>
      <c r="BA85" s="26"/>
      <c r="BB85" s="68"/>
      <c r="BC85" s="26"/>
      <c r="BD85" s="26"/>
      <c r="BE85" s="26"/>
      <c r="BF85" s="26"/>
      <c r="BG85" s="68"/>
      <c r="BH85" s="26"/>
      <c r="BI85" s="26"/>
      <c r="BJ85" s="26"/>
      <c r="BK85" s="26"/>
      <c r="BL85" s="68"/>
      <c r="BM85" s="26"/>
      <c r="BN85" s="26"/>
      <c r="BO85" s="26"/>
      <c r="BP85" s="26"/>
      <c r="BQ85" s="68"/>
      <c r="BR85" s="26"/>
      <c r="BS85" s="26"/>
      <c r="BT85" s="26"/>
      <c r="BU85" s="26"/>
      <c r="BV85" s="68"/>
      <c r="BW85" s="247"/>
      <c r="BX85" s="247"/>
      <c r="BY85" s="247"/>
      <c r="BZ85" s="247"/>
      <c r="CA85" s="68"/>
      <c r="CB85" s="247"/>
      <c r="CC85" s="247"/>
      <c r="CD85" s="247"/>
      <c r="CE85" s="247"/>
      <c r="CF85" s="68"/>
      <c r="CG85" s="247"/>
      <c r="CH85" s="247"/>
      <c r="CI85" s="2"/>
      <c r="CJ85" s="247"/>
      <c r="CK85" s="68"/>
      <c r="CL85" s="247"/>
      <c r="CM85" s="247"/>
      <c r="CN85" s="247"/>
      <c r="CO85" s="247"/>
      <c r="CP85" s="68"/>
      <c r="CQ85" s="2"/>
      <c r="CR85" s="2"/>
      <c r="CS85" s="2"/>
      <c r="CT85" s="2"/>
      <c r="CU85" s="68"/>
      <c r="CZ85" s="68"/>
      <c r="DA85" s="62"/>
      <c r="DB85" s="62"/>
      <c r="DC85" s="62"/>
      <c r="DD85" s="165"/>
      <c r="DE85" s="2"/>
      <c r="DF85" s="68"/>
      <c r="DG85" s="68"/>
      <c r="DH85" s="68"/>
      <c r="DI85" s="454"/>
      <c r="DJ85" s="454"/>
      <c r="DK85" s="2"/>
      <c r="DL85" s="2"/>
      <c r="DM85" s="2"/>
    </row>
    <row r="86" spans="1:117" ht="12" customHeight="1">
      <c r="A86" s="1109">
        <f t="shared" si="113"/>
        <v>81</v>
      </c>
      <c r="B86" s="10"/>
      <c r="C86" s="1033" t="s">
        <v>46</v>
      </c>
      <c r="E86" s="319">
        <f>11260+1976+316+5476+200</f>
        <v>19228</v>
      </c>
      <c r="F86" s="319">
        <f>11735+2206+508+4695+0+473</f>
        <v>19617</v>
      </c>
      <c r="G86" s="319">
        <f>11997+2557+1358+4539+416</f>
        <v>20867</v>
      </c>
      <c r="H86" s="319">
        <f>13368+2755+1404+3555+0+70</f>
        <v>21152</v>
      </c>
      <c r="I86" s="319">
        <f>14292+3778+1709+3550+2304</f>
        <v>25633</v>
      </c>
      <c r="J86" s="117">
        <f>14570+3537+1821+4191+1807</f>
        <v>25926</v>
      </c>
      <c r="K86" s="117">
        <f>14840+3933+2240+5054+1869</f>
        <v>27936</v>
      </c>
      <c r="L86" s="117">
        <f>14465+3789+634+4607+2052</f>
        <v>25547</v>
      </c>
      <c r="M86" s="117">
        <f>15075+5297+4011+449+1587</f>
        <v>26419</v>
      </c>
      <c r="N86" s="60">
        <f>M86</f>
        <v>26419</v>
      </c>
      <c r="O86" s="117">
        <f>15794+4443+447+5194+2538</f>
        <v>28416</v>
      </c>
      <c r="P86" s="117">
        <f>15588+4718+29+5644+2637</f>
        <v>28616</v>
      </c>
      <c r="Q86" s="117">
        <f>15258+3802+2193+4706+26</f>
        <v>25985</v>
      </c>
      <c r="R86" s="117">
        <v>21328</v>
      </c>
      <c r="S86" s="60">
        <f>R86</f>
        <v>21328</v>
      </c>
      <c r="T86" s="117">
        <f>16191+3649+3347+3712</f>
        <v>26899</v>
      </c>
      <c r="U86" s="117">
        <f>17312+3043+2859+3712</f>
        <v>26926</v>
      </c>
      <c r="V86" s="117">
        <f>16444+2688+3712+2032</f>
        <v>24876</v>
      </c>
      <c r="W86" s="117">
        <v>18936</v>
      </c>
      <c r="X86" s="60">
        <f>W86</f>
        <v>18936</v>
      </c>
      <c r="Y86" s="117">
        <v>20480</v>
      </c>
      <c r="Z86" s="117">
        <v>21832</v>
      </c>
      <c r="AA86" s="117">
        <v>20742</v>
      </c>
      <c r="AB86" s="117">
        <v>20407</v>
      </c>
      <c r="AC86" s="60">
        <f>AB86</f>
        <v>20407</v>
      </c>
      <c r="AD86" s="117">
        <v>26545</v>
      </c>
      <c r="AE86" s="117">
        <v>21879</v>
      </c>
      <c r="AF86" s="117">
        <v>22399</v>
      </c>
      <c r="AG86" s="117">
        <v>22030</v>
      </c>
      <c r="AH86" s="60">
        <f>AG86</f>
        <v>22030</v>
      </c>
      <c r="AI86" s="117">
        <v>24169</v>
      </c>
      <c r="AJ86" s="117">
        <v>23853</v>
      </c>
      <c r="AK86" s="117">
        <v>22991</v>
      </c>
      <c r="AL86" s="117">
        <v>22910</v>
      </c>
      <c r="AM86" s="60">
        <f>AL86</f>
        <v>22910</v>
      </c>
      <c r="AN86" s="117">
        <v>24005</v>
      </c>
      <c r="AO86" s="117">
        <v>23674</v>
      </c>
      <c r="AP86" s="117">
        <v>22738</v>
      </c>
      <c r="AQ86" s="117">
        <v>21214</v>
      </c>
      <c r="AR86" s="60">
        <f>AQ86</f>
        <v>21214</v>
      </c>
      <c r="AS86" s="117">
        <v>24480</v>
      </c>
      <c r="AT86" s="117">
        <v>25495</v>
      </c>
      <c r="AU86" s="117">
        <v>25898</v>
      </c>
      <c r="AV86" s="117">
        <v>20832</v>
      </c>
      <c r="AW86" s="60">
        <f>AV86</f>
        <v>20832</v>
      </c>
      <c r="AX86" s="117">
        <v>23964</v>
      </c>
      <c r="AY86" s="117">
        <v>24216</v>
      </c>
      <c r="AZ86" s="117">
        <v>20358</v>
      </c>
      <c r="BA86" s="117">
        <v>13145</v>
      </c>
      <c r="BB86" s="60">
        <f>BA86</f>
        <v>13145</v>
      </c>
      <c r="BC86" s="117">
        <v>12882</v>
      </c>
      <c r="BD86" s="117">
        <v>13971</v>
      </c>
      <c r="BE86" s="117">
        <v>15209</v>
      </c>
      <c r="BF86" s="117">
        <v>14301</v>
      </c>
      <c r="BG86" s="60">
        <f>BF86</f>
        <v>14301</v>
      </c>
      <c r="BH86" s="117">
        <v>15611</v>
      </c>
      <c r="BI86" s="117">
        <v>15976</v>
      </c>
      <c r="BJ86" s="117">
        <v>17374</v>
      </c>
      <c r="BK86" s="117">
        <v>16362</v>
      </c>
      <c r="BL86" s="60">
        <f>BK86</f>
        <v>16362</v>
      </c>
      <c r="BM86" s="117">
        <v>19984</v>
      </c>
      <c r="BN86" s="117">
        <v>19424</v>
      </c>
      <c r="BO86" s="117">
        <v>18924</v>
      </c>
      <c r="BP86" s="117">
        <v>17724</v>
      </c>
      <c r="BQ86" s="60">
        <f>BP86</f>
        <v>17724</v>
      </c>
      <c r="BR86" s="117">
        <v>19638</v>
      </c>
      <c r="BS86" s="117">
        <v>19661</v>
      </c>
      <c r="BT86" s="117">
        <v>20793</v>
      </c>
      <c r="BU86" s="117">
        <v>19308</v>
      </c>
      <c r="BV86" s="60">
        <f>BU86</f>
        <v>19308</v>
      </c>
      <c r="BW86" s="161">
        <v>20600</v>
      </c>
      <c r="BX86" s="161">
        <v>20961</v>
      </c>
      <c r="BY86" s="161">
        <v>21640</v>
      </c>
      <c r="BZ86" s="161">
        <v>19531</v>
      </c>
      <c r="CA86" s="235">
        <f>BZ86</f>
        <v>19531</v>
      </c>
      <c r="CB86" s="161">
        <v>22209</v>
      </c>
      <c r="CC86" s="161">
        <v>22062</v>
      </c>
      <c r="CD86" s="161">
        <v>21155</v>
      </c>
      <c r="CE86" s="161">
        <v>20035</v>
      </c>
      <c r="CF86" s="235">
        <f>CE86</f>
        <v>20035</v>
      </c>
      <c r="CG86" s="161">
        <v>22366</v>
      </c>
      <c r="CH86" s="161">
        <v>21844</v>
      </c>
      <c r="CI86" s="154">
        <v>22386</v>
      </c>
      <c r="CJ86" s="161">
        <v>20272</v>
      </c>
      <c r="CK86" s="235">
        <f>CJ86</f>
        <v>20272</v>
      </c>
      <c r="CL86" s="161">
        <v>22072</v>
      </c>
      <c r="CM86" s="161">
        <v>23084</v>
      </c>
      <c r="CN86" s="161">
        <v>22384</v>
      </c>
      <c r="CO86" s="161">
        <v>21296</v>
      </c>
      <c r="CP86" s="235">
        <f>CO86</f>
        <v>21296</v>
      </c>
      <c r="CQ86" s="161">
        <v>23257</v>
      </c>
      <c r="CR86" s="161">
        <v>23568</v>
      </c>
      <c r="CS86" s="161">
        <v>23566</v>
      </c>
      <c r="CT86" s="161">
        <v>23282</v>
      </c>
      <c r="CU86" s="235">
        <f>CT86</f>
        <v>23282</v>
      </c>
      <c r="CV86" s="49">
        <f>CV192/365*CV198</f>
        <v>23314.754234831864</v>
      </c>
      <c r="CW86" s="49">
        <f>CW192/365*CW198</f>
        <v>23344.94973069858</v>
      </c>
      <c r="CX86" s="49">
        <f>CX192/365*CX198</f>
        <v>23406.626774633874</v>
      </c>
      <c r="CY86" s="49">
        <f>CY192/365*CY198</f>
        <v>23468.536748462775</v>
      </c>
      <c r="CZ86" s="235">
        <f>CY86</f>
        <v>23468.536748462775</v>
      </c>
      <c r="DA86" s="87">
        <f>DA192/365*DA198</f>
        <v>24165.959297052741</v>
      </c>
      <c r="DB86" s="87">
        <f>DB192/365*DB198</f>
        <v>24866.947304526064</v>
      </c>
      <c r="DC86" s="87">
        <f>DC192/365*DC198</f>
        <v>25518.874947017423</v>
      </c>
      <c r="DD86" s="165"/>
      <c r="DE86" s="2"/>
      <c r="DF86" s="235">
        <f>CT86</f>
        <v>23282</v>
      </c>
      <c r="DG86" s="235">
        <v>23521.148536248249</v>
      </c>
      <c r="DH86" s="235">
        <f>CO86</f>
        <v>21296</v>
      </c>
      <c r="DI86" s="454">
        <f>IF(ISERROR(DF86/DG86-1),"NM",DF86/DG86-1)</f>
        <v>-1.0167383445570222E-2</v>
      </c>
      <c r="DJ86" s="454">
        <f>IF(ISERROR(DF86/DH86-1),"NM",DF86/DH86-1)</f>
        <v>9.325694966190845E-2</v>
      </c>
      <c r="DK86" s="2"/>
      <c r="DL86" s="2"/>
      <c r="DM86" s="2"/>
    </row>
    <row r="87" spans="1:117" ht="12" customHeight="1">
      <c r="A87" s="1109">
        <f t="shared" si="113"/>
        <v>82</v>
      </c>
      <c r="B87" s="10"/>
      <c r="C87" s="1033" t="s">
        <v>734</v>
      </c>
      <c r="E87" s="319">
        <v>13392</v>
      </c>
      <c r="F87" s="319">
        <v>16587</v>
      </c>
      <c r="G87" s="319">
        <v>16250</v>
      </c>
      <c r="H87" s="319">
        <v>16925</v>
      </c>
      <c r="I87" s="319">
        <v>18488</v>
      </c>
      <c r="J87" s="117">
        <v>18891</v>
      </c>
      <c r="K87" s="117">
        <v>21372</v>
      </c>
      <c r="L87" s="117">
        <v>22981</v>
      </c>
      <c r="M87" s="117">
        <v>23369</v>
      </c>
      <c r="N87" s="60">
        <f>M87</f>
        <v>23369</v>
      </c>
      <c r="O87" s="117">
        <v>22773</v>
      </c>
      <c r="P87" s="117">
        <v>23982</v>
      </c>
      <c r="Q87" s="117">
        <v>22591</v>
      </c>
      <c r="R87" s="117">
        <f>9165+24224</f>
        <v>33389</v>
      </c>
      <c r="S87" s="60">
        <f>R87</f>
        <v>33389</v>
      </c>
      <c r="T87" s="117">
        <v>24306</v>
      </c>
      <c r="U87" s="117">
        <v>25988</v>
      </c>
      <c r="V87" s="117">
        <v>26021</v>
      </c>
      <c r="W87" s="117">
        <f>9441+25059</f>
        <v>34500</v>
      </c>
      <c r="X87" s="60">
        <f>W87</f>
        <v>34500</v>
      </c>
      <c r="Y87" s="117">
        <v>29734</v>
      </c>
      <c r="Z87" s="117">
        <v>31509</v>
      </c>
      <c r="AA87" s="117">
        <v>31348</v>
      </c>
      <c r="AB87" s="117">
        <f>9148+29563</f>
        <v>38711</v>
      </c>
      <c r="AC87" s="60">
        <f>AB87</f>
        <v>38711</v>
      </c>
      <c r="AD87" s="117">
        <v>32877</v>
      </c>
      <c r="AE87" s="117">
        <v>35415</v>
      </c>
      <c r="AF87" s="117">
        <v>34568</v>
      </c>
      <c r="AG87" s="117">
        <v>29693</v>
      </c>
      <c r="AH87" s="60">
        <f>AG87</f>
        <v>29693</v>
      </c>
      <c r="AI87" s="117">
        <f>35807</f>
        <v>35807</v>
      </c>
      <c r="AJ87" s="117">
        <v>31285</v>
      </c>
      <c r="AK87" s="117">
        <v>27497</v>
      </c>
      <c r="AL87" s="117">
        <v>28829</v>
      </c>
      <c r="AM87" s="60">
        <f>AL87</f>
        <v>28829</v>
      </c>
      <c r="AN87" s="117">
        <v>30191</v>
      </c>
      <c r="AO87" s="117">
        <v>31828</v>
      </c>
      <c r="AP87" s="117">
        <v>29545</v>
      </c>
      <c r="AQ87" s="117">
        <v>27001</v>
      </c>
      <c r="AR87" s="60">
        <f>AQ87</f>
        <v>27001</v>
      </c>
      <c r="AS87" s="117">
        <v>27587</v>
      </c>
      <c r="AT87" s="117">
        <v>29406</v>
      </c>
      <c r="AU87" s="117">
        <v>29132</v>
      </c>
      <c r="AV87" s="117">
        <v>27672</v>
      </c>
      <c r="AW87" s="60">
        <f>AV87</f>
        <v>27672</v>
      </c>
      <c r="AX87" s="117">
        <v>26533</v>
      </c>
      <c r="AY87" s="117">
        <v>28471</v>
      </c>
      <c r="AZ87" s="117">
        <v>25036</v>
      </c>
      <c r="BA87" s="117">
        <v>29584</v>
      </c>
      <c r="BB87" s="60">
        <f>BA87</f>
        <v>29584</v>
      </c>
      <c r="BC87" s="117">
        <v>26516</v>
      </c>
      <c r="BD87" s="117">
        <v>28146</v>
      </c>
      <c r="BE87" s="117">
        <v>27638</v>
      </c>
      <c r="BF87" s="117">
        <v>18138</v>
      </c>
      <c r="BG87" s="60">
        <f>BF87</f>
        <v>18138</v>
      </c>
      <c r="BH87" s="117">
        <v>17642</v>
      </c>
      <c r="BI87" s="117">
        <v>18346</v>
      </c>
      <c r="BJ87" s="117">
        <v>18193</v>
      </c>
      <c r="BK87" s="117">
        <v>17065</v>
      </c>
      <c r="BL87" s="60">
        <f>BK87</f>
        <v>17065</v>
      </c>
      <c r="BM87" s="117">
        <v>15942</v>
      </c>
      <c r="BN87" s="117">
        <v>17012</v>
      </c>
      <c r="BO87" s="117">
        <v>15369</v>
      </c>
      <c r="BP87" s="117">
        <v>15003</v>
      </c>
      <c r="BQ87" s="60">
        <f>BP87</f>
        <v>15003</v>
      </c>
      <c r="BR87" s="117">
        <v>15159</v>
      </c>
      <c r="BS87" s="117">
        <v>15211</v>
      </c>
      <c r="BT87" s="117">
        <v>15060</v>
      </c>
      <c r="BU87" s="117">
        <v>15358</v>
      </c>
      <c r="BV87" s="60">
        <f>BU87</f>
        <v>15358</v>
      </c>
      <c r="BW87" s="161">
        <v>14528</v>
      </c>
      <c r="BX87" s="161">
        <v>15968</v>
      </c>
      <c r="BY87" s="161">
        <f>16419</f>
        <v>16419</v>
      </c>
      <c r="BZ87" s="161">
        <v>16537</v>
      </c>
      <c r="CA87" s="235">
        <f>BZ87</f>
        <v>16537</v>
      </c>
      <c r="CB87" s="161">
        <v>16438</v>
      </c>
      <c r="CC87" s="161">
        <v>18885</v>
      </c>
      <c r="CD87" s="161">
        <v>18254</v>
      </c>
      <c r="CE87" s="161">
        <v>17912</v>
      </c>
      <c r="CF87" s="235">
        <f>CE87</f>
        <v>17912</v>
      </c>
      <c r="CG87" s="161">
        <v>16745</v>
      </c>
      <c r="CH87" s="161">
        <v>18382</v>
      </c>
      <c r="CI87" s="154">
        <v>17509</v>
      </c>
      <c r="CJ87" s="161">
        <v>19089</v>
      </c>
      <c r="CK87" s="235">
        <f>CJ87</f>
        <v>19089</v>
      </c>
      <c r="CL87" s="161">
        <v>19307</v>
      </c>
      <c r="CM87" s="161">
        <v>21463</v>
      </c>
      <c r="CN87" s="161">
        <v>19531</v>
      </c>
      <c r="CO87" s="161">
        <v>19316</v>
      </c>
      <c r="CP87" s="235">
        <f>CO87</f>
        <v>19316</v>
      </c>
      <c r="CQ87" s="161">
        <v>18790</v>
      </c>
      <c r="CR87" s="161">
        <v>19958</v>
      </c>
      <c r="CS87" s="161">
        <v>19612</v>
      </c>
      <c r="CT87" s="161">
        <v>19697</v>
      </c>
      <c r="CU87" s="235">
        <f>CT87</f>
        <v>19697</v>
      </c>
      <c r="CV87" s="49">
        <f>CU87+CV151</f>
        <v>19697</v>
      </c>
      <c r="CW87" s="49">
        <f>CV87+CW151</f>
        <v>19697</v>
      </c>
      <c r="CX87" s="49">
        <f>CW87+CX151</f>
        <v>19697</v>
      </c>
      <c r="CY87" s="49">
        <f>CX87+CY151</f>
        <v>19697</v>
      </c>
      <c r="CZ87" s="235">
        <f>CY87</f>
        <v>19697</v>
      </c>
      <c r="DA87" s="87">
        <f>CZ87+DA151</f>
        <v>19697</v>
      </c>
      <c r="DB87" s="87">
        <f>DA87+DB151</f>
        <v>19697</v>
      </c>
      <c r="DC87" s="87">
        <f>DB87+DC151</f>
        <v>19697</v>
      </c>
      <c r="DD87" s="165"/>
      <c r="DE87" s="2"/>
      <c r="DF87" s="235">
        <f>CT87</f>
        <v>19697</v>
      </c>
      <c r="DG87" s="235">
        <v>19612</v>
      </c>
      <c r="DH87" s="235">
        <f>CO87</f>
        <v>19316</v>
      </c>
      <c r="DI87" s="454">
        <f>IF(ISERROR(DF87/DG87-1),"NM",DF87/DG87-1)</f>
        <v>4.3340811747909491E-3</v>
      </c>
      <c r="DJ87" s="454">
        <f>IF(ISERROR(DF87/DH87-1),"NM",DF87/DH87-1)</f>
        <v>1.972458065852134E-2</v>
      </c>
      <c r="DK87" s="2"/>
      <c r="DL87" s="2"/>
      <c r="DM87" s="2"/>
    </row>
    <row r="88" spans="1:117" ht="12" customHeight="1">
      <c r="A88" s="1109">
        <f t="shared" si="113"/>
        <v>83</v>
      </c>
      <c r="B88" s="10"/>
      <c r="C88" s="1033" t="s">
        <v>735</v>
      </c>
      <c r="E88" s="319">
        <v>1832</v>
      </c>
      <c r="F88" s="319">
        <v>1661</v>
      </c>
      <c r="G88" s="319">
        <v>1129</v>
      </c>
      <c r="H88" s="319">
        <v>1121</v>
      </c>
      <c r="I88" s="319">
        <v>1338</v>
      </c>
      <c r="J88" s="117">
        <v>1107</v>
      </c>
      <c r="K88" s="117">
        <v>862</v>
      </c>
      <c r="L88" s="117">
        <v>731</v>
      </c>
      <c r="M88" s="117">
        <v>277</v>
      </c>
      <c r="N88" s="60">
        <f>M88</f>
        <v>277</v>
      </c>
      <c r="O88" s="117">
        <v>249</v>
      </c>
      <c r="P88" s="117">
        <v>226</v>
      </c>
      <c r="Q88" s="117">
        <v>283</v>
      </c>
      <c r="R88" s="117">
        <v>302</v>
      </c>
      <c r="S88" s="60">
        <f>R88</f>
        <v>302</v>
      </c>
      <c r="T88" s="117">
        <v>235</v>
      </c>
      <c r="U88" s="117">
        <v>241</v>
      </c>
      <c r="V88" s="117">
        <v>209</v>
      </c>
      <c r="W88" s="117">
        <v>551</v>
      </c>
      <c r="X88" s="60">
        <f>W88</f>
        <v>551</v>
      </c>
      <c r="Y88" s="117">
        <v>329</v>
      </c>
      <c r="Z88" s="117">
        <v>479</v>
      </c>
      <c r="AA88" s="117">
        <v>976</v>
      </c>
      <c r="AB88" s="117">
        <v>1806</v>
      </c>
      <c r="AC88" s="60">
        <f>AB88</f>
        <v>1806</v>
      </c>
      <c r="AD88" s="117">
        <v>879</v>
      </c>
      <c r="AE88" s="117">
        <v>760</v>
      </c>
      <c r="AF88" s="117">
        <v>1004</v>
      </c>
      <c r="AG88" s="117">
        <v>977</v>
      </c>
      <c r="AH88" s="60">
        <f>AG88</f>
        <v>977</v>
      </c>
      <c r="AI88" s="117">
        <v>947</v>
      </c>
      <c r="AJ88" s="117">
        <v>1958</v>
      </c>
      <c r="AK88" s="117">
        <v>981</v>
      </c>
      <c r="AL88" s="117">
        <v>978</v>
      </c>
      <c r="AM88" s="60">
        <f>AL88</f>
        <v>978</v>
      </c>
      <c r="AN88" s="117">
        <v>1264</v>
      </c>
      <c r="AO88" s="117">
        <v>1269</v>
      </c>
      <c r="AP88" s="117">
        <v>1289</v>
      </c>
      <c r="AQ88" s="117">
        <v>1284</v>
      </c>
      <c r="AR88" s="60">
        <f>AQ88</f>
        <v>1284</v>
      </c>
      <c r="AS88" s="117">
        <v>1536</v>
      </c>
      <c r="AT88" s="117">
        <v>1598</v>
      </c>
      <c r="AU88" s="117">
        <v>1392</v>
      </c>
      <c r="AV88" s="117">
        <v>1175</v>
      </c>
      <c r="AW88" s="60">
        <f>AV88</f>
        <v>1175</v>
      </c>
      <c r="AX88" s="117">
        <v>1445</v>
      </c>
      <c r="AY88" s="117">
        <v>1432</v>
      </c>
      <c r="AZ88" s="117">
        <v>1282</v>
      </c>
      <c r="BA88" s="117">
        <v>1191</v>
      </c>
      <c r="BB88" s="60">
        <f>BA88</f>
        <v>1191</v>
      </c>
      <c r="BC88" s="117">
        <v>1428</v>
      </c>
      <c r="BD88" s="117">
        <v>1792</v>
      </c>
      <c r="BE88" s="117">
        <v>1635</v>
      </c>
      <c r="BF88" s="117">
        <v>1638</v>
      </c>
      <c r="BG88" s="60">
        <f>BF88</f>
        <v>1638</v>
      </c>
      <c r="BH88" s="117">
        <v>5009</v>
      </c>
      <c r="BI88" s="117">
        <v>1102</v>
      </c>
      <c r="BJ88" s="117">
        <v>1257</v>
      </c>
      <c r="BK88" s="117">
        <v>2049</v>
      </c>
      <c r="BL88" s="60">
        <f>BK88</f>
        <v>2049</v>
      </c>
      <c r="BM88" s="117">
        <v>2011</v>
      </c>
      <c r="BN88" s="117">
        <v>1055</v>
      </c>
      <c r="BO88" s="117">
        <v>916</v>
      </c>
      <c r="BP88" s="117">
        <v>1033</v>
      </c>
      <c r="BQ88" s="60">
        <f>BP88</f>
        <v>1033</v>
      </c>
      <c r="BR88" s="117">
        <v>1142</v>
      </c>
      <c r="BS88" s="117">
        <v>1297</v>
      </c>
      <c r="BT88" s="117">
        <v>1254</v>
      </c>
      <c r="BU88" s="117">
        <v>1386</v>
      </c>
      <c r="BV88" s="60">
        <f>BU88</f>
        <v>1386</v>
      </c>
      <c r="BW88" s="161">
        <v>1244</v>
      </c>
      <c r="BX88" s="161">
        <v>1175</v>
      </c>
      <c r="BY88" s="161">
        <f>1313</f>
        <v>1313</v>
      </c>
      <c r="BZ88" s="161">
        <v>1257</v>
      </c>
      <c r="CA88" s="235">
        <f>BZ88</f>
        <v>1257</v>
      </c>
      <c r="CB88" s="161">
        <v>2086</v>
      </c>
      <c r="CC88" s="161">
        <v>2161</v>
      </c>
      <c r="CD88" s="161">
        <v>2727</v>
      </c>
      <c r="CE88" s="161">
        <v>2501</v>
      </c>
      <c r="CF88" s="235">
        <f>CE88</f>
        <v>2501</v>
      </c>
      <c r="CG88" s="161">
        <v>1986</v>
      </c>
      <c r="CH88" s="161">
        <v>2188</v>
      </c>
      <c r="CI88" s="154">
        <v>1590</v>
      </c>
      <c r="CJ88" s="161">
        <v>1779</v>
      </c>
      <c r="CK88" s="235">
        <f>CJ88</f>
        <v>1779</v>
      </c>
      <c r="CL88" s="161">
        <v>1941</v>
      </c>
      <c r="CM88" s="161">
        <v>2417</v>
      </c>
      <c r="CN88" s="161">
        <v>2472</v>
      </c>
      <c r="CO88" s="161">
        <v>2685</v>
      </c>
      <c r="CP88" s="235">
        <f>CO88</f>
        <v>2685</v>
      </c>
      <c r="CQ88" s="161">
        <v>3100</v>
      </c>
      <c r="CR88" s="161">
        <v>2911</v>
      </c>
      <c r="CS88" s="161">
        <v>3551</v>
      </c>
      <c r="CT88" s="161">
        <v>3356</v>
      </c>
      <c r="CU88" s="235">
        <f>CT88</f>
        <v>3356</v>
      </c>
      <c r="CV88" s="49">
        <f t="shared" ref="CV88:CY89" si="142">CU88</f>
        <v>3356</v>
      </c>
      <c r="CW88" s="49">
        <f t="shared" si="142"/>
        <v>3356</v>
      </c>
      <c r="CX88" s="49">
        <f t="shared" si="142"/>
        <v>3356</v>
      </c>
      <c r="CY88" s="49">
        <f t="shared" si="142"/>
        <v>3356</v>
      </c>
      <c r="CZ88" s="235">
        <f>CY88</f>
        <v>3356</v>
      </c>
      <c r="DA88" s="87">
        <f t="shared" ref="DA88:DC89" si="143">CZ88</f>
        <v>3356</v>
      </c>
      <c r="DB88" s="87">
        <f t="shared" si="143"/>
        <v>3356</v>
      </c>
      <c r="DC88" s="87">
        <f t="shared" si="143"/>
        <v>3356</v>
      </c>
      <c r="DD88" s="165"/>
      <c r="DE88" s="2"/>
      <c r="DF88" s="235">
        <f>CT88</f>
        <v>3356</v>
      </c>
      <c r="DG88" s="235">
        <v>3551</v>
      </c>
      <c r="DH88" s="235">
        <f>CO88</f>
        <v>2685</v>
      </c>
      <c r="DI88" s="454">
        <f>IF(ISERROR(DF88/DG88-1),"NM",DF88/DG88-1)</f>
        <v>-5.4914108701774156E-2</v>
      </c>
      <c r="DJ88" s="454">
        <f>IF(ISERROR(DF88/DH88-1),"NM",DF88/DH88-1)</f>
        <v>0.24990689013035383</v>
      </c>
      <c r="DK88" s="2"/>
      <c r="DL88" s="2"/>
      <c r="DM88" s="2"/>
    </row>
    <row r="89" spans="1:117" ht="12" customHeight="1">
      <c r="A89" s="1109">
        <f t="shared" si="113"/>
        <v>84</v>
      </c>
      <c r="B89" s="10"/>
      <c r="C89" s="1079" t="s">
        <v>736</v>
      </c>
      <c r="D89" s="91"/>
      <c r="E89" s="320">
        <v>73058</v>
      </c>
      <c r="F89" s="320">
        <v>79564</v>
      </c>
      <c r="G89" s="320">
        <v>86873</v>
      </c>
      <c r="H89" s="320">
        <v>66856</v>
      </c>
      <c r="I89" s="320">
        <v>72402</v>
      </c>
      <c r="J89" s="138">
        <v>0</v>
      </c>
      <c r="K89" s="138">
        <v>0</v>
      </c>
      <c r="L89" s="138">
        <v>0</v>
      </c>
      <c r="M89" s="138">
        <v>66392</v>
      </c>
      <c r="N89" s="93">
        <f>M89</f>
        <v>66392</v>
      </c>
      <c r="O89" s="138">
        <v>0</v>
      </c>
      <c r="P89" s="138">
        <v>0</v>
      </c>
      <c r="Q89" s="138">
        <v>0</v>
      </c>
      <c r="R89" s="138">
        <v>46003</v>
      </c>
      <c r="S89" s="93">
        <f>R89</f>
        <v>46003</v>
      </c>
      <c r="T89" s="138">
        <v>0</v>
      </c>
      <c r="U89" s="138">
        <v>0</v>
      </c>
      <c r="V89" s="138">
        <v>0</v>
      </c>
      <c r="W89" s="138">
        <v>41529</v>
      </c>
      <c r="X89" s="93">
        <f>W89</f>
        <v>41529</v>
      </c>
      <c r="Y89" s="138">
        <v>0</v>
      </c>
      <c r="Z89" s="138">
        <v>0</v>
      </c>
      <c r="AA89" s="138">
        <v>0</v>
      </c>
      <c r="AB89" s="138">
        <v>58247</v>
      </c>
      <c r="AC89" s="93">
        <f>AB89</f>
        <v>58247</v>
      </c>
      <c r="AD89" s="138">
        <v>0</v>
      </c>
      <c r="AE89" s="138">
        <v>0</v>
      </c>
      <c r="AF89" s="138">
        <v>0</v>
      </c>
      <c r="AG89" s="138">
        <f>32118+30086+624</f>
        <v>62828</v>
      </c>
      <c r="AH89" s="93">
        <f>AG89</f>
        <v>62828</v>
      </c>
      <c r="AI89" s="138">
        <v>0</v>
      </c>
      <c r="AJ89" s="138">
        <v>0</v>
      </c>
      <c r="AK89" s="138">
        <v>0</v>
      </c>
      <c r="AL89" s="138">
        <f>32320+21460+5357</f>
        <v>59137</v>
      </c>
      <c r="AM89" s="93">
        <f>AL89</f>
        <v>59137</v>
      </c>
      <c r="AN89" s="138">
        <v>0</v>
      </c>
      <c r="AO89" s="138">
        <v>0</v>
      </c>
      <c r="AP89" s="138">
        <v>0</v>
      </c>
      <c r="AQ89" s="138">
        <f>26177+17450+17330</f>
        <v>60957</v>
      </c>
      <c r="AR89" s="93">
        <f>AQ89</f>
        <v>60957</v>
      </c>
      <c r="AS89" s="138">
        <v>0</v>
      </c>
      <c r="AT89" s="138">
        <v>0</v>
      </c>
      <c r="AU89" s="138">
        <v>0</v>
      </c>
      <c r="AV89" s="138">
        <f>26368+12656+21108</f>
        <v>60132</v>
      </c>
      <c r="AW89" s="93">
        <f>AV89</f>
        <v>60132</v>
      </c>
      <c r="AX89" s="138">
        <v>0</v>
      </c>
      <c r="AY89" s="138">
        <v>0</v>
      </c>
      <c r="AZ89" s="138">
        <v>0</v>
      </c>
      <c r="BA89" s="138">
        <f>20568+15712+26501</f>
        <v>62781</v>
      </c>
      <c r="BB89" s="93">
        <f>BA89</f>
        <v>62781</v>
      </c>
      <c r="BC89" s="138">
        <f>16287+12602+24696</f>
        <v>53585</v>
      </c>
      <c r="BD89" s="138">
        <f>14772+12600+22827</f>
        <v>50199</v>
      </c>
      <c r="BE89" s="138">
        <f>15898+11608+21503</f>
        <v>49009</v>
      </c>
      <c r="BF89" s="138">
        <f>15619+7338+18962</f>
        <v>41919</v>
      </c>
      <c r="BG89" s="93">
        <f>BF89</f>
        <v>41919</v>
      </c>
      <c r="BH89" s="138">
        <f>14128+8825+19652</f>
        <v>42605</v>
      </c>
      <c r="BI89" s="138">
        <f>14431+6832+19328</f>
        <v>40591</v>
      </c>
      <c r="BJ89" s="138">
        <f>14511+6641+18472</f>
        <v>39624</v>
      </c>
      <c r="BK89" s="138">
        <f>13407+9524+16684</f>
        <v>39615</v>
      </c>
      <c r="BL89" s="93">
        <f>BK89</f>
        <v>39615</v>
      </c>
      <c r="BM89" s="138">
        <f>14151+9888+15383</f>
        <v>39422</v>
      </c>
      <c r="BN89" s="138">
        <f>14418+9383+14197</f>
        <v>37998</v>
      </c>
      <c r="BO89" s="138">
        <f>15644+9383+13726</f>
        <v>38753</v>
      </c>
      <c r="BP89" s="138">
        <f>16596+6144+16538</f>
        <v>39278</v>
      </c>
      <c r="BQ89" s="93">
        <f>BP89</f>
        <v>39278</v>
      </c>
      <c r="BR89" s="138">
        <f>15030+4670+17082</f>
        <v>36782</v>
      </c>
      <c r="BS89" s="138">
        <f>13640+4245+14777</f>
        <v>32662</v>
      </c>
      <c r="BT89" s="138">
        <f>14523+3296+14829</f>
        <v>32648</v>
      </c>
      <c r="BU89" s="138">
        <f>17745+13801+5830</f>
        <v>37376</v>
      </c>
      <c r="BV89" s="93">
        <f>BU89</f>
        <v>37376</v>
      </c>
      <c r="BW89" s="244">
        <f>16481+5048+16774</f>
        <v>38303</v>
      </c>
      <c r="BX89" s="244">
        <f>13734+6411+16558</f>
        <v>36703</v>
      </c>
      <c r="BY89" s="244">
        <f>14646+5743+16729</f>
        <v>37118</v>
      </c>
      <c r="BZ89" s="244">
        <f>14994+4475+17337</f>
        <v>36806</v>
      </c>
      <c r="CA89" s="245">
        <f>BZ89</f>
        <v>36806</v>
      </c>
      <c r="CB89" s="244">
        <f>13802+5575+17425</f>
        <v>36802</v>
      </c>
      <c r="CC89" s="244">
        <f>11608+8363+17792</f>
        <v>37763</v>
      </c>
      <c r="CD89" s="244">
        <f>14994+4475+17337</f>
        <v>36806</v>
      </c>
      <c r="CE89" s="244">
        <f>11138+8795+16738</f>
        <v>36671</v>
      </c>
      <c r="CF89" s="245">
        <f>CE89</f>
        <v>36671</v>
      </c>
      <c r="CG89" s="244">
        <f>11506+7644+17567</f>
        <v>36717</v>
      </c>
      <c r="CH89" s="244">
        <f>11262+8535+17354</f>
        <v>37151</v>
      </c>
      <c r="CI89" s="159">
        <f>11501+7885+18462</f>
        <v>37848</v>
      </c>
      <c r="CJ89" s="244">
        <v>41196</v>
      </c>
      <c r="CK89" s="245">
        <f>CJ89</f>
        <v>41196</v>
      </c>
      <c r="CL89" s="244">
        <f>11914+13655+20231</f>
        <v>45800</v>
      </c>
      <c r="CM89" s="244">
        <v>42444</v>
      </c>
      <c r="CN89" s="244">
        <v>44801</v>
      </c>
      <c r="CO89" s="244">
        <v>46984</v>
      </c>
      <c r="CP89" s="245">
        <f>CO89</f>
        <v>46984</v>
      </c>
      <c r="CQ89" s="244">
        <v>46157</v>
      </c>
      <c r="CR89" s="244">
        <v>47862</v>
      </c>
      <c r="CS89" s="244">
        <v>47623</v>
      </c>
      <c r="CT89" s="244">
        <v>48265</v>
      </c>
      <c r="CU89" s="245">
        <f>CT89</f>
        <v>48265</v>
      </c>
      <c r="CV89" s="95">
        <f t="shared" si="142"/>
        <v>48265</v>
      </c>
      <c r="CW89" s="95">
        <f t="shared" si="142"/>
        <v>48265</v>
      </c>
      <c r="CX89" s="95">
        <f t="shared" si="142"/>
        <v>48265</v>
      </c>
      <c r="CY89" s="95">
        <f t="shared" si="142"/>
        <v>48265</v>
      </c>
      <c r="CZ89" s="245">
        <f>CY89</f>
        <v>48265</v>
      </c>
      <c r="DA89" s="96">
        <f t="shared" si="143"/>
        <v>48265</v>
      </c>
      <c r="DB89" s="96">
        <f t="shared" si="143"/>
        <v>48265</v>
      </c>
      <c r="DC89" s="96">
        <f t="shared" si="143"/>
        <v>48265</v>
      </c>
      <c r="DD89" s="165"/>
      <c r="DE89" s="2"/>
      <c r="DF89" s="245">
        <f>CT89</f>
        <v>48265</v>
      </c>
      <c r="DG89" s="245">
        <v>47623</v>
      </c>
      <c r="DH89" s="245">
        <f>CO89</f>
        <v>46984</v>
      </c>
      <c r="DI89" s="459">
        <f>IF(ISERROR(DF89/DG89-1),"NM",DF89/DG89-1)</f>
        <v>1.3480881086869845E-2</v>
      </c>
      <c r="DJ89" s="459">
        <f>IF(ISERROR(DF89/DH89-1),"NM",DF89/DH89-1)</f>
        <v>2.7264600715137144E-2</v>
      </c>
      <c r="DK89" s="2"/>
      <c r="DL89" s="2"/>
      <c r="DM89" s="2"/>
    </row>
    <row r="90" spans="1:117" ht="12" customHeight="1">
      <c r="A90" s="1109">
        <f t="shared" si="113"/>
        <v>85</v>
      </c>
      <c r="B90" s="10"/>
      <c r="C90" s="1059" t="s">
        <v>38</v>
      </c>
      <c r="D90" s="2"/>
      <c r="E90" s="61">
        <f t="shared" ref="E90:BP90" si="144">SUM(E86:E89)</f>
        <v>107510</v>
      </c>
      <c r="F90" s="61">
        <f t="shared" si="144"/>
        <v>117429</v>
      </c>
      <c r="G90" s="61">
        <f t="shared" si="144"/>
        <v>125119</v>
      </c>
      <c r="H90" s="61">
        <f t="shared" si="144"/>
        <v>106054</v>
      </c>
      <c r="I90" s="61">
        <f t="shared" si="144"/>
        <v>117861</v>
      </c>
      <c r="J90" s="114">
        <f t="shared" si="144"/>
        <v>45924</v>
      </c>
      <c r="K90" s="114">
        <f t="shared" si="144"/>
        <v>50170</v>
      </c>
      <c r="L90" s="114">
        <f t="shared" si="144"/>
        <v>49259</v>
      </c>
      <c r="M90" s="46">
        <f t="shared" si="144"/>
        <v>116457</v>
      </c>
      <c r="N90" s="61">
        <f t="shared" si="144"/>
        <v>116457</v>
      </c>
      <c r="O90" s="114">
        <f t="shared" si="144"/>
        <v>51438</v>
      </c>
      <c r="P90" s="114">
        <f t="shared" si="144"/>
        <v>52824</v>
      </c>
      <c r="Q90" s="114">
        <f t="shared" si="144"/>
        <v>48859</v>
      </c>
      <c r="R90" s="46">
        <f t="shared" si="144"/>
        <v>101022</v>
      </c>
      <c r="S90" s="61">
        <f t="shared" si="144"/>
        <v>101022</v>
      </c>
      <c r="T90" s="114">
        <f t="shared" si="144"/>
        <v>51440</v>
      </c>
      <c r="U90" s="114">
        <f t="shared" si="144"/>
        <v>53155</v>
      </c>
      <c r="V90" s="114">
        <f t="shared" si="144"/>
        <v>51106</v>
      </c>
      <c r="W90" s="46">
        <f t="shared" si="144"/>
        <v>95516</v>
      </c>
      <c r="X90" s="61">
        <f t="shared" si="144"/>
        <v>95516</v>
      </c>
      <c r="Y90" s="114">
        <f t="shared" si="144"/>
        <v>50543</v>
      </c>
      <c r="Z90" s="114">
        <f t="shared" si="144"/>
        <v>53820</v>
      </c>
      <c r="AA90" s="114">
        <f t="shared" si="144"/>
        <v>53066</v>
      </c>
      <c r="AB90" s="46">
        <f t="shared" si="144"/>
        <v>119171</v>
      </c>
      <c r="AC90" s="61">
        <f t="shared" si="144"/>
        <v>119171</v>
      </c>
      <c r="AD90" s="114">
        <f t="shared" si="144"/>
        <v>60301</v>
      </c>
      <c r="AE90" s="114">
        <f t="shared" si="144"/>
        <v>58054</v>
      </c>
      <c r="AF90" s="114">
        <f t="shared" si="144"/>
        <v>57971</v>
      </c>
      <c r="AG90" s="46">
        <f t="shared" si="144"/>
        <v>115528</v>
      </c>
      <c r="AH90" s="61">
        <f t="shared" si="144"/>
        <v>115528</v>
      </c>
      <c r="AI90" s="114">
        <f t="shared" si="144"/>
        <v>60923</v>
      </c>
      <c r="AJ90" s="114">
        <f t="shared" si="144"/>
        <v>57096</v>
      </c>
      <c r="AK90" s="114">
        <f t="shared" si="144"/>
        <v>51469</v>
      </c>
      <c r="AL90" s="46">
        <f t="shared" si="144"/>
        <v>111854</v>
      </c>
      <c r="AM90" s="61">
        <f t="shared" si="144"/>
        <v>111854</v>
      </c>
      <c r="AN90" s="114">
        <f t="shared" si="144"/>
        <v>55460</v>
      </c>
      <c r="AO90" s="114">
        <f t="shared" si="144"/>
        <v>56771</v>
      </c>
      <c r="AP90" s="114">
        <f t="shared" si="144"/>
        <v>53572</v>
      </c>
      <c r="AQ90" s="46">
        <f t="shared" si="144"/>
        <v>110456</v>
      </c>
      <c r="AR90" s="61">
        <f t="shared" si="144"/>
        <v>110456</v>
      </c>
      <c r="AS90" s="114">
        <f t="shared" si="144"/>
        <v>53603</v>
      </c>
      <c r="AT90" s="114">
        <f t="shared" si="144"/>
        <v>56499</v>
      </c>
      <c r="AU90" s="114">
        <f t="shared" si="144"/>
        <v>56422</v>
      </c>
      <c r="AV90" s="46">
        <f t="shared" si="144"/>
        <v>109811</v>
      </c>
      <c r="AW90" s="61">
        <f t="shared" si="144"/>
        <v>109811</v>
      </c>
      <c r="AX90" s="114">
        <f t="shared" si="144"/>
        <v>51942</v>
      </c>
      <c r="AY90" s="114">
        <f t="shared" si="144"/>
        <v>54119</v>
      </c>
      <c r="AZ90" s="114">
        <f t="shared" si="144"/>
        <v>46676</v>
      </c>
      <c r="BA90" s="46">
        <f t="shared" si="144"/>
        <v>106701</v>
      </c>
      <c r="BB90" s="61">
        <f t="shared" si="144"/>
        <v>106701</v>
      </c>
      <c r="BC90" s="114">
        <f t="shared" si="144"/>
        <v>94411</v>
      </c>
      <c r="BD90" s="114">
        <f t="shared" si="144"/>
        <v>94108</v>
      </c>
      <c r="BE90" s="114">
        <f t="shared" si="144"/>
        <v>93491</v>
      </c>
      <c r="BF90" s="46">
        <f t="shared" si="144"/>
        <v>75996</v>
      </c>
      <c r="BG90" s="61">
        <f t="shared" si="144"/>
        <v>75996</v>
      </c>
      <c r="BH90" s="114">
        <f t="shared" si="144"/>
        <v>80867</v>
      </c>
      <c r="BI90" s="114">
        <f t="shared" si="144"/>
        <v>76015</v>
      </c>
      <c r="BJ90" s="114">
        <f t="shared" si="144"/>
        <v>76448</v>
      </c>
      <c r="BK90" s="46">
        <f t="shared" si="144"/>
        <v>75091</v>
      </c>
      <c r="BL90" s="61">
        <f t="shared" si="144"/>
        <v>75091</v>
      </c>
      <c r="BM90" s="114">
        <f t="shared" si="144"/>
        <v>77359</v>
      </c>
      <c r="BN90" s="114">
        <f t="shared" si="144"/>
        <v>75489</v>
      </c>
      <c r="BO90" s="114">
        <f t="shared" si="144"/>
        <v>73962</v>
      </c>
      <c r="BP90" s="46">
        <f t="shared" si="144"/>
        <v>73038</v>
      </c>
      <c r="BQ90" s="61">
        <f t="shared" ref="BQ90:CP90" si="145">SUM(BQ86:BQ89)</f>
        <v>73038</v>
      </c>
      <c r="BR90" s="114">
        <f t="shared" si="145"/>
        <v>72721</v>
      </c>
      <c r="BS90" s="114">
        <f t="shared" si="145"/>
        <v>68831</v>
      </c>
      <c r="BT90" s="114">
        <f t="shared" si="145"/>
        <v>69755</v>
      </c>
      <c r="BU90" s="46">
        <f t="shared" si="145"/>
        <v>73428</v>
      </c>
      <c r="BV90" s="61">
        <f t="shared" si="145"/>
        <v>73428</v>
      </c>
      <c r="BW90" s="238">
        <f t="shared" si="145"/>
        <v>74675</v>
      </c>
      <c r="BX90" s="238">
        <f t="shared" si="145"/>
        <v>74807</v>
      </c>
      <c r="BY90" s="238">
        <f t="shared" si="145"/>
        <v>76490</v>
      </c>
      <c r="BZ90" s="173">
        <f t="shared" si="145"/>
        <v>74131</v>
      </c>
      <c r="CA90" s="237">
        <f t="shared" si="145"/>
        <v>74131</v>
      </c>
      <c r="CB90" s="238">
        <f t="shared" si="145"/>
        <v>77535</v>
      </c>
      <c r="CC90" s="238">
        <f t="shared" si="145"/>
        <v>80871</v>
      </c>
      <c r="CD90" s="238">
        <f t="shared" si="145"/>
        <v>78942</v>
      </c>
      <c r="CE90" s="173">
        <f t="shared" si="145"/>
        <v>77119</v>
      </c>
      <c r="CF90" s="237">
        <f t="shared" si="145"/>
        <v>77119</v>
      </c>
      <c r="CG90" s="238">
        <f t="shared" si="145"/>
        <v>77814</v>
      </c>
      <c r="CH90" s="238">
        <f t="shared" si="145"/>
        <v>79565</v>
      </c>
      <c r="CI90" s="155">
        <f t="shared" si="145"/>
        <v>79333</v>
      </c>
      <c r="CJ90" s="173">
        <f t="shared" si="145"/>
        <v>82336</v>
      </c>
      <c r="CK90" s="237">
        <f t="shared" si="145"/>
        <v>82336</v>
      </c>
      <c r="CL90" s="238">
        <f t="shared" si="145"/>
        <v>89120</v>
      </c>
      <c r="CM90" s="238">
        <f t="shared" si="145"/>
        <v>89408</v>
      </c>
      <c r="CN90" s="238">
        <f t="shared" si="145"/>
        <v>89188</v>
      </c>
      <c r="CO90" s="173">
        <f t="shared" si="145"/>
        <v>90281</v>
      </c>
      <c r="CP90" s="237">
        <f t="shared" si="145"/>
        <v>90281</v>
      </c>
      <c r="CQ90" s="173">
        <f t="shared" ref="CQ90:DC90" si="146">SUM(CQ86:CQ89)</f>
        <v>91304</v>
      </c>
      <c r="CR90" s="49">
        <f t="shared" si="146"/>
        <v>94299</v>
      </c>
      <c r="CS90" s="49">
        <f t="shared" si="146"/>
        <v>94352</v>
      </c>
      <c r="CT90" s="49">
        <f t="shared" si="146"/>
        <v>94600</v>
      </c>
      <c r="CU90" s="237">
        <f t="shared" si="146"/>
        <v>94600</v>
      </c>
      <c r="CV90" s="49">
        <f t="shared" si="146"/>
        <v>94632.754234831868</v>
      </c>
      <c r="CW90" s="49">
        <f t="shared" si="146"/>
        <v>94662.949730698572</v>
      </c>
      <c r="CX90" s="49">
        <f t="shared" si="146"/>
        <v>94724.626774633871</v>
      </c>
      <c r="CY90" s="49">
        <f t="shared" si="146"/>
        <v>94786.536748462779</v>
      </c>
      <c r="CZ90" s="237">
        <f t="shared" si="146"/>
        <v>94786.536748462779</v>
      </c>
      <c r="DA90" s="87">
        <f t="shared" si="146"/>
        <v>95483.959297052745</v>
      </c>
      <c r="DB90" s="87">
        <f t="shared" si="146"/>
        <v>96184.947304526067</v>
      </c>
      <c r="DC90" s="87">
        <f t="shared" si="146"/>
        <v>96836.874947017423</v>
      </c>
      <c r="DD90" s="165"/>
      <c r="DE90" s="2"/>
      <c r="DF90" s="237">
        <f>CT90</f>
        <v>94600</v>
      </c>
      <c r="DG90" s="237">
        <v>94307.148536248249</v>
      </c>
      <c r="DH90" s="237">
        <f>CO90</f>
        <v>90281</v>
      </c>
      <c r="DI90" s="450">
        <f>IF(ISERROR(DF90/DG90-1),"NM",DF90/DG90-1)</f>
        <v>3.1052944373479718E-3</v>
      </c>
      <c r="DJ90" s="450">
        <f>IF(ISERROR(DF90/DH90-1),"NM",DF90/DH90-1)</f>
        <v>4.783952326624652E-2</v>
      </c>
      <c r="DK90" s="2"/>
      <c r="DL90" s="2"/>
      <c r="DM90" s="2"/>
    </row>
    <row r="91" spans="1:117" ht="12" customHeight="1">
      <c r="A91" s="1109">
        <f t="shared" si="113"/>
        <v>86</v>
      </c>
      <c r="B91" s="10"/>
      <c r="C91" s="2"/>
      <c r="D91" s="2"/>
      <c r="E91" s="322"/>
      <c r="F91" s="322"/>
      <c r="G91" s="322"/>
      <c r="H91" s="322"/>
      <c r="I91" s="322"/>
      <c r="J91" s="26"/>
      <c r="K91" s="26"/>
      <c r="L91" s="26"/>
      <c r="M91" s="26"/>
      <c r="N91" s="68"/>
      <c r="O91" s="26"/>
      <c r="P91" s="26"/>
      <c r="Q91" s="26"/>
      <c r="R91" s="26"/>
      <c r="S91" s="68"/>
      <c r="T91" s="26"/>
      <c r="U91" s="26"/>
      <c r="V91" s="26"/>
      <c r="W91" s="26"/>
      <c r="X91" s="68"/>
      <c r="Y91" s="26"/>
      <c r="Z91" s="26"/>
      <c r="AA91" s="26"/>
      <c r="AB91" s="26"/>
      <c r="AC91" s="68"/>
      <c r="AD91" s="26"/>
      <c r="AE91" s="26"/>
      <c r="AF91" s="26"/>
      <c r="AG91" s="26"/>
      <c r="AH91" s="68"/>
      <c r="AI91" s="26"/>
      <c r="AJ91" s="26"/>
      <c r="AK91" s="26"/>
      <c r="AL91" s="26"/>
      <c r="AM91" s="68"/>
      <c r="AN91" s="26"/>
      <c r="AO91" s="26"/>
      <c r="AP91" s="26"/>
      <c r="AQ91" s="26"/>
      <c r="AR91" s="68"/>
      <c r="AS91" s="26"/>
      <c r="AT91" s="26"/>
      <c r="AU91" s="26"/>
      <c r="AV91" s="26"/>
      <c r="AW91" s="68"/>
      <c r="AX91" s="26"/>
      <c r="AY91" s="26"/>
      <c r="AZ91" s="26"/>
      <c r="BA91" s="26"/>
      <c r="BB91" s="68"/>
      <c r="BC91" s="26"/>
      <c r="BD91" s="26"/>
      <c r="BE91" s="26"/>
      <c r="BF91" s="26"/>
      <c r="BG91" s="68"/>
      <c r="BH91" s="26"/>
      <c r="BI91" s="26"/>
      <c r="BJ91" s="26"/>
      <c r="BK91" s="26"/>
      <c r="BL91" s="68"/>
      <c r="BM91" s="26"/>
      <c r="BN91" s="26"/>
      <c r="BO91" s="26"/>
      <c r="BP91" s="26"/>
      <c r="BQ91" s="68"/>
      <c r="BR91" s="26"/>
      <c r="BS91" s="26"/>
      <c r="BT91" s="26"/>
      <c r="BU91" s="26"/>
      <c r="BV91" s="68"/>
      <c r="BW91" s="247"/>
      <c r="BX91" s="247"/>
      <c r="BY91" s="247"/>
      <c r="BZ91" s="247"/>
      <c r="CA91" s="68"/>
      <c r="CB91" s="247"/>
      <c r="CC91" s="247"/>
      <c r="CD91" s="247"/>
      <c r="CE91" s="247"/>
      <c r="CF91" s="68"/>
      <c r="CG91" s="247"/>
      <c r="CH91" s="247"/>
      <c r="CI91" s="27"/>
      <c r="CJ91" s="247"/>
      <c r="CK91" s="68"/>
      <c r="CL91" s="247"/>
      <c r="CM91" s="247"/>
      <c r="CN91" s="247"/>
      <c r="CO91" s="247"/>
      <c r="CP91" s="68"/>
      <c r="CQ91" s="247"/>
      <c r="CR91" s="27"/>
      <c r="CS91" s="27"/>
      <c r="CT91" s="27"/>
      <c r="CU91" s="68"/>
      <c r="CV91" s="27"/>
      <c r="CW91" s="27"/>
      <c r="CX91" s="27"/>
      <c r="CY91" s="27"/>
      <c r="CZ91" s="68"/>
      <c r="DA91" s="294"/>
      <c r="DB91" s="294"/>
      <c r="DC91" s="294"/>
      <c r="DD91" s="165"/>
      <c r="DE91" s="2"/>
      <c r="DF91" s="68"/>
      <c r="DG91" s="68"/>
      <c r="DH91" s="68"/>
      <c r="DI91" s="454"/>
      <c r="DJ91" s="454"/>
      <c r="DK91" s="2"/>
      <c r="DL91" s="2"/>
      <c r="DM91" s="2"/>
    </row>
    <row r="92" spans="1:117" ht="12" customHeight="1">
      <c r="A92" s="1109">
        <f t="shared" si="113"/>
        <v>87</v>
      </c>
      <c r="B92" s="10"/>
      <c r="C92" s="2" t="s">
        <v>734</v>
      </c>
      <c r="D92" s="2"/>
      <c r="E92" s="319">
        <f>25677+6116</f>
        <v>31793</v>
      </c>
      <c r="F92" s="319">
        <f>26793+8504</f>
        <v>35297</v>
      </c>
      <c r="G92" s="319">
        <f>28899+7865</f>
        <v>36764</v>
      </c>
      <c r="H92" s="319">
        <f>30133+6034+818</f>
        <v>36985</v>
      </c>
      <c r="I92" s="319">
        <f>29283+6775+1835</f>
        <v>37893</v>
      </c>
      <c r="J92" s="117">
        <f>29444+6512+2283</f>
        <v>38239</v>
      </c>
      <c r="K92" s="117">
        <f>31906+6916+2445</f>
        <v>41267</v>
      </c>
      <c r="L92" s="117">
        <f>31987+7624+3623</f>
        <v>43234</v>
      </c>
      <c r="M92" s="117">
        <f>29610+7486+2637</f>
        <v>39733</v>
      </c>
      <c r="N92" s="60">
        <f>M92</f>
        <v>39733</v>
      </c>
      <c r="O92" s="117">
        <f>30895+6837+2637</f>
        <v>40369</v>
      </c>
      <c r="P92" s="117">
        <f>30535+7249+1487</f>
        <v>39271</v>
      </c>
      <c r="Q92" s="117">
        <f>31032+6951+1815</f>
        <v>39798</v>
      </c>
      <c r="R92" s="117">
        <f>39812-9165+923</f>
        <v>31570</v>
      </c>
      <c r="S92" s="60">
        <f>R92</f>
        <v>31570</v>
      </c>
      <c r="T92" s="117">
        <f>33281+7308+1349</f>
        <v>41938</v>
      </c>
      <c r="U92" s="117">
        <f>35222+9254+1939</f>
        <v>46415</v>
      </c>
      <c r="V92" s="117">
        <f>35865+8403+1904</f>
        <v>46172</v>
      </c>
      <c r="W92" s="117">
        <f>56270-9441+1074</f>
        <v>47903</v>
      </c>
      <c r="X92" s="60">
        <f>W92</f>
        <v>47903</v>
      </c>
      <c r="Y92" s="117">
        <f>27276+55697-Y87+89</f>
        <v>53328</v>
      </c>
      <c r="Z92" s="117">
        <f>29117+57547-Z87+27</f>
        <v>55182</v>
      </c>
      <c r="AA92" s="117">
        <f>29113+56922-AA87+24</f>
        <v>54711</v>
      </c>
      <c r="AB92" s="117">
        <f>48639-9148+235</f>
        <v>39726</v>
      </c>
      <c r="AC92" s="60">
        <f>AB92</f>
        <v>39726</v>
      </c>
      <c r="AD92" s="117">
        <f>29781+52655-AD87+145</f>
        <v>49704</v>
      </c>
      <c r="AE92" s="117">
        <f>32773+51566-AE87+112</f>
        <v>49036</v>
      </c>
      <c r="AF92" s="117">
        <f>31849+49714-AF87+69</f>
        <v>47064</v>
      </c>
      <c r="AG92" s="117">
        <f>73614-AG87+11477</f>
        <v>55398</v>
      </c>
      <c r="AH92" s="60">
        <f>AG92</f>
        <v>55398</v>
      </c>
      <c r="AI92" s="117">
        <f>43226+31392-AI87+159</f>
        <v>38970</v>
      </c>
      <c r="AJ92" s="117">
        <f>73911-AJ87+15</f>
        <v>42641</v>
      </c>
      <c r="AK92" s="117">
        <f>71382-AK87+12522</f>
        <v>56407</v>
      </c>
      <c r="AL92" s="117">
        <f>73047-AL87</f>
        <v>44218</v>
      </c>
      <c r="AM92" s="60">
        <f>AL92</f>
        <v>44218</v>
      </c>
      <c r="AN92" s="117">
        <f>75512-AN87</f>
        <v>45321</v>
      </c>
      <c r="AO92" s="117">
        <f>78558-AO87</f>
        <v>46730</v>
      </c>
      <c r="AP92" s="117">
        <f>77365-AP87</f>
        <v>47820</v>
      </c>
      <c r="AQ92" s="117">
        <f>80058-AQ87+5654</f>
        <v>58711</v>
      </c>
      <c r="AR92" s="60">
        <f>AQ92</f>
        <v>58711</v>
      </c>
      <c r="AS92" s="117">
        <f>79618-AS87+249</f>
        <v>52280</v>
      </c>
      <c r="AT92" s="117">
        <f>80971-AT87+14</f>
        <v>51579</v>
      </c>
      <c r="AU92" s="117">
        <f>81330-AU87</f>
        <v>52198</v>
      </c>
      <c r="AV92" s="117">
        <f>74738-AV87+4824</f>
        <v>51890</v>
      </c>
      <c r="AW92" s="60">
        <f>AV92</f>
        <v>51890</v>
      </c>
      <c r="AX92" s="117">
        <f>72858-AX87+5408</f>
        <v>51733</v>
      </c>
      <c r="AY92" s="117">
        <f>72381-AY87</f>
        <v>43910</v>
      </c>
      <c r="AZ92" s="117">
        <f>62931-AZ87</f>
        <v>37895</v>
      </c>
      <c r="BA92" s="117">
        <f>59526-BA87+5542</f>
        <v>35484</v>
      </c>
      <c r="BB92" s="60">
        <f>BA92</f>
        <v>35484</v>
      </c>
      <c r="BC92" s="117">
        <f>54429-BC87+5008</f>
        <v>32921</v>
      </c>
      <c r="BD92" s="117">
        <f>55798-BD87+4985</f>
        <v>32637</v>
      </c>
      <c r="BE92" s="117">
        <f>55151-BE87+5355</f>
        <v>32868</v>
      </c>
      <c r="BF92" s="117">
        <f>46144-BF87+5321</f>
        <v>33327</v>
      </c>
      <c r="BG92" s="60">
        <f>BF92</f>
        <v>33327</v>
      </c>
      <c r="BH92" s="117">
        <f>44445-BH87+5644</f>
        <v>32447</v>
      </c>
      <c r="BI92" s="117">
        <f>43698-BI87+5331</f>
        <v>30683</v>
      </c>
      <c r="BJ92" s="117">
        <f>43726-BJ87</f>
        <v>25533</v>
      </c>
      <c r="BK92" s="117">
        <f>43844-BK87</f>
        <v>26779</v>
      </c>
      <c r="BL92" s="60">
        <f>BK92</f>
        <v>26779</v>
      </c>
      <c r="BM92" s="117">
        <f>42092-BM87</f>
        <v>26150</v>
      </c>
      <c r="BN92" s="117">
        <f>43262-BN87+129</f>
        <v>26379</v>
      </c>
      <c r="BO92" s="117">
        <f>41441-BO87+109</f>
        <v>26181</v>
      </c>
      <c r="BP92" s="117">
        <f>45369-BP87</f>
        <v>30366</v>
      </c>
      <c r="BQ92" s="60">
        <f>BP92</f>
        <v>30366</v>
      </c>
      <c r="BR92" s="117">
        <f>44714-BR87</f>
        <v>29555</v>
      </c>
      <c r="BS92" s="117">
        <f>44004-BS87</f>
        <v>28793</v>
      </c>
      <c r="BT92" s="117">
        <f>43484-BT87</f>
        <v>28424</v>
      </c>
      <c r="BU92" s="117">
        <f>48259-BU87</f>
        <v>32901</v>
      </c>
      <c r="BV92" s="60">
        <f>BU92</f>
        <v>32901</v>
      </c>
      <c r="BW92" s="161">
        <f>46454-BW87</f>
        <v>31926</v>
      </c>
      <c r="BX92" s="161">
        <f>47167-BX87</f>
        <v>31199</v>
      </c>
      <c r="BY92" s="161">
        <f>47333-BY87</f>
        <v>30914</v>
      </c>
      <c r="BZ92" s="161">
        <f>40886-BZ87</f>
        <v>24349</v>
      </c>
      <c r="CA92" s="235">
        <f>BZ92</f>
        <v>24349</v>
      </c>
      <c r="CB92" s="161">
        <f>40141-CB87</f>
        <v>23703</v>
      </c>
      <c r="CC92" s="161">
        <f>42444-CC87</f>
        <v>23559</v>
      </c>
      <c r="CD92" s="161">
        <f>41407-CD87</f>
        <v>23153</v>
      </c>
      <c r="CE92" s="161">
        <f>24270+1850</f>
        <v>26120</v>
      </c>
      <c r="CF92" s="235">
        <f>CE92</f>
        <v>26120</v>
      </c>
      <c r="CG92" s="161">
        <f>41644-CG87</f>
        <v>24899</v>
      </c>
      <c r="CH92" s="161">
        <f>43649-CH87</f>
        <v>25267</v>
      </c>
      <c r="CI92" s="161">
        <f>42513-CI87</f>
        <v>25004</v>
      </c>
      <c r="CJ92" s="161">
        <v>23457</v>
      </c>
      <c r="CK92" s="235">
        <f>CJ92</f>
        <v>23457</v>
      </c>
      <c r="CL92" s="161">
        <f>22841+1801</f>
        <v>24642</v>
      </c>
      <c r="CM92" s="161">
        <v>23416</v>
      </c>
      <c r="CN92" s="161">
        <v>23652</v>
      </c>
      <c r="CO92" s="161">
        <v>24395</v>
      </c>
      <c r="CP92" s="235">
        <f>CO92</f>
        <v>24395</v>
      </c>
      <c r="CQ92" s="161">
        <v>24583</v>
      </c>
      <c r="CR92" s="161">
        <v>24840</v>
      </c>
      <c r="CS92" s="161">
        <v>24819</v>
      </c>
      <c r="CT92" s="161">
        <v>24711</v>
      </c>
      <c r="CU92" s="235">
        <f t="shared" ref="CU92:DC92" si="147">CT92</f>
        <v>24711</v>
      </c>
      <c r="CV92" s="49">
        <f t="shared" si="147"/>
        <v>24711</v>
      </c>
      <c r="CW92" s="49">
        <f t="shared" si="147"/>
        <v>24711</v>
      </c>
      <c r="CX92" s="49">
        <f t="shared" si="147"/>
        <v>24711</v>
      </c>
      <c r="CY92" s="49">
        <f t="shared" si="147"/>
        <v>24711</v>
      </c>
      <c r="CZ92" s="235">
        <f t="shared" si="147"/>
        <v>24711</v>
      </c>
      <c r="DA92" s="87">
        <f t="shared" si="147"/>
        <v>24711</v>
      </c>
      <c r="DB92" s="87">
        <f t="shared" si="147"/>
        <v>24711</v>
      </c>
      <c r="DC92" s="87">
        <f t="shared" si="147"/>
        <v>24711</v>
      </c>
      <c r="DD92" s="165"/>
      <c r="DE92" s="2"/>
      <c r="DF92" s="235">
        <f>CT92</f>
        <v>24711</v>
      </c>
      <c r="DG92" s="235">
        <v>24819</v>
      </c>
      <c r="DH92" s="235">
        <f>CO92</f>
        <v>24395</v>
      </c>
      <c r="DI92" s="454">
        <f>IF(ISERROR(DF92/DG92-1),"NM",DF92/DG92-1)</f>
        <v>-4.3515048954430036E-3</v>
      </c>
      <c r="DJ92" s="454">
        <f>IF(ISERROR(DF92/DH92-1),"NM",DF92/DH92-1)</f>
        <v>1.2953474072555871E-2</v>
      </c>
      <c r="DK92" s="2"/>
      <c r="DL92" s="2"/>
      <c r="DM92" s="2"/>
    </row>
    <row r="93" spans="1:117" ht="12" customHeight="1">
      <c r="A93" s="1109">
        <f t="shared" si="113"/>
        <v>88</v>
      </c>
      <c r="B93" s="10"/>
      <c r="C93" s="1" t="s">
        <v>737</v>
      </c>
      <c r="D93" s="2"/>
      <c r="E93" s="319">
        <v>5475</v>
      </c>
      <c r="F93" s="319">
        <v>6495</v>
      </c>
      <c r="G93" s="319">
        <v>7047</v>
      </c>
      <c r="H93" s="319">
        <v>8713</v>
      </c>
      <c r="I93" s="319">
        <v>10398</v>
      </c>
      <c r="J93" s="117">
        <v>9646</v>
      </c>
      <c r="K93" s="117">
        <v>9942</v>
      </c>
      <c r="L93" s="117">
        <v>11256</v>
      </c>
      <c r="M93" s="117">
        <f>12046-M88</f>
        <v>11769</v>
      </c>
      <c r="N93" s="60">
        <f>M93</f>
        <v>11769</v>
      </c>
      <c r="O93" s="117">
        <v>11787</v>
      </c>
      <c r="P93" s="117">
        <v>11835</v>
      </c>
      <c r="Q93" s="117">
        <v>11804</v>
      </c>
      <c r="R93" s="117">
        <f>13769-R88</f>
        <v>13467</v>
      </c>
      <c r="S93" s="60">
        <f>R93</f>
        <v>13467</v>
      </c>
      <c r="T93" s="117">
        <v>13681</v>
      </c>
      <c r="U93" s="117">
        <v>13809</v>
      </c>
      <c r="V93" s="117">
        <v>13604</v>
      </c>
      <c r="W93" s="117">
        <f>14158-W88</f>
        <v>13607</v>
      </c>
      <c r="X93" s="60">
        <f>W93</f>
        <v>13607</v>
      </c>
      <c r="Y93" s="117">
        <v>13643</v>
      </c>
      <c r="Z93" s="117">
        <v>14001</v>
      </c>
      <c r="AA93" s="117">
        <v>19992</v>
      </c>
      <c r="AB93" s="117">
        <f>20793-AB88</f>
        <v>18987</v>
      </c>
      <c r="AC93" s="60">
        <f>AB93</f>
        <v>18987</v>
      </c>
      <c r="AD93" s="117">
        <v>18501</v>
      </c>
      <c r="AE93" s="117">
        <v>18142</v>
      </c>
      <c r="AF93" s="117">
        <v>17717</v>
      </c>
      <c r="AG93" s="117">
        <f>18227-AG88</f>
        <v>17250</v>
      </c>
      <c r="AH93" s="60">
        <f>AG93</f>
        <v>17250</v>
      </c>
      <c r="AI93" s="117">
        <v>17101</v>
      </c>
      <c r="AJ93" s="117">
        <v>17034</v>
      </c>
      <c r="AK93" s="117">
        <v>17255</v>
      </c>
      <c r="AL93" s="117">
        <f>17878-AL88</f>
        <v>16900</v>
      </c>
      <c r="AM93" s="60">
        <f>AL93</f>
        <v>16900</v>
      </c>
      <c r="AN93" s="117">
        <v>16510</v>
      </c>
      <c r="AO93" s="117">
        <v>16450</v>
      </c>
      <c r="AP93" s="117">
        <v>16376</v>
      </c>
      <c r="AQ93" s="117">
        <f>29796-AQ88</f>
        <v>28512</v>
      </c>
      <c r="AR93" s="60">
        <f>AQ93</f>
        <v>28512</v>
      </c>
      <c r="AS93" s="117">
        <f>28370-AS88</f>
        <v>26834</v>
      </c>
      <c r="AT93" s="117">
        <v>28380</v>
      </c>
      <c r="AU93" s="117">
        <v>26285</v>
      </c>
      <c r="AV93" s="117">
        <f>26954-AV88</f>
        <v>25779</v>
      </c>
      <c r="AW93" s="60">
        <f>AV93</f>
        <v>25779</v>
      </c>
      <c r="AX93" s="117">
        <v>25608</v>
      </c>
      <c r="AY93" s="117">
        <v>25028</v>
      </c>
      <c r="AZ93" s="117">
        <v>24856</v>
      </c>
      <c r="BA93" s="117">
        <f>24227-BA88</f>
        <v>23036</v>
      </c>
      <c r="BB93" s="60">
        <f>BA93</f>
        <v>23036</v>
      </c>
      <c r="BC93" s="117">
        <f>32132-BC88</f>
        <v>30704</v>
      </c>
      <c r="BD93" s="117">
        <f>26099-BD88</f>
        <v>24307</v>
      </c>
      <c r="BE93" s="117">
        <f>26889-BE88</f>
        <v>25254</v>
      </c>
      <c r="BF93" s="117">
        <f>33610-BF88</f>
        <v>31972</v>
      </c>
      <c r="BG93" s="60">
        <f>BF93</f>
        <v>31972</v>
      </c>
      <c r="BH93" s="117">
        <f>34251-BH88</f>
        <v>29242</v>
      </c>
      <c r="BI93" s="117">
        <f>27304-BI88</f>
        <v>26202</v>
      </c>
      <c r="BJ93" s="117">
        <f>26357-BJ88</f>
        <v>25100</v>
      </c>
      <c r="BK93" s="117">
        <f>19077-BK88</f>
        <v>17028</v>
      </c>
      <c r="BL93" s="60">
        <f>BK93</f>
        <v>17028</v>
      </c>
      <c r="BM93" s="117">
        <f>16600-BM88</f>
        <v>14589</v>
      </c>
      <c r="BN93" s="117">
        <f>14002-BN88</f>
        <v>12947</v>
      </c>
      <c r="BO93" s="117">
        <f>12654-BO88</f>
        <v>11738</v>
      </c>
      <c r="BP93" s="117">
        <f>13094-BP88</f>
        <v>12061</v>
      </c>
      <c r="BQ93" s="60">
        <f>BP93</f>
        <v>12061</v>
      </c>
      <c r="BR93" s="117">
        <f>13691-BR88</f>
        <v>12549</v>
      </c>
      <c r="BS93" s="117">
        <f>14190-BS88</f>
        <v>12893</v>
      </c>
      <c r="BT93" s="117">
        <f>14198-BT88</f>
        <v>12944</v>
      </c>
      <c r="BU93" s="117">
        <f>14256-BU88</f>
        <v>12870</v>
      </c>
      <c r="BV93" s="60">
        <f>BU93</f>
        <v>12870</v>
      </c>
      <c r="BW93" s="161">
        <f>16005-BW88</f>
        <v>14761</v>
      </c>
      <c r="BX93" s="161">
        <f>15817-BX88</f>
        <v>14642</v>
      </c>
      <c r="BY93" s="161">
        <f>15824-BY88</f>
        <v>14511</v>
      </c>
      <c r="BZ93" s="161">
        <f>15683-BZ88</f>
        <v>14426</v>
      </c>
      <c r="CA93" s="235">
        <f>BZ93</f>
        <v>14426</v>
      </c>
      <c r="CB93" s="161">
        <f>15709-CB88</f>
        <v>13623</v>
      </c>
      <c r="CC93" s="161">
        <f>15377-CC88</f>
        <v>13216</v>
      </c>
      <c r="CD93" s="161">
        <f>14943-CD88</f>
        <v>12216</v>
      </c>
      <c r="CE93" s="161">
        <f>13824-CE88</f>
        <v>11323</v>
      </c>
      <c r="CF93" s="235">
        <f>CE93</f>
        <v>11323</v>
      </c>
      <c r="CG93" s="161">
        <f>13397-CG88</f>
        <v>11411</v>
      </c>
      <c r="CH93" s="161">
        <v>11525</v>
      </c>
      <c r="CI93" s="161">
        <v>11208</v>
      </c>
      <c r="CJ93" s="161">
        <v>11060</v>
      </c>
      <c r="CK93" s="235">
        <f>CJ93</f>
        <v>11060</v>
      </c>
      <c r="CL93" s="161">
        <v>11081</v>
      </c>
      <c r="CM93" s="161">
        <v>10654</v>
      </c>
      <c r="CN93" s="161">
        <v>10675</v>
      </c>
      <c r="CO93" s="161">
        <v>13222</v>
      </c>
      <c r="CP93" s="235">
        <f>CO93</f>
        <v>13222</v>
      </c>
      <c r="CQ93" s="161">
        <v>13110</v>
      </c>
      <c r="CR93" s="161">
        <v>13277</v>
      </c>
      <c r="CS93" s="161">
        <v>12633</v>
      </c>
      <c r="CT93" s="161">
        <v>12575</v>
      </c>
      <c r="CU93" s="235">
        <f t="shared" ref="CU93:DC93" si="148">CT93</f>
        <v>12575</v>
      </c>
      <c r="CV93" s="49">
        <f t="shared" si="148"/>
        <v>12575</v>
      </c>
      <c r="CW93" s="49">
        <f t="shared" si="148"/>
        <v>12575</v>
      </c>
      <c r="CX93" s="49">
        <f t="shared" si="148"/>
        <v>12575</v>
      </c>
      <c r="CY93" s="49">
        <f t="shared" si="148"/>
        <v>12575</v>
      </c>
      <c r="CZ93" s="235">
        <f t="shared" si="148"/>
        <v>12575</v>
      </c>
      <c r="DA93" s="87">
        <f t="shared" si="148"/>
        <v>12575</v>
      </c>
      <c r="DB93" s="87">
        <f t="shared" si="148"/>
        <v>12575</v>
      </c>
      <c r="DC93" s="87">
        <f t="shared" si="148"/>
        <v>12575</v>
      </c>
      <c r="DD93" s="165"/>
      <c r="DE93" s="2"/>
      <c r="DF93" s="235">
        <f>CT93</f>
        <v>12575</v>
      </c>
      <c r="DG93" s="235">
        <v>12633</v>
      </c>
      <c r="DH93" s="235">
        <f>CO93</f>
        <v>13222</v>
      </c>
      <c r="DI93" s="454">
        <f>IF(ISERROR(DF93/DG93-1),"NM",DF93/DG93-1)</f>
        <v>-4.5911501622734052E-3</v>
      </c>
      <c r="DJ93" s="454">
        <f>IF(ISERROR(DF93/DH93-1),"NM",DF93/DH93-1)</f>
        <v>-4.8933595522613782E-2</v>
      </c>
      <c r="DK93" s="2"/>
      <c r="DL93" s="2"/>
      <c r="DM93" s="2"/>
    </row>
    <row r="94" spans="1:117" ht="12" customHeight="1">
      <c r="A94" s="1109">
        <f t="shared" si="113"/>
        <v>89</v>
      </c>
      <c r="B94" s="10"/>
      <c r="C94" s="1" t="s">
        <v>738</v>
      </c>
      <c r="E94" s="319">
        <f>141317-E89</f>
        <v>68259</v>
      </c>
      <c r="F94" s="319">
        <f>150205-F89</f>
        <v>70641</v>
      </c>
      <c r="G94" s="319">
        <f>160071-G89</f>
        <v>73198</v>
      </c>
      <c r="H94" s="319">
        <f>122324-H89</f>
        <v>55468</v>
      </c>
      <c r="I94" s="319">
        <f>139919-I89</f>
        <v>67517</v>
      </c>
      <c r="J94" s="117">
        <v>143951</v>
      </c>
      <c r="K94" s="117">
        <v>149063</v>
      </c>
      <c r="L94" s="117">
        <v>149779</v>
      </c>
      <c r="M94" s="117">
        <f>153510-M89</f>
        <v>87118</v>
      </c>
      <c r="N94" s="60">
        <f>M94</f>
        <v>87118</v>
      </c>
      <c r="O94" s="117">
        <v>155329</v>
      </c>
      <c r="P94" s="117">
        <v>162102</v>
      </c>
      <c r="Q94" s="117">
        <v>154285</v>
      </c>
      <c r="R94" s="117">
        <f>153034-R89</f>
        <v>107031</v>
      </c>
      <c r="S94" s="60">
        <f>R94</f>
        <v>107031</v>
      </c>
      <c r="T94" s="117">
        <v>145301</v>
      </c>
      <c r="U94" s="117">
        <v>150764</v>
      </c>
      <c r="V94" s="117">
        <v>148393</v>
      </c>
      <c r="W94" s="117">
        <f>148054-W89</f>
        <v>106525</v>
      </c>
      <c r="X94" s="60">
        <f>W94</f>
        <v>106525</v>
      </c>
      <c r="Y94" s="117">
        <f>159010-Y93-Y88</f>
        <v>145038</v>
      </c>
      <c r="Z94" s="117">
        <f>169438-Z93-Z88</f>
        <v>154958</v>
      </c>
      <c r="AA94" s="117">
        <f>180236-AA93-AA88</f>
        <v>159268</v>
      </c>
      <c r="AB94" s="117">
        <f>159011-AB89</f>
        <v>100764</v>
      </c>
      <c r="AC94" s="60">
        <f>AB94</f>
        <v>100764</v>
      </c>
      <c r="AD94" s="117">
        <f>171446-AD93-AD88</f>
        <v>152066</v>
      </c>
      <c r="AE94" s="117">
        <f>168101-AE93-AE88</f>
        <v>149199</v>
      </c>
      <c r="AF94" s="117">
        <f>164707-AF93-AF88</f>
        <v>145986</v>
      </c>
      <c r="AG94" s="117">
        <f>144198-AG89</f>
        <v>81370</v>
      </c>
      <c r="AH94" s="60">
        <f>AG94</f>
        <v>81370</v>
      </c>
      <c r="AI94" s="117">
        <f>161262-AI93-AI88</f>
        <v>143214</v>
      </c>
      <c r="AJ94" s="117">
        <f>158441-AJ93-AJ88</f>
        <v>139449</v>
      </c>
      <c r="AK94" s="117">
        <f>141738-AK93-AK88</f>
        <v>123502</v>
      </c>
      <c r="AL94" s="117">
        <f>135400-AL89</f>
        <v>76263</v>
      </c>
      <c r="AM94" s="60">
        <f>AL94</f>
        <v>76263</v>
      </c>
      <c r="AN94" s="117">
        <f>151104-AN93-AN88</f>
        <v>133330</v>
      </c>
      <c r="AO94" s="117">
        <f>153002-AO93-AO88</f>
        <v>135283</v>
      </c>
      <c r="AP94" s="117">
        <f>154410-AP93-AP88</f>
        <v>136745</v>
      </c>
      <c r="AQ94" s="117">
        <f>142036-AQ89</f>
        <v>81079</v>
      </c>
      <c r="AR94" s="60">
        <f>AQ94</f>
        <v>81079</v>
      </c>
      <c r="AS94" s="117">
        <f>167179-AS93-AS88</f>
        <v>138809</v>
      </c>
      <c r="AT94" s="117">
        <f>170036-AT93-AT88</f>
        <v>140058</v>
      </c>
      <c r="AU94" s="117">
        <f>163213-AU93-AU88</f>
        <v>135536</v>
      </c>
      <c r="AV94" s="117">
        <f>141833-AV89</f>
        <v>81701</v>
      </c>
      <c r="AW94" s="60">
        <f>AV94</f>
        <v>81701</v>
      </c>
      <c r="AX94" s="117">
        <f>169205-AX93-AX88</f>
        <v>142152</v>
      </c>
      <c r="AY94" s="117">
        <f>166025-AY93-AY88</f>
        <v>139565</v>
      </c>
      <c r="AZ94" s="117">
        <f>156793-AZ93-AZ88</f>
        <v>130655</v>
      </c>
      <c r="BA94" s="117">
        <f>128842-BA89-492</f>
        <v>65569</v>
      </c>
      <c r="BB94" s="60">
        <f>BA94</f>
        <v>65569</v>
      </c>
      <c r="BC94" s="117">
        <f>113811-BC89-357</f>
        <v>59869</v>
      </c>
      <c r="BD94" s="117">
        <f>107324-BD89-357</f>
        <v>56768</v>
      </c>
      <c r="BE94" s="117">
        <f>105774-BE89-646</f>
        <v>56119</v>
      </c>
      <c r="BF94" s="117">
        <f>98671-BF89-646</f>
        <v>56106</v>
      </c>
      <c r="BG94" s="60">
        <f>BF94</f>
        <v>56106</v>
      </c>
      <c r="BH94" s="117">
        <f>96286-BH89-432</f>
        <v>53249</v>
      </c>
      <c r="BI94" s="117">
        <f>90395-BI89-314</f>
        <v>49490</v>
      </c>
      <c r="BJ94" s="117">
        <f>90563-BJ89-229</f>
        <v>50710</v>
      </c>
      <c r="BK94" s="117">
        <f>85112-BK89-201</f>
        <v>45296</v>
      </c>
      <c r="BL94" s="60">
        <f>BK94</f>
        <v>45296</v>
      </c>
      <c r="BM94" s="117">
        <f>85239-BM89-201</f>
        <v>45616</v>
      </c>
      <c r="BN94" s="117">
        <f>84749-BN89-201</f>
        <v>46550</v>
      </c>
      <c r="BO94" s="117">
        <f>82678-BO89-201</f>
        <v>43724</v>
      </c>
      <c r="BP94" s="117">
        <f>86595-BP89-201</f>
        <v>47116</v>
      </c>
      <c r="BQ94" s="60">
        <f>BP94</f>
        <v>47116</v>
      </c>
      <c r="BR94" s="117">
        <f>86799-BR89</f>
        <v>50017</v>
      </c>
      <c r="BS94" s="117">
        <f>85707-BS89</f>
        <v>53045</v>
      </c>
      <c r="BT94" s="117">
        <f>86406-BT89</f>
        <v>53758</v>
      </c>
      <c r="BU94" s="117">
        <f>90802-BU89</f>
        <v>53426</v>
      </c>
      <c r="BV94" s="60">
        <f>BU94</f>
        <v>53426</v>
      </c>
      <c r="BW94" s="161">
        <f>91351-BW89</f>
        <v>53048</v>
      </c>
      <c r="BX94" s="161">
        <f>92040-BX89</f>
        <v>55337</v>
      </c>
      <c r="BY94" s="161">
        <f>94798-BY89</f>
        <v>57680</v>
      </c>
      <c r="BZ94" s="161">
        <f>99005-BZ89</f>
        <v>62199</v>
      </c>
      <c r="CA94" s="235">
        <f>BZ94</f>
        <v>62199</v>
      </c>
      <c r="CB94" s="161">
        <f>101295-CB89</f>
        <v>64493</v>
      </c>
      <c r="CC94" s="161">
        <f>103330-CC89</f>
        <v>65567</v>
      </c>
      <c r="CD94" s="161">
        <f>104250-CD89</f>
        <v>67444</v>
      </c>
      <c r="CE94" s="161">
        <f>105347-CE89</f>
        <v>68676</v>
      </c>
      <c r="CF94" s="235">
        <f>CE94</f>
        <v>68676</v>
      </c>
      <c r="CG94" s="161">
        <f>109379-CG89</f>
        <v>72662</v>
      </c>
      <c r="CH94" s="161">
        <f>109813-CH89</f>
        <v>72662</v>
      </c>
      <c r="CI94" s="161">
        <f>113627-CI89</f>
        <v>75779</v>
      </c>
      <c r="CJ94" s="161">
        <v>78819</v>
      </c>
      <c r="CK94" s="235">
        <f>CJ94</f>
        <v>78819</v>
      </c>
      <c r="CL94" s="161">
        <f>127973-CL89</f>
        <v>82173</v>
      </c>
      <c r="CM94" s="161">
        <v>84399</v>
      </c>
      <c r="CN94" s="161">
        <v>79276</v>
      </c>
      <c r="CO94" s="161">
        <v>80079</v>
      </c>
      <c r="CP94" s="235">
        <f>CO94</f>
        <v>80079</v>
      </c>
      <c r="CQ94" s="161">
        <v>83610</v>
      </c>
      <c r="CR94" s="161">
        <v>81959</v>
      </c>
      <c r="CS94" s="161">
        <v>85305</v>
      </c>
      <c r="CT94" s="161">
        <v>90091</v>
      </c>
      <c r="CU94" s="235">
        <f t="shared" ref="CU94:DC94" si="149">CT94</f>
        <v>90091</v>
      </c>
      <c r="CV94" s="49">
        <f t="shared" si="149"/>
        <v>90091</v>
      </c>
      <c r="CW94" s="49">
        <f t="shared" si="149"/>
        <v>90091</v>
      </c>
      <c r="CX94" s="49">
        <f t="shared" si="149"/>
        <v>90091</v>
      </c>
      <c r="CY94" s="49">
        <f t="shared" si="149"/>
        <v>90091</v>
      </c>
      <c r="CZ94" s="235">
        <f t="shared" si="149"/>
        <v>90091</v>
      </c>
      <c r="DA94" s="87">
        <f t="shared" si="149"/>
        <v>90091</v>
      </c>
      <c r="DB94" s="87">
        <f t="shared" si="149"/>
        <v>90091</v>
      </c>
      <c r="DC94" s="87">
        <f t="shared" si="149"/>
        <v>90091</v>
      </c>
      <c r="DD94" s="165"/>
      <c r="DE94" s="2"/>
      <c r="DF94" s="235">
        <f>CT94</f>
        <v>90091</v>
      </c>
      <c r="DG94" s="235">
        <v>85305</v>
      </c>
      <c r="DH94" s="235">
        <f>CO94</f>
        <v>80079</v>
      </c>
      <c r="DI94" s="454">
        <f>IF(ISERROR(DF94/DG94-1),"NM",DF94/DG94-1)</f>
        <v>5.6104565969169462E-2</v>
      </c>
      <c r="DJ94" s="454">
        <f>IF(ISERROR(DF94/DH94-1),"NM",DF94/DH94-1)</f>
        <v>0.12502653629540839</v>
      </c>
      <c r="DK94" s="2"/>
      <c r="DL94" s="2"/>
      <c r="DM94" s="2"/>
    </row>
    <row r="95" spans="1:117" ht="12" customHeight="1">
      <c r="A95" s="1109">
        <f t="shared" si="113"/>
        <v>90</v>
      </c>
      <c r="B95" s="10"/>
      <c r="C95" s="91" t="s">
        <v>73</v>
      </c>
      <c r="D95" s="91"/>
      <c r="E95" s="320">
        <f>3831+1186</f>
        <v>5017</v>
      </c>
      <c r="F95" s="320">
        <f>4338+1225</f>
        <v>5563</v>
      </c>
      <c r="G95" s="320">
        <f>4347+1210</f>
        <v>5557</v>
      </c>
      <c r="H95" s="320">
        <f>5488+751</f>
        <v>6239</v>
      </c>
      <c r="I95" s="320">
        <f>7078+1223</f>
        <v>8301</v>
      </c>
      <c r="J95" s="138">
        <f>7731+439</f>
        <v>8170</v>
      </c>
      <c r="K95" s="138">
        <f>8137+684</f>
        <v>8821</v>
      </c>
      <c r="L95" s="138">
        <f>9507+303</f>
        <v>9810</v>
      </c>
      <c r="M95" s="138">
        <f>8677+353</f>
        <v>9030</v>
      </c>
      <c r="N95" s="93">
        <f>M95</f>
        <v>9030</v>
      </c>
      <c r="O95" s="138">
        <f>8626+296</f>
        <v>8922</v>
      </c>
      <c r="P95" s="138">
        <f>291+8792</f>
        <v>9083</v>
      </c>
      <c r="Q95" s="138">
        <f>296+8448</f>
        <v>8744</v>
      </c>
      <c r="R95" s="138">
        <v>10345</v>
      </c>
      <c r="S95" s="93">
        <f>R95</f>
        <v>10345</v>
      </c>
      <c r="T95" s="138">
        <f>9922+275</f>
        <v>10197</v>
      </c>
      <c r="U95" s="138">
        <f>361+10122</f>
        <v>10483</v>
      </c>
      <c r="V95" s="138">
        <f>457+10324</f>
        <v>10781</v>
      </c>
      <c r="W95" s="138">
        <v>2311</v>
      </c>
      <c r="X95" s="93">
        <f>W95</f>
        <v>2311</v>
      </c>
      <c r="Y95" s="138">
        <v>14370</v>
      </c>
      <c r="Z95" s="138">
        <v>14475</v>
      </c>
      <c r="AA95" s="138">
        <v>14512</v>
      </c>
      <c r="AB95" s="138">
        <v>8439</v>
      </c>
      <c r="AC95" s="93">
        <f>AB95</f>
        <v>8439</v>
      </c>
      <c r="AD95" s="138">
        <v>5885</v>
      </c>
      <c r="AE95" s="138">
        <v>4836</v>
      </c>
      <c r="AF95" s="138">
        <v>5058</v>
      </c>
      <c r="AG95" s="138">
        <v>7627</v>
      </c>
      <c r="AH95" s="93">
        <f>AG95</f>
        <v>7627</v>
      </c>
      <c r="AI95" s="138">
        <v>3864</v>
      </c>
      <c r="AJ95" s="138">
        <v>5605</v>
      </c>
      <c r="AK95" s="138">
        <v>4617</v>
      </c>
      <c r="AL95" s="138">
        <v>5660</v>
      </c>
      <c r="AM95" s="93">
        <f>AL95</f>
        <v>5660</v>
      </c>
      <c r="AN95" s="138">
        <v>5284</v>
      </c>
      <c r="AO95" s="138">
        <v>5955</v>
      </c>
      <c r="AP95" s="138">
        <v>2774</v>
      </c>
      <c r="AQ95" s="138">
        <v>2744</v>
      </c>
      <c r="AR95" s="93">
        <f>AQ95</f>
        <v>2744</v>
      </c>
      <c r="AS95" s="138">
        <v>3261</v>
      </c>
      <c r="AT95" s="138">
        <v>3397</v>
      </c>
      <c r="AU95" s="138">
        <v>3165</v>
      </c>
      <c r="AV95" s="138">
        <v>3034</v>
      </c>
      <c r="AW95" s="93">
        <f>AV95</f>
        <v>3034</v>
      </c>
      <c r="AX95" s="138">
        <v>2901</v>
      </c>
      <c r="AY95" s="138">
        <v>2899</v>
      </c>
      <c r="AZ95" s="138">
        <v>2514</v>
      </c>
      <c r="BA95" s="138">
        <v>2035</v>
      </c>
      <c r="BB95" s="93">
        <f>BA95</f>
        <v>2035</v>
      </c>
      <c r="BC95" s="138">
        <v>1706</v>
      </c>
      <c r="BD95" s="138">
        <v>1788</v>
      </c>
      <c r="BE95" s="138">
        <v>2644</v>
      </c>
      <c r="BF95" s="138">
        <v>2421</v>
      </c>
      <c r="BG95" s="93">
        <f>BF95</f>
        <v>2421</v>
      </c>
      <c r="BH95" s="138">
        <v>1600</v>
      </c>
      <c r="BI95" s="138">
        <v>901</v>
      </c>
      <c r="BJ95" s="138">
        <v>1027</v>
      </c>
      <c r="BK95" s="138">
        <v>1135</v>
      </c>
      <c r="BL95" s="93">
        <f>BK95</f>
        <v>1135</v>
      </c>
      <c r="BM95" s="138">
        <v>1212</v>
      </c>
      <c r="BN95" s="138">
        <v>1371</v>
      </c>
      <c r="BO95" s="138">
        <v>1109</v>
      </c>
      <c r="BP95" s="138">
        <v>696</v>
      </c>
      <c r="BQ95" s="93">
        <f>BP95</f>
        <v>696</v>
      </c>
      <c r="BR95" s="138">
        <v>583</v>
      </c>
      <c r="BS95" s="138">
        <v>595</v>
      </c>
      <c r="BT95" s="138">
        <v>593</v>
      </c>
      <c r="BU95" s="138">
        <v>470</v>
      </c>
      <c r="BV95" s="93">
        <f>BU95</f>
        <v>470</v>
      </c>
      <c r="BW95" s="244">
        <v>638</v>
      </c>
      <c r="BX95" s="244">
        <v>676</v>
      </c>
      <c r="BY95" s="244">
        <v>637</v>
      </c>
      <c r="BZ95" s="244">
        <v>598</v>
      </c>
      <c r="CA95" s="245">
        <f>BZ95</f>
        <v>598</v>
      </c>
      <c r="CB95" s="244">
        <v>590</v>
      </c>
      <c r="CC95" s="244">
        <v>588</v>
      </c>
      <c r="CD95" s="244">
        <v>576</v>
      </c>
      <c r="CE95" s="244">
        <v>570</v>
      </c>
      <c r="CF95" s="245">
        <f>CE95</f>
        <v>570</v>
      </c>
      <c r="CG95" s="244">
        <v>525</v>
      </c>
      <c r="CH95" s="244">
        <v>578</v>
      </c>
      <c r="CI95" s="161">
        <v>529</v>
      </c>
      <c r="CJ95" s="244">
        <v>502</v>
      </c>
      <c r="CK95" s="245">
        <f>CJ95</f>
        <v>502</v>
      </c>
      <c r="CL95" s="244">
        <v>556</v>
      </c>
      <c r="CM95" s="244">
        <v>552</v>
      </c>
      <c r="CN95" s="244">
        <v>577</v>
      </c>
      <c r="CO95" s="244">
        <v>691</v>
      </c>
      <c r="CP95" s="245">
        <f>CO95</f>
        <v>691</v>
      </c>
      <c r="CQ95" s="244">
        <v>749</v>
      </c>
      <c r="CR95" s="244">
        <v>735</v>
      </c>
      <c r="CS95" s="244">
        <v>804</v>
      </c>
      <c r="CT95" s="244">
        <v>815</v>
      </c>
      <c r="CU95" s="245">
        <f t="shared" ref="CU95:DC95" si="150">CT95</f>
        <v>815</v>
      </c>
      <c r="CV95" s="95">
        <f t="shared" si="150"/>
        <v>815</v>
      </c>
      <c r="CW95" s="95">
        <f t="shared" si="150"/>
        <v>815</v>
      </c>
      <c r="CX95" s="95">
        <f t="shared" si="150"/>
        <v>815</v>
      </c>
      <c r="CY95" s="95">
        <f t="shared" si="150"/>
        <v>815</v>
      </c>
      <c r="CZ95" s="245">
        <f t="shared" si="150"/>
        <v>815</v>
      </c>
      <c r="DA95" s="96">
        <f t="shared" si="150"/>
        <v>815</v>
      </c>
      <c r="DB95" s="96">
        <f t="shared" si="150"/>
        <v>815</v>
      </c>
      <c r="DC95" s="96">
        <f t="shared" si="150"/>
        <v>815</v>
      </c>
      <c r="DD95" s="165"/>
      <c r="DE95" s="2"/>
      <c r="DF95" s="245">
        <f>CT95</f>
        <v>815</v>
      </c>
      <c r="DG95" s="245">
        <v>804</v>
      </c>
      <c r="DH95" s="245">
        <f>CO95</f>
        <v>691</v>
      </c>
      <c r="DI95" s="459">
        <f>IF(ISERROR(DF95/DG95-1),"NM",DF95/DG95-1)</f>
        <v>1.3681592039801016E-2</v>
      </c>
      <c r="DJ95" s="459">
        <f>IF(ISERROR(DF95/DH95-1),"NM",DF95/DH95-1)</f>
        <v>0.17945007235890009</v>
      </c>
      <c r="DK95" s="2"/>
      <c r="DL95" s="2"/>
      <c r="DM95" s="2"/>
    </row>
    <row r="96" spans="1:117" ht="12" customHeight="1">
      <c r="A96" s="1109">
        <f t="shared" si="113"/>
        <v>91</v>
      </c>
      <c r="B96" s="10"/>
      <c r="C96" s="2" t="s">
        <v>303</v>
      </c>
      <c r="D96" s="2"/>
      <c r="E96" s="61">
        <f t="shared" ref="E96:BP96" si="151">SUM(E92:E95)</f>
        <v>110544</v>
      </c>
      <c r="F96" s="61">
        <f t="shared" si="151"/>
        <v>117996</v>
      </c>
      <c r="G96" s="61">
        <f t="shared" si="151"/>
        <v>122566</v>
      </c>
      <c r="H96" s="61">
        <f t="shared" si="151"/>
        <v>107405</v>
      </c>
      <c r="I96" s="61">
        <f t="shared" si="151"/>
        <v>124109</v>
      </c>
      <c r="J96" s="46">
        <f t="shared" si="151"/>
        <v>200006</v>
      </c>
      <c r="K96" s="46">
        <f t="shared" si="151"/>
        <v>209093</v>
      </c>
      <c r="L96" s="46">
        <f t="shared" si="151"/>
        <v>214079</v>
      </c>
      <c r="M96" s="46">
        <f t="shared" si="151"/>
        <v>147650</v>
      </c>
      <c r="N96" s="61">
        <f t="shared" si="151"/>
        <v>147650</v>
      </c>
      <c r="O96" s="46">
        <f t="shared" si="151"/>
        <v>216407</v>
      </c>
      <c r="P96" s="46">
        <f t="shared" si="151"/>
        <v>222291</v>
      </c>
      <c r="Q96" s="46">
        <f t="shared" si="151"/>
        <v>214631</v>
      </c>
      <c r="R96" s="46">
        <f t="shared" si="151"/>
        <v>162413</v>
      </c>
      <c r="S96" s="61">
        <f t="shared" si="151"/>
        <v>162413</v>
      </c>
      <c r="T96" s="46">
        <f t="shared" si="151"/>
        <v>211117</v>
      </c>
      <c r="U96" s="46">
        <f t="shared" si="151"/>
        <v>221471</v>
      </c>
      <c r="V96" s="46">
        <f t="shared" si="151"/>
        <v>218950</v>
      </c>
      <c r="W96" s="46">
        <f t="shared" si="151"/>
        <v>170346</v>
      </c>
      <c r="X96" s="61">
        <f t="shared" si="151"/>
        <v>170346</v>
      </c>
      <c r="Y96" s="46">
        <f t="shared" si="151"/>
        <v>226379</v>
      </c>
      <c r="Z96" s="46">
        <f t="shared" si="151"/>
        <v>238616</v>
      </c>
      <c r="AA96" s="46">
        <f t="shared" si="151"/>
        <v>248483</v>
      </c>
      <c r="AB96" s="46">
        <f t="shared" si="151"/>
        <v>167916</v>
      </c>
      <c r="AC96" s="61">
        <f t="shared" si="151"/>
        <v>167916</v>
      </c>
      <c r="AD96" s="46">
        <f t="shared" si="151"/>
        <v>226156</v>
      </c>
      <c r="AE96" s="46">
        <f t="shared" si="151"/>
        <v>221213</v>
      </c>
      <c r="AF96" s="46">
        <f t="shared" si="151"/>
        <v>215825</v>
      </c>
      <c r="AG96" s="46">
        <f t="shared" si="151"/>
        <v>161645</v>
      </c>
      <c r="AH96" s="61">
        <f t="shared" si="151"/>
        <v>161645</v>
      </c>
      <c r="AI96" s="46">
        <f t="shared" si="151"/>
        <v>203149</v>
      </c>
      <c r="AJ96" s="46">
        <f t="shared" si="151"/>
        <v>204729</v>
      </c>
      <c r="AK96" s="46">
        <f t="shared" si="151"/>
        <v>201781</v>
      </c>
      <c r="AL96" s="46">
        <f t="shared" si="151"/>
        <v>143041</v>
      </c>
      <c r="AM96" s="61">
        <f t="shared" si="151"/>
        <v>143041</v>
      </c>
      <c r="AN96" s="46">
        <f t="shared" si="151"/>
        <v>200445</v>
      </c>
      <c r="AO96" s="46">
        <f t="shared" si="151"/>
        <v>204418</v>
      </c>
      <c r="AP96" s="46">
        <f t="shared" si="151"/>
        <v>203715</v>
      </c>
      <c r="AQ96" s="46">
        <f t="shared" si="151"/>
        <v>171046</v>
      </c>
      <c r="AR96" s="61">
        <f t="shared" si="151"/>
        <v>171046</v>
      </c>
      <c r="AS96" s="46">
        <f t="shared" si="151"/>
        <v>221184</v>
      </c>
      <c r="AT96" s="46">
        <f t="shared" si="151"/>
        <v>223414</v>
      </c>
      <c r="AU96" s="46">
        <f t="shared" si="151"/>
        <v>217184</v>
      </c>
      <c r="AV96" s="46">
        <f t="shared" si="151"/>
        <v>162404</v>
      </c>
      <c r="AW96" s="61">
        <f t="shared" si="151"/>
        <v>162404</v>
      </c>
      <c r="AX96" s="46">
        <f t="shared" si="151"/>
        <v>222394</v>
      </c>
      <c r="AY96" s="46">
        <f t="shared" si="151"/>
        <v>211402</v>
      </c>
      <c r="AZ96" s="46">
        <f t="shared" si="151"/>
        <v>195920</v>
      </c>
      <c r="BA96" s="46">
        <f t="shared" si="151"/>
        <v>126124</v>
      </c>
      <c r="BB96" s="61">
        <f t="shared" si="151"/>
        <v>126124</v>
      </c>
      <c r="BC96" s="46">
        <f t="shared" si="151"/>
        <v>125200</v>
      </c>
      <c r="BD96" s="46">
        <f t="shared" si="151"/>
        <v>115500</v>
      </c>
      <c r="BE96" s="46">
        <f t="shared" si="151"/>
        <v>116885</v>
      </c>
      <c r="BF96" s="46">
        <f t="shared" si="151"/>
        <v>123826</v>
      </c>
      <c r="BG96" s="61">
        <f t="shared" si="151"/>
        <v>123826</v>
      </c>
      <c r="BH96" s="46">
        <f t="shared" si="151"/>
        <v>116538</v>
      </c>
      <c r="BI96" s="46">
        <f t="shared" si="151"/>
        <v>107276</v>
      </c>
      <c r="BJ96" s="46">
        <f t="shared" si="151"/>
        <v>102370</v>
      </c>
      <c r="BK96" s="46">
        <f t="shared" si="151"/>
        <v>90238</v>
      </c>
      <c r="BL96" s="61">
        <f t="shared" si="151"/>
        <v>90238</v>
      </c>
      <c r="BM96" s="46">
        <f t="shared" si="151"/>
        <v>87567</v>
      </c>
      <c r="BN96" s="46">
        <f t="shared" si="151"/>
        <v>87247</v>
      </c>
      <c r="BO96" s="46">
        <f t="shared" si="151"/>
        <v>82752</v>
      </c>
      <c r="BP96" s="46">
        <f t="shared" si="151"/>
        <v>90239</v>
      </c>
      <c r="BQ96" s="61">
        <f t="shared" ref="BQ96:CP96" si="152">SUM(BQ92:BQ95)</f>
        <v>90239</v>
      </c>
      <c r="BR96" s="46">
        <f t="shared" si="152"/>
        <v>92704</v>
      </c>
      <c r="BS96" s="46">
        <f t="shared" si="152"/>
        <v>95326</v>
      </c>
      <c r="BT96" s="46">
        <f t="shared" si="152"/>
        <v>95719</v>
      </c>
      <c r="BU96" s="46">
        <f t="shared" si="152"/>
        <v>99667</v>
      </c>
      <c r="BV96" s="61">
        <f t="shared" si="152"/>
        <v>99667</v>
      </c>
      <c r="BW96" s="173">
        <f t="shared" si="152"/>
        <v>100373</v>
      </c>
      <c r="BX96" s="173">
        <f t="shared" si="152"/>
        <v>101854</v>
      </c>
      <c r="BY96" s="173">
        <f t="shared" si="152"/>
        <v>103742</v>
      </c>
      <c r="BZ96" s="173">
        <f t="shared" si="152"/>
        <v>101572</v>
      </c>
      <c r="CA96" s="237">
        <f t="shared" si="152"/>
        <v>101572</v>
      </c>
      <c r="CB96" s="173">
        <f t="shared" si="152"/>
        <v>102409</v>
      </c>
      <c r="CC96" s="173">
        <f t="shared" si="152"/>
        <v>102930</v>
      </c>
      <c r="CD96" s="173">
        <f t="shared" si="152"/>
        <v>103389</v>
      </c>
      <c r="CE96" s="173">
        <f t="shared" si="152"/>
        <v>106689</v>
      </c>
      <c r="CF96" s="237">
        <f t="shared" si="152"/>
        <v>106689</v>
      </c>
      <c r="CG96" s="173">
        <f t="shared" si="152"/>
        <v>109497</v>
      </c>
      <c r="CH96" s="173">
        <f t="shared" si="152"/>
        <v>110032</v>
      </c>
      <c r="CI96" s="238">
        <f t="shared" si="152"/>
        <v>112520</v>
      </c>
      <c r="CJ96" s="173">
        <f t="shared" si="152"/>
        <v>113838</v>
      </c>
      <c r="CK96" s="237">
        <f t="shared" si="152"/>
        <v>113838</v>
      </c>
      <c r="CL96" s="173">
        <f t="shared" si="152"/>
        <v>118452</v>
      </c>
      <c r="CM96" s="173">
        <f t="shared" si="152"/>
        <v>119021</v>
      </c>
      <c r="CN96" s="173">
        <f t="shared" si="152"/>
        <v>114180</v>
      </c>
      <c r="CO96" s="173">
        <f t="shared" si="152"/>
        <v>118387</v>
      </c>
      <c r="CP96" s="237">
        <f t="shared" si="152"/>
        <v>118387</v>
      </c>
      <c r="CQ96" s="173">
        <f t="shared" ref="CQ96:DC96" si="153">SUM(CQ92:CQ95)</f>
        <v>122052</v>
      </c>
      <c r="CR96" s="49">
        <f t="shared" si="153"/>
        <v>120811</v>
      </c>
      <c r="CS96" s="49">
        <f t="shared" si="153"/>
        <v>123561</v>
      </c>
      <c r="CT96" s="49">
        <f t="shared" si="153"/>
        <v>128192</v>
      </c>
      <c r="CU96" s="237">
        <f t="shared" si="153"/>
        <v>128192</v>
      </c>
      <c r="CV96" s="49">
        <f t="shared" si="153"/>
        <v>128192</v>
      </c>
      <c r="CW96" s="49">
        <f t="shared" si="153"/>
        <v>128192</v>
      </c>
      <c r="CX96" s="49">
        <f t="shared" si="153"/>
        <v>128192</v>
      </c>
      <c r="CY96" s="49">
        <f t="shared" si="153"/>
        <v>128192</v>
      </c>
      <c r="CZ96" s="237">
        <f t="shared" si="153"/>
        <v>128192</v>
      </c>
      <c r="DA96" s="87">
        <f t="shared" si="153"/>
        <v>128192</v>
      </c>
      <c r="DB96" s="87">
        <f t="shared" si="153"/>
        <v>128192</v>
      </c>
      <c r="DC96" s="87">
        <f t="shared" si="153"/>
        <v>128192</v>
      </c>
      <c r="DD96" s="165"/>
      <c r="DE96" s="2"/>
      <c r="DF96" s="237">
        <f>CT96</f>
        <v>128192</v>
      </c>
      <c r="DG96" s="237">
        <v>123561</v>
      </c>
      <c r="DH96" s="237">
        <f>CO96</f>
        <v>118387</v>
      </c>
      <c r="DI96" s="450">
        <f>IF(ISERROR(DF96/DG96-1),"NM",DF96/DG96-1)</f>
        <v>3.7479463584788153E-2</v>
      </c>
      <c r="DJ96" s="450">
        <f>IF(ISERROR(DF96/DH96-1),"NM",DF96/DH96-1)</f>
        <v>8.2821593587133702E-2</v>
      </c>
      <c r="DK96" s="2"/>
      <c r="DL96" s="2"/>
      <c r="DM96" s="2"/>
    </row>
    <row r="97" spans="1:124" ht="12" customHeight="1">
      <c r="A97" s="1109">
        <f t="shared" si="113"/>
        <v>92</v>
      </c>
      <c r="B97" s="10"/>
      <c r="C97" s="2"/>
      <c r="D97" s="2"/>
      <c r="E97" s="61"/>
      <c r="F97" s="61"/>
      <c r="G97" s="61"/>
      <c r="H97" s="61"/>
      <c r="I97" s="61"/>
      <c r="J97" s="46"/>
      <c r="K97" s="46"/>
      <c r="L97" s="46"/>
      <c r="M97" s="46"/>
      <c r="N97" s="61"/>
      <c r="O97" s="46"/>
      <c r="P97" s="46"/>
      <c r="Q97" s="46"/>
      <c r="R97" s="46"/>
      <c r="S97" s="61"/>
      <c r="T97" s="46"/>
      <c r="U97" s="46"/>
      <c r="V97" s="46"/>
      <c r="W97" s="46"/>
      <c r="X97" s="61"/>
      <c r="Y97" s="46"/>
      <c r="Z97" s="46"/>
      <c r="AA97" s="46"/>
      <c r="AB97" s="46"/>
      <c r="AC97" s="61"/>
      <c r="AD97" s="46"/>
      <c r="AE97" s="46"/>
      <c r="AF97" s="46"/>
      <c r="AG97" s="46"/>
      <c r="AH97" s="61"/>
      <c r="AI97" s="46"/>
      <c r="AJ97" s="46"/>
      <c r="AK97" s="46"/>
      <c r="AL97" s="46"/>
      <c r="AM97" s="61"/>
      <c r="AN97" s="46"/>
      <c r="AO97" s="46"/>
      <c r="AP97" s="46"/>
      <c r="AQ97" s="46"/>
      <c r="AR97" s="61"/>
      <c r="AS97" s="46"/>
      <c r="AT97" s="46"/>
      <c r="AU97" s="46"/>
      <c r="AV97" s="46"/>
      <c r="AW97" s="61"/>
      <c r="AX97" s="46"/>
      <c r="AY97" s="46"/>
      <c r="AZ97" s="46"/>
      <c r="BA97" s="46"/>
      <c r="BB97" s="61"/>
      <c r="BC97" s="46"/>
      <c r="BD97" s="46"/>
      <c r="BE97" s="46"/>
      <c r="BF97" s="46"/>
      <c r="BG97" s="61"/>
      <c r="BH97" s="46"/>
      <c r="BI97" s="46"/>
      <c r="BJ97" s="46"/>
      <c r="BK97" s="46"/>
      <c r="BL97" s="61"/>
      <c r="BM97" s="46"/>
      <c r="BN97" s="46"/>
      <c r="BO97" s="46"/>
      <c r="BP97" s="46"/>
      <c r="BQ97" s="61"/>
      <c r="BR97" s="46"/>
      <c r="BS97" s="46"/>
      <c r="BT97" s="46"/>
      <c r="BU97" s="46"/>
      <c r="BV97" s="61"/>
      <c r="BW97" s="173"/>
      <c r="BX97" s="173"/>
      <c r="BY97" s="173"/>
      <c r="BZ97" s="173"/>
      <c r="CA97" s="237"/>
      <c r="CB97" s="173"/>
      <c r="CC97" s="173"/>
      <c r="CD97" s="173"/>
      <c r="CE97" s="173"/>
      <c r="CF97" s="237"/>
      <c r="CG97" s="173"/>
      <c r="CH97" s="173"/>
      <c r="CI97" s="155"/>
      <c r="CJ97" s="173"/>
      <c r="CK97" s="237"/>
      <c r="CL97" s="173"/>
      <c r="CM97" s="173"/>
      <c r="CN97" s="173"/>
      <c r="CO97" s="173"/>
      <c r="CP97" s="237"/>
      <c r="CQ97" s="173"/>
      <c r="CR97" s="49"/>
      <c r="CS97" s="49"/>
      <c r="CT97" s="49"/>
      <c r="CU97" s="237"/>
      <c r="CV97" s="49"/>
      <c r="CW97" s="49"/>
      <c r="CX97" s="49"/>
      <c r="CY97" s="49"/>
      <c r="CZ97" s="237"/>
      <c r="DA97" s="87"/>
      <c r="DB97" s="87"/>
      <c r="DC97" s="87"/>
      <c r="DD97" s="165"/>
      <c r="DE97" s="2"/>
      <c r="DF97" s="237"/>
      <c r="DG97" s="237"/>
      <c r="DH97" s="237"/>
      <c r="DI97" s="450"/>
      <c r="DJ97" s="450"/>
      <c r="DK97" s="2"/>
      <c r="DL97" s="2"/>
      <c r="DM97" s="2"/>
    </row>
    <row r="98" spans="1:124" ht="12" customHeight="1">
      <c r="A98" s="1109">
        <f t="shared" si="113"/>
        <v>93</v>
      </c>
      <c r="B98" s="10"/>
      <c r="C98" s="2" t="s">
        <v>741</v>
      </c>
      <c r="D98" s="2"/>
      <c r="E98" s="319">
        <v>0</v>
      </c>
      <c r="F98" s="319">
        <v>0</v>
      </c>
      <c r="G98" s="319">
        <v>0</v>
      </c>
      <c r="H98" s="319">
        <v>0</v>
      </c>
      <c r="I98" s="319">
        <v>0</v>
      </c>
      <c r="J98" s="117">
        <v>0</v>
      </c>
      <c r="K98" s="117">
        <v>0</v>
      </c>
      <c r="L98" s="117">
        <v>0</v>
      </c>
      <c r="M98" s="117">
        <v>0</v>
      </c>
      <c r="N98" s="60">
        <f>M98</f>
        <v>0</v>
      </c>
      <c r="O98" s="117">
        <v>0</v>
      </c>
      <c r="P98" s="117">
        <v>0</v>
      </c>
      <c r="Q98" s="117">
        <v>0</v>
      </c>
      <c r="R98" s="117">
        <v>0</v>
      </c>
      <c r="S98" s="60">
        <f>R98</f>
        <v>0</v>
      </c>
      <c r="T98" s="117">
        <v>0</v>
      </c>
      <c r="U98" s="117">
        <v>0</v>
      </c>
      <c r="V98" s="117">
        <v>0</v>
      </c>
      <c r="W98" s="117">
        <v>0</v>
      </c>
      <c r="X98" s="60">
        <f>W98</f>
        <v>0</v>
      </c>
      <c r="Y98" s="117">
        <v>5670</v>
      </c>
      <c r="Z98" s="117">
        <v>5669</v>
      </c>
      <c r="AA98" s="117">
        <v>0</v>
      </c>
      <c r="AB98" s="117">
        <v>0</v>
      </c>
      <c r="AC98" s="60">
        <f>AB98</f>
        <v>0</v>
      </c>
      <c r="AD98" s="117">
        <v>0</v>
      </c>
      <c r="AE98" s="117">
        <v>0</v>
      </c>
      <c r="AF98" s="117">
        <v>0</v>
      </c>
      <c r="AG98" s="117">
        <v>0</v>
      </c>
      <c r="AH98" s="60">
        <f>AG98</f>
        <v>0</v>
      </c>
      <c r="AI98" s="117">
        <v>0</v>
      </c>
      <c r="AJ98" s="117">
        <v>0</v>
      </c>
      <c r="AK98" s="117">
        <v>0</v>
      </c>
      <c r="AL98" s="117">
        <v>0</v>
      </c>
      <c r="AM98" s="60">
        <f>AL98</f>
        <v>0</v>
      </c>
      <c r="AN98" s="117">
        <v>0</v>
      </c>
      <c r="AO98" s="117">
        <v>0</v>
      </c>
      <c r="AP98" s="117">
        <v>0</v>
      </c>
      <c r="AQ98" s="117">
        <v>0</v>
      </c>
      <c r="AR98" s="60">
        <f>AQ98</f>
        <v>0</v>
      </c>
      <c r="AS98" s="117">
        <v>0</v>
      </c>
      <c r="AT98" s="117">
        <v>0</v>
      </c>
      <c r="AU98" s="117">
        <v>0</v>
      </c>
      <c r="AV98" s="117">
        <v>0</v>
      </c>
      <c r="AW98" s="60">
        <f>AV98</f>
        <v>0</v>
      </c>
      <c r="AX98" s="117">
        <v>0</v>
      </c>
      <c r="AY98" s="117">
        <v>0</v>
      </c>
      <c r="AZ98" s="117">
        <v>0</v>
      </c>
      <c r="BA98" s="117">
        <v>0</v>
      </c>
      <c r="BB98" s="60">
        <f>BA98</f>
        <v>0</v>
      </c>
      <c r="BC98" s="117">
        <v>0</v>
      </c>
      <c r="BD98" s="117">
        <v>0</v>
      </c>
      <c r="BE98" s="117">
        <v>0</v>
      </c>
      <c r="BF98" s="117">
        <v>0</v>
      </c>
      <c r="BG98" s="60">
        <f>BF98</f>
        <v>0</v>
      </c>
      <c r="BH98" s="117">
        <v>0</v>
      </c>
      <c r="BI98" s="117">
        <v>0</v>
      </c>
      <c r="BJ98" s="117">
        <v>0</v>
      </c>
      <c r="BK98" s="117">
        <v>0</v>
      </c>
      <c r="BL98" s="60">
        <f>BK98</f>
        <v>0</v>
      </c>
      <c r="BM98" s="117">
        <v>0</v>
      </c>
      <c r="BN98" s="117">
        <v>0</v>
      </c>
      <c r="BO98" s="117">
        <v>0</v>
      </c>
      <c r="BP98" s="117">
        <v>0</v>
      </c>
      <c r="BQ98" s="60">
        <f>BP98</f>
        <v>0</v>
      </c>
      <c r="BR98" s="117">
        <v>0</v>
      </c>
      <c r="BS98" s="117">
        <v>0</v>
      </c>
      <c r="BT98" s="117">
        <v>320</v>
      </c>
      <c r="BU98" s="117">
        <v>322</v>
      </c>
      <c r="BV98" s="60">
        <f>BU98</f>
        <v>322</v>
      </c>
      <c r="BW98" s="161">
        <v>324</v>
      </c>
      <c r="BX98" s="161">
        <v>327</v>
      </c>
      <c r="BY98" s="161">
        <v>329</v>
      </c>
      <c r="BZ98" s="161">
        <v>331</v>
      </c>
      <c r="CA98" s="235">
        <f>BZ98</f>
        <v>331</v>
      </c>
      <c r="CB98" s="161">
        <v>331</v>
      </c>
      <c r="CC98" s="161">
        <v>337</v>
      </c>
      <c r="CD98" s="161">
        <v>339</v>
      </c>
      <c r="CE98" s="161">
        <v>342</v>
      </c>
      <c r="CF98" s="235">
        <f>CE98</f>
        <v>342</v>
      </c>
      <c r="CG98" s="161">
        <v>89</v>
      </c>
      <c r="CH98" s="161">
        <v>93</v>
      </c>
      <c r="CI98" s="161">
        <v>94</v>
      </c>
      <c r="CJ98" s="161">
        <v>94</v>
      </c>
      <c r="CK98" s="235">
        <f>CJ98</f>
        <v>94</v>
      </c>
      <c r="CL98" s="161">
        <v>95</v>
      </c>
      <c r="CM98" s="161">
        <v>95</v>
      </c>
      <c r="CN98" s="161">
        <v>96</v>
      </c>
      <c r="CO98" s="161">
        <v>96</v>
      </c>
      <c r="CP98" s="235">
        <f>CO98</f>
        <v>96</v>
      </c>
      <c r="CQ98" s="161">
        <v>97</v>
      </c>
      <c r="CR98" s="161">
        <v>97</v>
      </c>
      <c r="CS98" s="161">
        <v>97</v>
      </c>
      <c r="CT98" s="161">
        <v>98</v>
      </c>
      <c r="CU98" s="235">
        <f t="shared" ref="CU98:DC98" si="154">CT98</f>
        <v>98</v>
      </c>
      <c r="CV98" s="49">
        <f t="shared" si="154"/>
        <v>98</v>
      </c>
      <c r="CW98" s="49">
        <f t="shared" si="154"/>
        <v>98</v>
      </c>
      <c r="CX98" s="49">
        <f t="shared" si="154"/>
        <v>98</v>
      </c>
      <c r="CY98" s="49">
        <f t="shared" si="154"/>
        <v>98</v>
      </c>
      <c r="CZ98" s="235">
        <f t="shared" si="154"/>
        <v>98</v>
      </c>
      <c r="DA98" s="87">
        <f t="shared" si="154"/>
        <v>98</v>
      </c>
      <c r="DB98" s="87">
        <f t="shared" si="154"/>
        <v>98</v>
      </c>
      <c r="DC98" s="87">
        <f t="shared" si="154"/>
        <v>98</v>
      </c>
      <c r="DD98" s="165"/>
      <c r="DE98" s="2"/>
      <c r="DF98" s="235">
        <f>CT98</f>
        <v>98</v>
      </c>
      <c r="DG98" s="235">
        <v>97</v>
      </c>
      <c r="DH98" s="235">
        <f>CO98</f>
        <v>96</v>
      </c>
      <c r="DI98" s="454">
        <f>IF(ISERROR(DF98/DG98-1),"NM",DF98/DG98-1)</f>
        <v>1.0309278350515427E-2</v>
      </c>
      <c r="DJ98" s="454">
        <f>IF(ISERROR(DF98/DH98-1),"NM",DF98/DH98-1)</f>
        <v>2.0833333333333259E-2</v>
      </c>
      <c r="DK98" s="2"/>
      <c r="DL98" s="2"/>
      <c r="DM98" s="2"/>
    </row>
    <row r="99" spans="1:124" ht="12" customHeight="1">
      <c r="A99" s="1109">
        <f t="shared" si="113"/>
        <v>94</v>
      </c>
      <c r="B99" s="10"/>
      <c r="C99" s="6" t="s">
        <v>180</v>
      </c>
      <c r="D99" s="2"/>
      <c r="E99" s="322"/>
      <c r="F99" s="322"/>
      <c r="G99" s="322"/>
      <c r="H99" s="322"/>
      <c r="I99" s="322"/>
      <c r="J99" s="26"/>
      <c r="K99" s="26"/>
      <c r="L99" s="26"/>
      <c r="M99" s="26"/>
      <c r="N99" s="60"/>
      <c r="O99" s="26"/>
      <c r="P99" s="26"/>
      <c r="Q99" s="26"/>
      <c r="R99" s="26"/>
      <c r="S99" s="60"/>
      <c r="T99" s="26"/>
      <c r="U99" s="26"/>
      <c r="V99" s="26"/>
      <c r="W99" s="26"/>
      <c r="X99" s="60"/>
      <c r="Y99" s="26"/>
      <c r="Z99" s="26"/>
      <c r="AA99" s="26"/>
      <c r="AB99" s="26"/>
      <c r="AC99" s="60"/>
      <c r="AD99" s="26"/>
      <c r="AE99" s="26"/>
      <c r="AF99" s="26"/>
      <c r="AG99" s="26"/>
      <c r="AH99" s="60"/>
      <c r="AI99" s="26"/>
      <c r="AJ99" s="26"/>
      <c r="AK99" s="26"/>
      <c r="AL99" s="26"/>
      <c r="AM99" s="60"/>
      <c r="AN99" s="26"/>
      <c r="AO99" s="26"/>
      <c r="AP99" s="26"/>
      <c r="AQ99" s="26"/>
      <c r="AR99" s="60"/>
      <c r="AS99" s="26"/>
      <c r="AT99" s="26"/>
      <c r="AU99" s="26"/>
      <c r="AV99" s="26"/>
      <c r="AW99" s="60"/>
      <c r="AX99" s="26"/>
      <c r="AY99" s="26"/>
      <c r="AZ99" s="26"/>
      <c r="BA99" s="26"/>
      <c r="BB99" s="60"/>
      <c r="BC99" s="26"/>
      <c r="BD99" s="26"/>
      <c r="BE99" s="26"/>
      <c r="BF99" s="26"/>
      <c r="BG99" s="60"/>
      <c r="BH99" s="26"/>
      <c r="BI99" s="26"/>
      <c r="BJ99" s="26"/>
      <c r="BK99" s="26"/>
      <c r="BL99" s="60"/>
      <c r="BM99" s="26"/>
      <c r="BN99" s="26"/>
      <c r="BO99" s="26"/>
      <c r="BP99" s="26"/>
      <c r="BQ99" s="60"/>
      <c r="BR99" s="26"/>
      <c r="BS99" s="26"/>
      <c r="BT99" s="26"/>
      <c r="BU99" s="26"/>
      <c r="BV99" s="60"/>
      <c r="BW99" s="247"/>
      <c r="BX99" s="247"/>
      <c r="BY99" s="247"/>
      <c r="BZ99" s="247"/>
      <c r="CA99" s="235"/>
      <c r="CB99" s="247"/>
      <c r="CC99" s="247"/>
      <c r="CD99" s="247"/>
      <c r="CE99" s="247"/>
      <c r="CF99" s="235"/>
      <c r="CG99" s="247"/>
      <c r="CH99" s="247"/>
      <c r="CI99" s="2"/>
      <c r="CJ99" s="247"/>
      <c r="CK99" s="235"/>
      <c r="CL99" s="247"/>
      <c r="CM99" s="247"/>
      <c r="CN99" s="247"/>
      <c r="CO99" s="247"/>
      <c r="CP99" s="235"/>
      <c r="CQ99" s="247"/>
      <c r="CR99" s="247"/>
      <c r="CS99" s="2"/>
      <c r="CT99" s="2"/>
      <c r="CU99" s="235"/>
      <c r="CZ99" s="235"/>
      <c r="DA99" s="62"/>
      <c r="DB99" s="62"/>
      <c r="DC99" s="62"/>
      <c r="DD99" s="165"/>
      <c r="DE99" s="2"/>
      <c r="DF99" s="235"/>
      <c r="DG99" s="235"/>
      <c r="DH99" s="235"/>
      <c r="DI99" s="454"/>
      <c r="DJ99" s="454"/>
      <c r="DK99" s="2"/>
      <c r="DL99" s="2"/>
      <c r="DM99" s="2"/>
    </row>
    <row r="100" spans="1:124" ht="12" customHeight="1">
      <c r="A100" s="1109">
        <f t="shared" si="113"/>
        <v>95</v>
      </c>
      <c r="B100" s="10"/>
      <c r="C100" s="1" t="s">
        <v>739</v>
      </c>
      <c r="E100" s="319"/>
      <c r="F100" s="319"/>
      <c r="G100" s="319"/>
      <c r="H100" s="319"/>
      <c r="I100" s="319"/>
      <c r="J100" s="117"/>
      <c r="K100" s="117"/>
      <c r="L100" s="117"/>
      <c r="M100" s="117"/>
      <c r="N100" s="60"/>
      <c r="O100" s="117"/>
      <c r="P100" s="117"/>
      <c r="Q100" s="117"/>
      <c r="R100" s="117"/>
      <c r="S100" s="60"/>
      <c r="T100" s="117"/>
      <c r="U100" s="117"/>
      <c r="V100" s="117"/>
      <c r="W100" s="117"/>
      <c r="X100" s="60"/>
      <c r="Y100" s="117"/>
      <c r="Z100" s="117"/>
      <c r="AA100" s="117"/>
      <c r="AB100" s="117"/>
      <c r="AC100" s="60"/>
      <c r="AD100" s="117"/>
      <c r="AE100" s="117"/>
      <c r="AF100" s="117"/>
      <c r="AG100" s="117"/>
      <c r="AH100" s="60"/>
      <c r="AI100" s="117"/>
      <c r="AJ100" s="117"/>
      <c r="AK100" s="117"/>
      <c r="AL100" s="117"/>
      <c r="AM100" s="60"/>
      <c r="AN100" s="117"/>
      <c r="AO100" s="117"/>
      <c r="AP100" s="117"/>
      <c r="AQ100" s="117"/>
      <c r="AR100" s="60"/>
      <c r="AS100" s="117"/>
      <c r="AT100" s="117"/>
      <c r="AU100" s="117"/>
      <c r="AV100" s="117"/>
      <c r="AW100" s="60"/>
      <c r="AX100" s="117"/>
      <c r="AY100" s="117"/>
      <c r="AZ100" s="117"/>
      <c r="BA100" s="117"/>
      <c r="BB100" s="60"/>
      <c r="BC100" s="117"/>
      <c r="BD100" s="117"/>
      <c r="BE100" s="117"/>
      <c r="BF100" s="117"/>
      <c r="BG100" s="60"/>
      <c r="BH100" s="117"/>
      <c r="BI100" s="117"/>
      <c r="BJ100" s="117"/>
      <c r="BK100" s="117"/>
      <c r="BL100" s="60"/>
      <c r="BM100" s="117"/>
      <c r="BN100" s="117"/>
      <c r="BO100" s="117"/>
      <c r="BP100" s="117"/>
      <c r="BQ100" s="60"/>
      <c r="BR100" s="117"/>
      <c r="BS100" s="117"/>
      <c r="BT100" s="117"/>
      <c r="BU100" s="117"/>
      <c r="BV100" s="60"/>
      <c r="BW100" s="161"/>
      <c r="BX100" s="161"/>
      <c r="BY100" s="161"/>
      <c r="BZ100" s="161"/>
      <c r="CA100" s="235"/>
      <c r="CB100" s="161"/>
      <c r="CC100" s="161"/>
      <c r="CD100" s="161"/>
      <c r="CE100" s="161"/>
      <c r="CF100" s="235"/>
      <c r="CG100" s="161"/>
      <c r="CH100" s="161"/>
      <c r="CI100" s="154"/>
      <c r="CJ100" s="161"/>
      <c r="CK100" s="235"/>
      <c r="CL100" s="161"/>
      <c r="CM100" s="161"/>
      <c r="CN100" s="161"/>
      <c r="CO100" s="161"/>
      <c r="CP100" s="235"/>
      <c r="CQ100" s="161"/>
      <c r="CR100" s="161"/>
      <c r="CS100" s="49"/>
      <c r="CT100" s="49"/>
      <c r="CU100" s="235"/>
      <c r="CV100" s="49"/>
      <c r="CW100" s="49"/>
      <c r="CX100" s="49"/>
      <c r="CY100" s="49"/>
      <c r="CZ100" s="235"/>
      <c r="DA100" s="87"/>
      <c r="DB100" s="87"/>
      <c r="DC100" s="87"/>
      <c r="DD100" s="165"/>
      <c r="DE100" s="2"/>
      <c r="DF100" s="235"/>
      <c r="DG100" s="235"/>
      <c r="DH100" s="235"/>
      <c r="DI100" s="454"/>
      <c r="DJ100" s="454"/>
      <c r="DK100" s="2"/>
      <c r="DL100" s="2"/>
      <c r="DM100" s="2"/>
    </row>
    <row r="101" spans="1:124" ht="12" customHeight="1">
      <c r="A101" s="1109">
        <f t="shared" si="113"/>
        <v>96</v>
      </c>
      <c r="B101" s="10"/>
      <c r="C101" s="139" t="s">
        <v>74</v>
      </c>
      <c r="E101" s="319">
        <v>1089</v>
      </c>
      <c r="F101" s="319">
        <v>1118</v>
      </c>
      <c r="G101" s="319">
        <v>1132</v>
      </c>
      <c r="H101" s="319">
        <v>1151</v>
      </c>
      <c r="I101" s="319">
        <v>1151</v>
      </c>
      <c r="J101" s="117">
        <v>1151</v>
      </c>
      <c r="K101" s="117">
        <v>1151</v>
      </c>
      <c r="L101" s="117">
        <v>18</v>
      </c>
      <c r="M101" s="117">
        <v>18</v>
      </c>
      <c r="N101" s="60">
        <f t="shared" ref="N101:N106" si="155">M101</f>
        <v>18</v>
      </c>
      <c r="O101" s="117">
        <v>18</v>
      </c>
      <c r="P101" s="117">
        <v>18</v>
      </c>
      <c r="Q101" s="117">
        <v>18</v>
      </c>
      <c r="R101" s="117">
        <v>18</v>
      </c>
      <c r="S101" s="60">
        <f t="shared" ref="S101:S106" si="156">R101</f>
        <v>18</v>
      </c>
      <c r="T101" s="117">
        <v>18</v>
      </c>
      <c r="U101" s="117">
        <v>18</v>
      </c>
      <c r="V101" s="117">
        <v>18</v>
      </c>
      <c r="W101" s="117">
        <v>18</v>
      </c>
      <c r="X101" s="60">
        <f t="shared" ref="X101:X106" si="157">W101</f>
        <v>18</v>
      </c>
      <c r="Y101" s="117">
        <v>18</v>
      </c>
      <c r="Z101" s="117">
        <v>18</v>
      </c>
      <c r="AA101" s="117">
        <v>18</v>
      </c>
      <c r="AB101" s="117">
        <v>18</v>
      </c>
      <c r="AC101" s="60">
        <f t="shared" ref="AC101:AC106" si="158">AB101</f>
        <v>18</v>
      </c>
      <c r="AD101" s="117">
        <v>18</v>
      </c>
      <c r="AE101" s="117">
        <v>18</v>
      </c>
      <c r="AF101" s="117">
        <v>18</v>
      </c>
      <c r="AG101" s="117">
        <v>18</v>
      </c>
      <c r="AH101" s="60">
        <f t="shared" ref="AH101:AH106" si="159">AG101</f>
        <v>18</v>
      </c>
      <c r="AI101" s="117">
        <v>18</v>
      </c>
      <c r="AJ101" s="117">
        <v>18</v>
      </c>
      <c r="AK101" s="117">
        <v>18</v>
      </c>
      <c r="AL101" s="117">
        <v>18</v>
      </c>
      <c r="AM101" s="60">
        <f t="shared" ref="AM101:AM106" si="160">AL101</f>
        <v>18</v>
      </c>
      <c r="AN101" s="117">
        <v>18</v>
      </c>
      <c r="AO101" s="117">
        <v>18</v>
      </c>
      <c r="AP101" s="117">
        <v>18</v>
      </c>
      <c r="AQ101" s="117">
        <v>18</v>
      </c>
      <c r="AR101" s="60">
        <f t="shared" ref="AR101:AR106" si="161">AQ101</f>
        <v>18</v>
      </c>
      <c r="AS101" s="117">
        <v>18</v>
      </c>
      <c r="AT101" s="117">
        <v>18</v>
      </c>
      <c r="AU101" s="117">
        <v>21</v>
      </c>
      <c r="AV101" s="117">
        <v>21</v>
      </c>
      <c r="AW101" s="60">
        <f t="shared" ref="AW101:AW106" si="162">AV101</f>
        <v>21</v>
      </c>
      <c r="AX101" s="117">
        <v>21</v>
      </c>
      <c r="AY101" s="117">
        <v>22</v>
      </c>
      <c r="AZ101" s="117">
        <v>23</v>
      </c>
      <c r="BA101" s="117">
        <v>23</v>
      </c>
      <c r="BB101" s="60">
        <f t="shared" ref="BB101:BB106" si="163">BA101</f>
        <v>23</v>
      </c>
      <c r="BC101" s="117">
        <v>23</v>
      </c>
      <c r="BD101" s="117">
        <v>32</v>
      </c>
      <c r="BE101" s="117">
        <v>32</v>
      </c>
      <c r="BF101" s="117">
        <v>33</v>
      </c>
      <c r="BG101" s="60">
        <f t="shared" ref="BG101:BG106" si="164">BF101</f>
        <v>33</v>
      </c>
      <c r="BH101" s="117">
        <v>33</v>
      </c>
      <c r="BI101" s="117">
        <v>34</v>
      </c>
      <c r="BJ101" s="117">
        <v>34</v>
      </c>
      <c r="BK101" s="117">
        <v>37</v>
      </c>
      <c r="BL101" s="60">
        <f t="shared" ref="BL101:BL106" si="165">BK101</f>
        <v>37</v>
      </c>
      <c r="BM101" s="117">
        <v>37</v>
      </c>
      <c r="BN101" s="117">
        <v>37</v>
      </c>
      <c r="BO101" s="117">
        <v>37</v>
      </c>
      <c r="BP101" s="117">
        <v>37</v>
      </c>
      <c r="BQ101" s="60">
        <f t="shared" ref="BQ101:BQ106" si="166">BP101</f>
        <v>37</v>
      </c>
      <c r="BR101" s="117">
        <v>38</v>
      </c>
      <c r="BS101" s="117">
        <v>38</v>
      </c>
      <c r="BT101" s="117">
        <v>38</v>
      </c>
      <c r="BU101" s="117">
        <v>39</v>
      </c>
      <c r="BV101" s="60">
        <f t="shared" ref="BV101:BV106" si="167">BU101</f>
        <v>39</v>
      </c>
      <c r="BW101" s="161">
        <v>39</v>
      </c>
      <c r="BX101" s="161">
        <v>39</v>
      </c>
      <c r="BY101" s="161">
        <v>39</v>
      </c>
      <c r="BZ101" s="161">
        <v>39</v>
      </c>
      <c r="CA101" s="235">
        <f t="shared" ref="CA101:CA106" si="168">BZ101</f>
        <v>39</v>
      </c>
      <c r="CB101" s="161">
        <v>39</v>
      </c>
      <c r="CC101" s="161">
        <v>39</v>
      </c>
      <c r="CD101" s="161">
        <v>39</v>
      </c>
      <c r="CE101" s="161">
        <v>39</v>
      </c>
      <c r="CF101" s="235">
        <f t="shared" ref="CF101:CF106" si="169">CE101</f>
        <v>39</v>
      </c>
      <c r="CG101" s="161">
        <v>40</v>
      </c>
      <c r="CH101" s="161">
        <v>40</v>
      </c>
      <c r="CI101" s="154">
        <v>40</v>
      </c>
      <c r="CJ101" s="161">
        <v>40</v>
      </c>
      <c r="CK101" s="235">
        <f t="shared" ref="CK101:CK106" si="170">CJ101</f>
        <v>40</v>
      </c>
      <c r="CL101" s="161">
        <v>40</v>
      </c>
      <c r="CM101" s="161">
        <v>40</v>
      </c>
      <c r="CN101" s="161">
        <v>40</v>
      </c>
      <c r="CO101" s="161">
        <v>40</v>
      </c>
      <c r="CP101" s="235">
        <f t="shared" ref="CP101:CP106" si="171">CO101</f>
        <v>40</v>
      </c>
      <c r="CQ101" s="161">
        <v>40</v>
      </c>
      <c r="CR101" s="161">
        <v>40</v>
      </c>
      <c r="CS101" s="161">
        <v>40</v>
      </c>
      <c r="CT101" s="49">
        <v>40</v>
      </c>
      <c r="CU101" s="235">
        <f t="shared" ref="CU101:CU106" si="172">CT101</f>
        <v>40</v>
      </c>
      <c r="CV101" s="49">
        <f t="shared" ref="CV101:DC102" si="173">CU101</f>
        <v>40</v>
      </c>
      <c r="CW101" s="49">
        <f t="shared" si="173"/>
        <v>40</v>
      </c>
      <c r="CX101" s="49">
        <f t="shared" si="173"/>
        <v>40</v>
      </c>
      <c r="CY101" s="49">
        <f t="shared" si="173"/>
        <v>40</v>
      </c>
      <c r="CZ101" s="235">
        <f t="shared" si="173"/>
        <v>40</v>
      </c>
      <c r="DA101" s="87">
        <f t="shared" si="173"/>
        <v>40</v>
      </c>
      <c r="DB101" s="87">
        <f t="shared" si="173"/>
        <v>40</v>
      </c>
      <c r="DC101" s="87">
        <f t="shared" si="173"/>
        <v>40</v>
      </c>
      <c r="DD101" s="165"/>
      <c r="DE101" s="2"/>
      <c r="DF101" s="235">
        <f t="shared" ref="DF101:DF107" si="174">CT101</f>
        <v>40</v>
      </c>
      <c r="DG101" s="235">
        <v>40</v>
      </c>
      <c r="DH101" s="235">
        <f t="shared" ref="DH101:DH107" si="175">CO101</f>
        <v>40</v>
      </c>
      <c r="DI101" s="454">
        <f t="shared" ref="DI101:DI107" si="176">IF(ISERROR(DF101/DG101-1),"NM",DF101/DG101-1)</f>
        <v>0</v>
      </c>
      <c r="DJ101" s="454">
        <f t="shared" ref="DJ101:DJ107" si="177">IF(ISERROR(DF101/DH101-1),"NM",DF101/DH101-1)</f>
        <v>0</v>
      </c>
      <c r="DK101" s="2"/>
      <c r="DL101" s="2"/>
      <c r="DM101" s="2"/>
    </row>
    <row r="102" spans="1:124" ht="12" customHeight="1">
      <c r="A102" s="1109">
        <f t="shared" si="113"/>
        <v>97</v>
      </c>
      <c r="B102" s="10"/>
      <c r="C102" s="139" t="s">
        <v>740</v>
      </c>
      <c r="E102" s="319">
        <v>71</v>
      </c>
      <c r="F102" s="319">
        <v>71</v>
      </c>
      <c r="G102" s="319">
        <v>71</v>
      </c>
      <c r="H102" s="319">
        <v>71</v>
      </c>
      <c r="I102" s="319">
        <v>71</v>
      </c>
      <c r="J102" s="117">
        <v>71</v>
      </c>
      <c r="K102" s="117">
        <v>71</v>
      </c>
      <c r="L102" s="117">
        <v>1</v>
      </c>
      <c r="M102" s="117">
        <v>1</v>
      </c>
      <c r="N102" s="60">
        <f t="shared" si="155"/>
        <v>1</v>
      </c>
      <c r="O102" s="117">
        <v>1</v>
      </c>
      <c r="P102" s="117">
        <v>1</v>
      </c>
      <c r="Q102" s="117">
        <v>1</v>
      </c>
      <c r="R102" s="117">
        <v>1</v>
      </c>
      <c r="S102" s="60">
        <f t="shared" si="156"/>
        <v>1</v>
      </c>
      <c r="T102" s="117">
        <v>1</v>
      </c>
      <c r="U102" s="117">
        <v>1</v>
      </c>
      <c r="V102" s="117">
        <v>1</v>
      </c>
      <c r="W102" s="117">
        <v>1</v>
      </c>
      <c r="X102" s="60">
        <f t="shared" si="157"/>
        <v>1</v>
      </c>
      <c r="Y102" s="117">
        <v>1</v>
      </c>
      <c r="Z102" s="117">
        <v>1</v>
      </c>
      <c r="AA102" s="117">
        <v>1</v>
      </c>
      <c r="AB102" s="117">
        <v>1</v>
      </c>
      <c r="AC102" s="60">
        <f t="shared" si="158"/>
        <v>1</v>
      </c>
      <c r="AD102" s="117">
        <v>1</v>
      </c>
      <c r="AE102" s="117">
        <v>1</v>
      </c>
      <c r="AF102" s="117">
        <v>1</v>
      </c>
      <c r="AG102" s="117">
        <v>1</v>
      </c>
      <c r="AH102" s="60">
        <f t="shared" si="159"/>
        <v>1</v>
      </c>
      <c r="AI102" s="117">
        <v>1</v>
      </c>
      <c r="AJ102" s="117">
        <v>1</v>
      </c>
      <c r="AK102" s="117">
        <v>1</v>
      </c>
      <c r="AL102" s="117">
        <v>1</v>
      </c>
      <c r="AM102" s="60">
        <f t="shared" si="160"/>
        <v>1</v>
      </c>
      <c r="AN102" s="117">
        <v>1</v>
      </c>
      <c r="AO102" s="117">
        <v>1</v>
      </c>
      <c r="AP102" s="117">
        <v>1</v>
      </c>
      <c r="AQ102" s="117">
        <v>1</v>
      </c>
      <c r="AR102" s="60">
        <f t="shared" si="161"/>
        <v>1</v>
      </c>
      <c r="AS102" s="117">
        <v>1</v>
      </c>
      <c r="AT102" s="117">
        <v>1</v>
      </c>
      <c r="AU102" s="117">
        <v>1</v>
      </c>
      <c r="AV102" s="117">
        <v>1</v>
      </c>
      <c r="AW102" s="60">
        <f t="shared" si="162"/>
        <v>1</v>
      </c>
      <c r="AX102" s="117">
        <v>1</v>
      </c>
      <c r="AY102" s="117">
        <v>1</v>
      </c>
      <c r="AZ102" s="117">
        <v>1</v>
      </c>
      <c r="BA102" s="117">
        <v>1</v>
      </c>
      <c r="BB102" s="60">
        <f t="shared" si="163"/>
        <v>1</v>
      </c>
      <c r="BC102" s="117">
        <v>1</v>
      </c>
      <c r="BD102" s="117">
        <v>1</v>
      </c>
      <c r="BE102" s="117">
        <v>1</v>
      </c>
      <c r="BF102" s="117">
        <v>1</v>
      </c>
      <c r="BG102" s="60">
        <f t="shared" si="164"/>
        <v>1</v>
      </c>
      <c r="BH102" s="117">
        <v>1</v>
      </c>
      <c r="BI102" s="117">
        <v>1</v>
      </c>
      <c r="BJ102" s="117">
        <v>1</v>
      </c>
      <c r="BK102" s="117">
        <v>1</v>
      </c>
      <c r="BL102" s="60">
        <f t="shared" si="165"/>
        <v>1</v>
      </c>
      <c r="BM102" s="117">
        <v>1</v>
      </c>
      <c r="BN102" s="117">
        <v>1</v>
      </c>
      <c r="BO102" s="117">
        <v>1</v>
      </c>
      <c r="BP102" s="117">
        <v>1</v>
      </c>
      <c r="BQ102" s="60">
        <f t="shared" si="166"/>
        <v>1</v>
      </c>
      <c r="BR102" s="117">
        <v>1</v>
      </c>
      <c r="BS102" s="117">
        <v>1</v>
      </c>
      <c r="BT102" s="117">
        <v>1</v>
      </c>
      <c r="BU102" s="117">
        <v>1</v>
      </c>
      <c r="BV102" s="60">
        <f t="shared" si="167"/>
        <v>1</v>
      </c>
      <c r="BW102" s="161">
        <v>1</v>
      </c>
      <c r="BX102" s="161">
        <v>1</v>
      </c>
      <c r="BY102" s="161">
        <v>1</v>
      </c>
      <c r="BZ102" s="161">
        <v>1</v>
      </c>
      <c r="CA102" s="235">
        <f t="shared" si="168"/>
        <v>1</v>
      </c>
      <c r="CB102" s="161">
        <v>1</v>
      </c>
      <c r="CC102" s="161">
        <v>1</v>
      </c>
      <c r="CD102" s="161">
        <v>1</v>
      </c>
      <c r="CE102" s="161">
        <v>1</v>
      </c>
      <c r="CF102" s="235">
        <f t="shared" si="169"/>
        <v>1</v>
      </c>
      <c r="CG102" s="161">
        <v>1</v>
      </c>
      <c r="CH102" s="161">
        <v>1</v>
      </c>
      <c r="CI102" s="154">
        <v>1</v>
      </c>
      <c r="CJ102" s="161">
        <v>1</v>
      </c>
      <c r="CK102" s="235">
        <f t="shared" si="170"/>
        <v>1</v>
      </c>
      <c r="CL102" s="161">
        <v>1</v>
      </c>
      <c r="CM102" s="161">
        <v>1</v>
      </c>
      <c r="CN102" s="161">
        <v>1</v>
      </c>
      <c r="CO102" s="161">
        <v>1</v>
      </c>
      <c r="CP102" s="235">
        <f t="shared" si="171"/>
        <v>1</v>
      </c>
      <c r="CQ102" s="161">
        <v>1</v>
      </c>
      <c r="CR102" s="161">
        <v>1</v>
      </c>
      <c r="CS102" s="161">
        <v>1</v>
      </c>
      <c r="CT102" s="49">
        <v>1</v>
      </c>
      <c r="CU102" s="235">
        <f t="shared" si="172"/>
        <v>1</v>
      </c>
      <c r="CV102" s="49">
        <f t="shared" si="173"/>
        <v>1</v>
      </c>
      <c r="CW102" s="49">
        <f t="shared" si="173"/>
        <v>1</v>
      </c>
      <c r="CX102" s="49">
        <f t="shared" si="173"/>
        <v>1</v>
      </c>
      <c r="CY102" s="49">
        <f t="shared" si="173"/>
        <v>1</v>
      </c>
      <c r="CZ102" s="235">
        <f t="shared" si="173"/>
        <v>1</v>
      </c>
      <c r="DA102" s="87">
        <f t="shared" si="173"/>
        <v>1</v>
      </c>
      <c r="DB102" s="87">
        <f t="shared" si="173"/>
        <v>1</v>
      </c>
      <c r="DC102" s="87">
        <f t="shared" si="173"/>
        <v>1</v>
      </c>
      <c r="DD102" s="165"/>
      <c r="DE102" s="2"/>
      <c r="DF102" s="235">
        <f t="shared" si="174"/>
        <v>1</v>
      </c>
      <c r="DG102" s="235">
        <v>1</v>
      </c>
      <c r="DH102" s="235">
        <f t="shared" si="175"/>
        <v>1</v>
      </c>
      <c r="DI102" s="454">
        <f t="shared" si="176"/>
        <v>0</v>
      </c>
      <c r="DJ102" s="454">
        <f t="shared" si="177"/>
        <v>0</v>
      </c>
      <c r="DK102" s="2"/>
      <c r="DL102" s="2"/>
      <c r="DM102" s="2"/>
    </row>
    <row r="103" spans="1:124" ht="12" customHeight="1">
      <c r="A103" s="1109">
        <f t="shared" si="113"/>
        <v>98</v>
      </c>
      <c r="B103" s="10"/>
      <c r="C103" s="1" t="s">
        <v>75</v>
      </c>
      <c r="E103" s="319">
        <v>5105</v>
      </c>
      <c r="F103" s="319">
        <v>5268</v>
      </c>
      <c r="G103" s="319">
        <v>5564</v>
      </c>
      <c r="H103" s="319">
        <v>5283</v>
      </c>
      <c r="I103" s="319">
        <v>5049</v>
      </c>
      <c r="J103" s="117">
        <v>4971</v>
      </c>
      <c r="K103" s="117">
        <v>4936</v>
      </c>
      <c r="L103" s="117">
        <v>5969</v>
      </c>
      <c r="M103" s="117">
        <v>6174</v>
      </c>
      <c r="N103" s="60">
        <f t="shared" si="155"/>
        <v>6174</v>
      </c>
      <c r="O103" s="117">
        <v>6035</v>
      </c>
      <c r="P103" s="117">
        <v>5980</v>
      </c>
      <c r="Q103" s="117">
        <v>5970</v>
      </c>
      <c r="R103" s="117">
        <v>6001</v>
      </c>
      <c r="S103" s="60">
        <f t="shared" si="156"/>
        <v>6001</v>
      </c>
      <c r="T103" s="117">
        <v>6008</v>
      </c>
      <c r="U103" s="117">
        <v>5868</v>
      </c>
      <c r="V103" s="117">
        <v>5699</v>
      </c>
      <c r="W103" s="117">
        <v>5420</v>
      </c>
      <c r="X103" s="60">
        <f t="shared" si="157"/>
        <v>5420</v>
      </c>
      <c r="Y103" s="117">
        <v>5435</v>
      </c>
      <c r="Z103" s="117">
        <v>5396</v>
      </c>
      <c r="AA103" s="117">
        <v>5432</v>
      </c>
      <c r="AB103" s="117">
        <v>5374</v>
      </c>
      <c r="AC103" s="60">
        <f t="shared" si="158"/>
        <v>5374</v>
      </c>
      <c r="AD103" s="117">
        <v>5373</v>
      </c>
      <c r="AE103" s="117">
        <v>5341</v>
      </c>
      <c r="AF103" s="117">
        <v>5357</v>
      </c>
      <c r="AG103" s="117">
        <v>5321</v>
      </c>
      <c r="AH103" s="60">
        <f t="shared" si="159"/>
        <v>5321</v>
      </c>
      <c r="AI103" s="117">
        <v>5224</v>
      </c>
      <c r="AJ103" s="117">
        <v>5110</v>
      </c>
      <c r="AK103" s="117">
        <v>4956</v>
      </c>
      <c r="AL103" s="117">
        <v>4872</v>
      </c>
      <c r="AM103" s="60">
        <f t="shared" si="160"/>
        <v>4872</v>
      </c>
      <c r="AN103" s="117">
        <v>4778</v>
      </c>
      <c r="AO103" s="117">
        <v>4636</v>
      </c>
      <c r="AP103" s="117">
        <v>4579</v>
      </c>
      <c r="AQ103" s="117">
        <v>4562</v>
      </c>
      <c r="AR103" s="60">
        <f t="shared" si="161"/>
        <v>4562</v>
      </c>
      <c r="AS103" s="117">
        <v>4596</v>
      </c>
      <c r="AT103" s="117">
        <v>4663</v>
      </c>
      <c r="AU103" s="117">
        <v>7273</v>
      </c>
      <c r="AV103" s="117">
        <v>7834</v>
      </c>
      <c r="AW103" s="60">
        <f t="shared" si="162"/>
        <v>7834</v>
      </c>
      <c r="AX103" s="117">
        <v>7988</v>
      </c>
      <c r="AY103" s="117">
        <v>8386</v>
      </c>
      <c r="AZ103" s="117">
        <v>8910</v>
      </c>
      <c r="BA103" s="117">
        <v>10875</v>
      </c>
      <c r="BB103" s="60">
        <f t="shared" si="163"/>
        <v>10875</v>
      </c>
      <c r="BC103" s="117">
        <v>10985</v>
      </c>
      <c r="BD103" s="117">
        <v>13929</v>
      </c>
      <c r="BE103" s="117">
        <v>14698</v>
      </c>
      <c r="BF103" s="117">
        <v>16786</v>
      </c>
      <c r="BG103" s="60">
        <f t="shared" si="164"/>
        <v>16786</v>
      </c>
      <c r="BH103" s="117">
        <v>17382</v>
      </c>
      <c r="BI103" s="117">
        <v>17759</v>
      </c>
      <c r="BJ103" s="117">
        <v>18190</v>
      </c>
      <c r="BK103" s="117">
        <v>20803</v>
      </c>
      <c r="BL103" s="60">
        <f t="shared" si="165"/>
        <v>20803</v>
      </c>
      <c r="BM103" s="117">
        <v>20723</v>
      </c>
      <c r="BN103" s="117">
        <v>20762</v>
      </c>
      <c r="BO103" s="117">
        <v>20819</v>
      </c>
      <c r="BP103" s="117">
        <v>20905</v>
      </c>
      <c r="BQ103" s="60">
        <f t="shared" si="166"/>
        <v>20905</v>
      </c>
      <c r="BR103" s="117">
        <v>20884</v>
      </c>
      <c r="BS103" s="117">
        <v>20920</v>
      </c>
      <c r="BT103" s="117">
        <v>20931</v>
      </c>
      <c r="BU103" s="117">
        <v>20976</v>
      </c>
      <c r="BV103" s="60">
        <f t="shared" si="167"/>
        <v>20976</v>
      </c>
      <c r="BW103" s="161">
        <v>21094</v>
      </c>
      <c r="BX103" s="161">
        <v>21219</v>
      </c>
      <c r="BY103" s="161">
        <v>21378</v>
      </c>
      <c r="BZ103" s="161">
        <v>21422</v>
      </c>
      <c r="CA103" s="235">
        <f t="shared" si="168"/>
        <v>21422</v>
      </c>
      <c r="CB103" s="161">
        <v>21547</v>
      </c>
      <c r="CC103" s="161">
        <v>21605</v>
      </c>
      <c r="CD103" s="161">
        <v>21680</v>
      </c>
      <c r="CE103" s="161">
        <v>21089</v>
      </c>
      <c r="CF103" s="235">
        <f t="shared" si="169"/>
        <v>21089</v>
      </c>
      <c r="CG103" s="161">
        <v>21273</v>
      </c>
      <c r="CH103" s="161">
        <v>21317</v>
      </c>
      <c r="CI103" s="154">
        <v>21354</v>
      </c>
      <c r="CJ103" s="161">
        <v>21421</v>
      </c>
      <c r="CK103" s="235">
        <f t="shared" si="170"/>
        <v>21421</v>
      </c>
      <c r="CL103" s="161">
        <v>21454</v>
      </c>
      <c r="CM103" s="161">
        <v>21546</v>
      </c>
      <c r="CN103" s="161">
        <v>21598</v>
      </c>
      <c r="CO103" s="161">
        <v>21630</v>
      </c>
      <c r="CP103" s="235">
        <f t="shared" si="171"/>
        <v>21630</v>
      </c>
      <c r="CQ103" s="161">
        <v>21637</v>
      </c>
      <c r="CR103" s="161">
        <v>21735</v>
      </c>
      <c r="CS103" s="161">
        <v>21804</v>
      </c>
      <c r="CT103" s="49">
        <v>21843</v>
      </c>
      <c r="CU103" s="235">
        <f t="shared" si="172"/>
        <v>21843</v>
      </c>
      <c r="CV103" s="49">
        <f>CU103+CV162</f>
        <v>21843</v>
      </c>
      <c r="CW103" s="49">
        <f>CV103+CW162</f>
        <v>21743</v>
      </c>
      <c r="CX103" s="49">
        <f>CW103+CX162</f>
        <v>21743</v>
      </c>
      <c r="CY103" s="49">
        <f>CX103+CY162</f>
        <v>21743</v>
      </c>
      <c r="CZ103" s="235">
        <f>CY103</f>
        <v>21743</v>
      </c>
      <c r="DA103" s="87">
        <f>CZ103+DA162</f>
        <v>21743</v>
      </c>
      <c r="DB103" s="87">
        <f>DA103+DB162</f>
        <v>21743</v>
      </c>
      <c r="DC103" s="87">
        <f>DB103+DC162</f>
        <v>21743</v>
      </c>
      <c r="DD103" s="165"/>
      <c r="DE103" s="2"/>
      <c r="DF103" s="235">
        <f t="shared" si="174"/>
        <v>21843</v>
      </c>
      <c r="DG103" s="235">
        <v>21804</v>
      </c>
      <c r="DH103" s="235">
        <f t="shared" si="175"/>
        <v>21630</v>
      </c>
      <c r="DI103" s="454">
        <f t="shared" si="176"/>
        <v>1.7886626307099807E-3</v>
      </c>
      <c r="DJ103" s="454">
        <f t="shared" si="177"/>
        <v>9.8474341192786863E-3</v>
      </c>
      <c r="DK103" s="2"/>
      <c r="DL103" s="2"/>
      <c r="DM103" s="2"/>
    </row>
    <row r="104" spans="1:124" ht="12" customHeight="1">
      <c r="A104" s="1109">
        <f t="shared" si="113"/>
        <v>99</v>
      </c>
      <c r="B104" s="10"/>
      <c r="C104" s="1" t="s">
        <v>67</v>
      </c>
      <c r="E104" s="319">
        <v>17688</v>
      </c>
      <c r="F104" s="319">
        <v>20334</v>
      </c>
      <c r="G104" s="319">
        <v>25234</v>
      </c>
      <c r="H104" s="319">
        <v>19659</v>
      </c>
      <c r="I104" s="319">
        <v>24606</v>
      </c>
      <c r="J104" s="117">
        <v>26078</v>
      </c>
      <c r="K104" s="117">
        <v>22823</v>
      </c>
      <c r="L104" s="117">
        <v>17374</v>
      </c>
      <c r="M104" s="117">
        <v>17884</v>
      </c>
      <c r="N104" s="60">
        <f t="shared" si="155"/>
        <v>17884</v>
      </c>
      <c r="O104" s="117">
        <v>18386</v>
      </c>
      <c r="P104" s="117">
        <v>17084</v>
      </c>
      <c r="Q104" s="117">
        <v>15845</v>
      </c>
      <c r="R104" s="117">
        <v>10502</v>
      </c>
      <c r="S104" s="60">
        <f t="shared" si="156"/>
        <v>10502</v>
      </c>
      <c r="T104" s="117">
        <v>9518</v>
      </c>
      <c r="U104" s="117">
        <v>9609</v>
      </c>
      <c r="V104" s="117">
        <v>9096</v>
      </c>
      <c r="W104" s="117">
        <v>8659</v>
      </c>
      <c r="X104" s="60">
        <f t="shared" si="157"/>
        <v>8659</v>
      </c>
      <c r="Y104" s="117">
        <v>9371</v>
      </c>
      <c r="Z104" s="117">
        <v>9606</v>
      </c>
      <c r="AA104" s="117">
        <v>9398</v>
      </c>
      <c r="AB104" s="117">
        <v>8421</v>
      </c>
      <c r="AC104" s="60">
        <f t="shared" si="158"/>
        <v>8421</v>
      </c>
      <c r="AD104" s="117">
        <v>10190</v>
      </c>
      <c r="AE104" s="117">
        <v>11171</v>
      </c>
      <c r="AF104" s="117">
        <v>11255</v>
      </c>
      <c r="AG104" s="117">
        <v>12362</v>
      </c>
      <c r="AH104" s="60">
        <f t="shared" si="159"/>
        <v>12362</v>
      </c>
      <c r="AI104" s="117">
        <v>12205</v>
      </c>
      <c r="AJ104" s="117">
        <v>12966</v>
      </c>
      <c r="AK104" s="117">
        <v>12497</v>
      </c>
      <c r="AL104" s="117">
        <v>13064</v>
      </c>
      <c r="AM104" s="60">
        <f t="shared" si="160"/>
        <v>13064</v>
      </c>
      <c r="AN104" s="117">
        <v>11088</v>
      </c>
      <c r="AO104" s="117">
        <v>10950</v>
      </c>
      <c r="AP104" s="117">
        <v>5608</v>
      </c>
      <c r="AQ104" s="117">
        <v>-17</v>
      </c>
      <c r="AR104" s="60">
        <f t="shared" si="161"/>
        <v>-17</v>
      </c>
      <c r="AS104" s="117">
        <v>956</v>
      </c>
      <c r="AT104" s="117">
        <v>1707</v>
      </c>
      <c r="AU104" s="117">
        <v>1326</v>
      </c>
      <c r="AV104" s="117">
        <v>-1485</v>
      </c>
      <c r="AW104" s="60">
        <f t="shared" si="162"/>
        <v>-1485</v>
      </c>
      <c r="AX104" s="117">
        <v>-1372</v>
      </c>
      <c r="AY104" s="117">
        <v>-10040</v>
      </c>
      <c r="AZ104" s="117">
        <v>-10169</v>
      </c>
      <c r="BA104" s="117">
        <v>-16316</v>
      </c>
      <c r="BB104" s="60">
        <f t="shared" si="163"/>
        <v>-16316</v>
      </c>
      <c r="BC104" s="117">
        <v>-17782</v>
      </c>
      <c r="BD104" s="117">
        <v>-15521</v>
      </c>
      <c r="BE104" s="117">
        <v>-14524</v>
      </c>
      <c r="BF104" s="117">
        <v>-13599</v>
      </c>
      <c r="BG104" s="60">
        <f t="shared" si="164"/>
        <v>-13599</v>
      </c>
      <c r="BH104" s="117">
        <v>-11514</v>
      </c>
      <c r="BI104" s="117">
        <v>-8915</v>
      </c>
      <c r="BJ104" s="117">
        <v>-7228</v>
      </c>
      <c r="BK104" s="117">
        <v>-7038</v>
      </c>
      <c r="BL104" s="60">
        <f t="shared" si="165"/>
        <v>-7038</v>
      </c>
      <c r="BM104" s="117">
        <v>-4487</v>
      </c>
      <c r="BN104" s="117">
        <v>-2089</v>
      </c>
      <c r="BO104" s="117">
        <v>-440</v>
      </c>
      <c r="BP104" s="117">
        <v>12985</v>
      </c>
      <c r="BQ104" s="60">
        <f t="shared" si="166"/>
        <v>12985</v>
      </c>
      <c r="BR104" s="117">
        <v>14190</v>
      </c>
      <c r="BS104" s="117">
        <v>15230</v>
      </c>
      <c r="BT104" s="117">
        <v>16670</v>
      </c>
      <c r="BU104" s="117">
        <v>18077</v>
      </c>
      <c r="BV104" s="60">
        <f t="shared" si="167"/>
        <v>18077</v>
      </c>
      <c r="BW104" s="161">
        <v>19296</v>
      </c>
      <c r="BX104" s="161">
        <v>20136</v>
      </c>
      <c r="BY104" s="161">
        <v>21014</v>
      </c>
      <c r="BZ104" s="161">
        <v>23386</v>
      </c>
      <c r="CA104" s="235">
        <f t="shared" si="168"/>
        <v>23386</v>
      </c>
      <c r="CB104" s="161">
        <v>23882</v>
      </c>
      <c r="CC104" s="161">
        <v>24699</v>
      </c>
      <c r="CD104" s="161">
        <v>25051</v>
      </c>
      <c r="CE104" s="161">
        <v>9422</v>
      </c>
      <c r="CF104" s="235">
        <f t="shared" si="169"/>
        <v>9422</v>
      </c>
      <c r="CG104" s="161">
        <v>24887</v>
      </c>
      <c r="CH104" s="161">
        <v>26175</v>
      </c>
      <c r="CI104" s="154">
        <v>27489</v>
      </c>
      <c r="CJ104" s="161">
        <v>14414</v>
      </c>
      <c r="CK104" s="235">
        <f t="shared" si="170"/>
        <v>14414</v>
      </c>
      <c r="CL104" s="161">
        <v>15278</v>
      </c>
      <c r="CM104" s="161">
        <v>16652</v>
      </c>
      <c r="CN104" s="161">
        <v>17013</v>
      </c>
      <c r="CO104" s="161">
        <v>15634</v>
      </c>
      <c r="CP104" s="235">
        <f t="shared" si="171"/>
        <v>15634</v>
      </c>
      <c r="CQ104" s="161">
        <v>16992</v>
      </c>
      <c r="CR104" s="161">
        <v>18437</v>
      </c>
      <c r="CS104" s="161">
        <v>19405</v>
      </c>
      <c r="CT104" s="49">
        <v>21218</v>
      </c>
      <c r="CU104" s="235">
        <f t="shared" si="172"/>
        <v>21218</v>
      </c>
      <c r="CV104" s="49">
        <f>CU104+CV132+CV161</f>
        <v>21601.472709039997</v>
      </c>
      <c r="CW104" s="49">
        <f>CV104+CW132+CW161</f>
        <v>22777.79113799</v>
      </c>
      <c r="CX104" s="49">
        <f>CW104+CX132+CX161</f>
        <v>23515.46706694</v>
      </c>
      <c r="CY104" s="49">
        <f>CX104+CY132+CY161</f>
        <v>24105.88049589</v>
      </c>
      <c r="CZ104" s="235">
        <f>CY104</f>
        <v>24105.88049589</v>
      </c>
      <c r="DA104" s="87">
        <f>CZ104+DA132+DA161</f>
        <v>27960.790841528531</v>
      </c>
      <c r="DB104" s="87">
        <f>DA104+DB132+DB161</f>
        <v>32089.645769057846</v>
      </c>
      <c r="DC104" s="87">
        <f>DB104+DC132+DC161</f>
        <v>36602.157489097335</v>
      </c>
      <c r="DD104" s="165"/>
      <c r="DE104" s="2"/>
      <c r="DF104" s="235">
        <f t="shared" si="174"/>
        <v>21218</v>
      </c>
      <c r="DG104" s="235">
        <v>20561.335089557455</v>
      </c>
      <c r="DH104" s="235">
        <f t="shared" si="175"/>
        <v>15634</v>
      </c>
      <c r="DI104" s="454">
        <f t="shared" si="176"/>
        <v>3.1936880926377587E-2</v>
      </c>
      <c r="DJ104" s="454">
        <f t="shared" si="177"/>
        <v>0.35717026992452339</v>
      </c>
      <c r="DK104" s="2"/>
      <c r="DL104" s="2"/>
      <c r="DM104" s="2"/>
    </row>
    <row r="105" spans="1:124" ht="12" customHeight="1">
      <c r="A105" s="1109">
        <f t="shared" si="113"/>
        <v>100</v>
      </c>
      <c r="B105" s="10"/>
      <c r="C105" s="1" t="s">
        <v>354</v>
      </c>
      <c r="E105" s="319">
        <v>594</v>
      </c>
      <c r="F105" s="319">
        <v>-29</v>
      </c>
      <c r="G105" s="319">
        <v>-1228</v>
      </c>
      <c r="H105" s="319">
        <v>-1670</v>
      </c>
      <c r="I105" s="319">
        <v>-1856</v>
      </c>
      <c r="J105" s="117">
        <v>-2453</v>
      </c>
      <c r="K105" s="117">
        <v>-2934</v>
      </c>
      <c r="L105" s="117">
        <v>-3913</v>
      </c>
      <c r="M105" s="117">
        <v>-3432</v>
      </c>
      <c r="N105" s="60">
        <f t="shared" si="155"/>
        <v>-3432</v>
      </c>
      <c r="O105" s="117">
        <v>-5768</v>
      </c>
      <c r="P105" s="117">
        <v>-6350</v>
      </c>
      <c r="Q105" s="117">
        <v>-5575</v>
      </c>
      <c r="R105" s="117">
        <v>-5913</v>
      </c>
      <c r="S105" s="60">
        <f t="shared" si="156"/>
        <v>-5913</v>
      </c>
      <c r="T105" s="117">
        <v>-5253</v>
      </c>
      <c r="U105" s="117">
        <v>-2932</v>
      </c>
      <c r="V105" s="117">
        <v>-2524</v>
      </c>
      <c r="W105" s="117">
        <v>-6531</v>
      </c>
      <c r="X105" s="60">
        <f t="shared" si="157"/>
        <v>-6531</v>
      </c>
      <c r="Y105" s="117">
        <v>-6119</v>
      </c>
      <c r="Z105" s="117">
        <v>-5065</v>
      </c>
      <c r="AA105" s="117">
        <v>-4756</v>
      </c>
      <c r="AB105" s="117">
        <v>-414</v>
      </c>
      <c r="AC105" s="60">
        <f t="shared" si="158"/>
        <v>-414</v>
      </c>
      <c r="AD105" s="117">
        <v>-1787</v>
      </c>
      <c r="AE105" s="117">
        <v>-1209</v>
      </c>
      <c r="AF105" s="117">
        <v>-794</v>
      </c>
      <c r="AG105" s="117">
        <v>1463</v>
      </c>
      <c r="AH105" s="60">
        <f t="shared" si="159"/>
        <v>1463</v>
      </c>
      <c r="AI105" s="117">
        <v>-150</v>
      </c>
      <c r="AJ105" s="117">
        <v>-2611</v>
      </c>
      <c r="AK105" s="117">
        <v>-2454</v>
      </c>
      <c r="AL105" s="117">
        <v>-3680</v>
      </c>
      <c r="AM105" s="60">
        <f t="shared" si="160"/>
        <v>-3680</v>
      </c>
      <c r="AN105" s="117">
        <v>-3156</v>
      </c>
      <c r="AO105" s="117">
        <v>-403</v>
      </c>
      <c r="AP105" s="117">
        <v>-785</v>
      </c>
      <c r="AQ105" s="117">
        <v>-7846</v>
      </c>
      <c r="AR105" s="60">
        <f t="shared" si="161"/>
        <v>-7846</v>
      </c>
      <c r="AS105" s="117">
        <v>-9106</v>
      </c>
      <c r="AT105" s="117">
        <v>-8146</v>
      </c>
      <c r="AU105" s="117">
        <v>-7272</v>
      </c>
      <c r="AV105" s="117">
        <v>-558</v>
      </c>
      <c r="AW105" s="60">
        <f t="shared" si="162"/>
        <v>-558</v>
      </c>
      <c r="AX105" s="117">
        <v>657</v>
      </c>
      <c r="AY105" s="117">
        <v>131</v>
      </c>
      <c r="AZ105" s="117">
        <v>-571</v>
      </c>
      <c r="BA105" s="117">
        <v>-10124</v>
      </c>
      <c r="BB105" s="60">
        <f t="shared" si="163"/>
        <v>-10124</v>
      </c>
      <c r="BC105" s="117">
        <v>-10624</v>
      </c>
      <c r="BD105" s="117">
        <v>-9005</v>
      </c>
      <c r="BE105" s="117">
        <v>-8704</v>
      </c>
      <c r="BF105" s="117">
        <v>-10864</v>
      </c>
      <c r="BG105" s="60">
        <f t="shared" si="164"/>
        <v>-10864</v>
      </c>
      <c r="BH105" s="117">
        <v>-11199</v>
      </c>
      <c r="BI105" s="117">
        <v>-12277</v>
      </c>
      <c r="BJ105" s="117">
        <v>-12609</v>
      </c>
      <c r="BK105" s="117">
        <v>-14313</v>
      </c>
      <c r="BL105" s="60">
        <f t="shared" si="165"/>
        <v>-14313</v>
      </c>
      <c r="BM105" s="117">
        <v>-13684</v>
      </c>
      <c r="BN105" s="117">
        <v>-13236</v>
      </c>
      <c r="BO105" s="117">
        <v>-14269</v>
      </c>
      <c r="BP105" s="117">
        <v>-18734</v>
      </c>
      <c r="BQ105" s="60">
        <f t="shared" si="166"/>
        <v>-18734</v>
      </c>
      <c r="BR105" s="117">
        <v>-18314</v>
      </c>
      <c r="BS105" s="117">
        <v>-18928</v>
      </c>
      <c r="BT105" s="117">
        <v>-18541</v>
      </c>
      <c r="BU105" s="117">
        <v>-22854</v>
      </c>
      <c r="BV105" s="60">
        <f t="shared" si="167"/>
        <v>-22854</v>
      </c>
      <c r="BW105" s="161">
        <v>-22533</v>
      </c>
      <c r="BX105" s="161">
        <v>-21837</v>
      </c>
      <c r="BY105" s="161">
        <v>-21509</v>
      </c>
      <c r="BZ105" s="161">
        <v>-18230</v>
      </c>
      <c r="CA105" s="235">
        <f t="shared" si="168"/>
        <v>-18230</v>
      </c>
      <c r="CB105" s="161">
        <v>-18190</v>
      </c>
      <c r="CC105" s="161">
        <v>-18107</v>
      </c>
      <c r="CD105" s="161">
        <v>-18165</v>
      </c>
      <c r="CE105" s="161">
        <v>-5265</v>
      </c>
      <c r="CF105" s="235">
        <f t="shared" si="169"/>
        <v>-5265</v>
      </c>
      <c r="CG105" s="161">
        <v>-20406</v>
      </c>
      <c r="CH105" s="161">
        <v>-20260</v>
      </c>
      <c r="CI105" s="154">
        <v>-20442</v>
      </c>
      <c r="CJ105" s="161">
        <v>-6257</v>
      </c>
      <c r="CK105" s="235">
        <f t="shared" si="170"/>
        <v>-6257</v>
      </c>
      <c r="CL105" s="161">
        <v>-6046</v>
      </c>
      <c r="CM105" s="161">
        <v>-5976</v>
      </c>
      <c r="CN105" s="161">
        <v>-6046</v>
      </c>
      <c r="CO105" s="161">
        <v>-7013</v>
      </c>
      <c r="CP105" s="235">
        <f t="shared" si="171"/>
        <v>-7013</v>
      </c>
      <c r="CQ105" s="161">
        <v>-6929</v>
      </c>
      <c r="CR105" s="161">
        <v>-6716</v>
      </c>
      <c r="CS105" s="161">
        <v>-6759</v>
      </c>
      <c r="CT105" s="49">
        <v>-6959</v>
      </c>
      <c r="CU105" s="235">
        <f t="shared" si="172"/>
        <v>-6959</v>
      </c>
      <c r="CV105" s="49">
        <f>CU105-CV170</f>
        <v>-6959</v>
      </c>
      <c r="CW105" s="49">
        <f>CV105-CW170</f>
        <v>-6959</v>
      </c>
      <c r="CX105" s="49">
        <f>CW105-CX170</f>
        <v>-6959</v>
      </c>
      <c r="CY105" s="49">
        <f>CX105-CY170</f>
        <v>-6959</v>
      </c>
      <c r="CZ105" s="235">
        <f>CY105</f>
        <v>-6959</v>
      </c>
      <c r="DA105" s="87">
        <f>CZ105-DA170</f>
        <v>-6959</v>
      </c>
      <c r="DB105" s="87">
        <f>DA105-DB170</f>
        <v>-6959</v>
      </c>
      <c r="DC105" s="87">
        <f>DB105-DC170</f>
        <v>-6959</v>
      </c>
      <c r="DD105" s="165"/>
      <c r="DE105" s="2"/>
      <c r="DF105" s="235">
        <f t="shared" si="174"/>
        <v>-6959</v>
      </c>
      <c r="DG105" s="235">
        <v>-6759</v>
      </c>
      <c r="DH105" s="235">
        <f t="shared" si="175"/>
        <v>-7013</v>
      </c>
      <c r="DI105" s="454">
        <f t="shared" si="176"/>
        <v>2.9590176061547568E-2</v>
      </c>
      <c r="DJ105" s="454">
        <f t="shared" si="177"/>
        <v>-7.6999857407671346E-3</v>
      </c>
      <c r="DK105" s="2"/>
      <c r="DL105" s="2"/>
      <c r="DM105" s="2"/>
    </row>
    <row r="106" spans="1:124" ht="12" customHeight="1">
      <c r="A106" s="1109">
        <f t="shared" si="113"/>
        <v>101</v>
      </c>
      <c r="B106" s="10"/>
      <c r="C106" s="91" t="s">
        <v>76</v>
      </c>
      <c r="D106" s="91"/>
      <c r="E106" s="320"/>
      <c r="F106" s="320">
        <v>0</v>
      </c>
      <c r="G106" s="320">
        <v>-39</v>
      </c>
      <c r="H106" s="320">
        <v>-1085</v>
      </c>
      <c r="I106" s="320">
        <v>-1417</v>
      </c>
      <c r="J106" s="138">
        <v>-1399</v>
      </c>
      <c r="K106" s="138">
        <v>-1404</v>
      </c>
      <c r="L106" s="138">
        <v>-1176</v>
      </c>
      <c r="M106" s="138">
        <v>-2035</v>
      </c>
      <c r="N106" s="93">
        <f t="shared" si="155"/>
        <v>-2035</v>
      </c>
      <c r="O106" s="138">
        <v>-2603</v>
      </c>
      <c r="P106" s="138">
        <v>-2975</v>
      </c>
      <c r="Q106" s="138">
        <v>-2894</v>
      </c>
      <c r="R106" s="138">
        <v>-2823</v>
      </c>
      <c r="S106" s="93">
        <f t="shared" si="156"/>
        <v>-2823</v>
      </c>
      <c r="T106" s="138">
        <v>-2873</v>
      </c>
      <c r="U106" s="138">
        <v>-2570</v>
      </c>
      <c r="V106" s="138">
        <v>-2320</v>
      </c>
      <c r="W106" s="138">
        <v>-1977</v>
      </c>
      <c r="X106" s="93">
        <f t="shared" si="157"/>
        <v>-1977</v>
      </c>
      <c r="Y106" s="138">
        <v>-1974</v>
      </c>
      <c r="Z106" s="138">
        <v>-1872</v>
      </c>
      <c r="AA106" s="138">
        <v>-1903</v>
      </c>
      <c r="AB106" s="138">
        <v>-1749</v>
      </c>
      <c r="AC106" s="93">
        <f t="shared" si="158"/>
        <v>-1749</v>
      </c>
      <c r="AD106" s="138">
        <v>-913</v>
      </c>
      <c r="AE106" s="138">
        <v>-1761</v>
      </c>
      <c r="AF106" s="138">
        <v>-1768</v>
      </c>
      <c r="AG106" s="138">
        <v>-1728</v>
      </c>
      <c r="AH106" s="93">
        <f t="shared" si="159"/>
        <v>-1728</v>
      </c>
      <c r="AI106" s="138">
        <v>-1628</v>
      </c>
      <c r="AJ106" s="138">
        <v>-1281</v>
      </c>
      <c r="AK106" s="138">
        <v>-1031</v>
      </c>
      <c r="AL106" s="138">
        <v>-833</v>
      </c>
      <c r="AM106" s="93">
        <f t="shared" si="160"/>
        <v>-833</v>
      </c>
      <c r="AN106" s="138">
        <v>-680</v>
      </c>
      <c r="AO106" s="138">
        <v>-420</v>
      </c>
      <c r="AP106" s="138">
        <v>-258</v>
      </c>
      <c r="AQ106" s="138">
        <v>-183</v>
      </c>
      <c r="AR106" s="93">
        <f t="shared" si="161"/>
        <v>-183</v>
      </c>
      <c r="AS106" s="138">
        <v>-175</v>
      </c>
      <c r="AT106" s="138">
        <v>-189</v>
      </c>
      <c r="AU106" s="138">
        <v>-186</v>
      </c>
      <c r="AV106" s="138">
        <v>-185</v>
      </c>
      <c r="AW106" s="93">
        <f t="shared" si="162"/>
        <v>-185</v>
      </c>
      <c r="AX106" s="138">
        <v>-184</v>
      </c>
      <c r="AY106" s="138">
        <v>-183</v>
      </c>
      <c r="AZ106" s="138">
        <v>-183</v>
      </c>
      <c r="BA106" s="138">
        <v>-181</v>
      </c>
      <c r="BB106" s="93">
        <f t="shared" si="163"/>
        <v>-181</v>
      </c>
      <c r="BC106" s="138">
        <v>-180</v>
      </c>
      <c r="BD106" s="138">
        <v>-179</v>
      </c>
      <c r="BE106" s="138">
        <v>-178</v>
      </c>
      <c r="BF106" s="138">
        <v>-177</v>
      </c>
      <c r="BG106" s="93">
        <f t="shared" si="164"/>
        <v>-177</v>
      </c>
      <c r="BH106" s="138">
        <v>-178</v>
      </c>
      <c r="BI106" s="138">
        <v>-176</v>
      </c>
      <c r="BJ106" s="138">
        <v>-161</v>
      </c>
      <c r="BK106" s="138">
        <v>-163</v>
      </c>
      <c r="BL106" s="93">
        <f t="shared" si="165"/>
        <v>-163</v>
      </c>
      <c r="BM106" s="138">
        <v>-164</v>
      </c>
      <c r="BN106" s="138">
        <v>-166</v>
      </c>
      <c r="BO106" s="138">
        <v>-166</v>
      </c>
      <c r="BP106" s="138">
        <v>-166</v>
      </c>
      <c r="BQ106" s="93">
        <f t="shared" si="166"/>
        <v>-166</v>
      </c>
      <c r="BR106" s="138">
        <v>-193</v>
      </c>
      <c r="BS106" s="138">
        <v>-225</v>
      </c>
      <c r="BT106" s="138">
        <v>-258</v>
      </c>
      <c r="BU106" s="138">
        <v>-292</v>
      </c>
      <c r="BV106" s="93">
        <f t="shared" si="167"/>
        <v>-292</v>
      </c>
      <c r="BW106" s="244">
        <v>-302</v>
      </c>
      <c r="BX106" s="244">
        <v>-379</v>
      </c>
      <c r="BY106" s="244">
        <v>-456</v>
      </c>
      <c r="BZ106" s="244">
        <v>-506</v>
      </c>
      <c r="CA106" s="245">
        <f t="shared" si="168"/>
        <v>-506</v>
      </c>
      <c r="CB106" s="244">
        <v>-506</v>
      </c>
      <c r="CC106" s="244">
        <v>-1461</v>
      </c>
      <c r="CD106" s="244">
        <v>-2470</v>
      </c>
      <c r="CE106" s="244">
        <v>-848</v>
      </c>
      <c r="CF106" s="245">
        <f t="shared" si="169"/>
        <v>-848</v>
      </c>
      <c r="CG106" s="244">
        <v>-848</v>
      </c>
      <c r="CH106" s="244">
        <v>-939</v>
      </c>
      <c r="CI106" s="159">
        <v>-977</v>
      </c>
      <c r="CJ106" s="244">
        <v>-977</v>
      </c>
      <c r="CK106" s="245">
        <f t="shared" si="170"/>
        <v>-977</v>
      </c>
      <c r="CL106" s="244">
        <v>-1122</v>
      </c>
      <c r="CM106" s="244">
        <v>-1122</v>
      </c>
      <c r="CN106" s="244">
        <v>-1122</v>
      </c>
      <c r="CO106" s="244">
        <v>-1122</v>
      </c>
      <c r="CP106" s="245">
        <f t="shared" si="171"/>
        <v>-1122</v>
      </c>
      <c r="CQ106" s="244">
        <v>-1122</v>
      </c>
      <c r="CR106" s="244">
        <v>-1253</v>
      </c>
      <c r="CS106" s="244">
        <v>-1253</v>
      </c>
      <c r="CT106" s="95">
        <v>-1253</v>
      </c>
      <c r="CU106" s="245">
        <f t="shared" si="172"/>
        <v>-1253</v>
      </c>
      <c r="CV106" s="95">
        <f>CU106</f>
        <v>-1253</v>
      </c>
      <c r="CW106" s="95">
        <f>CV106</f>
        <v>-1253</v>
      </c>
      <c r="CX106" s="95">
        <f>CW106</f>
        <v>-1253</v>
      </c>
      <c r="CY106" s="95">
        <f>CX106</f>
        <v>-1253</v>
      </c>
      <c r="CZ106" s="245">
        <f>CY106</f>
        <v>-1253</v>
      </c>
      <c r="DA106" s="96">
        <f>CZ106</f>
        <v>-1253</v>
      </c>
      <c r="DB106" s="96">
        <f>DA106</f>
        <v>-1253</v>
      </c>
      <c r="DC106" s="96">
        <f>DB106</f>
        <v>-1253</v>
      </c>
      <c r="DD106" s="165"/>
      <c r="DE106" s="2"/>
      <c r="DF106" s="245">
        <f t="shared" si="174"/>
        <v>-1253</v>
      </c>
      <c r="DG106" s="245">
        <v>-1253</v>
      </c>
      <c r="DH106" s="245">
        <f t="shared" si="175"/>
        <v>-1122</v>
      </c>
      <c r="DI106" s="459">
        <f t="shared" si="176"/>
        <v>0</v>
      </c>
      <c r="DJ106" s="459">
        <f t="shared" si="177"/>
        <v>0.11675579322638141</v>
      </c>
      <c r="DK106" s="2"/>
      <c r="DL106" s="2"/>
      <c r="DM106" s="2"/>
    </row>
    <row r="107" spans="1:124" ht="12" customHeight="1">
      <c r="A107" s="1109">
        <f t="shared" si="113"/>
        <v>102</v>
      </c>
      <c r="B107" s="10"/>
      <c r="C107" s="2" t="s">
        <v>28</v>
      </c>
      <c r="D107" s="2"/>
      <c r="E107" s="61">
        <f t="shared" ref="E107:BP107" si="178">SUM(E101:E106)</f>
        <v>24547</v>
      </c>
      <c r="F107" s="61">
        <f t="shared" si="178"/>
        <v>26762</v>
      </c>
      <c r="G107" s="61">
        <f t="shared" si="178"/>
        <v>30734</v>
      </c>
      <c r="H107" s="61">
        <f t="shared" si="178"/>
        <v>23409</v>
      </c>
      <c r="I107" s="61">
        <f t="shared" si="178"/>
        <v>27604</v>
      </c>
      <c r="J107" s="114">
        <f t="shared" si="178"/>
        <v>28419</v>
      </c>
      <c r="K107" s="114">
        <f t="shared" si="178"/>
        <v>24643</v>
      </c>
      <c r="L107" s="114">
        <f t="shared" si="178"/>
        <v>18273</v>
      </c>
      <c r="M107" s="46">
        <f t="shared" si="178"/>
        <v>18610</v>
      </c>
      <c r="N107" s="61">
        <f t="shared" si="178"/>
        <v>18610</v>
      </c>
      <c r="O107" s="114">
        <f t="shared" si="178"/>
        <v>16069</v>
      </c>
      <c r="P107" s="114">
        <f t="shared" si="178"/>
        <v>13758</v>
      </c>
      <c r="Q107" s="114">
        <f t="shared" si="178"/>
        <v>13365</v>
      </c>
      <c r="R107" s="46">
        <f t="shared" si="178"/>
        <v>7786</v>
      </c>
      <c r="S107" s="61">
        <f t="shared" si="178"/>
        <v>7786</v>
      </c>
      <c r="T107" s="114">
        <f t="shared" si="178"/>
        <v>7419</v>
      </c>
      <c r="U107" s="114">
        <f t="shared" si="178"/>
        <v>9994</v>
      </c>
      <c r="V107" s="114">
        <f t="shared" si="178"/>
        <v>9970</v>
      </c>
      <c r="W107" s="46">
        <f t="shared" si="178"/>
        <v>5590</v>
      </c>
      <c r="X107" s="61">
        <f t="shared" si="178"/>
        <v>5590</v>
      </c>
      <c r="Y107" s="114">
        <f t="shared" si="178"/>
        <v>6732</v>
      </c>
      <c r="Z107" s="114">
        <f t="shared" si="178"/>
        <v>8084</v>
      </c>
      <c r="AA107" s="114">
        <f t="shared" si="178"/>
        <v>8190</v>
      </c>
      <c r="AB107" s="46">
        <f t="shared" si="178"/>
        <v>11651</v>
      </c>
      <c r="AC107" s="61">
        <f t="shared" si="178"/>
        <v>11651</v>
      </c>
      <c r="AD107" s="114">
        <f t="shared" si="178"/>
        <v>12882</v>
      </c>
      <c r="AE107" s="114">
        <f t="shared" si="178"/>
        <v>13561</v>
      </c>
      <c r="AF107" s="114">
        <f t="shared" si="178"/>
        <v>14069</v>
      </c>
      <c r="AG107" s="46">
        <f t="shared" si="178"/>
        <v>17437</v>
      </c>
      <c r="AH107" s="61">
        <f t="shared" si="178"/>
        <v>17437</v>
      </c>
      <c r="AI107" s="114">
        <f t="shared" si="178"/>
        <v>15670</v>
      </c>
      <c r="AJ107" s="114">
        <f t="shared" si="178"/>
        <v>14203</v>
      </c>
      <c r="AK107" s="114">
        <f t="shared" si="178"/>
        <v>13987</v>
      </c>
      <c r="AL107" s="46">
        <f t="shared" si="178"/>
        <v>13442</v>
      </c>
      <c r="AM107" s="61">
        <f t="shared" si="178"/>
        <v>13442</v>
      </c>
      <c r="AN107" s="114">
        <f t="shared" si="178"/>
        <v>12049</v>
      </c>
      <c r="AO107" s="114">
        <f t="shared" si="178"/>
        <v>14782</v>
      </c>
      <c r="AP107" s="114">
        <f t="shared" si="178"/>
        <v>9163</v>
      </c>
      <c r="AQ107" s="46">
        <f t="shared" si="178"/>
        <v>-3465</v>
      </c>
      <c r="AR107" s="61">
        <f t="shared" si="178"/>
        <v>-3465</v>
      </c>
      <c r="AS107" s="114">
        <f t="shared" si="178"/>
        <v>-3710</v>
      </c>
      <c r="AT107" s="114">
        <f t="shared" si="178"/>
        <v>-1946</v>
      </c>
      <c r="AU107" s="114">
        <f t="shared" si="178"/>
        <v>1163</v>
      </c>
      <c r="AV107" s="46">
        <f t="shared" si="178"/>
        <v>5628</v>
      </c>
      <c r="AW107" s="61">
        <f t="shared" si="178"/>
        <v>5628</v>
      </c>
      <c r="AX107" s="114">
        <f t="shared" si="178"/>
        <v>7111</v>
      </c>
      <c r="AY107" s="114">
        <f t="shared" si="178"/>
        <v>-1683</v>
      </c>
      <c r="AZ107" s="114">
        <f t="shared" si="178"/>
        <v>-1989</v>
      </c>
      <c r="BA107" s="46">
        <f t="shared" si="178"/>
        <v>-15722</v>
      </c>
      <c r="BB107" s="61">
        <f t="shared" si="178"/>
        <v>-15722</v>
      </c>
      <c r="BC107" s="114">
        <f t="shared" si="178"/>
        <v>-17577</v>
      </c>
      <c r="BD107" s="114">
        <f t="shared" si="178"/>
        <v>-10743</v>
      </c>
      <c r="BE107" s="114">
        <f t="shared" si="178"/>
        <v>-8675</v>
      </c>
      <c r="BF107" s="46">
        <f t="shared" si="178"/>
        <v>-7820</v>
      </c>
      <c r="BG107" s="61">
        <f t="shared" si="178"/>
        <v>-7820</v>
      </c>
      <c r="BH107" s="114">
        <f t="shared" si="178"/>
        <v>-5475</v>
      </c>
      <c r="BI107" s="114">
        <f t="shared" si="178"/>
        <v>-3574</v>
      </c>
      <c r="BJ107" s="114">
        <f t="shared" si="178"/>
        <v>-1773</v>
      </c>
      <c r="BK107" s="46">
        <f t="shared" si="178"/>
        <v>-673</v>
      </c>
      <c r="BL107" s="61">
        <f t="shared" si="178"/>
        <v>-673</v>
      </c>
      <c r="BM107" s="114">
        <f t="shared" si="178"/>
        <v>2426</v>
      </c>
      <c r="BN107" s="114">
        <f t="shared" si="178"/>
        <v>5309</v>
      </c>
      <c r="BO107" s="114">
        <f t="shared" si="178"/>
        <v>5982</v>
      </c>
      <c r="BP107" s="46">
        <f t="shared" si="178"/>
        <v>15028</v>
      </c>
      <c r="BQ107" s="61">
        <f t="shared" ref="BQ107:CH107" si="179">SUM(BQ101:BQ106)</f>
        <v>15028</v>
      </c>
      <c r="BR107" s="114">
        <f t="shared" si="179"/>
        <v>16606</v>
      </c>
      <c r="BS107" s="114">
        <f t="shared" si="179"/>
        <v>17036</v>
      </c>
      <c r="BT107" s="114">
        <f t="shared" si="179"/>
        <v>18841</v>
      </c>
      <c r="BU107" s="46">
        <f t="shared" si="179"/>
        <v>15947</v>
      </c>
      <c r="BV107" s="61">
        <f t="shared" si="179"/>
        <v>15947</v>
      </c>
      <c r="BW107" s="238">
        <f t="shared" si="179"/>
        <v>17595</v>
      </c>
      <c r="BX107" s="238">
        <f t="shared" si="179"/>
        <v>19179</v>
      </c>
      <c r="BY107" s="238">
        <f t="shared" si="179"/>
        <v>20467</v>
      </c>
      <c r="BZ107" s="173">
        <f t="shared" si="179"/>
        <v>26112</v>
      </c>
      <c r="CA107" s="237">
        <f t="shared" si="179"/>
        <v>26112</v>
      </c>
      <c r="CB107" s="238">
        <f t="shared" si="179"/>
        <v>26773</v>
      </c>
      <c r="CC107" s="238">
        <f t="shared" si="179"/>
        <v>26776</v>
      </c>
      <c r="CD107" s="238">
        <f t="shared" si="179"/>
        <v>26136</v>
      </c>
      <c r="CE107" s="173">
        <f t="shared" si="179"/>
        <v>24438</v>
      </c>
      <c r="CF107" s="237">
        <f t="shared" si="179"/>
        <v>24438</v>
      </c>
      <c r="CG107" s="238">
        <f t="shared" si="179"/>
        <v>24947</v>
      </c>
      <c r="CH107" s="238">
        <f t="shared" si="179"/>
        <v>26334</v>
      </c>
      <c r="CI107" s="155">
        <f>SUM(CI100:CI106)</f>
        <v>27465</v>
      </c>
      <c r="CJ107" s="173">
        <f t="shared" ref="CJ107:CP107" si="180">SUM(CJ101:CJ106)</f>
        <v>28642</v>
      </c>
      <c r="CK107" s="237">
        <f t="shared" si="180"/>
        <v>28642</v>
      </c>
      <c r="CL107" s="238">
        <f t="shared" si="180"/>
        <v>29605</v>
      </c>
      <c r="CM107" s="238">
        <f t="shared" si="180"/>
        <v>31141</v>
      </c>
      <c r="CN107" s="238">
        <f t="shared" si="180"/>
        <v>31484</v>
      </c>
      <c r="CO107" s="173">
        <f t="shared" si="180"/>
        <v>29170</v>
      </c>
      <c r="CP107" s="237">
        <f t="shared" si="180"/>
        <v>29170</v>
      </c>
      <c r="CQ107" s="173">
        <f>SUM(CQ100:CQ106)</f>
        <v>30619</v>
      </c>
      <c r="CR107" s="173">
        <f>SUM(CR100:CR106)</f>
        <v>32244</v>
      </c>
      <c r="CS107" s="173">
        <f>SUM(CS100:CS106)</f>
        <v>33238</v>
      </c>
      <c r="CT107" s="49">
        <f>SUM(CT100:CT106)</f>
        <v>34890</v>
      </c>
      <c r="CU107" s="237">
        <f>SUM(CU101:CU106)</f>
        <v>34890</v>
      </c>
      <c r="CV107" s="49">
        <f>SUM(CV100:CV106)</f>
        <v>35273.472709039997</v>
      </c>
      <c r="CW107" s="49">
        <f>SUM(CW100:CW106)</f>
        <v>36349.791137990003</v>
      </c>
      <c r="CX107" s="49">
        <f>SUM(CX100:CX106)</f>
        <v>37087.46706694</v>
      </c>
      <c r="CY107" s="49">
        <f>SUM(CY100:CY106)</f>
        <v>37677.88049589</v>
      </c>
      <c r="CZ107" s="237">
        <f>SUM(CZ101:CZ106)</f>
        <v>37677.88049589</v>
      </c>
      <c r="DA107" s="87">
        <f>SUM(DA100:DA106)</f>
        <v>41532.790841528535</v>
      </c>
      <c r="DB107" s="87">
        <f>SUM(DB100:DB106)</f>
        <v>45661.645769057846</v>
      </c>
      <c r="DC107" s="87">
        <f>SUM(DC100:DC106)</f>
        <v>50174.157489097335</v>
      </c>
      <c r="DD107" s="165"/>
      <c r="DE107" s="2"/>
      <c r="DF107" s="237">
        <f t="shared" si="174"/>
        <v>34890</v>
      </c>
      <c r="DG107" s="237">
        <v>34394.335089557455</v>
      </c>
      <c r="DH107" s="237">
        <f t="shared" si="175"/>
        <v>29170</v>
      </c>
      <c r="DI107" s="450">
        <f t="shared" si="176"/>
        <v>1.4411236883978384E-2</v>
      </c>
      <c r="DJ107" s="450">
        <f t="shared" si="177"/>
        <v>0.1960918752142613</v>
      </c>
      <c r="DK107" s="2"/>
      <c r="DL107" s="2"/>
      <c r="DM107" s="2"/>
    </row>
    <row r="108" spans="1:124" ht="12" customHeight="1">
      <c r="A108" s="1109">
        <f t="shared" si="113"/>
        <v>103</v>
      </c>
      <c r="B108" s="10"/>
      <c r="C108" s="2"/>
      <c r="D108" s="2"/>
      <c r="E108" s="60"/>
      <c r="F108" s="60"/>
      <c r="G108" s="60"/>
      <c r="H108" s="60"/>
      <c r="I108" s="60"/>
      <c r="J108" s="21"/>
      <c r="K108" s="21"/>
      <c r="L108" s="21"/>
      <c r="M108" s="21"/>
      <c r="N108" s="60"/>
      <c r="O108" s="21"/>
      <c r="P108" s="21"/>
      <c r="Q108" s="21"/>
      <c r="R108" s="21"/>
      <c r="S108" s="60"/>
      <c r="T108" s="21"/>
      <c r="U108" s="21"/>
      <c r="V108" s="21"/>
      <c r="W108" s="21"/>
      <c r="X108" s="60"/>
      <c r="Y108" s="21"/>
      <c r="Z108" s="21"/>
      <c r="AA108" s="21"/>
      <c r="AB108" s="21"/>
      <c r="AC108" s="60"/>
      <c r="AD108" s="21"/>
      <c r="AE108" s="21"/>
      <c r="AF108" s="21"/>
      <c r="AG108" s="21"/>
      <c r="AH108" s="60"/>
      <c r="AI108" s="21"/>
      <c r="AJ108" s="21"/>
      <c r="AK108" s="21"/>
      <c r="AL108" s="21"/>
      <c r="AM108" s="60"/>
      <c r="AN108" s="21"/>
      <c r="AO108" s="21"/>
      <c r="AP108" s="21"/>
      <c r="AQ108" s="21"/>
      <c r="AR108" s="60"/>
      <c r="AS108" s="21"/>
      <c r="AT108" s="21"/>
      <c r="AU108" s="21"/>
      <c r="AV108" s="21"/>
      <c r="AW108" s="60"/>
      <c r="AX108" s="21"/>
      <c r="AY108" s="21"/>
      <c r="AZ108" s="21"/>
      <c r="BA108" s="21"/>
      <c r="BB108" s="60"/>
      <c r="BC108" s="21"/>
      <c r="BD108" s="21"/>
      <c r="BE108" s="21"/>
      <c r="BF108" s="21"/>
      <c r="BG108" s="60"/>
      <c r="BH108" s="21"/>
      <c r="BI108" s="21"/>
      <c r="BJ108" s="21"/>
      <c r="BK108" s="21"/>
      <c r="BL108" s="60"/>
      <c r="BM108" s="21"/>
      <c r="BN108" s="21"/>
      <c r="BO108" s="21"/>
      <c r="BP108" s="21"/>
      <c r="BQ108" s="60"/>
      <c r="BR108" s="21"/>
      <c r="BS108" s="21"/>
      <c r="BT108" s="21"/>
      <c r="BU108" s="21"/>
      <c r="BV108" s="60"/>
      <c r="BW108" s="165"/>
      <c r="BX108" s="165"/>
      <c r="BY108" s="165"/>
      <c r="BZ108" s="165"/>
      <c r="CA108" s="235"/>
      <c r="CB108" s="165"/>
      <c r="CC108" s="165"/>
      <c r="CD108" s="165"/>
      <c r="CE108" s="165"/>
      <c r="CF108" s="235"/>
      <c r="CG108" s="165"/>
      <c r="CH108" s="165"/>
      <c r="CI108" s="150"/>
      <c r="CJ108" s="165"/>
      <c r="CK108" s="235"/>
      <c r="CL108" s="165"/>
      <c r="CM108" s="165"/>
      <c r="CN108" s="165"/>
      <c r="CO108" s="165"/>
      <c r="CP108" s="235"/>
      <c r="CQ108" s="165"/>
      <c r="CR108" s="165"/>
      <c r="CS108" s="20"/>
      <c r="CT108" s="20"/>
      <c r="CU108" s="235"/>
      <c r="CV108" s="20"/>
      <c r="CW108" s="20"/>
      <c r="CX108" s="20"/>
      <c r="CY108" s="20"/>
      <c r="CZ108" s="235"/>
      <c r="DA108" s="295"/>
      <c r="DB108" s="295"/>
      <c r="DC108" s="295"/>
      <c r="DD108" s="165"/>
      <c r="DE108" s="2"/>
      <c r="DF108" s="235"/>
      <c r="DG108" s="235"/>
      <c r="DH108" s="235"/>
      <c r="DI108" s="454"/>
      <c r="DJ108" s="454"/>
      <c r="DK108" s="2"/>
      <c r="DL108" s="2"/>
      <c r="DM108" s="2"/>
    </row>
    <row r="109" spans="1:124" ht="12" customHeight="1">
      <c r="A109" s="1109">
        <f t="shared" si="113"/>
        <v>104</v>
      </c>
      <c r="B109" s="10"/>
      <c r="C109" s="91" t="s">
        <v>302</v>
      </c>
      <c r="D109" s="91"/>
      <c r="E109" s="319">
        <v>682</v>
      </c>
      <c r="F109" s="319">
        <v>680</v>
      </c>
      <c r="G109" s="319">
        <v>678</v>
      </c>
      <c r="H109" s="319">
        <v>677</v>
      </c>
      <c r="I109" s="319">
        <v>675</v>
      </c>
      <c r="J109" s="117">
        <v>675</v>
      </c>
      <c r="K109" s="117">
        <v>674</v>
      </c>
      <c r="L109" s="117">
        <v>674</v>
      </c>
      <c r="M109" s="117">
        <v>673</v>
      </c>
      <c r="N109" s="93">
        <f>M109</f>
        <v>673</v>
      </c>
      <c r="O109" s="117">
        <v>673</v>
      </c>
      <c r="P109" s="117">
        <v>673</v>
      </c>
      <c r="Q109" s="117">
        <v>672</v>
      </c>
      <c r="R109" s="117">
        <v>672</v>
      </c>
      <c r="S109" s="93">
        <f>R109</f>
        <v>672</v>
      </c>
      <c r="T109" s="117">
        <v>5672</v>
      </c>
      <c r="U109" s="117">
        <v>5671</v>
      </c>
      <c r="V109" s="117">
        <v>5670</v>
      </c>
      <c r="W109" s="117">
        <v>5670</v>
      </c>
      <c r="X109" s="93">
        <f>W109</f>
        <v>5670</v>
      </c>
      <c r="Y109" s="117">
        <v>0</v>
      </c>
      <c r="Z109" s="117">
        <v>0</v>
      </c>
      <c r="AA109" s="117">
        <v>589</v>
      </c>
      <c r="AB109" s="117">
        <v>659</v>
      </c>
      <c r="AC109" s="93">
        <f>AB109</f>
        <v>659</v>
      </c>
      <c r="AD109" s="117">
        <v>740</v>
      </c>
      <c r="AE109" s="117">
        <v>785</v>
      </c>
      <c r="AF109" s="117">
        <v>813</v>
      </c>
      <c r="AG109" s="117">
        <v>877</v>
      </c>
      <c r="AH109" s="93">
        <f>AG109</f>
        <v>877</v>
      </c>
      <c r="AI109" s="117">
        <v>846</v>
      </c>
      <c r="AJ109" s="117">
        <v>806</v>
      </c>
      <c r="AK109" s="117">
        <v>1058</v>
      </c>
      <c r="AL109" s="117">
        <v>1122</v>
      </c>
      <c r="AM109" s="93">
        <f>AL109</f>
        <v>1122</v>
      </c>
      <c r="AN109" s="117">
        <v>1122</v>
      </c>
      <c r="AO109" s="117">
        <v>1054</v>
      </c>
      <c r="AP109" s="117">
        <v>1015</v>
      </c>
      <c r="AQ109" s="117">
        <v>1159</v>
      </c>
      <c r="AR109" s="93">
        <f>AQ109</f>
        <v>1159</v>
      </c>
      <c r="AS109" s="117">
        <v>1133</v>
      </c>
      <c r="AT109" s="117">
        <v>1251</v>
      </c>
      <c r="AU109" s="117">
        <v>1394</v>
      </c>
      <c r="AV109" s="117">
        <v>1421</v>
      </c>
      <c r="AW109" s="93">
        <f>AV109</f>
        <v>1421</v>
      </c>
      <c r="AX109" s="117">
        <v>1466</v>
      </c>
      <c r="AY109" s="117">
        <v>1459</v>
      </c>
      <c r="AZ109" s="117">
        <v>1458</v>
      </c>
      <c r="BA109" s="117">
        <v>1195</v>
      </c>
      <c r="BB109" s="93">
        <f>BA109</f>
        <v>1195</v>
      </c>
      <c r="BC109" s="117">
        <v>1100</v>
      </c>
      <c r="BD109" s="117">
        <v>1325</v>
      </c>
      <c r="BE109" s="117">
        <v>1405</v>
      </c>
      <c r="BF109" s="117">
        <v>38</v>
      </c>
      <c r="BG109" s="93">
        <f>BF109</f>
        <v>38</v>
      </c>
      <c r="BH109" s="117">
        <v>38</v>
      </c>
      <c r="BI109" s="117">
        <v>33</v>
      </c>
      <c r="BJ109" s="117">
        <v>33</v>
      </c>
      <c r="BK109" s="117">
        <v>31</v>
      </c>
      <c r="BL109" s="93">
        <f>BK109</f>
        <v>31</v>
      </c>
      <c r="BM109" s="117">
        <v>39</v>
      </c>
      <c r="BN109" s="117">
        <v>41</v>
      </c>
      <c r="BO109" s="117">
        <v>44</v>
      </c>
      <c r="BP109" s="117">
        <v>43</v>
      </c>
      <c r="BQ109" s="93">
        <f>BP109</f>
        <v>43</v>
      </c>
      <c r="BR109" s="117">
        <v>44</v>
      </c>
      <c r="BS109" s="117">
        <v>43</v>
      </c>
      <c r="BT109" s="117">
        <v>45</v>
      </c>
      <c r="BU109" s="117">
        <v>42</v>
      </c>
      <c r="BV109" s="93">
        <f>BU109</f>
        <v>42</v>
      </c>
      <c r="BW109" s="161">
        <v>43</v>
      </c>
      <c r="BX109" s="161">
        <v>43</v>
      </c>
      <c r="BY109" s="161">
        <v>43</v>
      </c>
      <c r="BZ109" s="161">
        <v>33</v>
      </c>
      <c r="CA109" s="245">
        <f>BZ109</f>
        <v>33</v>
      </c>
      <c r="CB109" s="161">
        <v>34</v>
      </c>
      <c r="CC109" s="161">
        <v>31</v>
      </c>
      <c r="CD109" s="161">
        <v>29</v>
      </c>
      <c r="CE109" s="161">
        <v>27</v>
      </c>
      <c r="CF109" s="245">
        <f>CE109</f>
        <v>27</v>
      </c>
      <c r="CG109" s="161">
        <v>27</v>
      </c>
      <c r="CH109" s="161">
        <v>21</v>
      </c>
      <c r="CI109" s="159">
        <v>19</v>
      </c>
      <c r="CJ109" s="161">
        <v>15</v>
      </c>
      <c r="CK109" s="245">
        <f>CJ109</f>
        <v>15</v>
      </c>
      <c r="CL109" s="161">
        <v>16</v>
      </c>
      <c r="CM109" s="161">
        <v>13</v>
      </c>
      <c r="CN109" s="161">
        <v>15</v>
      </c>
      <c r="CO109" s="161">
        <v>17</v>
      </c>
      <c r="CP109" s="245">
        <f>CO109</f>
        <v>17</v>
      </c>
      <c r="CQ109" s="161">
        <v>22</v>
      </c>
      <c r="CR109" s="161">
        <v>18</v>
      </c>
      <c r="CS109" s="161">
        <v>25</v>
      </c>
      <c r="CT109" s="95">
        <v>28</v>
      </c>
      <c r="CU109" s="245">
        <f t="shared" ref="CU109:DC109" si="181">CT109</f>
        <v>28</v>
      </c>
      <c r="CV109" s="95">
        <f t="shared" si="181"/>
        <v>28</v>
      </c>
      <c r="CW109" s="95">
        <f t="shared" si="181"/>
        <v>28</v>
      </c>
      <c r="CX109" s="95">
        <f t="shared" si="181"/>
        <v>28</v>
      </c>
      <c r="CY109" s="95">
        <f t="shared" si="181"/>
        <v>28</v>
      </c>
      <c r="CZ109" s="245">
        <f t="shared" si="181"/>
        <v>28</v>
      </c>
      <c r="DA109" s="96">
        <f t="shared" si="181"/>
        <v>28</v>
      </c>
      <c r="DB109" s="96">
        <f t="shared" si="181"/>
        <v>28</v>
      </c>
      <c r="DC109" s="96">
        <f t="shared" si="181"/>
        <v>28</v>
      </c>
      <c r="DD109" s="165"/>
      <c r="DE109" s="2"/>
      <c r="DF109" s="245">
        <f>CT109</f>
        <v>28</v>
      </c>
      <c r="DG109" s="245">
        <v>25</v>
      </c>
      <c r="DH109" s="245">
        <f>CO109</f>
        <v>17</v>
      </c>
      <c r="DI109" s="459">
        <f>IF(ISERROR(DF109/DG109-1),"NM",DF109/DG109-1)</f>
        <v>0.12000000000000011</v>
      </c>
      <c r="DJ109" s="459">
        <f>IF(ISERROR(DF109/DH109-1),"NM",DF109/DH109-1)</f>
        <v>0.64705882352941169</v>
      </c>
      <c r="DK109" s="2"/>
      <c r="DL109" s="2"/>
      <c r="DM109" s="2"/>
    </row>
    <row r="110" spans="1:124" ht="12" customHeight="1">
      <c r="A110" s="1109">
        <f t="shared" si="113"/>
        <v>105</v>
      </c>
      <c r="B110" s="10"/>
      <c r="C110" s="2" t="s">
        <v>29</v>
      </c>
      <c r="D110" s="2"/>
      <c r="E110" s="314">
        <f t="shared" ref="E110:AJ110" si="182">E109+E107+E98+E96+E90</f>
        <v>243283</v>
      </c>
      <c r="F110" s="314">
        <f t="shared" si="182"/>
        <v>262867</v>
      </c>
      <c r="G110" s="314">
        <f t="shared" si="182"/>
        <v>279097</v>
      </c>
      <c r="H110" s="314">
        <f t="shared" si="182"/>
        <v>237545</v>
      </c>
      <c r="I110" s="314">
        <f t="shared" si="182"/>
        <v>270249</v>
      </c>
      <c r="J110" s="114">
        <f t="shared" si="182"/>
        <v>275024</v>
      </c>
      <c r="K110" s="114">
        <f t="shared" si="182"/>
        <v>284580</v>
      </c>
      <c r="L110" s="114">
        <f t="shared" si="182"/>
        <v>282285</v>
      </c>
      <c r="M110" s="114">
        <f t="shared" si="182"/>
        <v>283390</v>
      </c>
      <c r="N110" s="314">
        <f t="shared" si="182"/>
        <v>283390</v>
      </c>
      <c r="O110" s="114">
        <f t="shared" si="182"/>
        <v>284587</v>
      </c>
      <c r="P110" s="114">
        <f t="shared" si="182"/>
        <v>289546</v>
      </c>
      <c r="Q110" s="114">
        <f t="shared" si="182"/>
        <v>277527</v>
      </c>
      <c r="R110" s="114">
        <f t="shared" si="182"/>
        <v>271893</v>
      </c>
      <c r="S110" s="314">
        <f t="shared" si="182"/>
        <v>271893</v>
      </c>
      <c r="T110" s="114">
        <f t="shared" si="182"/>
        <v>275648</v>
      </c>
      <c r="U110" s="114">
        <f t="shared" si="182"/>
        <v>290291</v>
      </c>
      <c r="V110" s="114">
        <f t="shared" si="182"/>
        <v>285696</v>
      </c>
      <c r="W110" s="114">
        <f t="shared" si="182"/>
        <v>277122</v>
      </c>
      <c r="X110" s="314">
        <f t="shared" si="182"/>
        <v>277122</v>
      </c>
      <c r="Y110" s="114">
        <f t="shared" si="182"/>
        <v>289324</v>
      </c>
      <c r="Z110" s="114">
        <f t="shared" si="182"/>
        <v>306189</v>
      </c>
      <c r="AA110" s="114">
        <f t="shared" si="182"/>
        <v>310328</v>
      </c>
      <c r="AB110" s="114">
        <f t="shared" si="182"/>
        <v>299397</v>
      </c>
      <c r="AC110" s="314">
        <f t="shared" si="182"/>
        <v>299397</v>
      </c>
      <c r="AD110" s="114">
        <f t="shared" si="182"/>
        <v>300079</v>
      </c>
      <c r="AE110" s="114">
        <f t="shared" si="182"/>
        <v>293613</v>
      </c>
      <c r="AF110" s="114">
        <f t="shared" si="182"/>
        <v>288678</v>
      </c>
      <c r="AG110" s="114">
        <f t="shared" si="182"/>
        <v>295487</v>
      </c>
      <c r="AH110" s="314">
        <f t="shared" si="182"/>
        <v>295487</v>
      </c>
      <c r="AI110" s="114">
        <f t="shared" si="182"/>
        <v>280588</v>
      </c>
      <c r="AJ110" s="114">
        <f t="shared" si="182"/>
        <v>276834</v>
      </c>
      <c r="AK110" s="114">
        <f t="shared" ref="AK110:BP110" si="183">AK109+AK107+AK98+AK96+AK90</f>
        <v>268295</v>
      </c>
      <c r="AL110" s="114">
        <f t="shared" si="183"/>
        <v>269459</v>
      </c>
      <c r="AM110" s="314">
        <f t="shared" si="183"/>
        <v>269459</v>
      </c>
      <c r="AN110" s="114">
        <f t="shared" si="183"/>
        <v>269076</v>
      </c>
      <c r="AO110" s="114">
        <f t="shared" si="183"/>
        <v>277025</v>
      </c>
      <c r="AP110" s="114">
        <f t="shared" si="183"/>
        <v>267465</v>
      </c>
      <c r="AQ110" s="114">
        <f t="shared" si="183"/>
        <v>279196</v>
      </c>
      <c r="AR110" s="314">
        <f t="shared" si="183"/>
        <v>279196</v>
      </c>
      <c r="AS110" s="114">
        <f t="shared" si="183"/>
        <v>272210</v>
      </c>
      <c r="AT110" s="114">
        <f t="shared" si="183"/>
        <v>279218</v>
      </c>
      <c r="AU110" s="114">
        <f t="shared" si="183"/>
        <v>276163</v>
      </c>
      <c r="AV110" s="114">
        <f t="shared" si="183"/>
        <v>279264</v>
      </c>
      <c r="AW110" s="314">
        <f t="shared" si="183"/>
        <v>279264</v>
      </c>
      <c r="AX110" s="114">
        <f t="shared" si="183"/>
        <v>282913</v>
      </c>
      <c r="AY110" s="114">
        <f t="shared" si="183"/>
        <v>265297</v>
      </c>
      <c r="AZ110" s="114">
        <f t="shared" si="183"/>
        <v>242065</v>
      </c>
      <c r="BA110" s="114">
        <f t="shared" si="183"/>
        <v>218298</v>
      </c>
      <c r="BB110" s="314">
        <f t="shared" si="183"/>
        <v>218298</v>
      </c>
      <c r="BC110" s="114">
        <f t="shared" si="183"/>
        <v>203134</v>
      </c>
      <c r="BD110" s="114">
        <f t="shared" si="183"/>
        <v>200190</v>
      </c>
      <c r="BE110" s="114">
        <f t="shared" si="183"/>
        <v>203106</v>
      </c>
      <c r="BF110" s="114">
        <f t="shared" si="183"/>
        <v>192040</v>
      </c>
      <c r="BG110" s="314">
        <f t="shared" si="183"/>
        <v>192040</v>
      </c>
      <c r="BH110" s="114">
        <f t="shared" si="183"/>
        <v>191968</v>
      </c>
      <c r="BI110" s="114">
        <f t="shared" si="183"/>
        <v>179750</v>
      </c>
      <c r="BJ110" s="114">
        <f t="shared" si="183"/>
        <v>177078</v>
      </c>
      <c r="BK110" s="114">
        <f t="shared" si="183"/>
        <v>164687</v>
      </c>
      <c r="BL110" s="314">
        <f t="shared" si="183"/>
        <v>164687</v>
      </c>
      <c r="BM110" s="114">
        <f t="shared" si="183"/>
        <v>167391</v>
      </c>
      <c r="BN110" s="114">
        <f t="shared" si="183"/>
        <v>168086</v>
      </c>
      <c r="BO110" s="114">
        <f t="shared" si="183"/>
        <v>162740</v>
      </c>
      <c r="BP110" s="114">
        <f t="shared" si="183"/>
        <v>178348</v>
      </c>
      <c r="BQ110" s="314">
        <f t="shared" ref="BQ110:CV110" si="184">BQ109+BQ107+BQ98+BQ96+BQ90</f>
        <v>178348</v>
      </c>
      <c r="BR110" s="114">
        <f t="shared" si="184"/>
        <v>182075</v>
      </c>
      <c r="BS110" s="114">
        <f t="shared" si="184"/>
        <v>181236</v>
      </c>
      <c r="BT110" s="114">
        <f t="shared" si="184"/>
        <v>184680</v>
      </c>
      <c r="BU110" s="114">
        <f t="shared" si="184"/>
        <v>189406</v>
      </c>
      <c r="BV110" s="314">
        <f t="shared" si="184"/>
        <v>189406</v>
      </c>
      <c r="BW110" s="238">
        <f t="shared" si="184"/>
        <v>193010</v>
      </c>
      <c r="BX110" s="238">
        <f t="shared" si="184"/>
        <v>196210</v>
      </c>
      <c r="BY110" s="238">
        <f t="shared" si="184"/>
        <v>201071</v>
      </c>
      <c r="BZ110" s="238">
        <f t="shared" si="184"/>
        <v>202179</v>
      </c>
      <c r="CA110" s="307">
        <f t="shared" si="184"/>
        <v>202179</v>
      </c>
      <c r="CB110" s="238">
        <f t="shared" si="184"/>
        <v>207082</v>
      </c>
      <c r="CC110" s="238">
        <f t="shared" si="184"/>
        <v>210945</v>
      </c>
      <c r="CD110" s="238">
        <f t="shared" si="184"/>
        <v>208835</v>
      </c>
      <c r="CE110" s="238">
        <f t="shared" si="184"/>
        <v>208615</v>
      </c>
      <c r="CF110" s="307">
        <f t="shared" si="184"/>
        <v>208615</v>
      </c>
      <c r="CG110" s="238">
        <f t="shared" si="184"/>
        <v>212374</v>
      </c>
      <c r="CH110" s="238">
        <f t="shared" si="184"/>
        <v>216045</v>
      </c>
      <c r="CI110" s="238">
        <f t="shared" si="184"/>
        <v>219431</v>
      </c>
      <c r="CJ110" s="238">
        <f t="shared" si="184"/>
        <v>224925</v>
      </c>
      <c r="CK110" s="307">
        <f t="shared" si="184"/>
        <v>224925</v>
      </c>
      <c r="CL110" s="238">
        <f t="shared" si="184"/>
        <v>237288</v>
      </c>
      <c r="CM110" s="238">
        <f t="shared" si="184"/>
        <v>239678</v>
      </c>
      <c r="CN110" s="238">
        <f t="shared" si="184"/>
        <v>234963</v>
      </c>
      <c r="CO110" s="238">
        <f t="shared" si="184"/>
        <v>237951</v>
      </c>
      <c r="CP110" s="307">
        <f t="shared" si="184"/>
        <v>237951</v>
      </c>
      <c r="CQ110" s="238">
        <f t="shared" si="184"/>
        <v>244094</v>
      </c>
      <c r="CR110" s="238">
        <f t="shared" si="184"/>
        <v>247469</v>
      </c>
      <c r="CS110" s="238">
        <f t="shared" si="184"/>
        <v>251273</v>
      </c>
      <c r="CT110" s="238">
        <f t="shared" si="184"/>
        <v>257808</v>
      </c>
      <c r="CU110" s="307">
        <f t="shared" si="184"/>
        <v>257808</v>
      </c>
      <c r="CV110" s="238">
        <f t="shared" si="184"/>
        <v>258224.22694387185</v>
      </c>
      <c r="CW110" s="238">
        <f t="shared" ref="CW110:DC110" si="185">CW109+CW107+CW98+CW96+CW90</f>
        <v>259330.74086868859</v>
      </c>
      <c r="CX110" s="238">
        <f t="shared" si="185"/>
        <v>260130.09384157386</v>
      </c>
      <c r="CY110" s="238">
        <f t="shared" si="185"/>
        <v>260782.41724435275</v>
      </c>
      <c r="CZ110" s="307">
        <f t="shared" si="185"/>
        <v>260782.41724435275</v>
      </c>
      <c r="DA110" s="237">
        <f t="shared" si="185"/>
        <v>265334.75013858126</v>
      </c>
      <c r="DB110" s="237">
        <f t="shared" si="185"/>
        <v>270164.59307358391</v>
      </c>
      <c r="DC110" s="237">
        <f t="shared" si="185"/>
        <v>275329.03243611474</v>
      </c>
      <c r="DD110" s="165"/>
      <c r="DE110" s="2"/>
      <c r="DF110" s="307">
        <f>CT110</f>
        <v>257808</v>
      </c>
      <c r="DG110" s="307">
        <v>252384.4836258057</v>
      </c>
      <c r="DH110" s="307">
        <f>CO110</f>
        <v>237951</v>
      </c>
      <c r="DI110" s="460">
        <f>IF(ISERROR(DF110/DG110-1),"NM",DF110/DG110-1)</f>
        <v>2.1489103831895617E-2</v>
      </c>
      <c r="DJ110" s="460">
        <f>IF(ISERROR(DF110/DH110-1),"NM",DF110/DH110-1)</f>
        <v>8.3449953982122294E-2</v>
      </c>
      <c r="DK110" s="2"/>
      <c r="DL110" s="2"/>
      <c r="DM110" s="2"/>
    </row>
    <row r="111" spans="1:124" ht="12" customHeight="1">
      <c r="A111" s="1109">
        <f t="shared" si="113"/>
        <v>106</v>
      </c>
      <c r="B111" s="10"/>
      <c r="C111" s="23"/>
      <c r="D111" s="23"/>
      <c r="E111" s="69"/>
      <c r="F111" s="69"/>
      <c r="G111" s="69"/>
      <c r="H111" s="69"/>
      <c r="I111" s="69"/>
      <c r="J111" s="29"/>
      <c r="K111" s="29"/>
      <c r="L111" s="29"/>
      <c r="M111" s="29"/>
      <c r="N111" s="69"/>
      <c r="O111" s="29"/>
      <c r="P111" s="29"/>
      <c r="Q111" s="29"/>
      <c r="R111" s="29"/>
      <c r="S111" s="69"/>
      <c r="T111" s="29"/>
      <c r="U111" s="29"/>
      <c r="V111" s="29"/>
      <c r="W111" s="29"/>
      <c r="X111" s="69"/>
      <c r="Y111" s="29"/>
      <c r="Z111" s="29"/>
      <c r="AA111" s="29"/>
      <c r="AB111" s="29"/>
      <c r="AC111" s="69"/>
      <c r="AD111" s="29"/>
      <c r="AE111" s="29"/>
      <c r="AF111" s="29"/>
      <c r="AG111" s="29"/>
      <c r="AH111" s="69"/>
      <c r="AI111" s="29"/>
      <c r="AJ111" s="29"/>
      <c r="AK111" s="29"/>
      <c r="AL111" s="29"/>
      <c r="AM111" s="69"/>
      <c r="AN111" s="29"/>
      <c r="AO111" s="29"/>
      <c r="AP111" s="29"/>
      <c r="AQ111" s="29"/>
      <c r="AR111" s="69"/>
      <c r="AS111" s="29"/>
      <c r="AT111" s="29"/>
      <c r="AU111" s="29"/>
      <c r="AV111" s="29"/>
      <c r="AW111" s="69"/>
      <c r="AX111" s="29"/>
      <c r="AY111" s="29"/>
      <c r="AZ111" s="29"/>
      <c r="BA111" s="29"/>
      <c r="BB111" s="69"/>
      <c r="BC111" s="29"/>
      <c r="BD111" s="29"/>
      <c r="BE111" s="29"/>
      <c r="BF111" s="29"/>
      <c r="BG111" s="69"/>
      <c r="BH111" s="29"/>
      <c r="BI111" s="29"/>
      <c r="BJ111" s="29"/>
      <c r="BK111" s="29"/>
      <c r="BL111" s="69"/>
      <c r="BM111" s="29"/>
      <c r="BN111" s="29"/>
      <c r="BO111" s="29"/>
      <c r="BP111" s="29"/>
      <c r="BQ111" s="69"/>
      <c r="BR111" s="29"/>
      <c r="BS111" s="29"/>
      <c r="BT111" s="29"/>
      <c r="BU111" s="29"/>
      <c r="BV111" s="69"/>
      <c r="BW111" s="249"/>
      <c r="BX111" s="249"/>
      <c r="BY111" s="249"/>
      <c r="BZ111" s="249"/>
      <c r="CA111" s="250"/>
      <c r="CB111" s="249"/>
      <c r="CC111" s="249"/>
      <c r="CD111" s="249"/>
      <c r="CE111" s="249"/>
      <c r="CF111" s="250"/>
      <c r="CG111" s="249"/>
      <c r="CH111" s="249"/>
      <c r="CI111" s="249"/>
      <c r="CJ111" s="249"/>
      <c r="CK111" s="250"/>
      <c r="CL111" s="249"/>
      <c r="CM111" s="249"/>
      <c r="CN111" s="249"/>
      <c r="CO111" s="249"/>
      <c r="CP111" s="250"/>
      <c r="CQ111" s="249"/>
      <c r="CR111" s="29"/>
      <c r="CS111" s="29"/>
      <c r="CT111" s="29"/>
      <c r="CU111" s="250"/>
      <c r="CV111" s="29"/>
      <c r="CW111" s="29"/>
      <c r="CX111" s="29"/>
      <c r="CY111" s="29"/>
      <c r="CZ111" s="250"/>
      <c r="DA111" s="69"/>
      <c r="DB111" s="69"/>
      <c r="DC111" s="69"/>
      <c r="DD111" s="165"/>
      <c r="DE111" s="2"/>
      <c r="DF111" s="250"/>
      <c r="DG111" s="250"/>
      <c r="DH111" s="250"/>
      <c r="DI111" s="450"/>
      <c r="DJ111" s="450"/>
      <c r="DK111" s="2"/>
      <c r="DL111" s="2"/>
      <c r="DM111" s="2"/>
    </row>
    <row r="112" spans="1:124" s="449" customFormat="1" ht="12" customHeight="1">
      <c r="A112" s="1109">
        <f t="shared" si="113"/>
        <v>107</v>
      </c>
      <c r="B112" s="126"/>
      <c r="C112" s="127" t="s">
        <v>31</v>
      </c>
      <c r="D112" s="127"/>
      <c r="E112" s="129">
        <f t="shared" ref="E112:AJ112" si="186">ROUND(E83-E110,2)</f>
        <v>0</v>
      </c>
      <c r="F112" s="129">
        <f t="shared" si="186"/>
        <v>0</v>
      </c>
      <c r="G112" s="129">
        <f t="shared" si="186"/>
        <v>0</v>
      </c>
      <c r="H112" s="129">
        <f t="shared" si="186"/>
        <v>0</v>
      </c>
      <c r="I112" s="129">
        <f t="shared" si="186"/>
        <v>0</v>
      </c>
      <c r="J112" s="128">
        <f t="shared" si="186"/>
        <v>0</v>
      </c>
      <c r="K112" s="128">
        <f t="shared" si="186"/>
        <v>0</v>
      </c>
      <c r="L112" s="128">
        <f t="shared" si="186"/>
        <v>0</v>
      </c>
      <c r="M112" s="128">
        <f t="shared" si="186"/>
        <v>0</v>
      </c>
      <c r="N112" s="129">
        <f t="shared" si="186"/>
        <v>0</v>
      </c>
      <c r="O112" s="128">
        <f t="shared" si="186"/>
        <v>0</v>
      </c>
      <c r="P112" s="128">
        <f t="shared" si="186"/>
        <v>0</v>
      </c>
      <c r="Q112" s="128">
        <f t="shared" si="186"/>
        <v>0</v>
      </c>
      <c r="R112" s="128">
        <f t="shared" si="186"/>
        <v>0</v>
      </c>
      <c r="S112" s="129">
        <f t="shared" si="186"/>
        <v>0</v>
      </c>
      <c r="T112" s="128">
        <f t="shared" si="186"/>
        <v>0</v>
      </c>
      <c r="U112" s="128">
        <f t="shared" si="186"/>
        <v>0</v>
      </c>
      <c r="V112" s="128">
        <f t="shared" si="186"/>
        <v>0</v>
      </c>
      <c r="W112" s="128">
        <f t="shared" si="186"/>
        <v>0</v>
      </c>
      <c r="X112" s="129">
        <f t="shared" si="186"/>
        <v>0</v>
      </c>
      <c r="Y112" s="128">
        <f t="shared" si="186"/>
        <v>0</v>
      </c>
      <c r="Z112" s="128">
        <f t="shared" si="186"/>
        <v>0</v>
      </c>
      <c r="AA112" s="128">
        <f t="shared" si="186"/>
        <v>0</v>
      </c>
      <c r="AB112" s="128">
        <f t="shared" si="186"/>
        <v>0</v>
      </c>
      <c r="AC112" s="129">
        <f t="shared" si="186"/>
        <v>0</v>
      </c>
      <c r="AD112" s="128">
        <f t="shared" si="186"/>
        <v>0</v>
      </c>
      <c r="AE112" s="128">
        <f t="shared" si="186"/>
        <v>0</v>
      </c>
      <c r="AF112" s="128">
        <f t="shared" si="186"/>
        <v>0</v>
      </c>
      <c r="AG112" s="128">
        <f t="shared" si="186"/>
        <v>0</v>
      </c>
      <c r="AH112" s="129">
        <f t="shared" si="186"/>
        <v>0</v>
      </c>
      <c r="AI112" s="128">
        <f t="shared" si="186"/>
        <v>0</v>
      </c>
      <c r="AJ112" s="128">
        <f t="shared" si="186"/>
        <v>0</v>
      </c>
      <c r="AK112" s="128">
        <f t="shared" ref="AK112:BP112" si="187">ROUND(AK83-AK110,2)</f>
        <v>0</v>
      </c>
      <c r="AL112" s="128">
        <f t="shared" si="187"/>
        <v>0</v>
      </c>
      <c r="AM112" s="129">
        <f t="shared" si="187"/>
        <v>0</v>
      </c>
      <c r="AN112" s="128">
        <f t="shared" si="187"/>
        <v>0</v>
      </c>
      <c r="AO112" s="128">
        <f t="shared" si="187"/>
        <v>0</v>
      </c>
      <c r="AP112" s="128">
        <f t="shared" si="187"/>
        <v>0</v>
      </c>
      <c r="AQ112" s="128">
        <f t="shared" si="187"/>
        <v>0</v>
      </c>
      <c r="AR112" s="129">
        <f t="shared" si="187"/>
        <v>0</v>
      </c>
      <c r="AS112" s="128">
        <f t="shared" si="187"/>
        <v>0</v>
      </c>
      <c r="AT112" s="128">
        <f t="shared" si="187"/>
        <v>0</v>
      </c>
      <c r="AU112" s="128">
        <f t="shared" si="187"/>
        <v>0</v>
      </c>
      <c r="AV112" s="128">
        <f t="shared" si="187"/>
        <v>0</v>
      </c>
      <c r="AW112" s="129">
        <f t="shared" si="187"/>
        <v>0</v>
      </c>
      <c r="AX112" s="128">
        <f t="shared" si="187"/>
        <v>0</v>
      </c>
      <c r="AY112" s="128">
        <f t="shared" si="187"/>
        <v>0</v>
      </c>
      <c r="AZ112" s="128">
        <f t="shared" si="187"/>
        <v>0</v>
      </c>
      <c r="BA112" s="128">
        <f t="shared" si="187"/>
        <v>0</v>
      </c>
      <c r="BB112" s="129">
        <f t="shared" si="187"/>
        <v>0</v>
      </c>
      <c r="BC112" s="128">
        <f t="shared" si="187"/>
        <v>0</v>
      </c>
      <c r="BD112" s="128">
        <f t="shared" si="187"/>
        <v>0</v>
      </c>
      <c r="BE112" s="128">
        <f t="shared" si="187"/>
        <v>0</v>
      </c>
      <c r="BF112" s="128">
        <f t="shared" si="187"/>
        <v>0</v>
      </c>
      <c r="BG112" s="129">
        <f t="shared" si="187"/>
        <v>0</v>
      </c>
      <c r="BH112" s="128">
        <f t="shared" si="187"/>
        <v>0</v>
      </c>
      <c r="BI112" s="128">
        <f t="shared" si="187"/>
        <v>0</v>
      </c>
      <c r="BJ112" s="128">
        <f t="shared" si="187"/>
        <v>0</v>
      </c>
      <c r="BK112" s="128">
        <f t="shared" si="187"/>
        <v>0</v>
      </c>
      <c r="BL112" s="129">
        <f t="shared" si="187"/>
        <v>0</v>
      </c>
      <c r="BM112" s="128">
        <f t="shared" si="187"/>
        <v>0</v>
      </c>
      <c r="BN112" s="128">
        <f t="shared" si="187"/>
        <v>0</v>
      </c>
      <c r="BO112" s="128">
        <f t="shared" si="187"/>
        <v>0</v>
      </c>
      <c r="BP112" s="128">
        <f t="shared" si="187"/>
        <v>0</v>
      </c>
      <c r="BQ112" s="129">
        <f t="shared" ref="BQ112:CV112" si="188">ROUND(BQ83-BQ110,2)</f>
        <v>0</v>
      </c>
      <c r="BR112" s="128">
        <f t="shared" si="188"/>
        <v>0</v>
      </c>
      <c r="BS112" s="128">
        <f t="shared" si="188"/>
        <v>0</v>
      </c>
      <c r="BT112" s="128">
        <f t="shared" si="188"/>
        <v>0</v>
      </c>
      <c r="BU112" s="128">
        <f t="shared" si="188"/>
        <v>0</v>
      </c>
      <c r="BV112" s="129">
        <f t="shared" si="188"/>
        <v>0</v>
      </c>
      <c r="BW112" s="251">
        <f t="shared" si="188"/>
        <v>0</v>
      </c>
      <c r="BX112" s="251">
        <f t="shared" si="188"/>
        <v>0</v>
      </c>
      <c r="BY112" s="251">
        <f t="shared" si="188"/>
        <v>0</v>
      </c>
      <c r="BZ112" s="251">
        <f t="shared" si="188"/>
        <v>0</v>
      </c>
      <c r="CA112" s="252">
        <f t="shared" si="188"/>
        <v>0</v>
      </c>
      <c r="CB112" s="251">
        <f t="shared" si="188"/>
        <v>0</v>
      </c>
      <c r="CC112" s="251">
        <f t="shared" si="188"/>
        <v>0</v>
      </c>
      <c r="CD112" s="251">
        <f t="shared" si="188"/>
        <v>0</v>
      </c>
      <c r="CE112" s="251">
        <f t="shared" si="188"/>
        <v>0</v>
      </c>
      <c r="CF112" s="252">
        <f t="shared" si="188"/>
        <v>0</v>
      </c>
      <c r="CG112" s="251">
        <f t="shared" si="188"/>
        <v>0</v>
      </c>
      <c r="CH112" s="251">
        <f t="shared" si="188"/>
        <v>0</v>
      </c>
      <c r="CI112" s="251">
        <f t="shared" si="188"/>
        <v>0</v>
      </c>
      <c r="CJ112" s="251">
        <f t="shared" si="188"/>
        <v>0</v>
      </c>
      <c r="CK112" s="252">
        <f t="shared" si="188"/>
        <v>0</v>
      </c>
      <c r="CL112" s="251">
        <f t="shared" si="188"/>
        <v>0</v>
      </c>
      <c r="CM112" s="251">
        <f t="shared" si="188"/>
        <v>0</v>
      </c>
      <c r="CN112" s="251">
        <f t="shared" si="188"/>
        <v>0</v>
      </c>
      <c r="CO112" s="251">
        <f t="shared" si="188"/>
        <v>0</v>
      </c>
      <c r="CP112" s="252">
        <f t="shared" si="188"/>
        <v>0</v>
      </c>
      <c r="CQ112" s="251">
        <f t="shared" si="188"/>
        <v>0</v>
      </c>
      <c r="CR112" s="251">
        <f t="shared" si="188"/>
        <v>0</v>
      </c>
      <c r="CS112" s="251">
        <f t="shared" si="188"/>
        <v>0</v>
      </c>
      <c r="CT112" s="251">
        <f t="shared" si="188"/>
        <v>0</v>
      </c>
      <c r="CU112" s="252">
        <f t="shared" si="188"/>
        <v>0</v>
      </c>
      <c r="CV112" s="251">
        <f t="shared" si="188"/>
        <v>0</v>
      </c>
      <c r="CW112" s="251">
        <f t="shared" ref="CW112:DC112" si="189">ROUND(CW83-CW110,2)</f>
        <v>0</v>
      </c>
      <c r="CX112" s="251">
        <f t="shared" si="189"/>
        <v>0</v>
      </c>
      <c r="CY112" s="251">
        <f t="shared" si="189"/>
        <v>0</v>
      </c>
      <c r="CZ112" s="252">
        <f t="shared" si="189"/>
        <v>0</v>
      </c>
      <c r="DA112" s="252">
        <f t="shared" si="189"/>
        <v>0</v>
      </c>
      <c r="DB112" s="252">
        <f t="shared" si="189"/>
        <v>0</v>
      </c>
      <c r="DC112" s="252">
        <f t="shared" si="189"/>
        <v>0</v>
      </c>
      <c r="DD112" s="165"/>
      <c r="DE112" s="130"/>
      <c r="DF112" s="252"/>
      <c r="DG112" s="252"/>
      <c r="DH112" s="252"/>
      <c r="DI112" s="461"/>
      <c r="DJ112" s="461"/>
      <c r="DK112" s="130"/>
      <c r="DL112" s="130"/>
      <c r="DM112" s="130"/>
      <c r="DN112"/>
      <c r="DO112"/>
      <c r="DP112"/>
      <c r="DQ112"/>
      <c r="DR112"/>
      <c r="DS112"/>
      <c r="DT112" s="835"/>
    </row>
    <row r="113" spans="1:124" ht="12" customHeight="1">
      <c r="A113" s="1109">
        <f t="shared" si="113"/>
        <v>108</v>
      </c>
      <c r="B113" s="10"/>
      <c r="C113" s="2"/>
      <c r="D113" s="2"/>
      <c r="E113" s="70"/>
      <c r="F113" s="70"/>
      <c r="G113" s="70"/>
      <c r="H113" s="70"/>
      <c r="I113" s="70"/>
      <c r="J113" s="9"/>
      <c r="K113" s="9"/>
      <c r="L113" s="9"/>
      <c r="M113" s="9"/>
      <c r="N113" s="70"/>
      <c r="O113" s="9"/>
      <c r="P113" s="9"/>
      <c r="Q113" s="9"/>
      <c r="R113" s="9"/>
      <c r="S113" s="70"/>
      <c r="T113" s="9"/>
      <c r="U113" s="9"/>
      <c r="V113" s="9"/>
      <c r="W113" s="9"/>
      <c r="X113" s="70"/>
      <c r="Y113" s="9"/>
      <c r="Z113" s="9"/>
      <c r="AA113" s="9"/>
      <c r="AB113" s="9"/>
      <c r="AC113" s="70"/>
      <c r="AD113" s="9"/>
      <c r="AE113" s="9"/>
      <c r="AF113" s="9"/>
      <c r="AG113" s="9"/>
      <c r="AH113" s="70"/>
      <c r="AI113" s="9"/>
      <c r="AJ113" s="9"/>
      <c r="AK113" s="9"/>
      <c r="AL113" s="9"/>
      <c r="AM113" s="70"/>
      <c r="AN113" s="9"/>
      <c r="AO113" s="9"/>
      <c r="AP113" s="9"/>
      <c r="AQ113" s="9"/>
      <c r="AR113" s="70"/>
      <c r="AS113" s="9"/>
      <c r="AT113" s="9"/>
      <c r="AU113" s="9"/>
      <c r="AV113" s="9"/>
      <c r="AW113" s="70"/>
      <c r="AX113" s="9"/>
      <c r="AY113" s="9"/>
      <c r="AZ113" s="9"/>
      <c r="BA113" s="9"/>
      <c r="BB113" s="70"/>
      <c r="BC113" s="9"/>
      <c r="BD113" s="9"/>
      <c r="BE113" s="9"/>
      <c r="BF113" s="9"/>
      <c r="BG113" s="70"/>
      <c r="BH113" s="9"/>
      <c r="BI113" s="9"/>
      <c r="BJ113" s="9"/>
      <c r="BK113" s="9"/>
      <c r="BL113" s="70"/>
      <c r="BM113" s="9"/>
      <c r="BN113" s="9"/>
      <c r="BO113" s="9"/>
      <c r="BP113" s="9"/>
      <c r="BQ113" s="70"/>
      <c r="BR113" s="9"/>
      <c r="BS113" s="9"/>
      <c r="BT113" s="9"/>
      <c r="BU113" s="9"/>
      <c r="BV113" s="70"/>
      <c r="BW113" s="253"/>
      <c r="BX113" s="253"/>
      <c r="BY113" s="253"/>
      <c r="BZ113" s="253"/>
      <c r="CA113" s="254"/>
      <c r="CB113" s="253"/>
      <c r="CC113" s="253"/>
      <c r="CD113" s="253"/>
      <c r="CE113" s="253"/>
      <c r="CF113" s="66"/>
      <c r="CG113" s="253"/>
      <c r="CH113" s="253"/>
      <c r="CI113" s="253"/>
      <c r="CJ113" s="253"/>
      <c r="CK113" s="66"/>
      <c r="CL113" s="253"/>
      <c r="CM113" s="253"/>
      <c r="CN113" s="253"/>
      <c r="CO113" s="253"/>
      <c r="CP113" s="66"/>
      <c r="CQ113" s="253"/>
      <c r="CR113" s="9"/>
      <c r="CS113" s="9"/>
      <c r="CT113" s="9"/>
      <c r="CU113" s="62"/>
      <c r="CV113" s="9"/>
      <c r="CW113" s="9"/>
      <c r="CX113" s="9"/>
      <c r="CY113" s="9"/>
      <c r="CZ113" s="62"/>
      <c r="DA113" s="70"/>
      <c r="DB113" s="70"/>
      <c r="DC113" s="70"/>
      <c r="DD113" s="165"/>
      <c r="DE113" s="2"/>
      <c r="DF113" s="66"/>
      <c r="DG113" s="66"/>
      <c r="DH113" s="66"/>
      <c r="DI113" s="450"/>
      <c r="DJ113" s="450"/>
      <c r="DK113" s="2"/>
      <c r="DL113" s="2"/>
      <c r="DM113" s="2"/>
    </row>
    <row r="114" spans="1:124" ht="12" customHeight="1">
      <c r="A114" s="1109">
        <f t="shared" si="113"/>
        <v>109</v>
      </c>
      <c r="B114" s="10"/>
      <c r="C114" s="6" t="s">
        <v>191</v>
      </c>
      <c r="D114" s="2"/>
      <c r="E114" s="70"/>
      <c r="F114" s="70"/>
      <c r="G114" s="70"/>
      <c r="H114" s="70"/>
      <c r="I114" s="70"/>
      <c r="J114" s="2"/>
      <c r="K114" s="2"/>
      <c r="L114" s="2"/>
      <c r="M114" s="2"/>
      <c r="N114" s="70"/>
      <c r="O114" s="2"/>
      <c r="P114" s="2"/>
      <c r="Q114" s="2"/>
      <c r="R114" s="2"/>
      <c r="S114" s="70"/>
      <c r="T114" s="2"/>
      <c r="U114" s="2"/>
      <c r="V114" s="2"/>
      <c r="W114" s="2"/>
      <c r="X114" s="70"/>
      <c r="Y114" s="9"/>
      <c r="Z114" s="9"/>
      <c r="AA114" s="9"/>
      <c r="AB114" s="9"/>
      <c r="AC114" s="70"/>
      <c r="AD114" s="9"/>
      <c r="AE114" s="9"/>
      <c r="AF114" s="9"/>
      <c r="AG114" s="9"/>
      <c r="AH114" s="70"/>
      <c r="AI114" s="9"/>
      <c r="AJ114" s="9"/>
      <c r="AK114" s="9"/>
      <c r="AL114" s="9"/>
      <c r="AM114" s="70"/>
      <c r="AN114" s="9"/>
      <c r="AO114" s="9"/>
      <c r="AP114" s="9"/>
      <c r="AQ114" s="9"/>
      <c r="AR114" s="70"/>
      <c r="AS114" s="9"/>
      <c r="AT114" s="9"/>
      <c r="AU114" s="9"/>
      <c r="AV114" s="9"/>
      <c r="AW114" s="70"/>
      <c r="AX114" s="9"/>
      <c r="AY114" s="9"/>
      <c r="AZ114" s="9"/>
      <c r="BA114" s="9"/>
      <c r="BB114" s="70"/>
      <c r="BC114" s="9"/>
      <c r="BD114" s="9"/>
      <c r="BE114" s="9"/>
      <c r="BF114" s="9"/>
      <c r="BG114" s="70"/>
      <c r="BH114" s="9"/>
      <c r="BI114" s="9"/>
      <c r="BJ114" s="9"/>
      <c r="BK114" s="9"/>
      <c r="BL114" s="70"/>
      <c r="BM114" s="9"/>
      <c r="BN114" s="9"/>
      <c r="BO114" s="9"/>
      <c r="BP114" s="9"/>
      <c r="BQ114" s="70"/>
      <c r="BR114" s="9"/>
      <c r="BS114" s="9"/>
      <c r="BT114" s="9"/>
      <c r="BU114" s="9"/>
      <c r="BV114" s="70"/>
      <c r="BW114" s="253"/>
      <c r="BX114" s="253"/>
      <c r="BY114" s="253"/>
      <c r="BZ114" s="253"/>
      <c r="CA114" s="254"/>
      <c r="CB114" s="253"/>
      <c r="CC114" s="253"/>
      <c r="CD114" s="253"/>
      <c r="CE114" s="253"/>
      <c r="CF114" s="254"/>
      <c r="CG114" s="253"/>
      <c r="CH114" s="253"/>
      <c r="CI114" s="253"/>
      <c r="CJ114" s="253"/>
      <c r="CK114" s="66"/>
      <c r="CL114" s="253"/>
      <c r="CM114" s="253"/>
      <c r="CN114" s="253"/>
      <c r="CO114" s="253"/>
      <c r="CP114" s="66"/>
      <c r="CQ114" s="49"/>
      <c r="CR114" s="9"/>
      <c r="CS114" s="9"/>
      <c r="CT114" s="9"/>
      <c r="CU114" s="62"/>
      <c r="CV114" s="9"/>
      <c r="CW114" s="9"/>
      <c r="CX114" s="9"/>
      <c r="CY114" s="9"/>
      <c r="CZ114" s="62"/>
      <c r="DA114" s="70"/>
      <c r="DB114" s="70"/>
      <c r="DC114" s="70"/>
      <c r="DD114" s="165"/>
      <c r="DE114" s="2"/>
      <c r="DF114" s="66"/>
      <c r="DG114" s="66"/>
      <c r="DH114" s="66"/>
      <c r="DI114" s="450"/>
      <c r="DJ114" s="450"/>
      <c r="DK114" s="2"/>
      <c r="DL114" s="2"/>
      <c r="DM114" s="2"/>
    </row>
    <row r="115" spans="1:124" ht="12" customHeight="1">
      <c r="A115" s="1109">
        <f t="shared" si="113"/>
        <v>110</v>
      </c>
      <c r="B115" s="10"/>
      <c r="C115" s="42"/>
      <c r="D115" s="2"/>
      <c r="E115" s="70"/>
      <c r="F115" s="70"/>
      <c r="G115" s="70"/>
      <c r="H115" s="70"/>
      <c r="I115" s="70"/>
      <c r="J115" s="2"/>
      <c r="K115" s="2"/>
      <c r="L115" s="2"/>
      <c r="M115" s="2"/>
      <c r="N115" s="70"/>
      <c r="O115" s="2"/>
      <c r="P115" s="2"/>
      <c r="Q115" s="2"/>
      <c r="R115" s="2"/>
      <c r="S115" s="70"/>
      <c r="T115" s="2"/>
      <c r="U115" s="2"/>
      <c r="V115" s="2"/>
      <c r="W115" s="2"/>
      <c r="X115" s="70"/>
      <c r="Y115" s="9"/>
      <c r="Z115" s="9"/>
      <c r="AA115" s="9"/>
      <c r="AB115" s="9"/>
      <c r="AC115" s="70"/>
      <c r="AD115" s="9"/>
      <c r="AE115" s="9"/>
      <c r="AF115" s="9"/>
      <c r="AG115" s="9"/>
      <c r="AH115" s="70"/>
      <c r="AI115" s="9"/>
      <c r="AJ115" s="9"/>
      <c r="AK115" s="9"/>
      <c r="AL115" s="9"/>
      <c r="AM115" s="70"/>
      <c r="AN115" s="9"/>
      <c r="AO115" s="9"/>
      <c r="AP115" s="9"/>
      <c r="AQ115" s="9"/>
      <c r="AR115" s="70"/>
      <c r="AS115" s="9"/>
      <c r="AT115" s="9"/>
      <c r="AU115" s="9"/>
      <c r="AV115" s="9"/>
      <c r="AW115" s="70"/>
      <c r="AX115" s="9"/>
      <c r="AY115" s="9"/>
      <c r="AZ115" s="9"/>
      <c r="BA115" s="9"/>
      <c r="BB115" s="70"/>
      <c r="BC115" s="9"/>
      <c r="BD115" s="9"/>
      <c r="BE115" s="9"/>
      <c r="BF115" s="9"/>
      <c r="BG115" s="70"/>
      <c r="BH115" s="9"/>
      <c r="BI115" s="9"/>
      <c r="BJ115" s="9"/>
      <c r="BK115" s="9"/>
      <c r="BL115" s="70"/>
      <c r="BM115" s="9"/>
      <c r="BN115" s="9"/>
      <c r="BO115" s="9"/>
      <c r="BP115" s="9"/>
      <c r="BQ115" s="70"/>
      <c r="BR115" s="9"/>
      <c r="BS115" s="9"/>
      <c r="BT115" s="9"/>
      <c r="BU115" s="9"/>
      <c r="BV115" s="70"/>
      <c r="BW115" s="253"/>
      <c r="BX115" s="253"/>
      <c r="BY115" s="253"/>
      <c r="BZ115" s="253"/>
      <c r="CA115" s="254"/>
      <c r="CB115" s="253"/>
      <c r="CC115" s="253"/>
      <c r="CD115" s="253"/>
      <c r="CE115" s="253"/>
      <c r="CF115" s="254"/>
      <c r="CG115" s="253"/>
      <c r="CH115" s="253"/>
      <c r="CI115" s="253"/>
      <c r="CJ115" s="253"/>
      <c r="CK115" s="66"/>
      <c r="CL115" s="253"/>
      <c r="CM115" s="253"/>
      <c r="CN115" s="253"/>
      <c r="CO115" s="253"/>
      <c r="CP115" s="66"/>
      <c r="CQ115" s="253"/>
      <c r="CR115" s="9"/>
      <c r="CS115" s="9"/>
      <c r="CT115" s="9"/>
      <c r="CU115" s="62"/>
      <c r="CV115" s="9"/>
      <c r="CW115" s="9"/>
      <c r="CX115" s="9"/>
      <c r="CY115" s="9"/>
      <c r="CZ115" s="62"/>
      <c r="DA115" s="70"/>
      <c r="DB115" s="70"/>
      <c r="DC115" s="70"/>
      <c r="DD115" s="165"/>
      <c r="DE115" s="2"/>
      <c r="DF115" s="66"/>
      <c r="DG115" s="66"/>
      <c r="DH115" s="66"/>
      <c r="DI115" s="450"/>
      <c r="DJ115" s="450"/>
      <c r="DK115" s="2"/>
      <c r="DL115" s="2"/>
      <c r="DM115" s="2"/>
    </row>
    <row r="116" spans="1:124" ht="12" customHeight="1">
      <c r="A116" s="1109">
        <f t="shared" si="113"/>
        <v>111</v>
      </c>
      <c r="B116" s="10"/>
      <c r="C116" s="2" t="s">
        <v>205</v>
      </c>
      <c r="D116" s="2"/>
      <c r="E116" s="60">
        <f t="shared" ref="E116:X116" si="190">E88+E89+E93+E94</f>
        <v>148624</v>
      </c>
      <c r="F116" s="60">
        <f t="shared" si="190"/>
        <v>158361</v>
      </c>
      <c r="G116" s="60">
        <f t="shared" si="190"/>
        <v>168247</v>
      </c>
      <c r="H116" s="60">
        <f t="shared" si="190"/>
        <v>132158</v>
      </c>
      <c r="I116" s="60">
        <f t="shared" si="190"/>
        <v>151655</v>
      </c>
      <c r="J116" s="49">
        <f t="shared" si="190"/>
        <v>154704</v>
      </c>
      <c r="K116" s="49">
        <f t="shared" si="190"/>
        <v>159867</v>
      </c>
      <c r="L116" s="49">
        <f t="shared" si="190"/>
        <v>161766</v>
      </c>
      <c r="M116" s="49">
        <f t="shared" si="190"/>
        <v>165556</v>
      </c>
      <c r="N116" s="60">
        <f t="shared" si="190"/>
        <v>165556</v>
      </c>
      <c r="O116" s="49">
        <f t="shared" si="190"/>
        <v>167365</v>
      </c>
      <c r="P116" s="49">
        <f t="shared" si="190"/>
        <v>174163</v>
      </c>
      <c r="Q116" s="49">
        <f t="shared" si="190"/>
        <v>166372</v>
      </c>
      <c r="R116" s="49">
        <f t="shared" si="190"/>
        <v>166803</v>
      </c>
      <c r="S116" s="60">
        <f t="shared" si="190"/>
        <v>166803</v>
      </c>
      <c r="T116" s="49">
        <f t="shared" si="190"/>
        <v>159217</v>
      </c>
      <c r="U116" s="49">
        <f t="shared" si="190"/>
        <v>164814</v>
      </c>
      <c r="V116" s="49">
        <f t="shared" si="190"/>
        <v>162206</v>
      </c>
      <c r="W116" s="49">
        <f t="shared" si="190"/>
        <v>162212</v>
      </c>
      <c r="X116" s="60">
        <f t="shared" si="190"/>
        <v>162212</v>
      </c>
      <c r="Y116" s="49">
        <f t="shared" ref="Y116:CJ116" si="191">Y88+Y89+Y93+Y94</f>
        <v>159010</v>
      </c>
      <c r="Z116" s="49">
        <f t="shared" si="191"/>
        <v>169438</v>
      </c>
      <c r="AA116" s="49">
        <f t="shared" si="191"/>
        <v>180236</v>
      </c>
      <c r="AB116" s="49">
        <f t="shared" si="191"/>
        <v>179804</v>
      </c>
      <c r="AC116" s="60">
        <f t="shared" si="191"/>
        <v>179804</v>
      </c>
      <c r="AD116" s="49">
        <f t="shared" si="191"/>
        <v>171446</v>
      </c>
      <c r="AE116" s="49">
        <f t="shared" si="191"/>
        <v>168101</v>
      </c>
      <c r="AF116" s="49">
        <f t="shared" si="191"/>
        <v>164707</v>
      </c>
      <c r="AG116" s="49">
        <f t="shared" si="191"/>
        <v>162425</v>
      </c>
      <c r="AH116" s="60">
        <f t="shared" si="191"/>
        <v>162425</v>
      </c>
      <c r="AI116" s="49">
        <f t="shared" si="191"/>
        <v>161262</v>
      </c>
      <c r="AJ116" s="49">
        <f t="shared" si="191"/>
        <v>158441</v>
      </c>
      <c r="AK116" s="49">
        <f t="shared" si="191"/>
        <v>141738</v>
      </c>
      <c r="AL116" s="49">
        <f t="shared" si="191"/>
        <v>153278</v>
      </c>
      <c r="AM116" s="60">
        <f t="shared" si="191"/>
        <v>153278</v>
      </c>
      <c r="AN116" s="49">
        <f t="shared" si="191"/>
        <v>151104</v>
      </c>
      <c r="AO116" s="49">
        <f t="shared" si="191"/>
        <v>153002</v>
      </c>
      <c r="AP116" s="49">
        <f t="shared" si="191"/>
        <v>154410</v>
      </c>
      <c r="AQ116" s="49">
        <f t="shared" si="191"/>
        <v>171832</v>
      </c>
      <c r="AR116" s="60">
        <f t="shared" si="191"/>
        <v>171832</v>
      </c>
      <c r="AS116" s="49">
        <f t="shared" si="191"/>
        <v>167179</v>
      </c>
      <c r="AT116" s="49">
        <f t="shared" si="191"/>
        <v>170036</v>
      </c>
      <c r="AU116" s="49">
        <f t="shared" si="191"/>
        <v>163213</v>
      </c>
      <c r="AV116" s="49">
        <f t="shared" si="191"/>
        <v>168787</v>
      </c>
      <c r="AW116" s="60">
        <f t="shared" si="191"/>
        <v>168787</v>
      </c>
      <c r="AX116" s="49">
        <f t="shared" si="191"/>
        <v>169205</v>
      </c>
      <c r="AY116" s="49">
        <f t="shared" si="191"/>
        <v>166025</v>
      </c>
      <c r="AZ116" s="49">
        <f t="shared" si="191"/>
        <v>156793</v>
      </c>
      <c r="BA116" s="49">
        <f t="shared" si="191"/>
        <v>152577</v>
      </c>
      <c r="BB116" s="60">
        <f t="shared" si="191"/>
        <v>152577</v>
      </c>
      <c r="BC116" s="49">
        <f t="shared" si="191"/>
        <v>145586</v>
      </c>
      <c r="BD116" s="49">
        <f t="shared" si="191"/>
        <v>133066</v>
      </c>
      <c r="BE116" s="49">
        <f t="shared" si="191"/>
        <v>132017</v>
      </c>
      <c r="BF116" s="49">
        <f t="shared" si="191"/>
        <v>131635</v>
      </c>
      <c r="BG116" s="60">
        <f t="shared" si="191"/>
        <v>131635</v>
      </c>
      <c r="BH116" s="49">
        <f t="shared" si="191"/>
        <v>130105</v>
      </c>
      <c r="BI116" s="49">
        <f t="shared" si="191"/>
        <v>117385</v>
      </c>
      <c r="BJ116" s="49">
        <f t="shared" si="191"/>
        <v>116691</v>
      </c>
      <c r="BK116" s="49">
        <f t="shared" si="191"/>
        <v>103988</v>
      </c>
      <c r="BL116" s="60">
        <f t="shared" si="191"/>
        <v>103988</v>
      </c>
      <c r="BM116" s="49">
        <f t="shared" si="191"/>
        <v>101638</v>
      </c>
      <c r="BN116" s="49">
        <f t="shared" si="191"/>
        <v>98550</v>
      </c>
      <c r="BO116" s="49">
        <f t="shared" si="191"/>
        <v>95131</v>
      </c>
      <c r="BP116" s="49">
        <f t="shared" si="191"/>
        <v>99488</v>
      </c>
      <c r="BQ116" s="60">
        <f t="shared" si="191"/>
        <v>99488</v>
      </c>
      <c r="BR116" s="49">
        <f t="shared" si="191"/>
        <v>100490</v>
      </c>
      <c r="BS116" s="49">
        <f t="shared" si="191"/>
        <v>99897</v>
      </c>
      <c r="BT116" s="49">
        <f t="shared" si="191"/>
        <v>100604</v>
      </c>
      <c r="BU116" s="49">
        <f t="shared" si="191"/>
        <v>105058</v>
      </c>
      <c r="BV116" s="60">
        <f t="shared" si="191"/>
        <v>105058</v>
      </c>
      <c r="BW116" s="49">
        <f t="shared" si="191"/>
        <v>107356</v>
      </c>
      <c r="BX116" s="49">
        <f t="shared" si="191"/>
        <v>107857</v>
      </c>
      <c r="BY116" s="49">
        <f t="shared" si="191"/>
        <v>110622</v>
      </c>
      <c r="BZ116" s="49">
        <f t="shared" si="191"/>
        <v>114688</v>
      </c>
      <c r="CA116" s="60">
        <f t="shared" si="191"/>
        <v>114688</v>
      </c>
      <c r="CB116" s="49">
        <f t="shared" si="191"/>
        <v>117004</v>
      </c>
      <c r="CC116" s="49">
        <f t="shared" si="191"/>
        <v>118707</v>
      </c>
      <c r="CD116" s="49">
        <f t="shared" si="191"/>
        <v>119193</v>
      </c>
      <c r="CE116" s="49">
        <f t="shared" si="191"/>
        <v>119171</v>
      </c>
      <c r="CF116" s="60">
        <f t="shared" si="191"/>
        <v>119171</v>
      </c>
      <c r="CG116" s="49">
        <f t="shared" si="191"/>
        <v>122776</v>
      </c>
      <c r="CH116" s="49">
        <f t="shared" si="191"/>
        <v>123526</v>
      </c>
      <c r="CI116" s="49">
        <f t="shared" si="191"/>
        <v>126425</v>
      </c>
      <c r="CJ116" s="49">
        <f t="shared" si="191"/>
        <v>132854</v>
      </c>
      <c r="CK116" s="60">
        <f t="shared" ref="CK116:CY116" si="192">CK88+CK89+CK93+CK94</f>
        <v>132854</v>
      </c>
      <c r="CL116" s="49">
        <f t="shared" si="192"/>
        <v>140995</v>
      </c>
      <c r="CM116" s="49">
        <f t="shared" si="192"/>
        <v>139914</v>
      </c>
      <c r="CN116" s="49">
        <f t="shared" si="192"/>
        <v>137224</v>
      </c>
      <c r="CO116" s="49">
        <f t="shared" si="192"/>
        <v>142970</v>
      </c>
      <c r="CP116" s="60">
        <f t="shared" si="192"/>
        <v>142970</v>
      </c>
      <c r="CQ116" s="49">
        <f t="shared" si="192"/>
        <v>145977</v>
      </c>
      <c r="CR116" s="49">
        <f t="shared" si="192"/>
        <v>146009</v>
      </c>
      <c r="CS116" s="49">
        <f t="shared" si="192"/>
        <v>149112</v>
      </c>
      <c r="CT116" s="49">
        <f t="shared" si="192"/>
        <v>154287</v>
      </c>
      <c r="CU116" s="60">
        <f t="shared" si="192"/>
        <v>154287</v>
      </c>
      <c r="CV116" s="49">
        <f t="shared" si="192"/>
        <v>154287</v>
      </c>
      <c r="CW116" s="49">
        <f t="shared" si="192"/>
        <v>154287</v>
      </c>
      <c r="CX116" s="49">
        <f t="shared" si="192"/>
        <v>154287</v>
      </c>
      <c r="CY116" s="49">
        <f t="shared" si="192"/>
        <v>154287</v>
      </c>
      <c r="CZ116" s="60">
        <f>CZ88+CZ89+CZ93+CZ94</f>
        <v>154287</v>
      </c>
      <c r="DA116" s="60">
        <f>DA88+DA89+DA93+DA94</f>
        <v>154287</v>
      </c>
      <c r="DB116" s="60">
        <f>DB88+DB89+DB93+DB94</f>
        <v>154287</v>
      </c>
      <c r="DC116" s="60">
        <f>DC88+DC89+DC93+DC94</f>
        <v>154287</v>
      </c>
      <c r="DD116" s="165"/>
      <c r="DE116" s="2"/>
      <c r="DF116" s="255">
        <f>CT116</f>
        <v>154287</v>
      </c>
      <c r="DG116" s="255">
        <v>149112</v>
      </c>
      <c r="DH116" s="255">
        <f>CO116</f>
        <v>142970</v>
      </c>
      <c r="DI116" s="450">
        <f>IF(ISERROR(DF116/DG116-1),"NM",DF116/DG116-1)</f>
        <v>3.4705456301303617E-2</v>
      </c>
      <c r="DJ116" s="450">
        <f>IF(ISERROR(DF116/DH116-1),"NM",DF116/DH116-1)</f>
        <v>7.9156466391550717E-2</v>
      </c>
      <c r="DK116" s="2"/>
      <c r="DL116" s="2"/>
      <c r="DM116" s="2"/>
    </row>
    <row r="117" spans="1:124" ht="12" customHeight="1" thickBot="1">
      <c r="A117" s="1109">
        <f t="shared" si="113"/>
        <v>112</v>
      </c>
      <c r="B117" s="10"/>
      <c r="C117" s="2" t="s">
        <v>192</v>
      </c>
      <c r="D117" s="2"/>
      <c r="E117" s="60">
        <f>SUM(E68:E69)</f>
        <v>19649</v>
      </c>
      <c r="F117" s="60">
        <f>SUM(F68:F69)</f>
        <v>21410</v>
      </c>
      <c r="G117" s="60">
        <f>SUM(G68:G69)</f>
        <v>24660</v>
      </c>
      <c r="H117" s="60">
        <f>SUM(H68:H69)</f>
        <v>25924</v>
      </c>
      <c r="I117" s="60">
        <f>SUM(I68:I69)</f>
        <v>24057</v>
      </c>
      <c r="J117" s="49">
        <f>J68+J69</f>
        <v>25219</v>
      </c>
      <c r="K117" s="49">
        <f>K68+K69</f>
        <v>27814</v>
      </c>
      <c r="L117" s="49">
        <f>L68+L69</f>
        <v>21661</v>
      </c>
      <c r="M117" s="49">
        <f>M68+M69</f>
        <v>18784</v>
      </c>
      <c r="N117" s="60">
        <f>SUM(N68:N69)</f>
        <v>18784</v>
      </c>
      <c r="O117" s="49">
        <f>O68+O69</f>
        <v>17858</v>
      </c>
      <c r="P117" s="49">
        <f>P68+P69</f>
        <v>18770</v>
      </c>
      <c r="Q117" s="49">
        <f>Q68+Q69</f>
        <v>17929</v>
      </c>
      <c r="R117" s="49">
        <f>R68+R69</f>
        <v>18774</v>
      </c>
      <c r="S117" s="60">
        <f>SUM(S68:S69)</f>
        <v>18774</v>
      </c>
      <c r="T117" s="49">
        <f>T68+T69</f>
        <v>28051</v>
      </c>
      <c r="U117" s="49">
        <f>U68+U69</f>
        <v>28686</v>
      </c>
      <c r="V117" s="49">
        <f>V68+V69</f>
        <v>32885</v>
      </c>
      <c r="W117" s="49">
        <f>W68+W69</f>
        <v>30492</v>
      </c>
      <c r="X117" s="60">
        <f>SUM(X68:X69)</f>
        <v>30492</v>
      </c>
      <c r="Y117" s="49">
        <f>Y68+Y69</f>
        <v>37175</v>
      </c>
      <c r="Z117" s="49">
        <f>Z68+Z69</f>
        <v>38015</v>
      </c>
      <c r="AA117" s="49">
        <f>AA68+AA69</f>
        <v>48378</v>
      </c>
      <c r="AB117" s="49">
        <f>AB68+AB69</f>
        <v>39314</v>
      </c>
      <c r="AC117" s="60">
        <f>SUM(AC68:AC69)</f>
        <v>39314</v>
      </c>
      <c r="AD117" s="49">
        <f>AD68+AD69</f>
        <v>36877</v>
      </c>
      <c r="AE117" s="49">
        <f>AE68+AE69</f>
        <v>33658</v>
      </c>
      <c r="AF117" s="49">
        <f>AF68+AF69</f>
        <v>31330</v>
      </c>
      <c r="AG117" s="49">
        <f>AG68+AG69</f>
        <v>32835</v>
      </c>
      <c r="AH117" s="60">
        <f>SUM(AH68:AH69)</f>
        <v>32835</v>
      </c>
      <c r="AI117" s="49">
        <f>AI68+AI69</f>
        <v>34323</v>
      </c>
      <c r="AJ117" s="49">
        <f>AJ68+AJ69</f>
        <v>39481</v>
      </c>
      <c r="AK117" s="49">
        <f>AK68+AK69</f>
        <v>37393</v>
      </c>
      <c r="AL117" s="49">
        <f>AL68+AL69</f>
        <v>42539</v>
      </c>
      <c r="AM117" s="60">
        <f>SUM(AM68:AM69)</f>
        <v>42539</v>
      </c>
      <c r="AN117" s="49">
        <f>AN68+AN69</f>
        <v>39071</v>
      </c>
      <c r="AO117" s="49">
        <f>AO68+AO69</f>
        <v>40618</v>
      </c>
      <c r="AP117" s="49">
        <f>AP68+AP69</f>
        <v>40627</v>
      </c>
      <c r="AQ117" s="49">
        <f>AQ68+AQ69</f>
        <v>55624</v>
      </c>
      <c r="AR117" s="60">
        <f>SUM(AR68:AR69)</f>
        <v>55624</v>
      </c>
      <c r="AS117" s="49">
        <f>AS68+AS69</f>
        <v>50020</v>
      </c>
      <c r="AT117" s="49">
        <f>AT68+AT69</f>
        <v>53194</v>
      </c>
      <c r="AU117" s="49">
        <f>AU68+AU69</f>
        <v>46972</v>
      </c>
      <c r="AV117" s="49">
        <f>AV68+AV69</f>
        <v>50798</v>
      </c>
      <c r="AW117" s="60">
        <f>SUM(AW68:AW69)</f>
        <v>50798</v>
      </c>
      <c r="AX117" s="49">
        <f>AX68+AX69</f>
        <v>49090</v>
      </c>
      <c r="AY117" s="49">
        <f>AY68+AY69</f>
        <v>49938</v>
      </c>
      <c r="AZ117" s="49">
        <f>AZ68+AZ69</f>
        <v>41801</v>
      </c>
      <c r="BA117" s="49">
        <f>BA68+BA69</f>
        <v>39460</v>
      </c>
      <c r="BB117" s="60">
        <f>SUM(BB68:BB69)</f>
        <v>39460</v>
      </c>
      <c r="BC117" s="49">
        <f>BC68+BC69</f>
        <v>41456</v>
      </c>
      <c r="BD117" s="49">
        <f>BD68+BD69</f>
        <v>41134</v>
      </c>
      <c r="BE117" s="49">
        <f>BE68+BE69</f>
        <v>48366</v>
      </c>
      <c r="BF117" s="49">
        <f>BF68+BF69</f>
        <v>42281</v>
      </c>
      <c r="BG117" s="60">
        <f>SUM(BG68:BG69)</f>
        <v>42281</v>
      </c>
      <c r="BH117" s="49">
        <f>BH68+BH69</f>
        <v>46239</v>
      </c>
      <c r="BI117" s="49">
        <f>BI68+BI69</f>
        <v>39726</v>
      </c>
      <c r="BJ117" s="49">
        <f>BJ68+BJ69</f>
        <v>44148</v>
      </c>
      <c r="BK117" s="49">
        <f>BK68+BK69</f>
        <v>35570</v>
      </c>
      <c r="BL117" s="60">
        <f>SUM(BL68:BL69)</f>
        <v>35570</v>
      </c>
      <c r="BM117" s="49">
        <f>BM68+BM69</f>
        <v>34866</v>
      </c>
      <c r="BN117" s="49">
        <f>BN68+BN69</f>
        <v>33521</v>
      </c>
      <c r="BO117" s="49">
        <f>BO68+BO69</f>
        <v>33192</v>
      </c>
      <c r="BP117" s="49">
        <f>BP68+BP69</f>
        <v>35766</v>
      </c>
      <c r="BQ117" s="60">
        <f>SUM(BQ68:BQ69)</f>
        <v>35766</v>
      </c>
      <c r="BR117" s="49">
        <f>BR68+BR69</f>
        <v>36027</v>
      </c>
      <c r="BS117" s="49">
        <f>BS68+BS69</f>
        <v>35600</v>
      </c>
      <c r="BT117" s="49">
        <f>BT68+BT69</f>
        <v>35535</v>
      </c>
      <c r="BU117" s="49">
        <f>BU68+BU69</f>
        <v>35943</v>
      </c>
      <c r="BV117" s="60">
        <f>SUM(BV68:BV69)</f>
        <v>35943</v>
      </c>
      <c r="BW117" s="49">
        <f>BW68+BW69</f>
        <v>34341</v>
      </c>
      <c r="BX117" s="49">
        <f>BX68+BX69</f>
        <v>36706</v>
      </c>
      <c r="BY117" s="49">
        <f>BY68+BY69</f>
        <v>37642</v>
      </c>
      <c r="BZ117" s="49">
        <f>BZ68+BZ69</f>
        <v>36568</v>
      </c>
      <c r="CA117" s="60">
        <f>SUM(CA68:CA69)</f>
        <v>36568</v>
      </c>
      <c r="CB117" s="49">
        <f>CB68+CB69</f>
        <v>36529</v>
      </c>
      <c r="CC117" s="49">
        <f>CC68+CC69</f>
        <v>35669</v>
      </c>
      <c r="CD117" s="49">
        <f>CD68+CD69</f>
        <v>33963</v>
      </c>
      <c r="CE117" s="49">
        <f>CE68+CE69</f>
        <v>31150</v>
      </c>
      <c r="CF117" s="60">
        <f>SUM(CF68:CF69)</f>
        <v>31150</v>
      </c>
      <c r="CG117" s="49">
        <f>CG68+CG69</f>
        <v>33100</v>
      </c>
      <c r="CH117" s="49">
        <f>CH68+CH69</f>
        <v>31302</v>
      </c>
      <c r="CI117" s="49">
        <f>CI68+CI69</f>
        <v>31847</v>
      </c>
      <c r="CJ117" s="49">
        <f>CJ68+CJ69</f>
        <v>35176</v>
      </c>
      <c r="CK117" s="60">
        <f>SUM(CK68:CK69)</f>
        <v>35176</v>
      </c>
      <c r="CL117" s="49">
        <f>CL68+CL69</f>
        <v>39473</v>
      </c>
      <c r="CM117" s="49">
        <f>CM68+CM69</f>
        <v>39297</v>
      </c>
      <c r="CN117" s="49">
        <f>CN68+CN69</f>
        <v>34165</v>
      </c>
      <c r="CO117" s="49">
        <f>CO68+CO69</f>
        <v>38827</v>
      </c>
      <c r="CP117" s="60">
        <f>SUM(CP68:CP69)</f>
        <v>38827</v>
      </c>
      <c r="CQ117" s="49">
        <f>CQ68+CQ69</f>
        <v>39989</v>
      </c>
      <c r="CR117" s="49">
        <f>CR68+CR69</f>
        <v>39109</v>
      </c>
      <c r="CS117" s="49">
        <f>CS68+CS69+CS161</f>
        <v>37485</v>
      </c>
      <c r="CT117" s="49">
        <f>CT68+CT69+CT161</f>
        <v>38331</v>
      </c>
      <c r="CU117" s="1012">
        <f t="shared" ref="CU117:DC117" si="193">CU68+CU69+CU161</f>
        <v>36343</v>
      </c>
      <c r="CV117" s="49">
        <f t="shared" si="193"/>
        <v>36478.636615902156</v>
      </c>
      <c r="CW117" s="49">
        <f t="shared" si="193"/>
        <v>37466.932801681069</v>
      </c>
      <c r="CX117" s="49">
        <f t="shared" si="193"/>
        <v>37296.333428333382</v>
      </c>
      <c r="CY117" s="49">
        <f t="shared" si="193"/>
        <v>37235.979375191593</v>
      </c>
      <c r="CZ117" s="1012">
        <f t="shared" si="193"/>
        <v>34926.427317131594</v>
      </c>
      <c r="DA117" s="60">
        <f t="shared" si="193"/>
        <v>36181.685118330024</v>
      </c>
      <c r="DB117" s="60">
        <f t="shared" si="193"/>
        <v>35454.267342785053</v>
      </c>
      <c r="DC117" s="60">
        <f t="shared" si="193"/>
        <v>35514.920529865987</v>
      </c>
      <c r="DD117" s="165"/>
      <c r="DE117" s="2"/>
      <c r="DF117" s="255">
        <f>CT117</f>
        <v>38331</v>
      </c>
      <c r="DG117" s="255">
        <v>39429.816850902127</v>
      </c>
      <c r="DH117" s="255">
        <f>CO117</f>
        <v>38827</v>
      </c>
      <c r="DI117" s="450">
        <f>IF(ISERROR(DF117/DG117-1),"NM",DF117/DG117-1)</f>
        <v>-2.7867663069730653E-2</v>
      </c>
      <c r="DJ117" s="450">
        <f>IF(ISERROR(DF117/DH117-1),"NM",DF117/DH117-1)</f>
        <v>-1.277461560254467E-2</v>
      </c>
      <c r="DK117" s="2"/>
      <c r="DL117" s="2"/>
      <c r="DM117" s="2"/>
    </row>
    <row r="118" spans="1:124" ht="12" customHeight="1" thickBot="1">
      <c r="A118" s="1109">
        <f t="shared" si="113"/>
        <v>113</v>
      </c>
      <c r="B118" s="10"/>
      <c r="C118" s="52" t="s">
        <v>267</v>
      </c>
      <c r="D118" s="53"/>
      <c r="E118" s="71">
        <f t="shared" ref="E118:X118" si="194">E116-E117</f>
        <v>128975</v>
      </c>
      <c r="F118" s="71">
        <f t="shared" si="194"/>
        <v>136951</v>
      </c>
      <c r="G118" s="71">
        <f t="shared" si="194"/>
        <v>143587</v>
      </c>
      <c r="H118" s="71">
        <f t="shared" si="194"/>
        <v>106234</v>
      </c>
      <c r="I118" s="71">
        <f t="shared" si="194"/>
        <v>127598</v>
      </c>
      <c r="J118" s="54">
        <f t="shared" si="194"/>
        <v>129485</v>
      </c>
      <c r="K118" s="54">
        <f t="shared" si="194"/>
        <v>132053</v>
      </c>
      <c r="L118" s="54">
        <f t="shared" si="194"/>
        <v>140105</v>
      </c>
      <c r="M118" s="54">
        <f t="shared" si="194"/>
        <v>146772</v>
      </c>
      <c r="N118" s="71">
        <f t="shared" si="194"/>
        <v>146772</v>
      </c>
      <c r="O118" s="54">
        <f t="shared" si="194"/>
        <v>149507</v>
      </c>
      <c r="P118" s="54">
        <f t="shared" si="194"/>
        <v>155393</v>
      </c>
      <c r="Q118" s="54">
        <f t="shared" si="194"/>
        <v>148443</v>
      </c>
      <c r="R118" s="54">
        <f t="shared" si="194"/>
        <v>148029</v>
      </c>
      <c r="S118" s="71">
        <f t="shared" si="194"/>
        <v>148029</v>
      </c>
      <c r="T118" s="54">
        <f t="shared" si="194"/>
        <v>131166</v>
      </c>
      <c r="U118" s="54">
        <f t="shared" si="194"/>
        <v>136128</v>
      </c>
      <c r="V118" s="54">
        <f t="shared" si="194"/>
        <v>129321</v>
      </c>
      <c r="W118" s="54">
        <f t="shared" si="194"/>
        <v>131720</v>
      </c>
      <c r="X118" s="71">
        <f t="shared" si="194"/>
        <v>131720</v>
      </c>
      <c r="Y118" s="54">
        <f t="shared" ref="Y118:CJ118" si="195">Y116-Y117</f>
        <v>121835</v>
      </c>
      <c r="Z118" s="54">
        <f t="shared" si="195"/>
        <v>131423</v>
      </c>
      <c r="AA118" s="54">
        <f t="shared" si="195"/>
        <v>131858</v>
      </c>
      <c r="AB118" s="54">
        <f t="shared" si="195"/>
        <v>140490</v>
      </c>
      <c r="AC118" s="71">
        <f t="shared" si="195"/>
        <v>140490</v>
      </c>
      <c r="AD118" s="54">
        <f t="shared" si="195"/>
        <v>134569</v>
      </c>
      <c r="AE118" s="54">
        <f t="shared" si="195"/>
        <v>134443</v>
      </c>
      <c r="AF118" s="54">
        <f t="shared" si="195"/>
        <v>133377</v>
      </c>
      <c r="AG118" s="54">
        <f t="shared" si="195"/>
        <v>129590</v>
      </c>
      <c r="AH118" s="71">
        <f t="shared" si="195"/>
        <v>129590</v>
      </c>
      <c r="AI118" s="54">
        <f t="shared" si="195"/>
        <v>126939</v>
      </c>
      <c r="AJ118" s="54">
        <f t="shared" si="195"/>
        <v>118960</v>
      </c>
      <c r="AK118" s="193">
        <f t="shared" si="195"/>
        <v>104345</v>
      </c>
      <c r="AL118" s="54">
        <f t="shared" si="195"/>
        <v>110739</v>
      </c>
      <c r="AM118" s="71">
        <f t="shared" si="195"/>
        <v>110739</v>
      </c>
      <c r="AN118" s="54">
        <f t="shared" si="195"/>
        <v>112033</v>
      </c>
      <c r="AO118" s="54">
        <f t="shared" si="195"/>
        <v>112384</v>
      </c>
      <c r="AP118" s="54">
        <f t="shared" si="195"/>
        <v>113783</v>
      </c>
      <c r="AQ118" s="54">
        <f t="shared" si="195"/>
        <v>116208</v>
      </c>
      <c r="AR118" s="71">
        <f t="shared" si="195"/>
        <v>116208</v>
      </c>
      <c r="AS118" s="193">
        <f t="shared" si="195"/>
        <v>117159</v>
      </c>
      <c r="AT118" s="54">
        <f t="shared" si="195"/>
        <v>116842</v>
      </c>
      <c r="AU118" s="54">
        <f t="shared" si="195"/>
        <v>116241</v>
      </c>
      <c r="AV118" s="54">
        <f t="shared" si="195"/>
        <v>117989</v>
      </c>
      <c r="AW118" s="71">
        <f t="shared" si="195"/>
        <v>117989</v>
      </c>
      <c r="AX118" s="54">
        <f t="shared" si="195"/>
        <v>120115</v>
      </c>
      <c r="AY118" s="54">
        <f t="shared" si="195"/>
        <v>116087</v>
      </c>
      <c r="AZ118" s="54">
        <f t="shared" si="195"/>
        <v>114992</v>
      </c>
      <c r="BA118" s="54">
        <f t="shared" si="195"/>
        <v>113117</v>
      </c>
      <c r="BB118" s="71">
        <f t="shared" si="195"/>
        <v>113117</v>
      </c>
      <c r="BC118" s="54">
        <f t="shared" si="195"/>
        <v>104130</v>
      </c>
      <c r="BD118" s="54">
        <f t="shared" si="195"/>
        <v>91932</v>
      </c>
      <c r="BE118" s="54">
        <f t="shared" si="195"/>
        <v>83651</v>
      </c>
      <c r="BF118" s="193">
        <f t="shared" si="195"/>
        <v>89354</v>
      </c>
      <c r="BG118" s="194">
        <f t="shared" si="195"/>
        <v>89354</v>
      </c>
      <c r="BH118" s="54">
        <f t="shared" si="195"/>
        <v>83866</v>
      </c>
      <c r="BI118" s="54">
        <f t="shared" si="195"/>
        <v>77659</v>
      </c>
      <c r="BJ118" s="54">
        <f t="shared" si="195"/>
        <v>72543</v>
      </c>
      <c r="BK118" s="54">
        <f t="shared" si="195"/>
        <v>68418</v>
      </c>
      <c r="BL118" s="71">
        <f t="shared" si="195"/>
        <v>68418</v>
      </c>
      <c r="BM118" s="54">
        <f t="shared" si="195"/>
        <v>66772</v>
      </c>
      <c r="BN118" s="54">
        <f t="shared" si="195"/>
        <v>65029</v>
      </c>
      <c r="BO118" s="54">
        <f t="shared" si="195"/>
        <v>61939</v>
      </c>
      <c r="BP118" s="54">
        <f t="shared" si="195"/>
        <v>63722</v>
      </c>
      <c r="BQ118" s="71">
        <f t="shared" si="195"/>
        <v>63722</v>
      </c>
      <c r="BR118" s="54">
        <f t="shared" si="195"/>
        <v>64463</v>
      </c>
      <c r="BS118" s="54">
        <f t="shared" si="195"/>
        <v>64297</v>
      </c>
      <c r="BT118" s="54">
        <f t="shared" si="195"/>
        <v>65069</v>
      </c>
      <c r="BU118" s="54">
        <f t="shared" si="195"/>
        <v>69115</v>
      </c>
      <c r="BV118" s="71">
        <f t="shared" si="195"/>
        <v>69115</v>
      </c>
      <c r="BW118" s="256">
        <f t="shared" si="195"/>
        <v>73015</v>
      </c>
      <c r="BX118" s="256">
        <f t="shared" si="195"/>
        <v>71151</v>
      </c>
      <c r="BY118" s="256">
        <f t="shared" si="195"/>
        <v>72980</v>
      </c>
      <c r="BZ118" s="256">
        <f t="shared" si="195"/>
        <v>78120</v>
      </c>
      <c r="CA118" s="257">
        <f t="shared" si="195"/>
        <v>78120</v>
      </c>
      <c r="CB118" s="256">
        <f t="shared" si="195"/>
        <v>80475</v>
      </c>
      <c r="CC118" s="256">
        <f t="shared" si="195"/>
        <v>83038</v>
      </c>
      <c r="CD118" s="256">
        <f t="shared" si="195"/>
        <v>85230</v>
      </c>
      <c r="CE118" s="256">
        <f t="shared" si="195"/>
        <v>88021</v>
      </c>
      <c r="CF118" s="257">
        <f t="shared" si="195"/>
        <v>88021</v>
      </c>
      <c r="CG118" s="256">
        <f t="shared" si="195"/>
        <v>89676</v>
      </c>
      <c r="CH118" s="256">
        <f t="shared" si="195"/>
        <v>92224</v>
      </c>
      <c r="CI118" s="256">
        <f t="shared" si="195"/>
        <v>94578</v>
      </c>
      <c r="CJ118" s="256">
        <f t="shared" si="195"/>
        <v>97678</v>
      </c>
      <c r="CK118" s="258">
        <f t="shared" ref="CK118:CY118" si="196">CK116-CK117</f>
        <v>97678</v>
      </c>
      <c r="CL118" s="256">
        <f t="shared" si="196"/>
        <v>101522</v>
      </c>
      <c r="CM118" s="256">
        <f t="shared" si="196"/>
        <v>100617</v>
      </c>
      <c r="CN118" s="256">
        <f t="shared" si="196"/>
        <v>103059</v>
      </c>
      <c r="CO118" s="256">
        <f t="shared" si="196"/>
        <v>104143</v>
      </c>
      <c r="CP118" s="258">
        <f t="shared" si="196"/>
        <v>104143</v>
      </c>
      <c r="CQ118" s="256">
        <f t="shared" si="196"/>
        <v>105988</v>
      </c>
      <c r="CR118" s="54">
        <f t="shared" si="196"/>
        <v>106900</v>
      </c>
      <c r="CS118" s="54">
        <f t="shared" si="196"/>
        <v>111627</v>
      </c>
      <c r="CT118" s="54">
        <f t="shared" si="196"/>
        <v>115956</v>
      </c>
      <c r="CU118" s="78">
        <f t="shared" si="196"/>
        <v>117944</v>
      </c>
      <c r="CV118" s="54">
        <f t="shared" si="196"/>
        <v>117808.36338409784</v>
      </c>
      <c r="CW118" s="54">
        <f t="shared" si="196"/>
        <v>116820.06719831892</v>
      </c>
      <c r="CX118" s="54">
        <f t="shared" si="196"/>
        <v>116990.66657166662</v>
      </c>
      <c r="CY118" s="54">
        <f t="shared" si="196"/>
        <v>117051.02062480841</v>
      </c>
      <c r="CZ118" s="78">
        <f>CZ116-CZ117</f>
        <v>119360.5726828684</v>
      </c>
      <c r="DA118" s="78">
        <f>DA116-DA117</f>
        <v>118105.31488166997</v>
      </c>
      <c r="DB118" s="78">
        <f>DB116-DB117</f>
        <v>118832.73265721495</v>
      </c>
      <c r="DC118" s="78">
        <f>DC116-DC117</f>
        <v>118772.07947013402</v>
      </c>
      <c r="DD118" s="165"/>
      <c r="DE118" s="2"/>
      <c r="DF118" s="876">
        <f>CT118</f>
        <v>115956</v>
      </c>
      <c r="DG118" s="876">
        <v>109682.18314909787</v>
      </c>
      <c r="DH118" s="876">
        <f>CO118</f>
        <v>104143</v>
      </c>
      <c r="DI118" s="877">
        <f>IF(ISERROR(DF118/DG118-1),"NM",DF118/DG118-1)</f>
        <v>5.7199963301001633E-2</v>
      </c>
      <c r="DJ118" s="877">
        <f>IF(ISERROR(DF118/DH118-1),"NM",DF118/DH118-1)</f>
        <v>0.11343057142582791</v>
      </c>
      <c r="DK118" s="2"/>
      <c r="DL118" s="2"/>
      <c r="DM118" s="2"/>
    </row>
    <row r="119" spans="1:124" ht="12" customHeight="1">
      <c r="A119" s="1109"/>
      <c r="B119" s="10"/>
      <c r="C119" s="6"/>
      <c r="D119" s="6"/>
      <c r="E119" s="141"/>
      <c r="F119" s="141"/>
      <c r="G119" s="141"/>
      <c r="H119" s="141"/>
      <c r="I119" s="141"/>
      <c r="J119" s="124"/>
      <c r="K119" s="124"/>
      <c r="L119" s="124"/>
      <c r="M119" s="124"/>
      <c r="N119" s="141"/>
      <c r="O119" s="124"/>
      <c r="P119" s="124"/>
      <c r="Q119" s="124"/>
      <c r="R119" s="124"/>
      <c r="S119" s="141"/>
      <c r="T119" s="124"/>
      <c r="U119" s="124"/>
      <c r="V119" s="124"/>
      <c r="W119" s="124"/>
      <c r="X119" s="141"/>
      <c r="Y119" s="124"/>
      <c r="Z119" s="124"/>
      <c r="AA119" s="124"/>
      <c r="AB119" s="124"/>
      <c r="AC119" s="141"/>
      <c r="AD119" s="124"/>
      <c r="AE119" s="124"/>
      <c r="AF119" s="124"/>
      <c r="AG119" s="124"/>
      <c r="AH119" s="141"/>
      <c r="AI119" s="124"/>
      <c r="AJ119" s="124"/>
      <c r="AK119" s="124"/>
      <c r="AL119" s="124"/>
      <c r="AM119" s="141"/>
      <c r="AN119" s="124"/>
      <c r="AO119" s="124"/>
      <c r="AP119" s="124"/>
      <c r="AQ119" s="124"/>
      <c r="AR119" s="141"/>
      <c r="AS119" s="124"/>
      <c r="AT119" s="124"/>
      <c r="AU119" s="124"/>
      <c r="AV119" s="124"/>
      <c r="AW119" s="141"/>
      <c r="AX119" s="124"/>
      <c r="AY119" s="124"/>
      <c r="AZ119" s="124"/>
      <c r="BA119" s="124"/>
      <c r="BB119" s="141"/>
      <c r="BC119" s="124"/>
      <c r="BD119" s="124"/>
      <c r="BE119" s="124"/>
      <c r="BF119" s="124"/>
      <c r="BG119" s="141"/>
      <c r="BH119" s="124"/>
      <c r="BI119" s="124"/>
      <c r="BJ119" s="124"/>
      <c r="BK119" s="124"/>
      <c r="BL119" s="141"/>
      <c r="BM119" s="124"/>
      <c r="BN119" s="124"/>
      <c r="BO119" s="124"/>
      <c r="BP119" s="124"/>
      <c r="BQ119" s="141"/>
      <c r="BR119" s="124"/>
      <c r="BS119" s="124"/>
      <c r="BT119" s="124"/>
      <c r="BU119" s="124"/>
      <c r="BV119" s="141"/>
      <c r="BW119" s="163"/>
      <c r="BX119" s="163"/>
      <c r="BY119" s="163"/>
      <c r="BZ119" s="163"/>
      <c r="CA119" s="312"/>
      <c r="CB119" s="163"/>
      <c r="CC119" s="163"/>
      <c r="CD119" s="163"/>
      <c r="CE119" s="163"/>
      <c r="CF119" s="312"/>
      <c r="CG119" s="163"/>
      <c r="CH119" s="163"/>
      <c r="CI119" s="163"/>
      <c r="CJ119" s="163"/>
      <c r="CK119" s="164"/>
      <c r="CL119" s="163"/>
      <c r="CM119" s="163"/>
      <c r="CN119" s="163"/>
      <c r="CO119" s="163"/>
      <c r="CP119" s="164"/>
      <c r="CQ119" s="163"/>
      <c r="CR119" s="124"/>
      <c r="CS119" s="124"/>
      <c r="CT119" s="124"/>
      <c r="CU119" s="864"/>
      <c r="CV119" s="124"/>
      <c r="CW119" s="124"/>
      <c r="CX119" s="124"/>
      <c r="CY119" s="124"/>
      <c r="CZ119" s="864"/>
      <c r="DA119" s="864"/>
      <c r="DB119" s="864"/>
      <c r="DC119" s="864"/>
      <c r="DD119" s="165"/>
      <c r="DE119" s="2"/>
      <c r="DF119" s="164"/>
      <c r="DG119" s="164"/>
      <c r="DH119" s="164"/>
      <c r="DI119" s="451"/>
      <c r="DJ119" s="451"/>
      <c r="DK119" s="2"/>
      <c r="DL119" s="2"/>
      <c r="DM119" s="2"/>
    </row>
    <row r="120" spans="1:124" ht="12" customHeight="1">
      <c r="A120" s="1109"/>
      <c r="B120" s="10"/>
      <c r="C120" s="1059" t="s">
        <v>1046</v>
      </c>
      <c r="D120" s="2"/>
      <c r="E120" s="60">
        <f t="shared" ref="E120:BP120" si="197">E88+E93</f>
        <v>7307</v>
      </c>
      <c r="F120" s="60">
        <f t="shared" si="197"/>
        <v>8156</v>
      </c>
      <c r="G120" s="60">
        <f t="shared" si="197"/>
        <v>8176</v>
      </c>
      <c r="H120" s="60">
        <f t="shared" si="197"/>
        <v>9834</v>
      </c>
      <c r="I120" s="60">
        <f t="shared" si="197"/>
        <v>11736</v>
      </c>
      <c r="J120" s="49">
        <f t="shared" si="197"/>
        <v>10753</v>
      </c>
      <c r="K120" s="49">
        <f t="shared" si="197"/>
        <v>10804</v>
      </c>
      <c r="L120" s="49">
        <f t="shared" si="197"/>
        <v>11987</v>
      </c>
      <c r="M120" s="49">
        <f t="shared" si="197"/>
        <v>12046</v>
      </c>
      <c r="N120" s="60">
        <f t="shared" si="197"/>
        <v>12046</v>
      </c>
      <c r="O120" s="49">
        <f t="shared" si="197"/>
        <v>12036</v>
      </c>
      <c r="P120" s="49">
        <f t="shared" si="197"/>
        <v>12061</v>
      </c>
      <c r="Q120" s="49">
        <f t="shared" si="197"/>
        <v>12087</v>
      </c>
      <c r="R120" s="49">
        <f t="shared" si="197"/>
        <v>13769</v>
      </c>
      <c r="S120" s="60">
        <f t="shared" si="197"/>
        <v>13769</v>
      </c>
      <c r="T120" s="49">
        <f t="shared" si="197"/>
        <v>13916</v>
      </c>
      <c r="U120" s="49">
        <f t="shared" si="197"/>
        <v>14050</v>
      </c>
      <c r="V120" s="49">
        <f t="shared" si="197"/>
        <v>13813</v>
      </c>
      <c r="W120" s="49">
        <f t="shared" si="197"/>
        <v>14158</v>
      </c>
      <c r="X120" s="60">
        <f t="shared" si="197"/>
        <v>14158</v>
      </c>
      <c r="Y120" s="49">
        <f t="shared" si="197"/>
        <v>13972</v>
      </c>
      <c r="Z120" s="49">
        <f t="shared" si="197"/>
        <v>14480</v>
      </c>
      <c r="AA120" s="49">
        <f t="shared" si="197"/>
        <v>20968</v>
      </c>
      <c r="AB120" s="49">
        <f t="shared" si="197"/>
        <v>20793</v>
      </c>
      <c r="AC120" s="60">
        <f t="shared" si="197"/>
        <v>20793</v>
      </c>
      <c r="AD120" s="49">
        <f t="shared" si="197"/>
        <v>19380</v>
      </c>
      <c r="AE120" s="49">
        <f t="shared" si="197"/>
        <v>18902</v>
      </c>
      <c r="AF120" s="49">
        <f t="shared" si="197"/>
        <v>18721</v>
      </c>
      <c r="AG120" s="49">
        <f t="shared" si="197"/>
        <v>18227</v>
      </c>
      <c r="AH120" s="60">
        <f t="shared" si="197"/>
        <v>18227</v>
      </c>
      <c r="AI120" s="49">
        <f t="shared" si="197"/>
        <v>18048</v>
      </c>
      <c r="AJ120" s="49">
        <f t="shared" si="197"/>
        <v>18992</v>
      </c>
      <c r="AK120" s="49">
        <f t="shared" si="197"/>
        <v>18236</v>
      </c>
      <c r="AL120" s="49">
        <f t="shared" si="197"/>
        <v>17878</v>
      </c>
      <c r="AM120" s="60">
        <f t="shared" si="197"/>
        <v>17878</v>
      </c>
      <c r="AN120" s="49">
        <f t="shared" si="197"/>
        <v>17774</v>
      </c>
      <c r="AO120" s="49">
        <f t="shared" si="197"/>
        <v>17719</v>
      </c>
      <c r="AP120" s="49">
        <f t="shared" si="197"/>
        <v>17665</v>
      </c>
      <c r="AQ120" s="49">
        <f t="shared" si="197"/>
        <v>29796</v>
      </c>
      <c r="AR120" s="60">
        <f t="shared" si="197"/>
        <v>29796</v>
      </c>
      <c r="AS120" s="49">
        <f t="shared" si="197"/>
        <v>28370</v>
      </c>
      <c r="AT120" s="49">
        <f t="shared" si="197"/>
        <v>29978</v>
      </c>
      <c r="AU120" s="49">
        <f t="shared" si="197"/>
        <v>27677</v>
      </c>
      <c r="AV120" s="49">
        <f t="shared" si="197"/>
        <v>26954</v>
      </c>
      <c r="AW120" s="60">
        <f t="shared" si="197"/>
        <v>26954</v>
      </c>
      <c r="AX120" s="49">
        <f t="shared" si="197"/>
        <v>27053</v>
      </c>
      <c r="AY120" s="49">
        <f t="shared" si="197"/>
        <v>26460</v>
      </c>
      <c r="AZ120" s="49">
        <f t="shared" si="197"/>
        <v>26138</v>
      </c>
      <c r="BA120" s="49">
        <f t="shared" si="197"/>
        <v>24227</v>
      </c>
      <c r="BB120" s="60">
        <f t="shared" si="197"/>
        <v>24227</v>
      </c>
      <c r="BC120" s="49">
        <f t="shared" si="197"/>
        <v>32132</v>
      </c>
      <c r="BD120" s="49">
        <f t="shared" si="197"/>
        <v>26099</v>
      </c>
      <c r="BE120" s="49">
        <f t="shared" si="197"/>
        <v>26889</v>
      </c>
      <c r="BF120" s="49">
        <f t="shared" si="197"/>
        <v>33610</v>
      </c>
      <c r="BG120" s="60">
        <f t="shared" si="197"/>
        <v>33610</v>
      </c>
      <c r="BH120" s="49">
        <f t="shared" si="197"/>
        <v>34251</v>
      </c>
      <c r="BI120" s="49">
        <f t="shared" si="197"/>
        <v>27304</v>
      </c>
      <c r="BJ120" s="49">
        <f t="shared" si="197"/>
        <v>26357</v>
      </c>
      <c r="BK120" s="49">
        <f t="shared" si="197"/>
        <v>19077</v>
      </c>
      <c r="BL120" s="60">
        <f t="shared" si="197"/>
        <v>19077</v>
      </c>
      <c r="BM120" s="49">
        <f t="shared" si="197"/>
        <v>16600</v>
      </c>
      <c r="BN120" s="49">
        <f t="shared" si="197"/>
        <v>14002</v>
      </c>
      <c r="BO120" s="49">
        <f t="shared" si="197"/>
        <v>12654</v>
      </c>
      <c r="BP120" s="49">
        <f t="shared" si="197"/>
        <v>13094</v>
      </c>
      <c r="BQ120" s="60">
        <f t="shared" ref="BQ120:CN120" si="198">BQ88+BQ93</f>
        <v>13094</v>
      </c>
      <c r="BR120" s="49">
        <f t="shared" si="198"/>
        <v>13691</v>
      </c>
      <c r="BS120" s="49">
        <f t="shared" si="198"/>
        <v>14190</v>
      </c>
      <c r="BT120" s="49">
        <f t="shared" si="198"/>
        <v>14198</v>
      </c>
      <c r="BU120" s="49">
        <f t="shared" si="198"/>
        <v>14256</v>
      </c>
      <c r="BV120" s="60">
        <f t="shared" si="198"/>
        <v>14256</v>
      </c>
      <c r="BW120" s="155">
        <f t="shared" si="198"/>
        <v>16005</v>
      </c>
      <c r="BX120" s="155">
        <f t="shared" si="198"/>
        <v>15817</v>
      </c>
      <c r="BY120" s="155">
        <f t="shared" si="198"/>
        <v>15824</v>
      </c>
      <c r="BZ120" s="155">
        <f t="shared" si="198"/>
        <v>15683</v>
      </c>
      <c r="CA120" s="235">
        <f t="shared" si="198"/>
        <v>15683</v>
      </c>
      <c r="CB120" s="155">
        <f t="shared" si="198"/>
        <v>15709</v>
      </c>
      <c r="CC120" s="155">
        <f t="shared" si="198"/>
        <v>15377</v>
      </c>
      <c r="CD120" s="155">
        <f t="shared" si="198"/>
        <v>14943</v>
      </c>
      <c r="CE120" s="155">
        <f t="shared" si="198"/>
        <v>13824</v>
      </c>
      <c r="CF120" s="235">
        <f t="shared" si="198"/>
        <v>13824</v>
      </c>
      <c r="CG120" s="155">
        <f t="shared" si="198"/>
        <v>13397</v>
      </c>
      <c r="CH120" s="155">
        <f t="shared" si="198"/>
        <v>13713</v>
      </c>
      <c r="CI120" s="155">
        <f t="shared" si="198"/>
        <v>12798</v>
      </c>
      <c r="CJ120" s="155">
        <f t="shared" si="198"/>
        <v>12839</v>
      </c>
      <c r="CK120" s="255">
        <f t="shared" si="198"/>
        <v>12839</v>
      </c>
      <c r="CL120" s="155">
        <f t="shared" si="198"/>
        <v>13022</v>
      </c>
      <c r="CM120" s="155">
        <f t="shared" si="198"/>
        <v>13071</v>
      </c>
      <c r="CN120" s="155">
        <f t="shared" si="198"/>
        <v>13147</v>
      </c>
      <c r="CO120" s="155">
        <f t="shared" ref="CO120:DC120" si="199">CO88+CO93</f>
        <v>15907</v>
      </c>
      <c r="CP120" s="255">
        <f t="shared" si="199"/>
        <v>15907</v>
      </c>
      <c r="CQ120" s="155">
        <f t="shared" si="199"/>
        <v>16210</v>
      </c>
      <c r="CR120" s="49">
        <f t="shared" si="199"/>
        <v>16188</v>
      </c>
      <c r="CS120" s="49">
        <f t="shared" si="199"/>
        <v>16184</v>
      </c>
      <c r="CT120" s="49">
        <f t="shared" si="199"/>
        <v>15931</v>
      </c>
      <c r="CU120" s="87">
        <f>CT120</f>
        <v>15931</v>
      </c>
      <c r="CV120" s="49">
        <f t="shared" si="199"/>
        <v>15931</v>
      </c>
      <c r="CW120" s="49">
        <f t="shared" si="199"/>
        <v>15931</v>
      </c>
      <c r="CX120" s="49">
        <f t="shared" si="199"/>
        <v>15931</v>
      </c>
      <c r="CY120" s="49">
        <f t="shared" si="199"/>
        <v>15931</v>
      </c>
      <c r="CZ120" s="60">
        <f>CZ88+CZ93</f>
        <v>15931</v>
      </c>
      <c r="DA120" s="60">
        <f t="shared" si="199"/>
        <v>15931</v>
      </c>
      <c r="DB120" s="60">
        <f t="shared" si="199"/>
        <v>15931</v>
      </c>
      <c r="DC120" s="60">
        <f t="shared" si="199"/>
        <v>15931</v>
      </c>
      <c r="DD120" s="165"/>
      <c r="DE120" s="2"/>
      <c r="DF120" s="255"/>
      <c r="DG120" s="255"/>
      <c r="DH120" s="255"/>
      <c r="DI120" s="450"/>
      <c r="DJ120" s="450"/>
      <c r="DK120" s="2"/>
      <c r="DL120" s="2"/>
      <c r="DM120" s="2"/>
    </row>
    <row r="121" spans="1:124" s="870" customFormat="1" ht="12" customHeight="1" thickBot="1">
      <c r="A121" s="1109"/>
      <c r="B121" s="10"/>
      <c r="C121" s="2" t="s">
        <v>1047</v>
      </c>
      <c r="D121" s="2"/>
      <c r="E121" s="60">
        <f>5750+6656</f>
        <v>12406</v>
      </c>
      <c r="F121" s="865">
        <f>3578+11836</f>
        <v>15414</v>
      </c>
      <c r="G121" s="865">
        <v>20835</v>
      </c>
      <c r="H121" s="865">
        <v>23805</v>
      </c>
      <c r="I121" s="865">
        <v>21736</v>
      </c>
      <c r="J121" s="866"/>
      <c r="K121" s="866"/>
      <c r="L121" s="866"/>
      <c r="M121" s="866"/>
      <c r="N121" s="1096">
        <v>16490</v>
      </c>
      <c r="O121" s="49"/>
      <c r="P121" s="49"/>
      <c r="Q121" s="49"/>
      <c r="R121" s="49"/>
      <c r="S121" s="1096">
        <v>15013</v>
      </c>
      <c r="T121" s="866"/>
      <c r="U121" s="866"/>
      <c r="V121" s="866"/>
      <c r="W121" s="866"/>
      <c r="X121" s="1096">
        <v>22621</v>
      </c>
      <c r="Y121" s="866"/>
      <c r="Z121" s="866"/>
      <c r="AA121" s="866"/>
      <c r="AB121" s="866"/>
      <c r="AC121" s="867">
        <v>21839</v>
      </c>
      <c r="AD121" s="866"/>
      <c r="AE121" s="866"/>
      <c r="AF121" s="866"/>
      <c r="AG121" s="866"/>
      <c r="AH121" s="867">
        <v>19492</v>
      </c>
      <c r="AI121" s="866"/>
      <c r="AJ121" s="866"/>
      <c r="AK121" s="866"/>
      <c r="AL121" s="866"/>
      <c r="AM121" s="867">
        <v>23700</v>
      </c>
      <c r="AN121" s="866"/>
      <c r="AO121" s="866"/>
      <c r="AP121" s="866"/>
      <c r="AQ121" s="866"/>
      <c r="AR121" s="867">
        <v>32600</v>
      </c>
      <c r="AS121" s="866"/>
      <c r="AT121" s="866"/>
      <c r="AU121" s="866"/>
      <c r="AV121" s="866"/>
      <c r="AW121" s="867">
        <v>33000</v>
      </c>
      <c r="AX121" s="866"/>
      <c r="AY121" s="866"/>
      <c r="AZ121" s="866"/>
      <c r="BA121" s="866"/>
      <c r="BB121" s="867">
        <v>15673</v>
      </c>
      <c r="BC121" s="866"/>
      <c r="BD121" s="866"/>
      <c r="BE121" s="868"/>
      <c r="BF121" s="868"/>
      <c r="BG121" s="868">
        <v>24931</v>
      </c>
      <c r="BH121" s="49"/>
      <c r="BI121" s="49"/>
      <c r="BJ121" s="49"/>
      <c r="BK121" s="49"/>
      <c r="BL121" s="1096">
        <v>20508</v>
      </c>
      <c r="BM121" s="869"/>
      <c r="BN121" s="868"/>
      <c r="BO121" s="868"/>
      <c r="BP121" s="868"/>
      <c r="BQ121" s="865">
        <v>22949</v>
      </c>
      <c r="BR121" s="868"/>
      <c r="BS121" s="868"/>
      <c r="BT121" s="868"/>
      <c r="BU121" s="868"/>
      <c r="BV121" s="865">
        <v>24425</v>
      </c>
      <c r="BW121" s="868"/>
      <c r="BX121" s="868"/>
      <c r="BY121" s="868"/>
      <c r="BZ121" s="868"/>
      <c r="CA121" s="865">
        <v>25116</v>
      </c>
      <c r="CB121" s="866"/>
      <c r="CC121" s="866"/>
      <c r="CD121" s="866"/>
      <c r="CE121" s="866"/>
      <c r="CF121" s="865">
        <v>21702</v>
      </c>
      <c r="CG121" s="866"/>
      <c r="CH121" s="866"/>
      <c r="CI121" s="866"/>
      <c r="CJ121" s="866"/>
      <c r="CK121" s="865">
        <v>23567</v>
      </c>
      <c r="CL121" s="161">
        <v>24251</v>
      </c>
      <c r="CM121" s="161">
        <v>27210</v>
      </c>
      <c r="CN121" s="161">
        <v>24300</v>
      </c>
      <c r="CO121" s="161">
        <v>27462</v>
      </c>
      <c r="CP121" s="235">
        <f>CO121</f>
        <v>27462</v>
      </c>
      <c r="CQ121" s="161">
        <v>28028</v>
      </c>
      <c r="CR121" s="161">
        <v>28428</v>
      </c>
      <c r="CS121" s="161">
        <f>8753+17391</f>
        <v>26144</v>
      </c>
      <c r="CT121" s="161">
        <v>26484</v>
      </c>
      <c r="CU121" s="87">
        <f>CT121</f>
        <v>26484</v>
      </c>
      <c r="CV121" s="49">
        <f>CU121+CV186+CV161+CV162</f>
        <v>25229.632315464249</v>
      </c>
      <c r="CW121" s="49">
        <f>CV121+CW186+CW161+CW162</f>
        <v>25773.135299320609</v>
      </c>
      <c r="CX121" s="49">
        <f>CW121+CX186+CX161+CX162</f>
        <v>25751.369345884134</v>
      </c>
      <c r="CY121" s="49">
        <f>CX121+CY186+CY161+CY162</f>
        <v>25840.410797838795</v>
      </c>
      <c r="CZ121" s="60">
        <f>CY121</f>
        <v>25840.410797838795</v>
      </c>
      <c r="DA121" s="60">
        <f>CZ121+DA186+DA161+DA162</f>
        <v>25704.927701601882</v>
      </c>
      <c r="DB121" s="60">
        <f>DA121+DB186+DB161+DB162</f>
        <v>26629.578557872126</v>
      </c>
      <c r="DC121" s="60">
        <f>DB121+DC186+DC161+DC162</f>
        <v>28226.676301622898</v>
      </c>
      <c r="DD121" s="165"/>
      <c r="DE121" s="2"/>
      <c r="DF121" s="255"/>
      <c r="DG121" s="255"/>
      <c r="DH121" s="255"/>
      <c r="DI121" s="450"/>
      <c r="DJ121" s="450"/>
      <c r="DK121" s="2"/>
      <c r="DL121" s="2"/>
      <c r="DM121" s="2"/>
      <c r="DN121"/>
      <c r="DO121"/>
      <c r="DP121"/>
      <c r="DQ121"/>
      <c r="DR121"/>
      <c r="DS121"/>
      <c r="DT121" s="837"/>
    </row>
    <row r="122" spans="1:124" ht="12" customHeight="1" thickBot="1">
      <c r="A122" s="1109"/>
      <c r="B122" s="10"/>
      <c r="C122" s="52" t="s">
        <v>1054</v>
      </c>
      <c r="D122" s="53"/>
      <c r="E122" s="71">
        <f t="shared" ref="E122:BQ122" si="200">E120-E121</f>
        <v>-5099</v>
      </c>
      <c r="F122" s="71">
        <f t="shared" si="200"/>
        <v>-7258</v>
      </c>
      <c r="G122" s="71">
        <f t="shared" si="200"/>
        <v>-12659</v>
      </c>
      <c r="H122" s="71">
        <f t="shared" si="200"/>
        <v>-13971</v>
      </c>
      <c r="I122" s="71">
        <f t="shared" si="200"/>
        <v>-10000</v>
      </c>
      <c r="J122" s="54">
        <f t="shared" si="200"/>
        <v>10753</v>
      </c>
      <c r="K122" s="54">
        <f t="shared" si="200"/>
        <v>10804</v>
      </c>
      <c r="L122" s="54">
        <f t="shared" si="200"/>
        <v>11987</v>
      </c>
      <c r="M122" s="54">
        <f t="shared" si="200"/>
        <v>12046</v>
      </c>
      <c r="N122" s="71">
        <f t="shared" si="200"/>
        <v>-4444</v>
      </c>
      <c r="O122" s="54">
        <f t="shared" si="200"/>
        <v>12036</v>
      </c>
      <c r="P122" s="54">
        <f t="shared" si="200"/>
        <v>12061</v>
      </c>
      <c r="Q122" s="54">
        <f t="shared" si="200"/>
        <v>12087</v>
      </c>
      <c r="R122" s="54">
        <f t="shared" si="200"/>
        <v>13769</v>
      </c>
      <c r="S122" s="71">
        <f t="shared" si="200"/>
        <v>-1244</v>
      </c>
      <c r="T122" s="54">
        <f t="shared" si="200"/>
        <v>13916</v>
      </c>
      <c r="U122" s="54">
        <f t="shared" si="200"/>
        <v>14050</v>
      </c>
      <c r="V122" s="54">
        <f t="shared" si="200"/>
        <v>13813</v>
      </c>
      <c r="W122" s="54">
        <f t="shared" si="200"/>
        <v>14158</v>
      </c>
      <c r="X122" s="71">
        <f t="shared" si="200"/>
        <v>-8463</v>
      </c>
      <c r="Y122" s="54">
        <f t="shared" si="200"/>
        <v>13972</v>
      </c>
      <c r="Z122" s="54">
        <f t="shared" si="200"/>
        <v>14480</v>
      </c>
      <c r="AA122" s="54">
        <f t="shared" si="200"/>
        <v>20968</v>
      </c>
      <c r="AB122" s="54">
        <f t="shared" si="200"/>
        <v>20793</v>
      </c>
      <c r="AC122" s="71">
        <f t="shared" si="200"/>
        <v>-1046</v>
      </c>
      <c r="AD122" s="54">
        <f t="shared" si="200"/>
        <v>19380</v>
      </c>
      <c r="AE122" s="54">
        <f t="shared" si="200"/>
        <v>18902</v>
      </c>
      <c r="AF122" s="54">
        <f t="shared" si="200"/>
        <v>18721</v>
      </c>
      <c r="AG122" s="54">
        <f t="shared" si="200"/>
        <v>18227</v>
      </c>
      <c r="AH122" s="71">
        <f t="shared" si="200"/>
        <v>-1265</v>
      </c>
      <c r="AI122" s="54">
        <f t="shared" si="200"/>
        <v>18048</v>
      </c>
      <c r="AJ122" s="54">
        <f t="shared" si="200"/>
        <v>18992</v>
      </c>
      <c r="AK122" s="193">
        <f t="shared" si="200"/>
        <v>18236</v>
      </c>
      <c r="AL122" s="54">
        <f t="shared" si="200"/>
        <v>17878</v>
      </c>
      <c r="AM122" s="71">
        <f t="shared" si="200"/>
        <v>-5822</v>
      </c>
      <c r="AN122" s="54">
        <f t="shared" si="200"/>
        <v>17774</v>
      </c>
      <c r="AO122" s="54">
        <f t="shared" si="200"/>
        <v>17719</v>
      </c>
      <c r="AP122" s="54">
        <f t="shared" si="200"/>
        <v>17665</v>
      </c>
      <c r="AQ122" s="54">
        <f t="shared" si="200"/>
        <v>29796</v>
      </c>
      <c r="AR122" s="71">
        <f t="shared" si="200"/>
        <v>-2804</v>
      </c>
      <c r="AS122" s="193">
        <f t="shared" si="200"/>
        <v>28370</v>
      </c>
      <c r="AT122" s="54">
        <f t="shared" si="200"/>
        <v>29978</v>
      </c>
      <c r="AU122" s="54">
        <f t="shared" si="200"/>
        <v>27677</v>
      </c>
      <c r="AV122" s="54">
        <f t="shared" si="200"/>
        <v>26954</v>
      </c>
      <c r="AW122" s="71">
        <f t="shared" si="200"/>
        <v>-6046</v>
      </c>
      <c r="AX122" s="54">
        <f t="shared" si="200"/>
        <v>27053</v>
      </c>
      <c r="AY122" s="54">
        <f t="shared" si="200"/>
        <v>26460</v>
      </c>
      <c r="AZ122" s="54">
        <f t="shared" si="200"/>
        <v>26138</v>
      </c>
      <c r="BA122" s="54">
        <f t="shared" si="200"/>
        <v>24227</v>
      </c>
      <c r="BB122" s="71">
        <f t="shared" si="200"/>
        <v>8554</v>
      </c>
      <c r="BC122" s="54">
        <f t="shared" si="200"/>
        <v>32132</v>
      </c>
      <c r="BD122" s="54">
        <f t="shared" si="200"/>
        <v>26099</v>
      </c>
      <c r="BE122" s="54">
        <f t="shared" si="200"/>
        <v>26889</v>
      </c>
      <c r="BF122" s="193">
        <f t="shared" si="200"/>
        <v>33610</v>
      </c>
      <c r="BG122" s="194">
        <f t="shared" si="200"/>
        <v>8679</v>
      </c>
      <c r="BH122" s="54">
        <f t="shared" si="200"/>
        <v>34251</v>
      </c>
      <c r="BI122" s="54">
        <f t="shared" si="200"/>
        <v>27304</v>
      </c>
      <c r="BJ122" s="54">
        <f t="shared" si="200"/>
        <v>26357</v>
      </c>
      <c r="BK122" s="54">
        <f t="shared" si="200"/>
        <v>19077</v>
      </c>
      <c r="BL122" s="71">
        <f t="shared" si="200"/>
        <v>-1431</v>
      </c>
      <c r="BM122" s="54">
        <f t="shared" si="200"/>
        <v>16600</v>
      </c>
      <c r="BN122" s="54">
        <f t="shared" si="200"/>
        <v>14002</v>
      </c>
      <c r="BO122" s="54">
        <f t="shared" si="200"/>
        <v>12654</v>
      </c>
      <c r="BP122" s="54">
        <f t="shared" si="200"/>
        <v>13094</v>
      </c>
      <c r="BQ122" s="71">
        <f t="shared" si="200"/>
        <v>-9855</v>
      </c>
      <c r="BR122" s="54">
        <f t="shared" ref="BR122:CY122" si="201">BR120-BR121</f>
        <v>13691</v>
      </c>
      <c r="BS122" s="54">
        <f t="shared" si="201"/>
        <v>14190</v>
      </c>
      <c r="BT122" s="54">
        <f t="shared" si="201"/>
        <v>14198</v>
      </c>
      <c r="BU122" s="54">
        <f t="shared" si="201"/>
        <v>14256</v>
      </c>
      <c r="BV122" s="71">
        <f t="shared" si="201"/>
        <v>-10169</v>
      </c>
      <c r="BW122" s="256">
        <f t="shared" si="201"/>
        <v>16005</v>
      </c>
      <c r="BX122" s="256">
        <f t="shared" si="201"/>
        <v>15817</v>
      </c>
      <c r="BY122" s="256">
        <f t="shared" si="201"/>
        <v>15824</v>
      </c>
      <c r="BZ122" s="256">
        <f t="shared" si="201"/>
        <v>15683</v>
      </c>
      <c r="CA122" s="257">
        <f t="shared" si="201"/>
        <v>-9433</v>
      </c>
      <c r="CB122" s="256">
        <f t="shared" si="201"/>
        <v>15709</v>
      </c>
      <c r="CC122" s="256">
        <f t="shared" si="201"/>
        <v>15377</v>
      </c>
      <c r="CD122" s="256">
        <f t="shared" si="201"/>
        <v>14943</v>
      </c>
      <c r="CE122" s="256">
        <f t="shared" si="201"/>
        <v>13824</v>
      </c>
      <c r="CF122" s="257">
        <f t="shared" si="201"/>
        <v>-7878</v>
      </c>
      <c r="CG122" s="256">
        <f t="shared" si="201"/>
        <v>13397</v>
      </c>
      <c r="CH122" s="256">
        <f t="shared" si="201"/>
        <v>13713</v>
      </c>
      <c r="CI122" s="256">
        <f t="shared" si="201"/>
        <v>12798</v>
      </c>
      <c r="CJ122" s="256">
        <f t="shared" si="201"/>
        <v>12839</v>
      </c>
      <c r="CK122" s="258">
        <f t="shared" si="201"/>
        <v>-10728</v>
      </c>
      <c r="CL122" s="256">
        <f t="shared" si="201"/>
        <v>-11229</v>
      </c>
      <c r="CM122" s="256">
        <f t="shared" si="201"/>
        <v>-14139</v>
      </c>
      <c r="CN122" s="256">
        <f t="shared" si="201"/>
        <v>-11153</v>
      </c>
      <c r="CO122" s="256">
        <f t="shared" si="201"/>
        <v>-11555</v>
      </c>
      <c r="CP122" s="258">
        <f t="shared" si="201"/>
        <v>-11555</v>
      </c>
      <c r="CQ122" s="256">
        <f t="shared" si="201"/>
        <v>-11818</v>
      </c>
      <c r="CR122" s="54">
        <f t="shared" si="201"/>
        <v>-12240</v>
      </c>
      <c r="CS122" s="54">
        <f t="shared" si="201"/>
        <v>-9960</v>
      </c>
      <c r="CT122" s="54">
        <f t="shared" si="201"/>
        <v>-10553</v>
      </c>
      <c r="CU122" s="78">
        <f>CU120-CU121</f>
        <v>-10553</v>
      </c>
      <c r="CV122" s="54">
        <f t="shared" si="201"/>
        <v>-9298.6323154642487</v>
      </c>
      <c r="CW122" s="54">
        <f t="shared" si="201"/>
        <v>-9842.1352993206092</v>
      </c>
      <c r="CX122" s="54">
        <f t="shared" si="201"/>
        <v>-9820.3693458841335</v>
      </c>
      <c r="CY122" s="54">
        <f t="shared" si="201"/>
        <v>-9909.4107978387947</v>
      </c>
      <c r="CZ122" s="78">
        <f>CZ120-CZ121</f>
        <v>-9909.4107978387947</v>
      </c>
      <c r="DA122" s="78">
        <f>DA120-DA121</f>
        <v>-9773.9277016018823</v>
      </c>
      <c r="DB122" s="78">
        <f>DB120-DB121</f>
        <v>-10698.578557872126</v>
      </c>
      <c r="DC122" s="78">
        <f>DC120-DC121</f>
        <v>-12295.676301622898</v>
      </c>
      <c r="DD122" s="165"/>
      <c r="DE122" s="2"/>
      <c r="DF122" s="258"/>
      <c r="DG122" s="258"/>
      <c r="DH122" s="258"/>
      <c r="DI122" s="462"/>
      <c r="DJ122" s="462"/>
      <c r="DK122" s="2"/>
      <c r="DL122" s="2"/>
      <c r="DM122" s="2"/>
    </row>
    <row r="123" spans="1:124" ht="12" customHeight="1">
      <c r="A123" s="1109">
        <f>A118+1</f>
        <v>114</v>
      </c>
      <c r="B123" s="10"/>
      <c r="C123" s="43"/>
      <c r="D123" s="2"/>
      <c r="E123" s="70"/>
      <c r="F123" s="70"/>
      <c r="G123" s="70"/>
      <c r="H123" s="70"/>
      <c r="I123" s="70"/>
      <c r="J123" s="2"/>
      <c r="K123" s="2"/>
      <c r="L123" s="2"/>
      <c r="M123" s="2"/>
      <c r="N123" s="70"/>
      <c r="O123" s="2"/>
      <c r="P123" s="2"/>
      <c r="Q123" s="2"/>
      <c r="R123" s="2"/>
      <c r="S123" s="70"/>
      <c r="T123" s="2"/>
      <c r="U123" s="2"/>
      <c r="V123" s="2"/>
      <c r="W123" s="2"/>
      <c r="X123" s="70"/>
      <c r="Y123" s="9"/>
      <c r="Z123" s="9"/>
      <c r="AA123" s="9"/>
      <c r="AB123" s="9"/>
      <c r="AC123" s="70"/>
      <c r="AD123" s="9"/>
      <c r="AE123" s="9"/>
      <c r="AF123" s="9"/>
      <c r="AG123" s="9"/>
      <c r="AH123" s="70"/>
      <c r="AI123" s="9"/>
      <c r="AJ123" s="9"/>
      <c r="AK123" s="9"/>
      <c r="AL123" s="9"/>
      <c r="AM123" s="70"/>
      <c r="AN123" s="9"/>
      <c r="AO123" s="9"/>
      <c r="AP123" s="9"/>
      <c r="AQ123" s="9"/>
      <c r="AR123" s="70"/>
      <c r="AS123" s="9"/>
      <c r="AT123" s="9"/>
      <c r="AU123" s="9"/>
      <c r="AV123" s="9"/>
      <c r="AW123" s="70"/>
      <c r="AX123" s="9"/>
      <c r="AY123" s="9"/>
      <c r="AZ123" s="9"/>
      <c r="BA123" s="9"/>
      <c r="BB123" s="70"/>
      <c r="BC123" s="9"/>
      <c r="BD123" s="9"/>
      <c r="BE123" s="9"/>
      <c r="BF123" s="9"/>
      <c r="BG123" s="70"/>
      <c r="BH123" s="9"/>
      <c r="BI123" s="9"/>
      <c r="BJ123" s="9"/>
      <c r="BK123" s="9"/>
      <c r="BL123" s="70"/>
      <c r="BM123" s="9"/>
      <c r="BN123" s="9"/>
      <c r="BO123" s="9"/>
      <c r="BP123" s="9"/>
      <c r="BQ123" s="70"/>
      <c r="BR123" s="9"/>
      <c r="BS123" s="9"/>
      <c r="BT123" s="9"/>
      <c r="BU123" s="9"/>
      <c r="BV123" s="70"/>
      <c r="BW123" s="253"/>
      <c r="BX123" s="253"/>
      <c r="BY123" s="253"/>
      <c r="BZ123" s="253"/>
      <c r="CA123" s="66"/>
      <c r="CB123" s="253"/>
      <c r="CC123" s="253"/>
      <c r="CD123" s="253"/>
      <c r="CE123" s="253"/>
      <c r="CF123" s="66"/>
      <c r="CG123" s="253"/>
      <c r="CH123" s="253"/>
      <c r="CI123" s="253"/>
      <c r="CJ123" s="253"/>
      <c r="CK123" s="66"/>
      <c r="CL123" s="253"/>
      <c r="CM123" s="253"/>
      <c r="CN123" s="253"/>
      <c r="CO123" s="253"/>
      <c r="CP123" s="66"/>
      <c r="CQ123" s="253"/>
      <c r="CR123" s="9"/>
      <c r="CS123" s="9"/>
      <c r="CT123" s="9"/>
      <c r="CU123" s="66"/>
      <c r="CV123" s="9"/>
      <c r="CW123" s="9"/>
      <c r="CX123" s="9"/>
      <c r="CY123" s="9"/>
      <c r="CZ123" s="66"/>
      <c r="DA123" s="70"/>
      <c r="DB123" s="70"/>
      <c r="DC123" s="70"/>
      <c r="DD123" s="165"/>
      <c r="DE123" s="2"/>
      <c r="DF123" s="66"/>
      <c r="DG123" s="66"/>
      <c r="DH123" s="66"/>
      <c r="DI123" s="450"/>
      <c r="DJ123" s="450"/>
      <c r="DK123" s="2"/>
      <c r="DL123" s="2"/>
      <c r="DM123" s="2"/>
    </row>
    <row r="124" spans="1:124" ht="12" customHeight="1">
      <c r="A124" s="1109">
        <f t="shared" si="113"/>
        <v>115</v>
      </c>
      <c r="B124" s="10"/>
      <c r="C124" s="2" t="s">
        <v>204</v>
      </c>
      <c r="D124" s="2"/>
      <c r="E124" s="87">
        <f>E62</f>
        <v>18400</v>
      </c>
      <c r="F124" s="87">
        <f>F62</f>
        <v>18794</v>
      </c>
      <c r="G124" s="87">
        <f>G62</f>
        <v>24013</v>
      </c>
      <c r="H124" s="87">
        <f>H62</f>
        <v>23445</v>
      </c>
      <c r="I124" s="87">
        <f>I62</f>
        <v>24290</v>
      </c>
      <c r="J124" s="155"/>
      <c r="K124" s="49"/>
      <c r="L124" s="49"/>
      <c r="M124" s="49">
        <f>SUMIF(I6:M6,"&gt;0",I62:M62)</f>
        <v>22699</v>
      </c>
      <c r="N124" s="87">
        <f>N62</f>
        <v>22699</v>
      </c>
      <c r="O124" s="155">
        <f>SUMIF(K6:O6,"&gt;0",K62:O62)</f>
        <v>21822.75</v>
      </c>
      <c r="P124" s="49">
        <f>SUMIF(L6:P6,"&gt;0",L62:P62)</f>
        <v>19069.5</v>
      </c>
      <c r="Q124" s="49">
        <f>SUMIF(M6:Q6,"&gt;0",M62:Q62)</f>
        <v>17347.25</v>
      </c>
      <c r="R124" s="49">
        <f>SUMIF(N6:R6,"&gt;0",N62:R62)</f>
        <v>9208</v>
      </c>
      <c r="S124" s="87">
        <f>S62</f>
        <v>9208</v>
      </c>
      <c r="T124" s="155">
        <f>SUMIF(P6:T6,"&gt;0",P62:T62)</f>
        <v>7295.5</v>
      </c>
      <c r="U124" s="49">
        <f>SUMIF(Q6:U6,"&gt;0",Q62:U62)</f>
        <v>8867</v>
      </c>
      <c r="V124" s="49">
        <f>SUMIF(R6:V6,"&gt;0",R62:V62)</f>
        <v>8896.5</v>
      </c>
      <c r="W124" s="49">
        <f>SUMIF(S6:W6,"&gt;0",S62:W62)</f>
        <v>15285</v>
      </c>
      <c r="X124" s="87">
        <f>X62</f>
        <v>15285</v>
      </c>
      <c r="Y124" s="155">
        <f>SUMIF(U6:Y6,"&gt;0",U62:Y62)</f>
        <v>16212.5</v>
      </c>
      <c r="Z124" s="49">
        <f>SUMIF(V6:Z6,"&gt;0",V62:Z62)</f>
        <v>15662</v>
      </c>
      <c r="AA124" s="49">
        <f>SUMIF(W6:AA6,"&gt;0",W62:AA62)</f>
        <v>15874.5</v>
      </c>
      <c r="AB124" s="49">
        <f>SUMIF(X6:AB6,"&gt;0",X62:AB62)</f>
        <v>14599</v>
      </c>
      <c r="AC124" s="87">
        <f>AC62</f>
        <v>14599</v>
      </c>
      <c r="AD124" s="155">
        <f>SUMIF(Z6:AD6,"&gt;0",Z62:AD62)</f>
        <v>15791.75</v>
      </c>
      <c r="AE124" s="49">
        <f>SUMIF(AA6:AE6,"&gt;0",AA62:AE62)</f>
        <v>16402.5</v>
      </c>
      <c r="AF124" s="49">
        <f>SUMIF(AB6:AF6,"&gt;0",AB62:AF62)</f>
        <v>16365.25</v>
      </c>
      <c r="AG124" s="49">
        <f>SUMIF(AC6:AG6,"&gt;0",AC62:AG62)</f>
        <v>15904</v>
      </c>
      <c r="AH124" s="87">
        <f>AH62</f>
        <v>15904</v>
      </c>
      <c r="AI124" s="155">
        <f>SUMIF(AE6:AI6,"&gt;0",AE62:AI62)</f>
        <v>14824.25</v>
      </c>
      <c r="AJ124" s="49">
        <f>SUMIF(AF6:AJ6,"&gt;0",AF62:AJ62)</f>
        <v>14084.5</v>
      </c>
      <c r="AK124" s="49">
        <f>SUMIF(AG6:AK6,"&gt;0",AG62:AK62)</f>
        <v>12766.75</v>
      </c>
      <c r="AL124" s="49">
        <f>SUMIF(AH6:AL6,"&gt;0",AH62:AL62)</f>
        <v>12461</v>
      </c>
      <c r="AM124" s="87">
        <f>AM62</f>
        <v>12461</v>
      </c>
      <c r="AN124" s="155">
        <f>SUMIF(AJ6:AN6,"&gt;0",AJ62:AN62)</f>
        <v>9091.5</v>
      </c>
      <c r="AO124" s="49">
        <f>SUMIF(AK6:AO6,"&gt;0",AK62:AO62)</f>
        <v>8080</v>
      </c>
      <c r="AP124" s="49">
        <f>SUMIF(AL6:AP6,"&gt;0",AL62:AP62)</f>
        <v>2993.5</v>
      </c>
      <c r="AQ124" s="49">
        <f>SUMIF(AM6:AQ6,"&gt;0",AM62:AQ62)</f>
        <v>-520</v>
      </c>
      <c r="AR124" s="87">
        <f>AR62</f>
        <v>-520</v>
      </c>
      <c r="AS124" s="155">
        <f>SUMIF(AO6:AS6,"&gt;0",AO62:AS62)</f>
        <v>936.75</v>
      </c>
      <c r="AT124" s="49">
        <f>SUMIF(AP6:AT6,"&gt;0",AP62:AT62)</f>
        <v>1055.5</v>
      </c>
      <c r="AU124" s="49">
        <f>SUMIF(AQ6:AU6,"&gt;0",AQ62:AU62)</f>
        <v>7544.25</v>
      </c>
      <c r="AV124" s="49">
        <f>SUMIF(AR6:AV6,"&gt;0",AR62:AV62)</f>
        <v>11628</v>
      </c>
      <c r="AW124" s="87">
        <f>AW62</f>
        <v>11628</v>
      </c>
      <c r="AX124" s="155">
        <f>SUMIF(AT6:AX6,"&gt;0",AT62:AX62)</f>
        <v>12072.5</v>
      </c>
      <c r="AY124" s="49">
        <f>SUMIF(AU6:AY6,"&gt;0",AU62:AY62)</f>
        <v>10849</v>
      </c>
      <c r="AZ124" s="49">
        <f>SUMIF(AV6:AZ6,"&gt;0",AV62:AZ62)</f>
        <v>7481.5</v>
      </c>
      <c r="BA124" s="49">
        <f>SUMIF(AW6:BA6,"&gt;0",AW62:BA62)</f>
        <v>4447</v>
      </c>
      <c r="BB124" s="87">
        <f>BB62</f>
        <v>4447</v>
      </c>
      <c r="BC124" s="155">
        <f>SUMIF(AY6:BC6,"&gt;0",AY62:BC62)</f>
        <v>101.25</v>
      </c>
      <c r="BD124" s="49">
        <f>SUMIF(AZ6:BD6,"&gt;0",AZ62:BD62)</f>
        <v>-1192.5</v>
      </c>
      <c r="BE124" s="49">
        <f>SUMIF(BA6:BE6,"&gt;0",BA62:BE62)</f>
        <v>1341.75</v>
      </c>
      <c r="BF124" s="49">
        <f>SUMIF(BB6:BF6,"&gt;0",BB62:BF62)</f>
        <v>5766</v>
      </c>
      <c r="BG124" s="87">
        <f>BG62</f>
        <v>5766</v>
      </c>
      <c r="BH124" s="155">
        <f>SUMIF(BD6:BH6,"&gt;0",BD62:BH62)</f>
        <v>9954.25</v>
      </c>
      <c r="BI124" s="49">
        <f>SUMIF(BE6:BI6,"&gt;0",BE62:BI62)</f>
        <v>13724.5</v>
      </c>
      <c r="BJ124" s="49">
        <f>SUMIF(BF6:BJ6,"&gt;0",BF62:BJ62)</f>
        <v>14016.75</v>
      </c>
      <c r="BK124" s="49">
        <f>SUMIF(BG6:BK6,"&gt;0",BG62:BK62)</f>
        <v>12681</v>
      </c>
      <c r="BL124" s="87">
        <f>BL62</f>
        <v>12681</v>
      </c>
      <c r="BM124" s="155">
        <f>SUMIF(BI6:BM6,"&gt;0",BI62:BM62)</f>
        <v>13317</v>
      </c>
      <c r="BN124" s="49">
        <f>SUMIF(BJ6:BN6,"&gt;0",BJ62:BN62)</f>
        <v>12849</v>
      </c>
      <c r="BO124" s="49">
        <f>SUMIF(BK6:BO6,"&gt;0",BK62:BO62)</f>
        <v>12677</v>
      </c>
      <c r="BP124" s="49">
        <f>SUMIF(BL6:BP6,"&gt;0",BL62:BP62)</f>
        <v>13572</v>
      </c>
      <c r="BQ124" s="87">
        <f>BQ62</f>
        <v>13572</v>
      </c>
      <c r="BR124" s="155">
        <f>SUMIF(BN6:BR6,"&gt;0",BN62:BR62)</f>
        <v>13163.5</v>
      </c>
      <c r="BS124" s="49">
        <f>SUMIF(BO6:BS6,"&gt;0",BO62:BS62)</f>
        <v>12337</v>
      </c>
      <c r="BT124" s="49">
        <f>SUMIF(BP6:BT6,"&gt;0",BP62:BT62)</f>
        <v>12619.5</v>
      </c>
      <c r="BU124" s="49">
        <f>SUMIF(BQ6:BU6,"&gt;0",BQ62:BU62)</f>
        <v>12169</v>
      </c>
      <c r="BV124" s="87">
        <f>BV62</f>
        <v>12169</v>
      </c>
      <c r="BW124" s="155">
        <f>SUMIF(BS6:BW6,"&gt;0",BS62:BW62)</f>
        <v>12133.5</v>
      </c>
      <c r="BX124" s="49">
        <f>SUMIF(BT6:BX6,"&gt;0",BT62:BX62)</f>
        <v>12927</v>
      </c>
      <c r="BY124" s="49">
        <f>SUMIF(BU6:BY6,"&gt;0",BU62:BY62)</f>
        <v>13458.5</v>
      </c>
      <c r="BZ124" s="49">
        <f>SUMIF(BV6:BZ6,"&gt;0",BV62:BZ62)</f>
        <v>13432</v>
      </c>
      <c r="CA124" s="87">
        <f>CA62</f>
        <v>13432</v>
      </c>
      <c r="CB124" s="155">
        <f>SUMIF(BX6:CB6,"&gt;0",BX62:CB62)</f>
        <v>12758.25</v>
      </c>
      <c r="CC124" s="49">
        <f>SUMIF(BY6:CC6,"&gt;0",BY62:CC62)</f>
        <v>12857.5</v>
      </c>
      <c r="CD124" s="49">
        <f>SUMIF(BZ6:CD6,"&gt;0",BZ62:CD62)</f>
        <v>11632.75</v>
      </c>
      <c r="CE124" s="49">
        <f>SUMIF(CA6:CE6,"&gt;0",CA62:CE62)</f>
        <v>12521</v>
      </c>
      <c r="CF124" s="87">
        <f>CF62</f>
        <v>12521</v>
      </c>
      <c r="CG124" s="155">
        <f>SUMIF(CC6:CG6,"&gt;0",CC62:CG62)</f>
        <v>13028</v>
      </c>
      <c r="CH124" s="49">
        <f>SUMIF(CD6:CH6,"&gt;0",CD62:CH62)</f>
        <v>13775</v>
      </c>
      <c r="CI124" s="49">
        <f>SUMIF(CE6:CI6,"&gt;0",CE62:CI62)</f>
        <v>15915</v>
      </c>
      <c r="CJ124" s="49">
        <f>SUMIF(CF6:CJ6,"&gt;0",CF62:CJ62)</f>
        <v>16338</v>
      </c>
      <c r="CK124" s="87">
        <f>CK62</f>
        <v>17988.108759521216</v>
      </c>
      <c r="CL124" s="155">
        <f>SUMIF(CH6:CL6,"&gt;0",CH62:CL62)</f>
        <v>19404.5</v>
      </c>
      <c r="CM124" s="49">
        <f>SUMIF(CI6:CM6,"&gt;0",CI62:CM62)</f>
        <v>20232</v>
      </c>
      <c r="CN124" s="49">
        <f>SUMIF(CJ6:CN6,"&gt;0",CJ62:CN62)</f>
        <v>19514.5</v>
      </c>
      <c r="CO124" s="49">
        <f>SUMIF(CK6:CO6,"&gt;0",CK62:CO62)</f>
        <v>20348</v>
      </c>
      <c r="CP124" s="87">
        <f>CP62</f>
        <v>20348</v>
      </c>
      <c r="CQ124" s="155">
        <f>SUMIF(CM6:CQ6,"&gt;0",CM62:CQ62)</f>
        <v>17752.25</v>
      </c>
      <c r="CR124" s="49">
        <f>SUMIF(CN6:CR6,"&gt;0",CN62:CR62)</f>
        <v>16276.5</v>
      </c>
      <c r="CS124" s="49">
        <f>SUMIF(CO6:CS6,"&gt;0",CO62:CS62)</f>
        <v>15927.75</v>
      </c>
      <c r="CT124" s="49">
        <f>SUMIF(CP6:CT6,"&gt;0",CP62:CT62)</f>
        <v>14626</v>
      </c>
      <c r="CU124" s="87">
        <f>CU62</f>
        <v>14626</v>
      </c>
      <c r="CV124" s="49">
        <f>SUMIF(CR6:CV6,"&gt;0",CR62:CV62)</f>
        <v>14471.4172</v>
      </c>
      <c r="CW124" s="49">
        <f>SUMIF(CS6:CW6,"&gt;0",CS62:CW62)</f>
        <v>14379.36</v>
      </c>
      <c r="CX124" s="49">
        <f>SUMIF(CT6:CX6,"&gt;0",CT62:CX62)</f>
        <v>14067.0412</v>
      </c>
      <c r="CY124" s="49">
        <f>SUMIF(CU6:CY6,"&gt;0",CU62:CY62)</f>
        <v>14008.9956</v>
      </c>
      <c r="CZ124" s="87">
        <f>CZ62</f>
        <v>14008.9956</v>
      </c>
      <c r="DA124" s="87">
        <f>DA62</f>
        <v>13865.214600870164</v>
      </c>
      <c r="DB124" s="87">
        <f>DB62</f>
        <v>14598.748771458228</v>
      </c>
      <c r="DC124" s="87">
        <f>DC62</f>
        <v>15414.172806969214</v>
      </c>
      <c r="DD124" s="2"/>
      <c r="DE124" s="2"/>
      <c r="DF124" s="87">
        <f>CT124</f>
        <v>14626</v>
      </c>
      <c r="DG124" s="87">
        <v>14996.939031924949</v>
      </c>
      <c r="DH124" s="87">
        <f>CO124</f>
        <v>20348</v>
      </c>
      <c r="DI124" s="450">
        <f>IF(ISERROR(DF124/DG124-1),"NM",DF124/DG124-1)</f>
        <v>-2.4734316191811323E-2</v>
      </c>
      <c r="DJ124" s="450">
        <f>IF(ISERROR(DF124/DH124-1),"NM",DF124/DH124-1)</f>
        <v>-0.28120699823078432</v>
      </c>
      <c r="DK124" s="2"/>
      <c r="DL124" s="2"/>
      <c r="DM124" s="2"/>
    </row>
    <row r="125" spans="1:124" ht="12" customHeight="1">
      <c r="A125" s="1109">
        <f t="shared" si="113"/>
        <v>116</v>
      </c>
      <c r="B125" s="10"/>
      <c r="C125" s="2" t="s">
        <v>193</v>
      </c>
      <c r="D125" s="2"/>
      <c r="E125" s="72">
        <f>E118/E124</f>
        <v>7.0095108695652177</v>
      </c>
      <c r="F125" s="72">
        <f>F118/F124</f>
        <v>7.2869532829626475</v>
      </c>
      <c r="G125" s="72">
        <f>G118/G124</f>
        <v>5.9795527422646071</v>
      </c>
      <c r="H125" s="72">
        <f t="shared" ref="H125:BL125" si="202">H118/H124</f>
        <v>4.5312006824482829</v>
      </c>
      <c r="I125" s="72">
        <f t="shared" si="202"/>
        <v>5.253108275010292</v>
      </c>
      <c r="J125" s="28"/>
      <c r="K125" s="28"/>
      <c r="L125" s="28"/>
      <c r="M125" s="28">
        <f t="shared" si="202"/>
        <v>6.4660117185779109</v>
      </c>
      <c r="N125" s="72">
        <f t="shared" si="202"/>
        <v>6.4660117185779109</v>
      </c>
      <c r="O125" s="28">
        <f t="shared" si="202"/>
        <v>6.8509697448763331</v>
      </c>
      <c r="P125" s="28">
        <f t="shared" si="202"/>
        <v>8.1487715986260785</v>
      </c>
      <c r="Q125" s="28">
        <f t="shared" si="202"/>
        <v>8.5571488276239744</v>
      </c>
      <c r="R125" s="28">
        <f t="shared" si="202"/>
        <v>16.076129452649869</v>
      </c>
      <c r="S125" s="72">
        <f t="shared" si="202"/>
        <v>16.076129452649869</v>
      </c>
      <c r="T125" s="28">
        <f t="shared" si="202"/>
        <v>17.979028168048796</v>
      </c>
      <c r="U125" s="28">
        <f t="shared" si="202"/>
        <v>15.352204804330665</v>
      </c>
      <c r="V125" s="28">
        <f t="shared" si="202"/>
        <v>14.536165907941326</v>
      </c>
      <c r="W125" s="28">
        <f t="shared" si="202"/>
        <v>8.6175989532221138</v>
      </c>
      <c r="X125" s="72">
        <f t="shared" si="202"/>
        <v>8.6175989532221138</v>
      </c>
      <c r="Y125" s="28">
        <f t="shared" si="202"/>
        <v>7.5148804934464151</v>
      </c>
      <c r="Z125" s="28">
        <f t="shared" si="202"/>
        <v>8.391201634529434</v>
      </c>
      <c r="AA125" s="28">
        <f t="shared" si="202"/>
        <v>8.3062773630665525</v>
      </c>
      <c r="AB125" s="28">
        <f t="shared" si="202"/>
        <v>9.6232618672511823</v>
      </c>
      <c r="AC125" s="72">
        <f t="shared" si="202"/>
        <v>9.6232618672511823</v>
      </c>
      <c r="AD125" s="28">
        <f t="shared" si="202"/>
        <v>8.5214748207133475</v>
      </c>
      <c r="AE125" s="28">
        <f t="shared" si="202"/>
        <v>8.1964944368236541</v>
      </c>
      <c r="AF125" s="28">
        <f t="shared" si="202"/>
        <v>8.1500129848306617</v>
      </c>
      <c r="AG125" s="28">
        <f t="shared" si="202"/>
        <v>8.1482645875251514</v>
      </c>
      <c r="AH125" s="72">
        <f t="shared" si="202"/>
        <v>8.1482645875251514</v>
      </c>
      <c r="AI125" s="28">
        <f t="shared" si="202"/>
        <v>8.5629289846029302</v>
      </c>
      <c r="AJ125" s="28">
        <f t="shared" si="202"/>
        <v>8.4461642230821123</v>
      </c>
      <c r="AK125" s="28">
        <f t="shared" si="202"/>
        <v>8.1731842481445938</v>
      </c>
      <c r="AL125" s="28">
        <f t="shared" si="202"/>
        <v>8.8868469625230713</v>
      </c>
      <c r="AM125" s="72">
        <f t="shared" si="202"/>
        <v>8.8868469625230713</v>
      </c>
      <c r="AN125" s="28">
        <f t="shared" si="202"/>
        <v>12.322829016113953</v>
      </c>
      <c r="AO125" s="28">
        <f t="shared" si="202"/>
        <v>13.908910891089109</v>
      </c>
      <c r="AP125" s="28">
        <f t="shared" si="202"/>
        <v>38.010021713713044</v>
      </c>
      <c r="AQ125" s="28">
        <f t="shared" si="202"/>
        <v>-223.47692307692307</v>
      </c>
      <c r="AR125" s="72">
        <f t="shared" si="202"/>
        <v>-223.47692307692307</v>
      </c>
      <c r="AS125" s="28">
        <f t="shared" si="202"/>
        <v>125.06965572457966</v>
      </c>
      <c r="AT125" s="28">
        <f t="shared" si="202"/>
        <v>110.69824727617242</v>
      </c>
      <c r="AU125" s="28">
        <f t="shared" si="202"/>
        <v>15.407893428770256</v>
      </c>
      <c r="AV125" s="28">
        <f t="shared" si="202"/>
        <v>10.146972824217407</v>
      </c>
      <c r="AW125" s="72">
        <f t="shared" si="202"/>
        <v>10.146972824217407</v>
      </c>
      <c r="AX125" s="28">
        <f t="shared" si="202"/>
        <v>9.9494719403603238</v>
      </c>
      <c r="AY125" s="28">
        <f t="shared" si="202"/>
        <v>10.700248870863675</v>
      </c>
      <c r="AZ125" s="28">
        <f t="shared" si="202"/>
        <v>15.370179776782731</v>
      </c>
      <c r="BA125" s="28">
        <f t="shared" si="202"/>
        <v>25.436698898133574</v>
      </c>
      <c r="BB125" s="72">
        <f t="shared" si="202"/>
        <v>25.436698898133574</v>
      </c>
      <c r="BC125" s="28">
        <f t="shared" si="202"/>
        <v>1028.4444444444443</v>
      </c>
      <c r="BD125" s="28">
        <f t="shared" si="202"/>
        <v>-77.091823899371064</v>
      </c>
      <c r="BE125" s="28">
        <f t="shared" si="202"/>
        <v>62.344699087013232</v>
      </c>
      <c r="BF125" s="28">
        <f t="shared" si="202"/>
        <v>15.496704821366633</v>
      </c>
      <c r="BG125" s="72">
        <f t="shared" si="202"/>
        <v>15.496704821366633</v>
      </c>
      <c r="BH125" s="28">
        <f t="shared" si="202"/>
        <v>8.4251450385513724</v>
      </c>
      <c r="BI125" s="28">
        <f t="shared" si="202"/>
        <v>5.6584210718058943</v>
      </c>
      <c r="BJ125" s="28">
        <f t="shared" si="202"/>
        <v>5.175450799935791</v>
      </c>
      <c r="BK125" s="28">
        <f t="shared" si="202"/>
        <v>5.3953158268275372</v>
      </c>
      <c r="BL125" s="72">
        <f t="shared" si="202"/>
        <v>5.3953158268275372</v>
      </c>
      <c r="BM125" s="28">
        <f t="shared" ref="BM125:CA125" si="203">BM118/BM124</f>
        <v>5.0140422016970785</v>
      </c>
      <c r="BN125" s="28">
        <f t="shared" si="203"/>
        <v>5.0610164215114013</v>
      </c>
      <c r="BO125" s="28">
        <f t="shared" si="203"/>
        <v>4.8859351581604482</v>
      </c>
      <c r="BP125" s="28">
        <f t="shared" si="203"/>
        <v>4.6951075744179196</v>
      </c>
      <c r="BQ125" s="72">
        <f t="shared" si="203"/>
        <v>4.6951075744179196</v>
      </c>
      <c r="BR125" s="28">
        <f t="shared" si="203"/>
        <v>4.8971018346184527</v>
      </c>
      <c r="BS125" s="28">
        <f t="shared" si="203"/>
        <v>5.2117208397503445</v>
      </c>
      <c r="BT125" s="28">
        <f t="shared" si="203"/>
        <v>5.156226474899956</v>
      </c>
      <c r="BU125" s="28">
        <f t="shared" si="203"/>
        <v>5.6795956939764976</v>
      </c>
      <c r="BV125" s="72">
        <f t="shared" si="203"/>
        <v>5.6795956939764976</v>
      </c>
      <c r="BW125" s="28">
        <f t="shared" si="203"/>
        <v>6.0176371203692254</v>
      </c>
      <c r="BX125" s="28">
        <f t="shared" si="203"/>
        <v>5.5040612671153397</v>
      </c>
      <c r="BY125" s="28">
        <f t="shared" si="203"/>
        <v>5.4225953858156553</v>
      </c>
      <c r="BZ125" s="28">
        <f t="shared" si="203"/>
        <v>5.8159618820726626</v>
      </c>
      <c r="CA125" s="72">
        <f t="shared" si="203"/>
        <v>5.8159618820726626</v>
      </c>
      <c r="CB125" s="28">
        <f t="shared" ref="CB125:CP125" si="204">CB118/CB124</f>
        <v>6.3076832637705014</v>
      </c>
      <c r="CC125" s="28">
        <f t="shared" si="204"/>
        <v>6.458331713007972</v>
      </c>
      <c r="CD125" s="28">
        <f t="shared" si="204"/>
        <v>7.3267284176140635</v>
      </c>
      <c r="CE125" s="28">
        <f t="shared" si="204"/>
        <v>7.0298698187045767</v>
      </c>
      <c r="CF125" s="72">
        <f t="shared" si="204"/>
        <v>7.0298698187045767</v>
      </c>
      <c r="CG125" s="28">
        <f t="shared" si="204"/>
        <v>6.883328216149831</v>
      </c>
      <c r="CH125" s="28">
        <f t="shared" si="204"/>
        <v>6.6950272232304897</v>
      </c>
      <c r="CI125" s="28">
        <f t="shared" si="204"/>
        <v>5.9426955702167765</v>
      </c>
      <c r="CJ125" s="28">
        <f t="shared" si="204"/>
        <v>5.9785775492716366</v>
      </c>
      <c r="CK125" s="72">
        <f t="shared" si="204"/>
        <v>5.4301428407974486</v>
      </c>
      <c r="CL125" s="28">
        <f t="shared" si="204"/>
        <v>5.2318792032775905</v>
      </c>
      <c r="CM125" s="28">
        <f t="shared" si="204"/>
        <v>4.9731613285883745</v>
      </c>
      <c r="CN125" s="28">
        <f t="shared" si="204"/>
        <v>5.2811499141663889</v>
      </c>
      <c r="CO125" s="28">
        <f t="shared" si="204"/>
        <v>5.1180951444859444</v>
      </c>
      <c r="CP125" s="72">
        <f t="shared" si="204"/>
        <v>5.1180951444859444</v>
      </c>
      <c r="CQ125" s="28">
        <f t="shared" ref="CQ125:DC125" si="205">CQ118/CQ124</f>
        <v>5.9703981185483528</v>
      </c>
      <c r="CR125" s="28">
        <f t="shared" si="205"/>
        <v>6.5677510521303724</v>
      </c>
      <c r="CS125" s="28">
        <f t="shared" si="205"/>
        <v>7.0083345105240857</v>
      </c>
      <c r="CT125" s="28">
        <f t="shared" si="205"/>
        <v>7.9280732941337346</v>
      </c>
      <c r="CU125" s="72">
        <f t="shared" si="205"/>
        <v>8.0639956242308219</v>
      </c>
      <c r="CV125" s="28">
        <f t="shared" si="205"/>
        <v>8.1407620107931002</v>
      </c>
      <c r="CW125" s="28">
        <f t="shared" si="205"/>
        <v>8.1241492805186688</v>
      </c>
      <c r="CX125" s="28">
        <f t="shared" si="205"/>
        <v>8.3166505954121064</v>
      </c>
      <c r="CY125" s="28">
        <f t="shared" si="205"/>
        <v>8.3554184730280312</v>
      </c>
      <c r="CZ125" s="72">
        <f t="shared" si="205"/>
        <v>8.5202805462276245</v>
      </c>
      <c r="DA125" s="72">
        <f t="shared" si="205"/>
        <v>8.5181021918159008</v>
      </c>
      <c r="DB125" s="72">
        <f t="shared" si="205"/>
        <v>8.1399258606013447</v>
      </c>
      <c r="DC125" s="72">
        <f t="shared" si="205"/>
        <v>7.7053813368715813</v>
      </c>
      <c r="DD125" s="2"/>
      <c r="DE125" s="2"/>
      <c r="DF125" s="72">
        <f>CT125</f>
        <v>7.9280732941337346</v>
      </c>
      <c r="DG125" s="72">
        <v>7.3136379974347001</v>
      </c>
      <c r="DH125" s="72">
        <f>CO125</f>
        <v>5.1180951444859444</v>
      </c>
      <c r="DI125" s="450">
        <f>IF(ISERROR(DF125/DG125-1),"NM",DF125/DG125-1)</f>
        <v>8.4012265429947552E-2</v>
      </c>
      <c r="DJ125" s="450">
        <f>IF(ISERROR(DF125/DH125-1),"NM",DF125/DH125-1)</f>
        <v>0.54902811892333836</v>
      </c>
      <c r="DK125" s="2"/>
      <c r="DL125" s="2"/>
      <c r="DM125" s="2"/>
    </row>
    <row r="126" spans="1:124" ht="12" customHeight="1">
      <c r="A126" s="1109">
        <f t="shared" si="113"/>
        <v>117</v>
      </c>
      <c r="B126" s="10"/>
      <c r="C126" s="2" t="s">
        <v>206</v>
      </c>
      <c r="D126" s="2"/>
      <c r="E126" s="60">
        <f>E107+E116</f>
        <v>173171</v>
      </c>
      <c r="F126" s="60">
        <f>F107+F116</f>
        <v>185123</v>
      </c>
      <c r="G126" s="60">
        <f>G107+G116</f>
        <v>198981</v>
      </c>
      <c r="H126" s="60">
        <f t="shared" ref="H126:BL126" si="206">H107+H116</f>
        <v>155567</v>
      </c>
      <c r="I126" s="60">
        <f t="shared" si="206"/>
        <v>179259</v>
      </c>
      <c r="J126" s="155">
        <f t="shared" si="206"/>
        <v>183123</v>
      </c>
      <c r="K126" s="49">
        <f t="shared" si="206"/>
        <v>184510</v>
      </c>
      <c r="L126" s="49">
        <f t="shared" si="206"/>
        <v>180039</v>
      </c>
      <c r="M126" s="49">
        <f t="shared" si="206"/>
        <v>184166</v>
      </c>
      <c r="N126" s="87">
        <f t="shared" si="206"/>
        <v>184166</v>
      </c>
      <c r="O126" s="155">
        <f t="shared" si="206"/>
        <v>183434</v>
      </c>
      <c r="P126" s="49">
        <f t="shared" si="206"/>
        <v>187921</v>
      </c>
      <c r="Q126" s="49">
        <f t="shared" si="206"/>
        <v>179737</v>
      </c>
      <c r="R126" s="49">
        <f t="shared" si="206"/>
        <v>174589</v>
      </c>
      <c r="S126" s="87">
        <f t="shared" si="206"/>
        <v>174589</v>
      </c>
      <c r="T126" s="155">
        <f t="shared" si="206"/>
        <v>166636</v>
      </c>
      <c r="U126" s="49">
        <f t="shared" si="206"/>
        <v>174808</v>
      </c>
      <c r="V126" s="49">
        <f t="shared" si="206"/>
        <v>172176</v>
      </c>
      <c r="W126" s="49">
        <f t="shared" si="206"/>
        <v>167802</v>
      </c>
      <c r="X126" s="87">
        <f t="shared" si="206"/>
        <v>167802</v>
      </c>
      <c r="Y126" s="155">
        <f t="shared" si="206"/>
        <v>165742</v>
      </c>
      <c r="Z126" s="49">
        <f t="shared" si="206"/>
        <v>177522</v>
      </c>
      <c r="AA126" s="49">
        <f t="shared" si="206"/>
        <v>188426</v>
      </c>
      <c r="AB126" s="49">
        <f t="shared" si="206"/>
        <v>191455</v>
      </c>
      <c r="AC126" s="87">
        <f t="shared" si="206"/>
        <v>191455</v>
      </c>
      <c r="AD126" s="155">
        <f t="shared" si="206"/>
        <v>184328</v>
      </c>
      <c r="AE126" s="49">
        <f t="shared" si="206"/>
        <v>181662</v>
      </c>
      <c r="AF126" s="49">
        <f t="shared" si="206"/>
        <v>178776</v>
      </c>
      <c r="AG126" s="49">
        <f t="shared" si="206"/>
        <v>179862</v>
      </c>
      <c r="AH126" s="87">
        <f t="shared" si="206"/>
        <v>179862</v>
      </c>
      <c r="AI126" s="155">
        <f t="shared" si="206"/>
        <v>176932</v>
      </c>
      <c r="AJ126" s="49">
        <f t="shared" si="206"/>
        <v>172644</v>
      </c>
      <c r="AK126" s="49">
        <f t="shared" si="206"/>
        <v>155725</v>
      </c>
      <c r="AL126" s="49">
        <f t="shared" si="206"/>
        <v>166720</v>
      </c>
      <c r="AM126" s="87">
        <f t="shared" si="206"/>
        <v>166720</v>
      </c>
      <c r="AN126" s="155">
        <f t="shared" si="206"/>
        <v>163153</v>
      </c>
      <c r="AO126" s="49">
        <f t="shared" si="206"/>
        <v>167784</v>
      </c>
      <c r="AP126" s="49">
        <f t="shared" si="206"/>
        <v>163573</v>
      </c>
      <c r="AQ126" s="49">
        <f t="shared" si="206"/>
        <v>168367</v>
      </c>
      <c r="AR126" s="87">
        <f t="shared" si="206"/>
        <v>168367</v>
      </c>
      <c r="AS126" s="155">
        <f t="shared" si="206"/>
        <v>163469</v>
      </c>
      <c r="AT126" s="49">
        <f t="shared" si="206"/>
        <v>168090</v>
      </c>
      <c r="AU126" s="49">
        <f t="shared" si="206"/>
        <v>164376</v>
      </c>
      <c r="AV126" s="49">
        <f t="shared" si="206"/>
        <v>174415</v>
      </c>
      <c r="AW126" s="87">
        <f t="shared" si="206"/>
        <v>174415</v>
      </c>
      <c r="AX126" s="155">
        <f t="shared" si="206"/>
        <v>176316</v>
      </c>
      <c r="AY126" s="49">
        <f t="shared" si="206"/>
        <v>164342</v>
      </c>
      <c r="AZ126" s="49">
        <f t="shared" si="206"/>
        <v>154804</v>
      </c>
      <c r="BA126" s="49">
        <f t="shared" si="206"/>
        <v>136855</v>
      </c>
      <c r="BB126" s="87">
        <f t="shared" si="206"/>
        <v>136855</v>
      </c>
      <c r="BC126" s="155">
        <f t="shared" si="206"/>
        <v>128009</v>
      </c>
      <c r="BD126" s="49">
        <f t="shared" si="206"/>
        <v>122323</v>
      </c>
      <c r="BE126" s="49">
        <f t="shared" si="206"/>
        <v>123342</v>
      </c>
      <c r="BF126" s="49">
        <f t="shared" si="206"/>
        <v>123815</v>
      </c>
      <c r="BG126" s="87">
        <f t="shared" si="206"/>
        <v>123815</v>
      </c>
      <c r="BH126" s="155">
        <f t="shared" si="206"/>
        <v>124630</v>
      </c>
      <c r="BI126" s="49">
        <f t="shared" si="206"/>
        <v>113811</v>
      </c>
      <c r="BJ126" s="49">
        <f t="shared" si="206"/>
        <v>114918</v>
      </c>
      <c r="BK126" s="49">
        <f t="shared" si="206"/>
        <v>103315</v>
      </c>
      <c r="BL126" s="87">
        <f t="shared" si="206"/>
        <v>103315</v>
      </c>
      <c r="BM126" s="155">
        <f t="shared" ref="BM126:CK126" si="207">BM107+BM116</f>
        <v>104064</v>
      </c>
      <c r="BN126" s="49">
        <f t="shared" si="207"/>
        <v>103859</v>
      </c>
      <c r="BO126" s="49">
        <f t="shared" si="207"/>
        <v>101113</v>
      </c>
      <c r="BP126" s="49">
        <f t="shared" si="207"/>
        <v>114516</v>
      </c>
      <c r="BQ126" s="87">
        <f t="shared" si="207"/>
        <v>114516</v>
      </c>
      <c r="BR126" s="155">
        <f t="shared" si="207"/>
        <v>117096</v>
      </c>
      <c r="BS126" s="49">
        <f t="shared" si="207"/>
        <v>116933</v>
      </c>
      <c r="BT126" s="49">
        <f t="shared" si="207"/>
        <v>119445</v>
      </c>
      <c r="BU126" s="49">
        <f t="shared" si="207"/>
        <v>121005</v>
      </c>
      <c r="BV126" s="87">
        <f t="shared" si="207"/>
        <v>121005</v>
      </c>
      <c r="BW126" s="155">
        <f t="shared" si="207"/>
        <v>124951</v>
      </c>
      <c r="BX126" s="49">
        <f t="shared" si="207"/>
        <v>127036</v>
      </c>
      <c r="BY126" s="49">
        <f t="shared" si="207"/>
        <v>131089</v>
      </c>
      <c r="BZ126" s="49">
        <f t="shared" si="207"/>
        <v>140800</v>
      </c>
      <c r="CA126" s="87">
        <f t="shared" si="207"/>
        <v>140800</v>
      </c>
      <c r="CB126" s="155">
        <f t="shared" si="207"/>
        <v>143777</v>
      </c>
      <c r="CC126" s="49">
        <f t="shared" si="207"/>
        <v>145483</v>
      </c>
      <c r="CD126" s="49">
        <f t="shared" si="207"/>
        <v>145329</v>
      </c>
      <c r="CE126" s="49">
        <f t="shared" si="207"/>
        <v>143609</v>
      </c>
      <c r="CF126" s="87">
        <f t="shared" si="207"/>
        <v>143609</v>
      </c>
      <c r="CG126" s="155">
        <f t="shared" si="207"/>
        <v>147723</v>
      </c>
      <c r="CH126" s="49">
        <f t="shared" si="207"/>
        <v>149860</v>
      </c>
      <c r="CI126" s="49">
        <f t="shared" si="207"/>
        <v>153890</v>
      </c>
      <c r="CJ126" s="49">
        <f t="shared" si="207"/>
        <v>161496</v>
      </c>
      <c r="CK126" s="87">
        <f t="shared" si="207"/>
        <v>161496</v>
      </c>
      <c r="CL126" s="155">
        <f t="shared" ref="CL126:DC126" si="208">CL107+CL116</f>
        <v>170600</v>
      </c>
      <c r="CM126" s="49">
        <f t="shared" si="208"/>
        <v>171055</v>
      </c>
      <c r="CN126" s="49">
        <f t="shared" si="208"/>
        <v>168708</v>
      </c>
      <c r="CO126" s="49">
        <f t="shared" si="208"/>
        <v>172140</v>
      </c>
      <c r="CP126" s="87">
        <f t="shared" si="208"/>
        <v>172140</v>
      </c>
      <c r="CQ126" s="155">
        <f t="shared" si="208"/>
        <v>176596</v>
      </c>
      <c r="CR126" s="49">
        <f t="shared" si="208"/>
        <v>178253</v>
      </c>
      <c r="CS126" s="49">
        <f t="shared" si="208"/>
        <v>182350</v>
      </c>
      <c r="CT126" s="49">
        <f t="shared" si="208"/>
        <v>189177</v>
      </c>
      <c r="CU126" s="87">
        <f t="shared" si="208"/>
        <v>189177</v>
      </c>
      <c r="CV126" s="49">
        <f t="shared" si="208"/>
        <v>189560.47270903998</v>
      </c>
      <c r="CW126" s="49">
        <f t="shared" si="208"/>
        <v>190636.79113799002</v>
      </c>
      <c r="CX126" s="49">
        <f t="shared" si="208"/>
        <v>191374.46706694001</v>
      </c>
      <c r="CY126" s="49">
        <f t="shared" si="208"/>
        <v>191964.88049588999</v>
      </c>
      <c r="CZ126" s="87">
        <f t="shared" si="208"/>
        <v>191964.88049588999</v>
      </c>
      <c r="DA126" s="87">
        <f t="shared" si="208"/>
        <v>195819.79084152853</v>
      </c>
      <c r="DB126" s="87">
        <f t="shared" si="208"/>
        <v>199948.64576905785</v>
      </c>
      <c r="DC126" s="87">
        <f t="shared" si="208"/>
        <v>204461.15748909733</v>
      </c>
      <c r="DD126" s="2"/>
      <c r="DE126" s="2"/>
      <c r="DF126" s="87">
        <f>CT126</f>
        <v>189177</v>
      </c>
      <c r="DG126" s="87">
        <v>183506.33508955745</v>
      </c>
      <c r="DH126" s="87">
        <f>CO126</f>
        <v>172140</v>
      </c>
      <c r="DI126" s="450">
        <f>IF(ISERROR(DF126/DG126-1),"NM",DF126/DG126-1)</f>
        <v>3.0901739210665635E-2</v>
      </c>
      <c r="DJ126" s="450">
        <f>IF(ISERROR(DF126/DH126-1),"NM",DF126/DH126-1)</f>
        <v>9.8971767166259994E-2</v>
      </c>
      <c r="DK126" s="2"/>
      <c r="DL126" s="2"/>
      <c r="DM126" s="2"/>
    </row>
    <row r="127" spans="1:124" ht="12" customHeight="1">
      <c r="A127" s="1109">
        <f t="shared" si="113"/>
        <v>118</v>
      </c>
      <c r="B127" s="10"/>
      <c r="C127" s="2" t="s">
        <v>207</v>
      </c>
      <c r="D127" s="2"/>
      <c r="E127" s="73">
        <f>E116/E126</f>
        <v>0.85824993792263138</v>
      </c>
      <c r="F127" s="73">
        <f>F116/F126</f>
        <v>0.85543665562896021</v>
      </c>
      <c r="G127" s="73">
        <f>G116/G126</f>
        <v>0.84554304179796058</v>
      </c>
      <c r="H127" s="73">
        <f t="shared" ref="H127:BL127" si="209">H116/H126</f>
        <v>0.84952464211561574</v>
      </c>
      <c r="I127" s="73">
        <f t="shared" si="209"/>
        <v>0.84601052108959662</v>
      </c>
      <c r="J127" s="3">
        <f t="shared" si="209"/>
        <v>0.8448092265854098</v>
      </c>
      <c r="K127" s="3">
        <f t="shared" si="209"/>
        <v>0.86644084331472548</v>
      </c>
      <c r="L127" s="3">
        <f t="shared" si="209"/>
        <v>0.89850532384649995</v>
      </c>
      <c r="M127" s="3">
        <f t="shared" si="209"/>
        <v>0.89894986045198355</v>
      </c>
      <c r="N127" s="73">
        <f t="shared" si="209"/>
        <v>0.89894986045198355</v>
      </c>
      <c r="O127" s="3">
        <f t="shared" si="209"/>
        <v>0.91239900999814649</v>
      </c>
      <c r="P127" s="3">
        <f t="shared" si="209"/>
        <v>0.92678838448071266</v>
      </c>
      <c r="Q127" s="3">
        <f t="shared" si="209"/>
        <v>0.92564135375576539</v>
      </c>
      <c r="R127" s="3">
        <f t="shared" si="209"/>
        <v>0.95540383414762675</v>
      </c>
      <c r="S127" s="73">
        <f t="shared" si="209"/>
        <v>0.95540383414762675</v>
      </c>
      <c r="T127" s="3">
        <f t="shared" si="209"/>
        <v>0.95547780791665671</v>
      </c>
      <c r="U127" s="3">
        <f t="shared" si="209"/>
        <v>0.94282870349183101</v>
      </c>
      <c r="V127" s="3">
        <f t="shared" si="209"/>
        <v>0.94209413623269211</v>
      </c>
      <c r="W127" s="3">
        <f t="shared" si="209"/>
        <v>0.96668692864209005</v>
      </c>
      <c r="X127" s="73">
        <f t="shared" si="209"/>
        <v>0.96668692864209005</v>
      </c>
      <c r="Y127" s="3">
        <f t="shared" si="209"/>
        <v>0.95938265496977226</v>
      </c>
      <c r="Z127" s="3">
        <f t="shared" si="209"/>
        <v>0.95446198217685696</v>
      </c>
      <c r="AA127" s="3">
        <f t="shared" si="209"/>
        <v>0.95653466082175498</v>
      </c>
      <c r="AB127" s="3">
        <f t="shared" si="209"/>
        <v>0.93914496879162201</v>
      </c>
      <c r="AC127" s="73">
        <f t="shared" si="209"/>
        <v>0.93914496879162201</v>
      </c>
      <c r="AD127" s="3">
        <f t="shared" si="209"/>
        <v>0.93011371034243306</v>
      </c>
      <c r="AE127" s="3">
        <f t="shared" si="209"/>
        <v>0.92535037597296077</v>
      </c>
      <c r="AF127" s="3">
        <f t="shared" si="209"/>
        <v>0.92130375441893764</v>
      </c>
      <c r="AG127" s="3">
        <f t="shared" si="209"/>
        <v>0.90305345209104759</v>
      </c>
      <c r="AH127" s="73">
        <f t="shared" si="209"/>
        <v>0.90305345209104759</v>
      </c>
      <c r="AI127" s="3">
        <f t="shared" si="209"/>
        <v>0.91143490154409601</v>
      </c>
      <c r="AJ127" s="3">
        <f t="shared" si="209"/>
        <v>0.91773244364125017</v>
      </c>
      <c r="AK127" s="3">
        <f t="shared" si="209"/>
        <v>0.9101814095360411</v>
      </c>
      <c r="AL127" s="3">
        <f t="shared" si="209"/>
        <v>0.91937380038387717</v>
      </c>
      <c r="AM127" s="73">
        <f t="shared" si="209"/>
        <v>0.91937380038387717</v>
      </c>
      <c r="AN127" s="3">
        <f t="shared" si="209"/>
        <v>0.92614907479482445</v>
      </c>
      <c r="AO127" s="3">
        <f t="shared" si="209"/>
        <v>0.91189863157392836</v>
      </c>
      <c r="AP127" s="3">
        <f t="shared" si="209"/>
        <v>0.94398219755094059</v>
      </c>
      <c r="AQ127" s="3">
        <f t="shared" si="209"/>
        <v>1.0205800424073601</v>
      </c>
      <c r="AR127" s="73">
        <f t="shared" si="209"/>
        <v>1.0205800424073601</v>
      </c>
      <c r="AS127" s="3">
        <f t="shared" si="209"/>
        <v>1.0226954346083967</v>
      </c>
      <c r="AT127" s="3">
        <f t="shared" si="209"/>
        <v>1.011577131298709</v>
      </c>
      <c r="AU127" s="3">
        <f t="shared" si="209"/>
        <v>0.99292475787219547</v>
      </c>
      <c r="AV127" s="3">
        <f t="shared" si="209"/>
        <v>0.96773213313075135</v>
      </c>
      <c r="AW127" s="73">
        <f t="shared" si="209"/>
        <v>0.96773213313075135</v>
      </c>
      <c r="AX127" s="3">
        <f t="shared" si="209"/>
        <v>0.95966900338029448</v>
      </c>
      <c r="AY127" s="3">
        <f t="shared" si="209"/>
        <v>1.0102408392255176</v>
      </c>
      <c r="AZ127" s="3">
        <f t="shared" si="209"/>
        <v>1.0128485052065839</v>
      </c>
      <c r="BA127" s="3">
        <f t="shared" si="209"/>
        <v>1.1148807131635672</v>
      </c>
      <c r="BB127" s="73">
        <f t="shared" si="209"/>
        <v>1.1148807131635672</v>
      </c>
      <c r="BC127" s="3">
        <f t="shared" si="209"/>
        <v>1.1373106578443704</v>
      </c>
      <c r="BD127" s="3">
        <f t="shared" si="209"/>
        <v>1.0878248571405214</v>
      </c>
      <c r="BE127" s="3">
        <f t="shared" si="209"/>
        <v>1.0703328955262603</v>
      </c>
      <c r="BF127" s="3">
        <f t="shared" si="209"/>
        <v>1.0631587449016677</v>
      </c>
      <c r="BG127" s="73">
        <f t="shared" si="209"/>
        <v>1.0631587449016677</v>
      </c>
      <c r="BH127" s="3">
        <f t="shared" si="209"/>
        <v>1.0439300328973762</v>
      </c>
      <c r="BI127" s="3">
        <f t="shared" si="209"/>
        <v>1.0314029399618665</v>
      </c>
      <c r="BJ127" s="3">
        <f t="shared" si="209"/>
        <v>1.0154283924189422</v>
      </c>
      <c r="BK127" s="3">
        <f t="shared" si="209"/>
        <v>1.006514058945942</v>
      </c>
      <c r="BL127" s="73">
        <f t="shared" si="209"/>
        <v>1.006514058945942</v>
      </c>
      <c r="BM127" s="3">
        <f t="shared" ref="BM127:CA127" si="210">BM116/BM126</f>
        <v>0.97668742312423129</v>
      </c>
      <c r="BN127" s="3">
        <f t="shared" si="210"/>
        <v>0.94888261970556231</v>
      </c>
      <c r="BO127" s="3">
        <f t="shared" si="210"/>
        <v>0.94083846785279834</v>
      </c>
      <c r="BP127" s="3">
        <f t="shared" si="210"/>
        <v>0.86876942959935732</v>
      </c>
      <c r="BQ127" s="73">
        <f t="shared" si="210"/>
        <v>0.86876942959935732</v>
      </c>
      <c r="BR127" s="3">
        <f t="shared" si="210"/>
        <v>0.85818473730955802</v>
      </c>
      <c r="BS127" s="3">
        <f t="shared" si="210"/>
        <v>0.85430973292398216</v>
      </c>
      <c r="BT127" s="3">
        <f t="shared" si="210"/>
        <v>0.8422621290133534</v>
      </c>
      <c r="BU127" s="3">
        <f t="shared" si="210"/>
        <v>0.86821205735300189</v>
      </c>
      <c r="BV127" s="73">
        <f t="shared" si="210"/>
        <v>0.86821205735300189</v>
      </c>
      <c r="BW127" s="3">
        <f t="shared" si="210"/>
        <v>0.85918480044177314</v>
      </c>
      <c r="BX127" s="3">
        <f t="shared" si="210"/>
        <v>0.84902704745111623</v>
      </c>
      <c r="BY127" s="3">
        <f t="shared" si="210"/>
        <v>0.84386943221780619</v>
      </c>
      <c r="BZ127" s="3">
        <f t="shared" si="210"/>
        <v>0.81454545454545457</v>
      </c>
      <c r="CA127" s="73">
        <f t="shared" si="210"/>
        <v>0.81454545454545457</v>
      </c>
      <c r="CB127" s="3">
        <f t="shared" ref="CB127:CP127" si="211">CB116/CB126</f>
        <v>0.81378801894600661</v>
      </c>
      <c r="CC127" s="3">
        <f t="shared" si="211"/>
        <v>0.81595100458472813</v>
      </c>
      <c r="CD127" s="3">
        <f t="shared" si="211"/>
        <v>0.82015977540614748</v>
      </c>
      <c r="CE127" s="3">
        <f t="shared" si="211"/>
        <v>0.82982960677951934</v>
      </c>
      <c r="CF127" s="73">
        <f t="shared" si="211"/>
        <v>0.82982960677951934</v>
      </c>
      <c r="CG127" s="3">
        <f t="shared" si="211"/>
        <v>0.83112311556088081</v>
      </c>
      <c r="CH127" s="3">
        <f t="shared" si="211"/>
        <v>0.82427599092486326</v>
      </c>
      <c r="CI127" s="3">
        <f t="shared" si="211"/>
        <v>0.82152836441614141</v>
      </c>
      <c r="CJ127" s="3">
        <f t="shared" si="211"/>
        <v>0.82264576212413931</v>
      </c>
      <c r="CK127" s="73">
        <f t="shared" si="211"/>
        <v>0.82264576212413931</v>
      </c>
      <c r="CL127" s="3">
        <f t="shared" si="211"/>
        <v>0.82646541617819458</v>
      </c>
      <c r="CM127" s="3">
        <f t="shared" si="211"/>
        <v>0.81794744380462425</v>
      </c>
      <c r="CN127" s="3">
        <f t="shared" si="211"/>
        <v>0.81338170092704554</v>
      </c>
      <c r="CO127" s="3">
        <f t="shared" si="211"/>
        <v>0.83054490530963165</v>
      </c>
      <c r="CP127" s="73">
        <f t="shared" si="211"/>
        <v>0.83054490530963165</v>
      </c>
      <c r="CQ127" s="3">
        <f t="shared" ref="CQ127:DC127" si="212">CQ116/CQ126</f>
        <v>0.82661555188112978</v>
      </c>
      <c r="CR127" s="3">
        <f t="shared" si="212"/>
        <v>0.81911103880439595</v>
      </c>
      <c r="CS127" s="3">
        <f t="shared" si="212"/>
        <v>0.81772415684123934</v>
      </c>
      <c r="CT127" s="3">
        <f t="shared" si="212"/>
        <v>0.81556954598074816</v>
      </c>
      <c r="CU127" s="73">
        <f t="shared" si="212"/>
        <v>0.81556954598074816</v>
      </c>
      <c r="CV127" s="3">
        <f t="shared" si="212"/>
        <v>0.81391968375610713</v>
      </c>
      <c r="CW127" s="3">
        <f t="shared" si="212"/>
        <v>0.80932436534940055</v>
      </c>
      <c r="CX127" s="3">
        <f t="shared" si="212"/>
        <v>0.80620472712293767</v>
      </c>
      <c r="CY127" s="3">
        <f t="shared" si="212"/>
        <v>0.80372513764726528</v>
      </c>
      <c r="CZ127" s="73">
        <f t="shared" si="212"/>
        <v>0.80372513764726528</v>
      </c>
      <c r="DA127" s="73">
        <f t="shared" si="212"/>
        <v>0.78790299661212559</v>
      </c>
      <c r="DB127" s="73">
        <f t="shared" si="212"/>
        <v>0.771633133130607</v>
      </c>
      <c r="DC127" s="73">
        <f t="shared" si="212"/>
        <v>0.75460298618444033</v>
      </c>
      <c r="DD127" s="2"/>
      <c r="DE127" s="2"/>
      <c r="DF127" s="73">
        <f>CT127</f>
        <v>0.81556954598074816</v>
      </c>
      <c r="DG127" s="73">
        <v>0.81257140211114876</v>
      </c>
      <c r="DH127" s="73">
        <f>CO127</f>
        <v>0.83054490530963165</v>
      </c>
      <c r="DI127" s="450">
        <f>IF(ISERROR(DF127/DG127-1),"NM",DF127/DG127-1)</f>
        <v>3.6896989751422637E-3</v>
      </c>
      <c r="DJ127" s="450">
        <f>IF(ISERROR(DF127/DH127-1),"NM",DF127/DH127-1)</f>
        <v>-1.8030764180415493E-2</v>
      </c>
      <c r="DK127" s="2"/>
      <c r="DL127" s="2"/>
      <c r="DM127" s="2"/>
    </row>
    <row r="128" spans="1:124" ht="12" customHeight="1">
      <c r="A128" s="1109">
        <f t="shared" si="113"/>
        <v>119</v>
      </c>
      <c r="B128" s="10"/>
      <c r="C128" s="2"/>
      <c r="D128" s="2"/>
      <c r="E128" s="66"/>
      <c r="F128" s="66"/>
      <c r="G128" s="66"/>
      <c r="H128" s="66"/>
      <c r="I128" s="66"/>
      <c r="J128" s="2"/>
      <c r="K128" s="2"/>
      <c r="L128" s="2"/>
      <c r="M128" s="2"/>
      <c r="N128" s="66"/>
      <c r="O128" s="2"/>
      <c r="P128" s="2"/>
      <c r="Q128" s="2"/>
      <c r="R128" s="2"/>
      <c r="S128" s="66"/>
      <c r="T128" s="2"/>
      <c r="U128" s="2"/>
      <c r="V128" s="2"/>
      <c r="W128" s="2"/>
      <c r="X128" s="66"/>
      <c r="Y128" s="9"/>
      <c r="Z128" s="9"/>
      <c r="AA128" s="9"/>
      <c r="AB128" s="9"/>
      <c r="AC128" s="66"/>
      <c r="AD128" s="9"/>
      <c r="AE128" s="9"/>
      <c r="AF128" s="9"/>
      <c r="AG128" s="9"/>
      <c r="AH128" s="66"/>
      <c r="AI128" s="9"/>
      <c r="AJ128" s="9"/>
      <c r="AK128" s="9"/>
      <c r="AL128" s="9"/>
      <c r="AM128" s="66"/>
      <c r="AN128" s="9"/>
      <c r="AO128" s="9"/>
      <c r="AP128" s="9"/>
      <c r="AQ128" s="9"/>
      <c r="AR128" s="66"/>
      <c r="AS128" s="9"/>
      <c r="AT128" s="9"/>
      <c r="AU128" s="9"/>
      <c r="AV128" s="9"/>
      <c r="AW128" s="66"/>
      <c r="AX128" s="9"/>
      <c r="AY128" s="9"/>
      <c r="AZ128" s="9"/>
      <c r="BA128" s="9"/>
      <c r="BB128" s="66"/>
      <c r="BC128" s="9"/>
      <c r="BD128" s="9"/>
      <c r="BE128" s="9"/>
      <c r="BF128" s="9"/>
      <c r="BG128" s="66"/>
      <c r="BH128" s="9"/>
      <c r="BI128" s="9"/>
      <c r="BJ128" s="9"/>
      <c r="BK128" s="9"/>
      <c r="BL128" s="66"/>
      <c r="BM128" s="9"/>
      <c r="BN128" s="9"/>
      <c r="BO128" s="9"/>
      <c r="BP128" s="9"/>
      <c r="BQ128" s="66"/>
      <c r="BR128" s="9"/>
      <c r="BS128" s="9"/>
      <c r="BT128" s="9"/>
      <c r="BU128" s="9"/>
      <c r="BV128" s="66"/>
      <c r="BW128" s="253"/>
      <c r="BX128" s="253"/>
      <c r="BY128" s="253"/>
      <c r="BZ128" s="253"/>
      <c r="CA128" s="66"/>
      <c r="CB128" s="253"/>
      <c r="CC128" s="253"/>
      <c r="CD128" s="253"/>
      <c r="CE128" s="253"/>
      <c r="CF128" s="66"/>
      <c r="CG128" s="253"/>
      <c r="CH128" s="253"/>
      <c r="CI128" s="253"/>
      <c r="CJ128" s="253"/>
      <c r="CK128" s="66"/>
      <c r="CL128" s="253"/>
      <c r="CM128" s="253"/>
      <c r="CN128" s="253"/>
      <c r="CO128" s="253"/>
      <c r="CP128" s="66"/>
      <c r="CQ128" s="253"/>
      <c r="CR128" s="9"/>
      <c r="CS128" s="9"/>
      <c r="CT128" s="9"/>
      <c r="CU128" s="62"/>
      <c r="CV128" s="9"/>
      <c r="CW128" s="9"/>
      <c r="CX128" s="9"/>
      <c r="CY128" s="9"/>
      <c r="CZ128" s="62"/>
      <c r="DA128" s="62"/>
      <c r="DB128" s="62"/>
      <c r="DC128" s="62"/>
      <c r="DD128" s="2"/>
      <c r="DE128" s="2"/>
      <c r="DF128" s="66"/>
      <c r="DG128" s="66"/>
      <c r="DH128" s="66"/>
      <c r="DI128" s="450"/>
      <c r="DJ128" s="450"/>
      <c r="DK128" s="2"/>
      <c r="DL128" s="2"/>
      <c r="DM128" s="2"/>
    </row>
    <row r="129" spans="1:117" ht="15" customHeight="1">
      <c r="A129" s="1110">
        <f t="shared" si="113"/>
        <v>120</v>
      </c>
      <c r="B129" s="47" t="s">
        <v>326</v>
      </c>
      <c r="C129" s="47"/>
      <c r="D129" s="47"/>
      <c r="E129" s="58" t="str">
        <f t="shared" ref="E129:AJ129" si="213">E5</f>
        <v>FY 1995</v>
      </c>
      <c r="F129" s="58" t="str">
        <f t="shared" si="213"/>
        <v>FY 1996</v>
      </c>
      <c r="G129" s="58" t="str">
        <f t="shared" si="213"/>
        <v>FY 1997</v>
      </c>
      <c r="H129" s="58" t="str">
        <f t="shared" si="213"/>
        <v>FY 1998</v>
      </c>
      <c r="I129" s="58" t="str">
        <f t="shared" si="213"/>
        <v>FY 1999</v>
      </c>
      <c r="J129" s="48" t="str">
        <f t="shared" si="213"/>
        <v>1Q00</v>
      </c>
      <c r="K129" s="48" t="str">
        <f t="shared" si="213"/>
        <v>2Q00</v>
      </c>
      <c r="L129" s="48" t="str">
        <f t="shared" si="213"/>
        <v>3Q00</v>
      </c>
      <c r="M129" s="48" t="str">
        <f t="shared" si="213"/>
        <v>4Q00</v>
      </c>
      <c r="N129" s="58" t="str">
        <f t="shared" si="213"/>
        <v>FY 2000</v>
      </c>
      <c r="O129" s="48" t="str">
        <f t="shared" si="213"/>
        <v>1Q01</v>
      </c>
      <c r="P129" s="48" t="str">
        <f t="shared" si="213"/>
        <v>2Q01</v>
      </c>
      <c r="Q129" s="48" t="str">
        <f t="shared" si="213"/>
        <v>3Q01</v>
      </c>
      <c r="R129" s="48" t="str">
        <f t="shared" si="213"/>
        <v>4Q01</v>
      </c>
      <c r="S129" s="58" t="str">
        <f t="shared" si="213"/>
        <v>FY 2001</v>
      </c>
      <c r="T129" s="48" t="str">
        <f t="shared" si="213"/>
        <v>1Q02</v>
      </c>
      <c r="U129" s="48" t="str">
        <f t="shared" si="213"/>
        <v>2Q02</v>
      </c>
      <c r="V129" s="48" t="str">
        <f t="shared" si="213"/>
        <v>3Q02</v>
      </c>
      <c r="W129" s="48" t="str">
        <f t="shared" si="213"/>
        <v>4Q02</v>
      </c>
      <c r="X129" s="58" t="str">
        <f t="shared" si="213"/>
        <v>FY 2002</v>
      </c>
      <c r="Y129" s="48" t="str">
        <f t="shared" si="213"/>
        <v>1Q03</v>
      </c>
      <c r="Z129" s="48" t="str">
        <f t="shared" si="213"/>
        <v>2Q03</v>
      </c>
      <c r="AA129" s="48" t="str">
        <f t="shared" si="213"/>
        <v>3Q03</v>
      </c>
      <c r="AB129" s="48" t="str">
        <f t="shared" si="213"/>
        <v>4Q03</v>
      </c>
      <c r="AC129" s="58" t="str">
        <f t="shared" si="213"/>
        <v>FY 2003</v>
      </c>
      <c r="AD129" s="48" t="str">
        <f t="shared" si="213"/>
        <v>1Q04</v>
      </c>
      <c r="AE129" s="48" t="str">
        <f t="shared" si="213"/>
        <v>2Q04</v>
      </c>
      <c r="AF129" s="48" t="str">
        <f t="shared" si="213"/>
        <v>3Q04</v>
      </c>
      <c r="AG129" s="48" t="str">
        <f t="shared" si="213"/>
        <v>4Q04</v>
      </c>
      <c r="AH129" s="58" t="str">
        <f t="shared" si="213"/>
        <v>FY 2004</v>
      </c>
      <c r="AI129" s="48" t="str">
        <f t="shared" si="213"/>
        <v>1Q05</v>
      </c>
      <c r="AJ129" s="48" t="str">
        <f t="shared" si="213"/>
        <v>2Q05</v>
      </c>
      <c r="AK129" s="48" t="str">
        <f t="shared" ref="AK129:BP129" si="214">AK5</f>
        <v>3Q05</v>
      </c>
      <c r="AL129" s="48" t="str">
        <f t="shared" si="214"/>
        <v>4Q05</v>
      </c>
      <c r="AM129" s="58" t="str">
        <f t="shared" si="214"/>
        <v>FY 2005</v>
      </c>
      <c r="AN129" s="48" t="str">
        <f t="shared" si="214"/>
        <v>1Q06</v>
      </c>
      <c r="AO129" s="48" t="str">
        <f t="shared" si="214"/>
        <v>2Q06</v>
      </c>
      <c r="AP129" s="48" t="str">
        <f t="shared" si="214"/>
        <v>3Q06</v>
      </c>
      <c r="AQ129" s="48" t="str">
        <f t="shared" si="214"/>
        <v>4Q06</v>
      </c>
      <c r="AR129" s="58" t="str">
        <f t="shared" si="214"/>
        <v>FY 2006</v>
      </c>
      <c r="AS129" s="48" t="str">
        <f t="shared" si="214"/>
        <v>1Q07</v>
      </c>
      <c r="AT129" s="48" t="str">
        <f t="shared" si="214"/>
        <v>2Q07</v>
      </c>
      <c r="AU129" s="48" t="str">
        <f t="shared" si="214"/>
        <v>3Q07</v>
      </c>
      <c r="AV129" s="48" t="str">
        <f t="shared" si="214"/>
        <v>4Q07</v>
      </c>
      <c r="AW129" s="58" t="str">
        <f t="shared" si="214"/>
        <v>FY 2007</v>
      </c>
      <c r="AX129" s="48" t="str">
        <f t="shared" si="214"/>
        <v>1Q08</v>
      </c>
      <c r="AY129" s="48" t="str">
        <f t="shared" si="214"/>
        <v>2Q08</v>
      </c>
      <c r="AZ129" s="48" t="str">
        <f t="shared" si="214"/>
        <v>3Q08</v>
      </c>
      <c r="BA129" s="48" t="str">
        <f t="shared" si="214"/>
        <v>4Q08</v>
      </c>
      <c r="BB129" s="58" t="str">
        <f t="shared" si="214"/>
        <v>FY 2008</v>
      </c>
      <c r="BC129" s="48" t="str">
        <f t="shared" si="214"/>
        <v>1Q09</v>
      </c>
      <c r="BD129" s="48" t="str">
        <f t="shared" si="214"/>
        <v>2Q09</v>
      </c>
      <c r="BE129" s="48" t="str">
        <f t="shared" si="214"/>
        <v>3Q09</v>
      </c>
      <c r="BF129" s="48" t="str">
        <f t="shared" si="214"/>
        <v>4Q09</v>
      </c>
      <c r="BG129" s="58" t="str">
        <f t="shared" si="214"/>
        <v>FY 2009</v>
      </c>
      <c r="BH129" s="48" t="str">
        <f t="shared" si="214"/>
        <v>1Q10</v>
      </c>
      <c r="BI129" s="48" t="str">
        <f t="shared" si="214"/>
        <v>2Q10</v>
      </c>
      <c r="BJ129" s="48" t="str">
        <f t="shared" si="214"/>
        <v>3Q10</v>
      </c>
      <c r="BK129" s="48" t="str">
        <f t="shared" si="214"/>
        <v>4Q10</v>
      </c>
      <c r="BL129" s="58" t="str">
        <f t="shared" si="214"/>
        <v>FY 2010</v>
      </c>
      <c r="BM129" s="48" t="str">
        <f t="shared" si="214"/>
        <v>1Q11</v>
      </c>
      <c r="BN129" s="48" t="str">
        <f t="shared" si="214"/>
        <v>2Q11</v>
      </c>
      <c r="BO129" s="48" t="str">
        <f t="shared" si="214"/>
        <v>3Q11</v>
      </c>
      <c r="BP129" s="48" t="str">
        <f t="shared" si="214"/>
        <v>4Q11</v>
      </c>
      <c r="BQ129" s="58" t="str">
        <f t="shared" ref="BQ129:CV129" si="215">BQ5</f>
        <v>FY 2011</v>
      </c>
      <c r="BR129" s="48" t="str">
        <f t="shared" si="215"/>
        <v>1Q12</v>
      </c>
      <c r="BS129" s="48" t="str">
        <f t="shared" si="215"/>
        <v>2Q12</v>
      </c>
      <c r="BT129" s="48" t="str">
        <f t="shared" si="215"/>
        <v>3Q12</v>
      </c>
      <c r="BU129" s="48" t="str">
        <f t="shared" si="215"/>
        <v>4Q12</v>
      </c>
      <c r="BV129" s="58" t="str">
        <f t="shared" si="215"/>
        <v>FY 2012</v>
      </c>
      <c r="BW129" s="48" t="str">
        <f t="shared" si="215"/>
        <v>1Q13</v>
      </c>
      <c r="BX129" s="48" t="str">
        <f t="shared" si="215"/>
        <v>2Q13</v>
      </c>
      <c r="BY129" s="48" t="str">
        <f t="shared" si="215"/>
        <v>3Q13</v>
      </c>
      <c r="BZ129" s="48" t="str">
        <f t="shared" si="215"/>
        <v>4Q13</v>
      </c>
      <c r="CA129" s="58" t="str">
        <f t="shared" si="215"/>
        <v>FY 2013</v>
      </c>
      <c r="CB129" s="48" t="str">
        <f t="shared" si="215"/>
        <v>1Q14</v>
      </c>
      <c r="CC129" s="48" t="str">
        <f t="shared" si="215"/>
        <v>2Q14</v>
      </c>
      <c r="CD129" s="48" t="str">
        <f t="shared" si="215"/>
        <v>3Q14</v>
      </c>
      <c r="CE129" s="48" t="str">
        <f t="shared" si="215"/>
        <v>4Q14</v>
      </c>
      <c r="CF129" s="58" t="str">
        <f t="shared" si="215"/>
        <v>FY 2014</v>
      </c>
      <c r="CG129" s="48" t="str">
        <f t="shared" si="215"/>
        <v>1Q15</v>
      </c>
      <c r="CH129" s="48" t="str">
        <f t="shared" si="215"/>
        <v>2Q15</v>
      </c>
      <c r="CI129" s="48" t="str">
        <f t="shared" si="215"/>
        <v>3Q15</v>
      </c>
      <c r="CJ129" s="48" t="str">
        <f t="shared" si="215"/>
        <v>4Q15</v>
      </c>
      <c r="CK129" s="58" t="str">
        <f t="shared" si="215"/>
        <v>FY 2015</v>
      </c>
      <c r="CL129" s="48" t="str">
        <f t="shared" si="215"/>
        <v>1Q16</v>
      </c>
      <c r="CM129" s="48" t="str">
        <f t="shared" si="215"/>
        <v>2Q16</v>
      </c>
      <c r="CN129" s="48" t="str">
        <f t="shared" si="215"/>
        <v>3Q16</v>
      </c>
      <c r="CO129" s="48" t="str">
        <f t="shared" si="215"/>
        <v>4Q16</v>
      </c>
      <c r="CP129" s="58" t="str">
        <f t="shared" si="215"/>
        <v>FY 2016</v>
      </c>
      <c r="CQ129" s="48" t="str">
        <f t="shared" si="215"/>
        <v>1Q17</v>
      </c>
      <c r="CR129" s="48" t="str">
        <f t="shared" si="215"/>
        <v>2Q17</v>
      </c>
      <c r="CS129" s="48" t="str">
        <f t="shared" si="215"/>
        <v>3Q17</v>
      </c>
      <c r="CT129" s="48" t="str">
        <f t="shared" si="215"/>
        <v>4Q17</v>
      </c>
      <c r="CU129" s="58" t="str">
        <f t="shared" si="215"/>
        <v>FY 2017</v>
      </c>
      <c r="CV129" s="48" t="str">
        <f t="shared" si="215"/>
        <v>1Q18E</v>
      </c>
      <c r="CW129" s="48" t="str">
        <f t="shared" ref="CW129:DC129" si="216">CW5</f>
        <v>2Q18E</v>
      </c>
      <c r="CX129" s="48" t="str">
        <f t="shared" si="216"/>
        <v>3Q18E</v>
      </c>
      <c r="CY129" s="48" t="str">
        <f t="shared" si="216"/>
        <v>4Q18E</v>
      </c>
      <c r="CZ129" s="58" t="str">
        <f t="shared" si="216"/>
        <v>FY 2018E</v>
      </c>
      <c r="DA129" s="58" t="str">
        <f t="shared" si="216"/>
        <v>FY 2019E</v>
      </c>
      <c r="DB129" s="58" t="str">
        <f t="shared" si="216"/>
        <v>FY 2020E</v>
      </c>
      <c r="DC129" s="58" t="str">
        <f t="shared" si="216"/>
        <v>FY 2021E</v>
      </c>
      <c r="DD129" s="2"/>
      <c r="DE129" s="2"/>
      <c r="DF129" s="58"/>
      <c r="DG129" s="58"/>
      <c r="DH129" s="58"/>
      <c r="DI129" s="457"/>
      <c r="DJ129" s="457"/>
      <c r="DK129" s="2"/>
      <c r="DL129" s="2"/>
      <c r="DM129" s="2"/>
    </row>
    <row r="130" spans="1:117" ht="12" customHeight="1">
      <c r="A130" s="1109">
        <f t="shared" si="113"/>
        <v>121</v>
      </c>
      <c r="B130" s="10"/>
      <c r="C130" s="6"/>
      <c r="D130" s="6"/>
      <c r="E130" s="60"/>
      <c r="F130" s="60"/>
      <c r="G130" s="60"/>
      <c r="H130" s="60"/>
      <c r="I130" s="60"/>
      <c r="J130" s="21"/>
      <c r="K130" s="21"/>
      <c r="L130" s="21"/>
      <c r="M130" s="21"/>
      <c r="N130" s="60"/>
      <c r="O130" s="21"/>
      <c r="P130" s="21"/>
      <c r="Q130" s="21"/>
      <c r="R130" s="21"/>
      <c r="S130" s="60"/>
      <c r="T130" s="21"/>
      <c r="U130" s="21"/>
      <c r="V130" s="21"/>
      <c r="W130" s="21"/>
      <c r="X130" s="60"/>
      <c r="Y130" s="21"/>
      <c r="Z130" s="21"/>
      <c r="AA130" s="21"/>
      <c r="AB130" s="21"/>
      <c r="AC130" s="60"/>
      <c r="AD130" s="21"/>
      <c r="AE130" s="21"/>
      <c r="AF130" s="21"/>
      <c r="AG130" s="21"/>
      <c r="AH130" s="60"/>
      <c r="AI130" s="21"/>
      <c r="AJ130" s="21"/>
      <c r="AK130" s="21"/>
      <c r="AL130" s="21"/>
      <c r="AM130" s="60"/>
      <c r="AN130" s="21"/>
      <c r="AO130" s="21"/>
      <c r="AP130" s="21"/>
      <c r="AQ130" s="21"/>
      <c r="AR130" s="60"/>
      <c r="AS130" s="21"/>
      <c r="AT130" s="21"/>
      <c r="AU130" s="21"/>
      <c r="AV130" s="21"/>
      <c r="AW130" s="60"/>
      <c r="AX130" s="21"/>
      <c r="AY130" s="21"/>
      <c r="AZ130" s="21"/>
      <c r="BA130" s="21"/>
      <c r="BB130" s="60"/>
      <c r="BC130" s="21"/>
      <c r="BD130" s="21"/>
      <c r="BE130" s="21"/>
      <c r="BF130" s="21"/>
      <c r="BG130" s="60"/>
      <c r="BH130" s="21"/>
      <c r="BI130" s="21"/>
      <c r="BJ130" s="21"/>
      <c r="BK130" s="21"/>
      <c r="BL130" s="60"/>
      <c r="BM130" s="21"/>
      <c r="BN130" s="21"/>
      <c r="BO130" s="21"/>
      <c r="BP130" s="21"/>
      <c r="BQ130" s="60"/>
      <c r="BR130" s="21"/>
      <c r="BS130" s="21"/>
      <c r="BT130" s="21"/>
      <c r="BU130" s="21"/>
      <c r="BV130" s="60"/>
      <c r="BW130" s="165"/>
      <c r="BX130" s="165"/>
      <c r="BY130" s="165"/>
      <c r="BZ130" s="165"/>
      <c r="CA130" s="235"/>
      <c r="CB130" s="165"/>
      <c r="CC130" s="165"/>
      <c r="CD130" s="165"/>
      <c r="CE130" s="165"/>
      <c r="CF130" s="235"/>
      <c r="CG130" s="165"/>
      <c r="CH130" s="165"/>
      <c r="CI130" s="165"/>
      <c r="CJ130" s="165"/>
      <c r="CK130" s="235"/>
      <c r="CL130" s="165"/>
      <c r="CM130" s="165"/>
      <c r="CN130" s="165"/>
      <c r="CO130" s="165"/>
      <c r="CP130" s="235"/>
      <c r="CQ130" s="165"/>
      <c r="CR130" s="21"/>
      <c r="CS130" s="21"/>
      <c r="CT130" s="21"/>
      <c r="CU130" s="62"/>
      <c r="CV130" s="165"/>
      <c r="CW130" s="21"/>
      <c r="CX130" s="21"/>
      <c r="CY130" s="21"/>
      <c r="CZ130" s="62"/>
      <c r="DA130" s="62"/>
      <c r="DB130" s="62"/>
      <c r="DC130" s="62"/>
      <c r="DD130" s="2"/>
      <c r="DE130" s="2"/>
      <c r="DF130" s="235"/>
      <c r="DG130" s="235"/>
      <c r="DH130" s="235"/>
      <c r="DI130" s="454"/>
      <c r="DJ130" s="454"/>
      <c r="DK130" s="2"/>
      <c r="DL130" s="2"/>
      <c r="DM130" s="2"/>
    </row>
    <row r="131" spans="1:117" ht="12" customHeight="1">
      <c r="A131" s="1109">
        <f t="shared" si="113"/>
        <v>122</v>
      </c>
      <c r="B131" s="10"/>
      <c r="C131" s="24" t="s">
        <v>187</v>
      </c>
      <c r="D131" s="30"/>
      <c r="E131" s="74"/>
      <c r="F131" s="74"/>
      <c r="G131" s="74"/>
      <c r="H131" s="74"/>
      <c r="I131" s="74"/>
      <c r="J131" s="15"/>
      <c r="K131" s="15"/>
      <c r="L131" s="15"/>
      <c r="M131" s="15"/>
      <c r="N131" s="74"/>
      <c r="O131" s="15"/>
      <c r="P131" s="15"/>
      <c r="Q131" s="15"/>
      <c r="R131" s="15"/>
      <c r="S131" s="74"/>
      <c r="T131" s="15"/>
      <c r="U131" s="15"/>
      <c r="V131" s="15"/>
      <c r="W131" s="15"/>
      <c r="X131" s="74"/>
      <c r="Y131" s="15"/>
      <c r="Z131" s="15"/>
      <c r="AA131" s="15"/>
      <c r="AB131" s="15"/>
      <c r="AC131" s="74"/>
      <c r="AD131" s="15"/>
      <c r="AE131" s="15"/>
      <c r="AF131" s="15"/>
      <c r="AG131" s="15"/>
      <c r="AH131" s="74"/>
      <c r="AI131" s="15"/>
      <c r="AJ131" s="15"/>
      <c r="AK131" s="15"/>
      <c r="AL131" s="15"/>
      <c r="AM131" s="74"/>
      <c r="AN131" s="15"/>
      <c r="AO131" s="15"/>
      <c r="AP131" s="15"/>
      <c r="AQ131" s="15"/>
      <c r="AR131" s="74"/>
      <c r="AS131" s="15"/>
      <c r="AT131" s="15"/>
      <c r="AU131" s="15"/>
      <c r="AV131" s="15"/>
      <c r="AW131" s="74"/>
      <c r="AX131" s="15"/>
      <c r="AY131" s="15"/>
      <c r="AZ131" s="15"/>
      <c r="BA131" s="15"/>
      <c r="BB131" s="74"/>
      <c r="BC131" s="15"/>
      <c r="BD131" s="15"/>
      <c r="BE131" s="15"/>
      <c r="BF131" s="15"/>
      <c r="BG131" s="74"/>
      <c r="BH131" s="15"/>
      <c r="BI131" s="15"/>
      <c r="BJ131" s="15"/>
      <c r="BK131" s="15"/>
      <c r="BL131" s="74"/>
      <c r="BM131" s="15"/>
      <c r="BN131" s="15"/>
      <c r="BO131" s="15"/>
      <c r="BP131" s="15"/>
      <c r="BQ131" s="74"/>
      <c r="BR131" s="15"/>
      <c r="BS131" s="15"/>
      <c r="BT131" s="15"/>
      <c r="BU131" s="15"/>
      <c r="BV131" s="74"/>
      <c r="BW131" s="148"/>
      <c r="BX131" s="148"/>
      <c r="BY131" s="148"/>
      <c r="BZ131" s="148"/>
      <c r="CA131" s="259"/>
      <c r="CB131" s="148"/>
      <c r="CC131" s="148"/>
      <c r="CD131" s="148"/>
      <c r="CE131" s="148"/>
      <c r="CF131" s="259"/>
      <c r="CG131" s="148"/>
      <c r="CH131" s="148"/>
      <c r="CI131" s="148"/>
      <c r="CJ131" s="148"/>
      <c r="CK131" s="259"/>
      <c r="CL131" s="148"/>
      <c r="CM131" s="148"/>
      <c r="CN131" s="148"/>
      <c r="CO131" s="148"/>
      <c r="CP131" s="259"/>
      <c r="CQ131" s="148"/>
      <c r="CR131" s="15"/>
      <c r="CS131" s="15"/>
      <c r="CT131" s="15"/>
      <c r="CU131" s="90"/>
      <c r="CV131" s="148"/>
      <c r="CW131" s="15"/>
      <c r="CX131" s="15"/>
      <c r="CY131" s="15"/>
      <c r="CZ131" s="90"/>
      <c r="DA131" s="90"/>
      <c r="DB131" s="90"/>
      <c r="DC131" s="90"/>
      <c r="DD131" s="31"/>
      <c r="DE131" s="31"/>
      <c r="DF131" s="259"/>
      <c r="DG131" s="259"/>
      <c r="DH131" s="259"/>
      <c r="DI131" s="454"/>
      <c r="DJ131" s="454"/>
      <c r="DK131" s="31"/>
      <c r="DL131" s="31"/>
      <c r="DM131" s="31"/>
    </row>
    <row r="132" spans="1:117" ht="12" customHeight="1">
      <c r="A132" s="1109">
        <f t="shared" si="113"/>
        <v>123</v>
      </c>
      <c r="B132" s="10"/>
      <c r="C132" s="1" t="s">
        <v>783</v>
      </c>
      <c r="D132" s="30"/>
      <c r="E132" s="235">
        <f t="shared" ref="E132:AJ132" si="217">E51-E44</f>
        <v>4026</v>
      </c>
      <c r="F132" s="235">
        <f t="shared" si="217"/>
        <v>4562</v>
      </c>
      <c r="G132" s="235">
        <f t="shared" si="217"/>
        <v>7144</v>
      </c>
      <c r="H132" s="235">
        <f t="shared" si="217"/>
        <v>22113</v>
      </c>
      <c r="I132" s="235">
        <f t="shared" si="217"/>
        <v>7326</v>
      </c>
      <c r="J132" s="165">
        <f t="shared" si="217"/>
        <v>2104</v>
      </c>
      <c r="K132" s="165">
        <f t="shared" si="217"/>
        <v>-553</v>
      </c>
      <c r="L132" s="165">
        <f t="shared" si="217"/>
        <v>931</v>
      </c>
      <c r="M132" s="165">
        <f t="shared" si="217"/>
        <v>1089</v>
      </c>
      <c r="N132" s="235">
        <f t="shared" si="217"/>
        <v>3571</v>
      </c>
      <c r="O132" s="165">
        <f t="shared" si="217"/>
        <v>1058</v>
      </c>
      <c r="P132" s="165">
        <f t="shared" si="217"/>
        <v>-735</v>
      </c>
      <c r="Q132" s="165">
        <f t="shared" si="217"/>
        <v>-687</v>
      </c>
      <c r="R132" s="165">
        <f t="shared" si="217"/>
        <v>-5080</v>
      </c>
      <c r="S132" s="235">
        <f t="shared" si="217"/>
        <v>-5444</v>
      </c>
      <c r="T132" s="165">
        <f t="shared" si="217"/>
        <v>-1025</v>
      </c>
      <c r="U132" s="165">
        <f t="shared" si="217"/>
        <v>662</v>
      </c>
      <c r="V132" s="165">
        <f t="shared" si="217"/>
        <v>-213</v>
      </c>
      <c r="W132" s="165">
        <f t="shared" si="217"/>
        <v>-52</v>
      </c>
      <c r="X132" s="235">
        <f t="shared" si="217"/>
        <v>-628</v>
      </c>
      <c r="Y132" s="165">
        <f t="shared" si="217"/>
        <v>998</v>
      </c>
      <c r="Z132" s="165">
        <f t="shared" si="217"/>
        <v>515</v>
      </c>
      <c r="AA132" s="165">
        <f t="shared" si="217"/>
        <v>20</v>
      </c>
      <c r="AB132" s="165">
        <f t="shared" si="217"/>
        <v>-724</v>
      </c>
      <c r="AC132" s="235">
        <f t="shared" si="217"/>
        <v>809</v>
      </c>
      <c r="AD132" s="165">
        <f t="shared" si="217"/>
        <v>2037</v>
      </c>
      <c r="AE132" s="165">
        <f t="shared" si="217"/>
        <v>1237</v>
      </c>
      <c r="AF132" s="165">
        <f t="shared" si="217"/>
        <v>328</v>
      </c>
      <c r="AG132" s="165">
        <f t="shared" si="217"/>
        <v>-282</v>
      </c>
      <c r="AH132" s="235">
        <f t="shared" si="217"/>
        <v>3320</v>
      </c>
      <c r="AI132" s="165">
        <f t="shared" si="217"/>
        <v>1270</v>
      </c>
      <c r="AJ132" s="165">
        <f t="shared" si="217"/>
        <v>1299</v>
      </c>
      <c r="AK132" s="165">
        <f t="shared" ref="AK132:BP132" si="218">AK51-AK44</f>
        <v>-522</v>
      </c>
      <c r="AL132" s="165">
        <f t="shared" si="218"/>
        <v>-327</v>
      </c>
      <c r="AM132" s="235">
        <f t="shared" si="218"/>
        <v>1720</v>
      </c>
      <c r="AN132" s="165">
        <f t="shared" si="218"/>
        <v>-1364</v>
      </c>
      <c r="AO132" s="165">
        <f t="shared" si="218"/>
        <v>-298</v>
      </c>
      <c r="AP132" s="165">
        <f t="shared" si="218"/>
        <v>-5200</v>
      </c>
      <c r="AQ132" s="165">
        <f t="shared" si="218"/>
        <v>-5541</v>
      </c>
      <c r="AR132" s="235">
        <f t="shared" si="218"/>
        <v>-12403</v>
      </c>
      <c r="AS132" s="165">
        <f t="shared" si="218"/>
        <v>-224</v>
      </c>
      <c r="AT132" s="165">
        <f t="shared" si="218"/>
        <v>835</v>
      </c>
      <c r="AU132" s="165">
        <f t="shared" si="218"/>
        <v>-318</v>
      </c>
      <c r="AV132" s="165">
        <f t="shared" si="218"/>
        <v>-2704</v>
      </c>
      <c r="AW132" s="235">
        <f t="shared" si="218"/>
        <v>-2411</v>
      </c>
      <c r="AX132" s="165">
        <f t="shared" si="218"/>
        <v>192</v>
      </c>
      <c r="AY132" s="165">
        <f t="shared" si="218"/>
        <v>-8608</v>
      </c>
      <c r="AZ132" s="165">
        <f t="shared" si="218"/>
        <v>-110</v>
      </c>
      <c r="BA132" s="165">
        <f t="shared" si="218"/>
        <v>-6026</v>
      </c>
      <c r="BB132" s="235">
        <f t="shared" si="218"/>
        <v>-14552</v>
      </c>
      <c r="BC132" s="165">
        <f t="shared" si="218"/>
        <v>-1435</v>
      </c>
      <c r="BD132" s="165">
        <f t="shared" si="218"/>
        <v>2261</v>
      </c>
      <c r="BE132" s="165">
        <f t="shared" si="218"/>
        <v>1013</v>
      </c>
      <c r="BF132" s="165">
        <f t="shared" si="218"/>
        <v>878</v>
      </c>
      <c r="BG132" s="235">
        <f t="shared" si="218"/>
        <v>2717</v>
      </c>
      <c r="BH132" s="165">
        <f t="shared" si="218"/>
        <v>2085</v>
      </c>
      <c r="BI132" s="165">
        <f t="shared" si="218"/>
        <v>2596</v>
      </c>
      <c r="BJ132" s="165">
        <f t="shared" si="218"/>
        <v>1688</v>
      </c>
      <c r="BK132" s="165">
        <f t="shared" si="218"/>
        <v>188</v>
      </c>
      <c r="BL132" s="235">
        <f t="shared" si="218"/>
        <v>6557</v>
      </c>
      <c r="BM132" s="165">
        <f t="shared" si="218"/>
        <v>2227</v>
      </c>
      <c r="BN132" s="165">
        <f t="shared" si="218"/>
        <v>2011</v>
      </c>
      <c r="BO132" s="165">
        <f t="shared" si="218"/>
        <v>1270</v>
      </c>
      <c r="BP132" s="165">
        <f t="shared" si="218"/>
        <v>13330</v>
      </c>
      <c r="BQ132" s="235">
        <f t="shared" ref="BQ132:CO132" si="219">BQ51-BQ44</f>
        <v>18838</v>
      </c>
      <c r="BR132" s="165">
        <f t="shared" si="219"/>
        <v>992</v>
      </c>
      <c r="BS132" s="165">
        <f t="shared" si="219"/>
        <v>656</v>
      </c>
      <c r="BT132" s="165">
        <f t="shared" si="219"/>
        <v>1092</v>
      </c>
      <c r="BU132" s="165">
        <f t="shared" si="219"/>
        <v>928</v>
      </c>
      <c r="BV132" s="235">
        <f t="shared" si="219"/>
        <v>3668</v>
      </c>
      <c r="BW132" s="165">
        <f t="shared" si="219"/>
        <v>1042</v>
      </c>
      <c r="BX132" s="165">
        <f t="shared" si="219"/>
        <v>646</v>
      </c>
      <c r="BY132" s="165">
        <f t="shared" si="219"/>
        <v>577</v>
      </c>
      <c r="BZ132" s="165">
        <f t="shared" si="219"/>
        <v>2401</v>
      </c>
      <c r="CA132" s="235">
        <f t="shared" si="219"/>
        <v>4666</v>
      </c>
      <c r="CB132" s="165">
        <f t="shared" si="219"/>
        <v>288</v>
      </c>
      <c r="CC132" s="165">
        <f t="shared" si="219"/>
        <v>562</v>
      </c>
      <c r="CD132" s="165">
        <f t="shared" si="219"/>
        <v>100</v>
      </c>
      <c r="CE132" s="165">
        <f t="shared" si="219"/>
        <v>-2674</v>
      </c>
      <c r="CF132" s="235">
        <f t="shared" si="219"/>
        <v>-1724</v>
      </c>
      <c r="CG132" s="165">
        <f t="shared" si="219"/>
        <v>453</v>
      </c>
      <c r="CH132" s="165">
        <f t="shared" si="219"/>
        <v>1333</v>
      </c>
      <c r="CI132" s="165">
        <f t="shared" si="219"/>
        <v>1501</v>
      </c>
      <c r="CJ132" s="165">
        <f t="shared" si="219"/>
        <v>856</v>
      </c>
      <c r="CK132" s="235">
        <f t="shared" si="219"/>
        <v>5245.1087595212175</v>
      </c>
      <c r="CL132" s="165">
        <f t="shared" si="219"/>
        <v>2455</v>
      </c>
      <c r="CM132" s="165">
        <f t="shared" si="219"/>
        <v>1972</v>
      </c>
      <c r="CN132" s="165">
        <f t="shared" si="219"/>
        <v>961</v>
      </c>
      <c r="CO132" s="165">
        <f t="shared" si="219"/>
        <v>-781</v>
      </c>
      <c r="CP132" s="235">
        <f>SUM(CL132:CO132)</f>
        <v>4607</v>
      </c>
      <c r="CQ132" s="165">
        <f>CQ51-CQ44</f>
        <v>1594</v>
      </c>
      <c r="CR132" s="165">
        <f>CR51-CR44</f>
        <v>2050</v>
      </c>
      <c r="CS132" s="165">
        <f>CS51-CS44</f>
        <v>1571</v>
      </c>
      <c r="CT132" s="165">
        <f>CT51-CT44</f>
        <v>2413</v>
      </c>
      <c r="CU132" s="235">
        <f>SUM(CQ132:CT132)</f>
        <v>7628</v>
      </c>
      <c r="CV132" s="165">
        <f>CV51-CV44</f>
        <v>1498.4288749999996</v>
      </c>
      <c r="CW132" s="165">
        <f>CW51-CW44</f>
        <v>1773.6163750000001</v>
      </c>
      <c r="CX132" s="165">
        <f>CX51-CX44</f>
        <v>1334.9738749999999</v>
      </c>
      <c r="CY132" s="165">
        <f>CY51-CY44</f>
        <v>1187.7113749999999</v>
      </c>
      <c r="CZ132" s="235">
        <f>SUM(CV132:CY132)</f>
        <v>5794.7304999999997</v>
      </c>
      <c r="DA132" s="235">
        <f>DA51-DA44</f>
        <v>5049.5062377385293</v>
      </c>
      <c r="DB132" s="235">
        <f>DB51-DB44</f>
        <v>5323.4508196293145</v>
      </c>
      <c r="DC132" s="235">
        <f>DC51-DC44</f>
        <v>5707.1076121394872</v>
      </c>
      <c r="DD132" s="31"/>
      <c r="DE132" s="31"/>
      <c r="DF132" s="235">
        <f t="shared" ref="DF132:DF141" si="220">CT132</f>
        <v>2413</v>
      </c>
      <c r="DG132" s="235">
        <v>1753.6330356074541</v>
      </c>
      <c r="DH132" s="235">
        <f t="shared" ref="DH132:DH141" si="221">CO132</f>
        <v>-781</v>
      </c>
      <c r="DI132" s="454">
        <f t="shared" ref="DI132:DI141" si="222">IF(ISERROR(DF132/DG132-1),"NM",DF132/DG132-1)</f>
        <v>0.37600053774314479</v>
      </c>
      <c r="DJ132" s="454">
        <f t="shared" ref="DJ132:DJ141" si="223">IF(ISERROR(DF132/DH132-1),"NM",DF132/DH132-1)</f>
        <v>-4.0896286811779774</v>
      </c>
      <c r="DK132" s="31"/>
      <c r="DL132" s="31"/>
      <c r="DM132" s="31"/>
    </row>
    <row r="133" spans="1:117" ht="12" customHeight="1">
      <c r="A133" s="1109">
        <f t="shared" si="113"/>
        <v>124</v>
      </c>
      <c r="B133" s="10"/>
      <c r="C133" s="1" t="s">
        <v>825</v>
      </c>
      <c r="E133" s="319">
        <f>5219+6500</f>
        <v>11719</v>
      </c>
      <c r="F133" s="319">
        <f>5916+6875</f>
        <v>12791</v>
      </c>
      <c r="G133" s="319">
        <f>5938+7645</f>
        <v>13583</v>
      </c>
      <c r="H133" s="319">
        <f>5844+8624</f>
        <v>14468</v>
      </c>
      <c r="I133" s="319">
        <f>5244+9298</f>
        <v>14542</v>
      </c>
      <c r="J133" s="117">
        <f>(5092+9408)/4</f>
        <v>3625</v>
      </c>
      <c r="K133" s="117">
        <f>(5092+9408)/4</f>
        <v>3625</v>
      </c>
      <c r="L133" s="117">
        <f>(5092+9408)/4</f>
        <v>3625</v>
      </c>
      <c r="M133" s="117">
        <f>(5092+9408)/4</f>
        <v>3625</v>
      </c>
      <c r="N133" s="60">
        <f>SUM(J133:M133)</f>
        <v>14500</v>
      </c>
      <c r="O133" s="117">
        <f>(4999+10164)/4</f>
        <v>3790.75</v>
      </c>
      <c r="P133" s="117">
        <f>(4999+10164)/4</f>
        <v>3790.75</v>
      </c>
      <c r="Q133" s="117">
        <f>(4999+10164)/4</f>
        <v>3790.75</v>
      </c>
      <c r="R133" s="117">
        <f>(4999+10164)/4</f>
        <v>3790.75</v>
      </c>
      <c r="S133" s="60">
        <f>SUM(O133:R133)</f>
        <v>15163</v>
      </c>
      <c r="T133" s="117">
        <f>(4896+10181)/4</f>
        <v>3769.25</v>
      </c>
      <c r="U133" s="117">
        <f>(4896+10181)/4</f>
        <v>3769.25</v>
      </c>
      <c r="V133" s="117">
        <f>(4896+10181)/4</f>
        <v>3769.25</v>
      </c>
      <c r="W133" s="117">
        <f>(4896+10181)/4</f>
        <v>3769.25</v>
      </c>
      <c r="X133" s="60">
        <f>SUM(T133:W133)</f>
        <v>15077</v>
      </c>
      <c r="Y133" s="117">
        <f>(5460+8771)/4</f>
        <v>3557.75</v>
      </c>
      <c r="Z133" s="117">
        <f>(5460+8771)/4</f>
        <v>3557.75</v>
      </c>
      <c r="AA133" s="117">
        <f>(5460+8771)/4</f>
        <v>3557.75</v>
      </c>
      <c r="AB133" s="117">
        <f>(5460+8771)/4</f>
        <v>3557.75</v>
      </c>
      <c r="AC133" s="60">
        <f>SUM(Y133:AB133)</f>
        <v>14231</v>
      </c>
      <c r="AD133" s="117">
        <f>(6420+6618)/4</f>
        <v>3259.5</v>
      </c>
      <c r="AE133" s="117">
        <f>(6420+6618)/4</f>
        <v>3259.5</v>
      </c>
      <c r="AF133" s="117">
        <f>(6420+6618)/4</f>
        <v>3259.5</v>
      </c>
      <c r="AG133" s="117">
        <f>(6420+6618)/4</f>
        <v>3259.5</v>
      </c>
      <c r="AH133" s="60">
        <f>SUM(AD133:AG133)</f>
        <v>13038</v>
      </c>
      <c r="AI133" s="117">
        <f>14011/4</f>
        <v>3502.75</v>
      </c>
      <c r="AJ133" s="117">
        <f>14011/4</f>
        <v>3502.75</v>
      </c>
      <c r="AK133" s="117">
        <f>14011/4</f>
        <v>3502.75</v>
      </c>
      <c r="AL133" s="117">
        <f>14011/4</f>
        <v>3502.75</v>
      </c>
      <c r="AM133" s="60">
        <f>SUM(AI133:AL133)</f>
        <v>14011</v>
      </c>
      <c r="AN133" s="117">
        <f>16453/4</f>
        <v>4113.25</v>
      </c>
      <c r="AO133" s="117">
        <f>16453/4</f>
        <v>4113.25</v>
      </c>
      <c r="AP133" s="117">
        <f>16453/4</f>
        <v>4113.25</v>
      </c>
      <c r="AQ133" s="117">
        <f>16453/4</f>
        <v>4113.25</v>
      </c>
      <c r="AR133" s="60">
        <f>SUM(AN133:AQ133)</f>
        <v>16453</v>
      </c>
      <c r="AS133" s="117">
        <f>13052/4</f>
        <v>3263</v>
      </c>
      <c r="AT133" s="117">
        <f>13052/4</f>
        <v>3263</v>
      </c>
      <c r="AU133" s="117">
        <f>13052/4</f>
        <v>3263</v>
      </c>
      <c r="AV133" s="117">
        <f>13052/4</f>
        <v>3263</v>
      </c>
      <c r="AW133" s="60">
        <f>SUM(AS133:AV133)</f>
        <v>13052</v>
      </c>
      <c r="AX133" s="117">
        <f>12826/4</f>
        <v>3206.5</v>
      </c>
      <c r="AY133" s="117">
        <f>12826/4</f>
        <v>3206.5</v>
      </c>
      <c r="AZ133" s="117">
        <f>12826/4</f>
        <v>3206.5</v>
      </c>
      <c r="BA133" s="117">
        <f>12826/4</f>
        <v>3206.5</v>
      </c>
      <c r="BB133" s="60">
        <f>SUM(AX133:BA133)</f>
        <v>12826</v>
      </c>
      <c r="BC133" s="117">
        <f>7667/4</f>
        <v>1916.75</v>
      </c>
      <c r="BD133" s="117">
        <f>7667/4</f>
        <v>1916.75</v>
      </c>
      <c r="BE133" s="117">
        <f>7667/4</f>
        <v>1916.75</v>
      </c>
      <c r="BF133" s="117">
        <f>7667/4</f>
        <v>1916.75</v>
      </c>
      <c r="BG133" s="60">
        <f>SUM(BC133:BF133)</f>
        <v>7667</v>
      </c>
      <c r="BH133" s="117">
        <f>5900/4</f>
        <v>1475</v>
      </c>
      <c r="BI133" s="117">
        <f>5900/4</f>
        <v>1475</v>
      </c>
      <c r="BJ133" s="117">
        <f>5900/4</f>
        <v>1475</v>
      </c>
      <c r="BK133" s="117">
        <f>5900/4</f>
        <v>1475</v>
      </c>
      <c r="BL133" s="60">
        <f>SUM(BH133:BK133)</f>
        <v>5900</v>
      </c>
      <c r="BM133" s="117">
        <f>5376/4</f>
        <v>1344</v>
      </c>
      <c r="BN133" s="117">
        <f>5376/4</f>
        <v>1344</v>
      </c>
      <c r="BO133" s="117">
        <f>5376/4</f>
        <v>1344</v>
      </c>
      <c r="BP133" s="117">
        <f>5376/4</f>
        <v>1344</v>
      </c>
      <c r="BQ133" s="60">
        <f>SUM(BM133:BP133)</f>
        <v>5376</v>
      </c>
      <c r="BR133" s="117">
        <f>5486/4</f>
        <v>1371.5</v>
      </c>
      <c r="BS133" s="117">
        <f>5486/4</f>
        <v>1371.5</v>
      </c>
      <c r="BT133" s="117">
        <f>5486/4</f>
        <v>1371.5</v>
      </c>
      <c r="BU133" s="117">
        <f>5486/4</f>
        <v>1371.5</v>
      </c>
      <c r="BV133" s="60">
        <f>SUM(BR133:BU133)</f>
        <v>5486</v>
      </c>
      <c r="BW133" s="161">
        <f>6504/4</f>
        <v>1626</v>
      </c>
      <c r="BX133" s="161">
        <f>6504/4</f>
        <v>1626</v>
      </c>
      <c r="BY133" s="161">
        <f>6504/4</f>
        <v>1626</v>
      </c>
      <c r="BZ133" s="161">
        <f>6504/4</f>
        <v>1626</v>
      </c>
      <c r="CA133" s="235">
        <f>SUM(BW133:BZ133)</f>
        <v>6504</v>
      </c>
      <c r="CB133" s="161">
        <f>7385/4</f>
        <v>1846.25</v>
      </c>
      <c r="CC133" s="161">
        <f>7385/4</f>
        <v>1846.25</v>
      </c>
      <c r="CD133" s="161">
        <f>7385/4</f>
        <v>1846.25</v>
      </c>
      <c r="CE133" s="161">
        <f>7385/4</f>
        <v>1846.25</v>
      </c>
      <c r="CF133" s="235">
        <f>SUM(CB133:CE133)</f>
        <v>7385</v>
      </c>
      <c r="CG133" s="161">
        <f>7993/4</f>
        <v>1998.25</v>
      </c>
      <c r="CH133" s="161">
        <f>7993/4</f>
        <v>1998.25</v>
      </c>
      <c r="CI133" s="154">
        <f>7993/4</f>
        <v>1998.25</v>
      </c>
      <c r="CJ133" s="161">
        <f>7993/4</f>
        <v>1998.25</v>
      </c>
      <c r="CK133" s="235">
        <f>SUM(CG133:CJ133)</f>
        <v>7993</v>
      </c>
      <c r="CL133" s="161">
        <f>9023/4</f>
        <v>2255.75</v>
      </c>
      <c r="CM133" s="161">
        <f>9023/4</f>
        <v>2255.75</v>
      </c>
      <c r="CN133" s="161">
        <f>9023/4</f>
        <v>2255.75</v>
      </c>
      <c r="CO133" s="161">
        <f>9023/4</f>
        <v>2255.75</v>
      </c>
      <c r="CP133" s="235">
        <f>SUM(CL133:CO133)</f>
        <v>9023</v>
      </c>
      <c r="CQ133" s="1086">
        <v>1200</v>
      </c>
      <c r="CR133" s="1086">
        <v>1200</v>
      </c>
      <c r="CS133" s="1086">
        <v>1300</v>
      </c>
      <c r="CT133" s="161">
        <v>1300</v>
      </c>
      <c r="CU133" s="235">
        <f>SUM(CQ133:CT133)</f>
        <v>5000</v>
      </c>
      <c r="CV133" s="49">
        <f>CV207*CV12</f>
        <v>1465.7672</v>
      </c>
      <c r="CW133" s="49">
        <f>CW207*CW12</f>
        <v>1490.5428000000004</v>
      </c>
      <c r="CX133" s="49">
        <f>CX207*CX12</f>
        <v>1360.3312000000001</v>
      </c>
      <c r="CY133" s="49">
        <f>CY207*CY12</f>
        <v>1559.8544000000002</v>
      </c>
      <c r="CZ133" s="235">
        <f>SUM(CV133:CY133)</f>
        <v>5876.4956000000002</v>
      </c>
      <c r="DA133" s="87">
        <f>DA207*DA12</f>
        <v>6203.3318036970013</v>
      </c>
      <c r="DB133" s="87">
        <f>DB207*DB12</f>
        <v>6544.4352469215855</v>
      </c>
      <c r="DC133" s="87">
        <f>DC207*DC12</f>
        <v>6880.2882917948564</v>
      </c>
      <c r="DD133" s="16"/>
      <c r="DE133" s="2"/>
      <c r="DF133" s="235">
        <f t="shared" si="220"/>
        <v>1300</v>
      </c>
      <c r="DG133" s="235">
        <v>2499.4239562500002</v>
      </c>
      <c r="DH133" s="235">
        <f t="shared" si="221"/>
        <v>2255.75</v>
      </c>
      <c r="DI133" s="454">
        <f t="shared" si="222"/>
        <v>-0.47988015528568062</v>
      </c>
      <c r="DJ133" s="454">
        <f t="shared" si="223"/>
        <v>-0.42369500166241825</v>
      </c>
      <c r="DK133" s="2"/>
      <c r="DL133" s="2"/>
      <c r="DM133" s="2"/>
    </row>
    <row r="134" spans="1:117" ht="12" customHeight="1">
      <c r="A134" s="1109">
        <f t="shared" si="113"/>
        <v>125</v>
      </c>
      <c r="B134" s="10"/>
      <c r="C134" s="1" t="s">
        <v>831</v>
      </c>
      <c r="D134" s="30"/>
      <c r="E134" s="235">
        <f>SUM(E135:E139)</f>
        <v>3087</v>
      </c>
      <c r="F134" s="235">
        <f t="shared" ref="F134:BQ134" si="224">SUM(F135:F139)</f>
        <v>-8740</v>
      </c>
      <c r="G134" s="235">
        <f t="shared" si="224"/>
        <v>-6953</v>
      </c>
      <c r="H134" s="235">
        <f t="shared" si="224"/>
        <v>83774</v>
      </c>
      <c r="I134" s="235">
        <f t="shared" si="224"/>
        <v>-16860</v>
      </c>
      <c r="J134" s="165">
        <f t="shared" si="224"/>
        <v>-3823</v>
      </c>
      <c r="K134" s="165">
        <f t="shared" si="224"/>
        <v>-6384</v>
      </c>
      <c r="L134" s="165">
        <f t="shared" si="224"/>
        <v>-632</v>
      </c>
      <c r="M134" s="165">
        <f t="shared" si="224"/>
        <v>2175</v>
      </c>
      <c r="N134" s="235">
        <f t="shared" si="224"/>
        <v>-8664</v>
      </c>
      <c r="O134" s="165">
        <f t="shared" si="224"/>
        <v>-3598</v>
      </c>
      <c r="P134" s="165">
        <f t="shared" si="224"/>
        <v>-103</v>
      </c>
      <c r="Q134" s="165">
        <f t="shared" si="224"/>
        <v>18682</v>
      </c>
      <c r="R134" s="165">
        <f t="shared" si="224"/>
        <v>6196</v>
      </c>
      <c r="S134" s="235">
        <f t="shared" si="224"/>
        <v>21177</v>
      </c>
      <c r="T134" s="165">
        <f t="shared" si="224"/>
        <v>-4529</v>
      </c>
      <c r="U134" s="165">
        <f t="shared" si="224"/>
        <v>-5421</v>
      </c>
      <c r="V134" s="165">
        <f t="shared" si="224"/>
        <v>6564</v>
      </c>
      <c r="W134" s="165">
        <f t="shared" si="224"/>
        <v>21777</v>
      </c>
      <c r="X134" s="235">
        <f t="shared" si="224"/>
        <v>18391</v>
      </c>
      <c r="Y134" s="165">
        <f t="shared" si="224"/>
        <v>1306</v>
      </c>
      <c r="Z134" s="165">
        <f t="shared" si="224"/>
        <v>-18554</v>
      </c>
      <c r="AA134" s="165">
        <f t="shared" si="224"/>
        <v>242</v>
      </c>
      <c r="AB134" s="165">
        <f t="shared" si="224"/>
        <v>7216</v>
      </c>
      <c r="AC134" s="235">
        <f t="shared" si="224"/>
        <v>-9790</v>
      </c>
      <c r="AD134" s="165">
        <f t="shared" si="224"/>
        <v>-6693</v>
      </c>
      <c r="AE134" s="165">
        <f t="shared" si="224"/>
        <v>5528</v>
      </c>
      <c r="AF134" s="165">
        <f t="shared" si="224"/>
        <v>-4481</v>
      </c>
      <c r="AG134" s="165">
        <f t="shared" si="224"/>
        <v>-1453</v>
      </c>
      <c r="AH134" s="235">
        <f t="shared" si="224"/>
        <v>-7099</v>
      </c>
      <c r="AI134" s="165">
        <f t="shared" si="224"/>
        <v>3430</v>
      </c>
      <c r="AJ134" s="165">
        <f t="shared" si="224"/>
        <v>5342</v>
      </c>
      <c r="AK134" s="165">
        <f t="shared" si="224"/>
        <v>6739</v>
      </c>
      <c r="AL134" s="165">
        <f t="shared" si="224"/>
        <v>-14192</v>
      </c>
      <c r="AM134" s="235">
        <f t="shared" si="224"/>
        <v>1319</v>
      </c>
      <c r="AN134" s="165">
        <f t="shared" si="224"/>
        <v>-2348</v>
      </c>
      <c r="AO134" s="165">
        <f t="shared" si="224"/>
        <v>-2249</v>
      </c>
      <c r="AP134" s="165">
        <f t="shared" si="224"/>
        <v>1662</v>
      </c>
      <c r="AQ134" s="165">
        <f t="shared" si="224"/>
        <v>7665</v>
      </c>
      <c r="AR134" s="235">
        <f t="shared" si="224"/>
        <v>4730</v>
      </c>
      <c r="AS134" s="165">
        <f t="shared" si="224"/>
        <v>-7122</v>
      </c>
      <c r="AT134" s="165">
        <f t="shared" si="224"/>
        <v>-4078</v>
      </c>
      <c r="AU134" s="165">
        <f t="shared" si="224"/>
        <v>-878</v>
      </c>
      <c r="AV134" s="165">
        <f t="shared" si="224"/>
        <v>6175</v>
      </c>
      <c r="AW134" s="235">
        <f t="shared" si="224"/>
        <v>-5903</v>
      </c>
      <c r="AX134" s="165">
        <f t="shared" si="224"/>
        <v>-4380</v>
      </c>
      <c r="AY134" s="165">
        <f t="shared" si="224"/>
        <v>-385</v>
      </c>
      <c r="AZ134" s="165">
        <f t="shared" si="224"/>
        <v>12111</v>
      </c>
      <c r="BA134" s="165">
        <f t="shared" si="224"/>
        <v>-1733</v>
      </c>
      <c r="BB134" s="235">
        <f t="shared" si="224"/>
        <v>5613</v>
      </c>
      <c r="BC134" s="165">
        <f t="shared" si="224"/>
        <v>10397</v>
      </c>
      <c r="BD134" s="165">
        <f t="shared" si="224"/>
        <v>1227</v>
      </c>
      <c r="BE134" s="165">
        <f t="shared" si="224"/>
        <v>3042</v>
      </c>
      <c r="BF134" s="165">
        <f t="shared" si="224"/>
        <v>4161</v>
      </c>
      <c r="BG134" s="235">
        <f t="shared" si="224"/>
        <v>18827</v>
      </c>
      <c r="BH134" s="165">
        <f t="shared" si="224"/>
        <v>-440</v>
      </c>
      <c r="BI134" s="165">
        <f t="shared" si="224"/>
        <v>1735</v>
      </c>
      <c r="BJ134" s="165">
        <f t="shared" si="224"/>
        <v>-2066</v>
      </c>
      <c r="BK134" s="165">
        <f t="shared" si="224"/>
        <v>5984</v>
      </c>
      <c r="BL134" s="235">
        <f t="shared" si="224"/>
        <v>5213</v>
      </c>
      <c r="BM134" s="165">
        <f t="shared" si="224"/>
        <v>-6253</v>
      </c>
      <c r="BN134" s="165">
        <f t="shared" si="224"/>
        <v>163</v>
      </c>
      <c r="BO134" s="165">
        <f t="shared" si="224"/>
        <v>4142</v>
      </c>
      <c r="BP134" s="165">
        <f t="shared" si="224"/>
        <v>-10950</v>
      </c>
      <c r="BQ134" s="235">
        <f t="shared" si="224"/>
        <v>-12898</v>
      </c>
      <c r="BR134" s="165">
        <f t="shared" ref="BR134:DC134" si="225">SUM(BR135:BR139)</f>
        <v>-3827</v>
      </c>
      <c r="BS134" s="165">
        <f t="shared" si="225"/>
        <v>1749</v>
      </c>
      <c r="BT134" s="165">
        <f t="shared" si="225"/>
        <v>-2330</v>
      </c>
      <c r="BU134" s="165">
        <f t="shared" si="225"/>
        <v>767</v>
      </c>
      <c r="BV134" s="235">
        <f t="shared" si="225"/>
        <v>-3641</v>
      </c>
      <c r="BW134" s="165">
        <f t="shared" si="225"/>
        <v>-2817</v>
      </c>
      <c r="BX134" s="165">
        <f t="shared" si="225"/>
        <v>543</v>
      </c>
      <c r="BY134" s="165">
        <f t="shared" si="225"/>
        <v>-2408</v>
      </c>
      <c r="BZ134" s="165">
        <f t="shared" si="225"/>
        <v>-591</v>
      </c>
      <c r="CA134" s="235">
        <f t="shared" si="225"/>
        <v>-5273</v>
      </c>
      <c r="CB134" s="165">
        <f t="shared" si="225"/>
        <v>-6070</v>
      </c>
      <c r="CC134" s="165">
        <f t="shared" si="225"/>
        <v>-2826</v>
      </c>
      <c r="CD134" s="165">
        <f t="shared" si="225"/>
        <v>3102</v>
      </c>
      <c r="CE134" s="165">
        <f t="shared" si="225"/>
        <v>5389</v>
      </c>
      <c r="CF134" s="235">
        <f t="shared" si="225"/>
        <v>-405</v>
      </c>
      <c r="CG134" s="165">
        <f t="shared" si="225"/>
        <v>-2293</v>
      </c>
      <c r="CH134" s="165">
        <f t="shared" si="225"/>
        <v>-2217</v>
      </c>
      <c r="CI134" s="165">
        <f t="shared" si="225"/>
        <v>-2680</v>
      </c>
      <c r="CJ134" s="165">
        <f t="shared" si="225"/>
        <v>7260</v>
      </c>
      <c r="CK134" s="235">
        <f t="shared" si="225"/>
        <v>70</v>
      </c>
      <c r="CL134" s="165">
        <f t="shared" si="225"/>
        <v>-6066</v>
      </c>
      <c r="CM134" s="165">
        <f t="shared" si="225"/>
        <v>-801</v>
      </c>
      <c r="CN134" s="165">
        <f t="shared" si="225"/>
        <v>1504</v>
      </c>
      <c r="CO134" s="165">
        <f t="shared" si="225"/>
        <v>8317</v>
      </c>
      <c r="CP134" s="235">
        <f t="shared" si="225"/>
        <v>2954</v>
      </c>
      <c r="CQ134" s="165">
        <f t="shared" si="225"/>
        <v>-6582</v>
      </c>
      <c r="CR134" s="165">
        <f t="shared" si="225"/>
        <v>-1107</v>
      </c>
      <c r="CS134" s="49">
        <f t="shared" si="225"/>
        <v>-89</v>
      </c>
      <c r="CT134" s="49">
        <f t="shared" si="225"/>
        <v>9543</v>
      </c>
      <c r="CU134" s="235">
        <f t="shared" si="225"/>
        <v>1765</v>
      </c>
      <c r="CV134" s="165">
        <f t="shared" si="225"/>
        <v>-1208.2477774896161</v>
      </c>
      <c r="CW134" s="165">
        <f t="shared" si="225"/>
        <v>-126.44911502475406</v>
      </c>
      <c r="CX134" s="165">
        <f t="shared" si="225"/>
        <v>-206.92201311873032</v>
      </c>
      <c r="CY134" s="165">
        <f t="shared" si="225"/>
        <v>-143.29156747582056</v>
      </c>
      <c r="CZ134" s="235">
        <f t="shared" si="225"/>
        <v>-1684.910473108921</v>
      </c>
      <c r="DA134" s="235">
        <f t="shared" si="225"/>
        <v>-2200.8843219016799</v>
      </c>
      <c r="DB134" s="235">
        <f t="shared" si="225"/>
        <v>-1333.3667136799013</v>
      </c>
      <c r="DC134" s="235">
        <f t="shared" si="225"/>
        <v>-1518.3889820253917</v>
      </c>
      <c r="DD134" s="31"/>
      <c r="DE134" s="31"/>
      <c r="DF134" s="235">
        <f t="shared" si="220"/>
        <v>9543</v>
      </c>
      <c r="DG134" s="235">
        <v>-96.06348159846857</v>
      </c>
      <c r="DH134" s="235">
        <f t="shared" si="221"/>
        <v>8317</v>
      </c>
      <c r="DI134" s="454">
        <f t="shared" si="222"/>
        <v>-100.34055940100481</v>
      </c>
      <c r="DJ134" s="454">
        <f t="shared" si="223"/>
        <v>0.14740892148611273</v>
      </c>
      <c r="DK134" s="31"/>
      <c r="DL134" s="31"/>
      <c r="DM134" s="31"/>
    </row>
    <row r="135" spans="1:117" ht="12" customHeight="1">
      <c r="A135" s="1109">
        <f t="shared" si="113"/>
        <v>126</v>
      </c>
      <c r="B135" s="10"/>
      <c r="C135" s="292" t="s">
        <v>826</v>
      </c>
      <c r="D135" s="30"/>
      <c r="E135" s="332">
        <v>0</v>
      </c>
      <c r="F135" s="235">
        <f t="shared" ref="F135:M135" si="226">E70-F70+E76-F76</f>
        <v>-13136</v>
      </c>
      <c r="G135" s="235">
        <f t="shared" si="226"/>
        <v>-12803</v>
      </c>
      <c r="H135" s="235">
        <f t="shared" si="226"/>
        <v>78657</v>
      </c>
      <c r="I135" s="235">
        <f t="shared" si="226"/>
        <v>-18426</v>
      </c>
      <c r="J135" s="165">
        <f t="shared" si="226"/>
        <v>-2831</v>
      </c>
      <c r="K135" s="165">
        <f t="shared" si="226"/>
        <v>-4653</v>
      </c>
      <c r="L135" s="165">
        <f t="shared" si="226"/>
        <v>-60</v>
      </c>
      <c r="M135" s="165">
        <f t="shared" si="226"/>
        <v>-4655</v>
      </c>
      <c r="N135" s="60">
        <f>SUM(J135:M135)</f>
        <v>-12199</v>
      </c>
      <c r="O135" s="165">
        <f>N70-O70+N76-O76</f>
        <v>-1016</v>
      </c>
      <c r="P135" s="165">
        <f>O70-P70+O76-P76</f>
        <v>-933</v>
      </c>
      <c r="Q135" s="165">
        <f>P70-Q70+P76-Q76</f>
        <v>15207</v>
      </c>
      <c r="R135" s="165">
        <f>Q70-R70+Q76-R76</f>
        <v>4353</v>
      </c>
      <c r="S135" s="60">
        <f>SUM(O135:R135)</f>
        <v>17611</v>
      </c>
      <c r="T135" s="165">
        <f>S70-T70+S76-T76</f>
        <v>4936</v>
      </c>
      <c r="U135" s="165">
        <f>T70-U70+T76-U76</f>
        <v>-5242</v>
      </c>
      <c r="V135" s="165">
        <f>U70-V70+U76-V76</f>
        <v>4041</v>
      </c>
      <c r="W135" s="165">
        <f>V70-W70+V76-W76</f>
        <v>9448</v>
      </c>
      <c r="X135" s="60">
        <f>SUM(T135:W135)</f>
        <v>13183</v>
      </c>
      <c r="Y135" s="165">
        <f>X70-Y70+X76-Y76</f>
        <v>4242</v>
      </c>
      <c r="Z135" s="165">
        <f>Y70-Z70+Y76-Z76</f>
        <v>-16554</v>
      </c>
      <c r="AA135" s="165">
        <f>Z70-AA70+Z76-AA76</f>
        <v>146</v>
      </c>
      <c r="AB135" s="165">
        <f>AA70-AB70+AA76-AB76</f>
        <v>2323</v>
      </c>
      <c r="AC135" s="60">
        <f>SUM(Y135:AB135)</f>
        <v>-9843</v>
      </c>
      <c r="AD135" s="165">
        <f>AC70-AD70+AC76-AD76</f>
        <v>-3017</v>
      </c>
      <c r="AE135" s="165">
        <f>AD70-AE70+AD76-AE76</f>
        <v>1408</v>
      </c>
      <c r="AF135" s="165">
        <f>AE70-AF70+AE76-AF76</f>
        <v>-3552</v>
      </c>
      <c r="AG135" s="165">
        <f>AF70-AG70+AF76-AG76</f>
        <v>2448</v>
      </c>
      <c r="AH135" s="60">
        <f>SUM(AD135:AG135)</f>
        <v>-2713</v>
      </c>
      <c r="AI135" s="165">
        <f>AH70-AI70+AH76-AI76</f>
        <v>7011</v>
      </c>
      <c r="AJ135" s="165">
        <f>AI70-AJ70+AI76-AJ76</f>
        <v>4987</v>
      </c>
      <c r="AK135" s="165">
        <f>AJ70-AK70+AJ76-AK76</f>
        <v>5791</v>
      </c>
      <c r="AL135" s="165">
        <f>AK70-AL70+AK76-AL76</f>
        <v>-14201</v>
      </c>
      <c r="AM135" s="60">
        <f>SUM(AI135:AL135)</f>
        <v>3588</v>
      </c>
      <c r="AN135" s="165">
        <f>AM70-AN70+AM76-AN76</f>
        <v>1989</v>
      </c>
      <c r="AO135" s="165">
        <f>AN70-AO70+AN76-AO76</f>
        <v>-2568</v>
      </c>
      <c r="AP135" s="165">
        <f>AO70-AP70+AO76-AP76</f>
        <v>-131</v>
      </c>
      <c r="AQ135" s="165">
        <f>AP70-AQ70+AP76-AQ76</f>
        <v>-178</v>
      </c>
      <c r="AR135" s="60">
        <f>SUM(AN135:AQ135)</f>
        <v>-888</v>
      </c>
      <c r="AS135" s="165">
        <f>AR70-AS70+AR76-AS76</f>
        <v>815</v>
      </c>
      <c r="AT135" s="165">
        <f>AS70-AT70+AS76-AT76</f>
        <v>-2131</v>
      </c>
      <c r="AU135" s="165">
        <f>AT70-AU70+AT76-AU76</f>
        <v>-307</v>
      </c>
      <c r="AV135" s="165">
        <f>AU70-AV70+AU76-AV76</f>
        <v>-567</v>
      </c>
      <c r="AW135" s="60">
        <f>SUM(AS135:AV135)</f>
        <v>-2190</v>
      </c>
      <c r="AX135" s="165">
        <f>AW70-AX70+AW76-AX76</f>
        <v>195</v>
      </c>
      <c r="AY135" s="165">
        <f>AX70-AY70+AX76-AY76</f>
        <v>1930</v>
      </c>
      <c r="AZ135" s="165">
        <f>AY70-AZ70+AY76-AZ76</f>
        <v>6045</v>
      </c>
      <c r="BA135" s="165">
        <f>AZ70-BA70+AZ76-BA76</f>
        <v>7399</v>
      </c>
      <c r="BB135" s="60">
        <f>SUM(AX135:BA135)</f>
        <v>15569</v>
      </c>
      <c r="BC135" s="165">
        <f>BB70-BC70+BB76-BC76</f>
        <v>9476</v>
      </c>
      <c r="BD135" s="165">
        <f>BC70-BD70+BC76-BD76</f>
        <v>3712</v>
      </c>
      <c r="BE135" s="165">
        <f>BD70-BE70+BD76-BE76</f>
        <v>4683</v>
      </c>
      <c r="BF135" s="165">
        <f>BE70-BF70+BE76-BF76</f>
        <v>-279</v>
      </c>
      <c r="BG135" s="60">
        <f>SUM(BC135:BF135)</f>
        <v>17592</v>
      </c>
      <c r="BH135" s="165">
        <f>BG70-BH70+BG76-BH76</f>
        <v>2055</v>
      </c>
      <c r="BI135" s="165">
        <f>BH70-BI70+BH76-BI76</f>
        <v>2862</v>
      </c>
      <c r="BJ135" s="165">
        <f>BI70-BJ70+BI76-BJ76</f>
        <v>489</v>
      </c>
      <c r="BK135" s="165">
        <f>BJ70-BK70+BJ76-BK76</f>
        <v>416</v>
      </c>
      <c r="BL135" s="60">
        <f>SUM(BH135:BK135)</f>
        <v>5822</v>
      </c>
      <c r="BM135" s="165">
        <f>BL70-BM70+BL76-BM76</f>
        <v>-634</v>
      </c>
      <c r="BN135" s="165">
        <f>BM70-BN70+BM76-BN76</f>
        <v>-319</v>
      </c>
      <c r="BO135" s="165">
        <f>BN70-BO70+BN76-BO76</f>
        <v>3234</v>
      </c>
      <c r="BP135" s="165">
        <f>BO70-BP70+BO76-BP76</f>
        <v>-2187</v>
      </c>
      <c r="BQ135" s="60">
        <f>SUM(BM135:BP135)</f>
        <v>94</v>
      </c>
      <c r="BR135" s="165">
        <f>BQ70-BR70+BQ76-BR76</f>
        <v>79</v>
      </c>
      <c r="BS135" s="165">
        <f>BR70-BS70+BR76-BS76</f>
        <v>1803</v>
      </c>
      <c r="BT135" s="165">
        <f>BS70-BT70+BS76-BT76</f>
        <v>-238</v>
      </c>
      <c r="BU135" s="117">
        <f>-1178-SUM(BR135:BT135)</f>
        <v>-2822</v>
      </c>
      <c r="BV135" s="60">
        <f>SUM(BR135:BU135)</f>
        <v>-1178</v>
      </c>
      <c r="BW135" s="165">
        <f>BV70-BW70+BV76-BW76</f>
        <v>-832</v>
      </c>
      <c r="BX135" s="165">
        <f>BW70-BX70+BW76-BX76</f>
        <v>-181</v>
      </c>
      <c r="BY135" s="165">
        <f>BX70-BY70+BX76-BY76</f>
        <v>-1414</v>
      </c>
      <c r="BZ135" s="161">
        <f>-3044-SUM(BW135:BY135)</f>
        <v>-617</v>
      </c>
      <c r="CA135" s="60">
        <f>SUM(BW135:BZ135)</f>
        <v>-3044</v>
      </c>
      <c r="CB135" s="165">
        <f>CA70-CB70+CA76-CB76</f>
        <v>-292</v>
      </c>
      <c r="CC135" s="165">
        <f>CB70-CC70+CB76-CC76</f>
        <v>-2253</v>
      </c>
      <c r="CD135" s="165">
        <f>CC70-CD70+CC76-CD76</f>
        <v>144</v>
      </c>
      <c r="CE135" s="161">
        <f>-2208-SUM(CB135:CD135)</f>
        <v>193</v>
      </c>
      <c r="CF135" s="60">
        <f>SUM(CB135:CE135)</f>
        <v>-2208</v>
      </c>
      <c r="CG135" s="165">
        <f>CF70-CG70+CF76-CG76</f>
        <v>1944</v>
      </c>
      <c r="CH135" s="165">
        <f>CG70-CH70+CG76-CH76</f>
        <v>-3654</v>
      </c>
      <c r="CI135" s="165">
        <f>CH70-CI70+CH76-CI76</f>
        <v>-2387</v>
      </c>
      <c r="CJ135" s="161">
        <f>-5090-SUM(CG135:CI135)</f>
        <v>-993</v>
      </c>
      <c r="CK135" s="235">
        <f>SUM(CG135:CJ135)</f>
        <v>-5090</v>
      </c>
      <c r="CL135" s="165">
        <f>CK70-CL70+CK76-CL76</f>
        <v>-3589</v>
      </c>
      <c r="CM135" s="165">
        <f>CL70-CM70+CL76-CM76</f>
        <v>-1007</v>
      </c>
      <c r="CN135" s="165">
        <f>CM70-CN70+CM76-CN76</f>
        <v>123</v>
      </c>
      <c r="CO135" s="161">
        <f>-1449-SUM(CL135:CN135)</f>
        <v>3024</v>
      </c>
      <c r="CP135" s="235">
        <f>SUM(CL135:CO135)</f>
        <v>-1449</v>
      </c>
      <c r="CQ135" s="165">
        <f>CP70-CQ70+CP76-CQ76</f>
        <v>-3109</v>
      </c>
      <c r="CR135" s="165">
        <f>CQ70-CR70</f>
        <v>-1283</v>
      </c>
      <c r="CS135" s="165">
        <f>CR70-CS70</f>
        <v>347</v>
      </c>
      <c r="CT135" s="161">
        <f>-836-SUM(CQ135:CS135)</f>
        <v>3209</v>
      </c>
      <c r="CU135" s="235">
        <f t="shared" ref="CU135:CU140" si="227">SUM(CQ135:CT135)</f>
        <v>-836</v>
      </c>
      <c r="CV135" s="165">
        <f>CU70-CV70</f>
        <v>-1168.8304000000062</v>
      </c>
      <c r="CW135" s="165">
        <f>CV70-CW70</f>
        <v>-69.132200000000012</v>
      </c>
      <c r="CX135" s="165">
        <f>CW70-CX70</f>
        <v>-141.20880000000761</v>
      </c>
      <c r="CY135" s="165">
        <f>CX70-CY70</f>
        <v>-141.74208999999973</v>
      </c>
      <c r="CZ135" s="235">
        <f t="shared" ref="CZ135:CZ140" si="228">SUM(CV135:CY135)</f>
        <v>-1520.9134900000136</v>
      </c>
      <c r="DA135" s="235">
        <f>CZ70-DA70</f>
        <v>-1099.6887529074884</v>
      </c>
      <c r="DB135" s="235">
        <f>DA70-DB70</f>
        <v>-1590.4849520914941</v>
      </c>
      <c r="DC135" s="235">
        <f>DB70-DC70</f>
        <v>-1479.1709618148525</v>
      </c>
      <c r="DD135" s="31"/>
      <c r="DE135" s="31"/>
      <c r="DF135" s="235">
        <f t="shared" si="220"/>
        <v>3209</v>
      </c>
      <c r="DG135" s="235">
        <v>94.287803009647178</v>
      </c>
      <c r="DH135" s="235">
        <f t="shared" si="221"/>
        <v>3024</v>
      </c>
      <c r="DI135" s="454">
        <f t="shared" si="222"/>
        <v>33.03409452303886</v>
      </c>
      <c r="DJ135" s="454">
        <f t="shared" si="223"/>
        <v>6.1177248677248608E-2</v>
      </c>
      <c r="DK135" s="31"/>
      <c r="DL135" s="31"/>
      <c r="DM135" s="31"/>
    </row>
    <row r="136" spans="1:117" ht="12" customHeight="1">
      <c r="A136" s="1109">
        <f t="shared" si="113"/>
        <v>127</v>
      </c>
      <c r="B136" s="10"/>
      <c r="C136" s="292" t="s">
        <v>827</v>
      </c>
      <c r="D136" s="30"/>
      <c r="E136" s="332">
        <f>88+725</f>
        <v>813</v>
      </c>
      <c r="F136" s="332">
        <f>74+530</f>
        <v>604</v>
      </c>
      <c r="G136" s="332">
        <f>908-102</f>
        <v>806</v>
      </c>
      <c r="H136" s="332">
        <f>421+1307</f>
        <v>1728</v>
      </c>
      <c r="I136" s="332">
        <f>258+1565</f>
        <v>1823</v>
      </c>
      <c r="J136" s="165">
        <f>I81-J81+J95-I95</f>
        <v>-239</v>
      </c>
      <c r="K136" s="165">
        <f>J81-K81+K95-J95</f>
        <v>-374</v>
      </c>
      <c r="L136" s="165">
        <f>K81-L81+L95-K95</f>
        <v>781</v>
      </c>
      <c r="M136" s="161">
        <f>706+1449-SUM(J136:L136)</f>
        <v>1987</v>
      </c>
      <c r="N136" s="60">
        <f>SUM(J136:M136)</f>
        <v>2155</v>
      </c>
      <c r="O136" s="165">
        <f>N81-O81+O95-N95</f>
        <v>-1</v>
      </c>
      <c r="P136" s="165">
        <f>O81-P81+P95-O95</f>
        <v>-108</v>
      </c>
      <c r="Q136" s="165">
        <f>P81-Q81+Q95-P95</f>
        <v>-338</v>
      </c>
      <c r="R136" s="161">
        <f>-2242+538-SUM(O136:Q136)</f>
        <v>-1257</v>
      </c>
      <c r="S136" s="60">
        <f>SUM(O136:R136)</f>
        <v>-1704</v>
      </c>
      <c r="T136" s="165">
        <f>S81-T81+T95-S95</f>
        <v>899</v>
      </c>
      <c r="U136" s="165">
        <f>T81-U81+U95-T95</f>
        <v>337</v>
      </c>
      <c r="V136" s="165">
        <f>U81-V81+V95-U95</f>
        <v>169</v>
      </c>
      <c r="W136" s="161">
        <f>-1378+595-SUM(T136:V136)</f>
        <v>-2188</v>
      </c>
      <c r="X136" s="60">
        <f>SUM(T136:W136)</f>
        <v>-783</v>
      </c>
      <c r="Y136" s="165">
        <f>X81-Y81+Y95-X95</f>
        <v>-167</v>
      </c>
      <c r="Z136" s="165">
        <f>Y81-Z81+Z95-Y95</f>
        <v>-11</v>
      </c>
      <c r="AA136" s="165">
        <f>Z81-AA81+AA95-Z95</f>
        <v>960</v>
      </c>
      <c r="AB136" s="161">
        <f>783+1274-SUM(Y136:AA136)</f>
        <v>1275</v>
      </c>
      <c r="AC136" s="60">
        <f>SUM(Y136:AB136)</f>
        <v>2057</v>
      </c>
      <c r="AD136" s="165">
        <f>AC81-AD81+AD95-AC95</f>
        <v>673</v>
      </c>
      <c r="AE136" s="165">
        <f>AD81-AE81+AE95-AD95</f>
        <v>-129</v>
      </c>
      <c r="AF136" s="165">
        <f>AE81-AF81+AF95-AE95</f>
        <v>282</v>
      </c>
      <c r="AG136" s="161">
        <f>2451+1514-SUM(AD136:AF136)</f>
        <v>3139</v>
      </c>
      <c r="AH136" s="60">
        <f>SUM(AD136:AG136)</f>
        <v>3965</v>
      </c>
      <c r="AI136" s="165">
        <f>AH81-AI81+AI95-AH95</f>
        <v>-73</v>
      </c>
      <c r="AJ136" s="165">
        <f>AI81-AJ81+AJ95-AI95</f>
        <v>100</v>
      </c>
      <c r="AK136" s="165">
        <f>AJ81-AK81+AK95-AJ95</f>
        <v>-1032</v>
      </c>
      <c r="AL136" s="161">
        <f>704-SUM(AI136:AK136)</f>
        <v>1709</v>
      </c>
      <c r="AM136" s="60">
        <f>SUM(AI136:AL136)</f>
        <v>704</v>
      </c>
      <c r="AN136" s="165">
        <f>AM81-AN81+AN95-AM95</f>
        <v>-1263</v>
      </c>
      <c r="AO136" s="165">
        <f>AN81-AO81+AO95-AN95</f>
        <v>533</v>
      </c>
      <c r="AP136" s="165">
        <f>AO81-AP81+AP95-AO95</f>
        <v>-473</v>
      </c>
      <c r="AQ136" s="161">
        <f>-2500-SUM(AN136:AP136)</f>
        <v>-1297</v>
      </c>
      <c r="AR136" s="60">
        <f>SUM(AN136:AQ136)</f>
        <v>-2500</v>
      </c>
      <c r="AS136" s="165">
        <f>AR81-AS81+AS95-AR95</f>
        <v>1497</v>
      </c>
      <c r="AT136" s="165">
        <f>AS81-AT81+AT95-AS95</f>
        <v>-175</v>
      </c>
      <c r="AU136" s="165">
        <f>AT81-AU81+AU95-AT95</f>
        <v>-82</v>
      </c>
      <c r="AV136" s="161">
        <f>-5477-SUM(AS136:AU136)</f>
        <v>-6717</v>
      </c>
      <c r="AW136" s="60">
        <f>SUM(AS136:AV136)</f>
        <v>-5477</v>
      </c>
      <c r="AX136" s="165">
        <f>AW81-AX81+AX95-AW95</f>
        <v>36</v>
      </c>
      <c r="AY136" s="165">
        <f>AX81-AY81+AY95-AX95</f>
        <v>78</v>
      </c>
      <c r="AZ136" s="165">
        <f>AY81-AZ81+AZ95-AY95</f>
        <v>-166</v>
      </c>
      <c r="BA136" s="161">
        <f>1954-SUM(AX136:AZ136)</f>
        <v>2006</v>
      </c>
      <c r="BB136" s="60">
        <f>SUM(AX136:BA136)</f>
        <v>1954</v>
      </c>
      <c r="BC136" s="165">
        <f>BB81-BC81+BC95-BB95</f>
        <v>-39</v>
      </c>
      <c r="BD136" s="165">
        <f>BC81-BD81+BD95-BC95</f>
        <v>-115</v>
      </c>
      <c r="BE136" s="165">
        <f>BD81-BE81+BE95-BD95</f>
        <v>207</v>
      </c>
      <c r="BF136" s="161">
        <f>-746-SUM(BC136:BE136)</f>
        <v>-799</v>
      </c>
      <c r="BG136" s="60">
        <f>SUM(BC136:BF136)</f>
        <v>-746</v>
      </c>
      <c r="BH136" s="165">
        <f>BG81-BH81+BH95-BG95</f>
        <v>-203</v>
      </c>
      <c r="BI136" s="165">
        <f>BH81-BI81+BI95-BH95</f>
        <v>82</v>
      </c>
      <c r="BJ136" s="165">
        <f>BI81-BJ81+BJ95-BI95</f>
        <v>5</v>
      </c>
      <c r="BK136" s="161">
        <f>34-SUM(BH136:BJ136)</f>
        <v>150</v>
      </c>
      <c r="BL136" s="60">
        <f>SUM(BH136:BK136)</f>
        <v>34</v>
      </c>
      <c r="BM136" s="165">
        <f>BL81-BM81+BM95-BL95</f>
        <v>118</v>
      </c>
      <c r="BN136" s="165">
        <f>BM81-BN81+BN95-BM95</f>
        <v>18</v>
      </c>
      <c r="BO136" s="165">
        <f>BN81-BO81+BO95-BN95</f>
        <v>147</v>
      </c>
      <c r="BP136" s="161">
        <f>-11071-SUM(BM136:BO136)</f>
        <v>-11354</v>
      </c>
      <c r="BQ136" s="60">
        <f>SUM(BM136:BP136)</f>
        <v>-11071</v>
      </c>
      <c r="BR136" s="165">
        <f>BQ81-BR81+BR95-BQ95</f>
        <v>477</v>
      </c>
      <c r="BS136" s="165">
        <f>BR81-BS81+BS95-BR95</f>
        <v>483</v>
      </c>
      <c r="BT136" s="165">
        <f>BS81-BT81+BT95-BS95</f>
        <v>536</v>
      </c>
      <c r="BU136" s="161">
        <f>1989-SUM(BR136:BT136)</f>
        <v>493</v>
      </c>
      <c r="BV136" s="60">
        <f>SUM(BR136:BU136)</f>
        <v>1989</v>
      </c>
      <c r="BW136" s="165">
        <f>BV81-BW81+BW95-BV95</f>
        <v>874</v>
      </c>
      <c r="BX136" s="165">
        <f>BW81-BX81+BX95-BW95</f>
        <v>823</v>
      </c>
      <c r="BY136" s="165">
        <f>BX81-BY81+BY95-BX95</f>
        <v>632</v>
      </c>
      <c r="BZ136" s="161">
        <f>-848-SUM(BW136:BY136)</f>
        <v>-3177</v>
      </c>
      <c r="CA136" s="60">
        <f>SUM(BW136:BZ136)</f>
        <v>-848</v>
      </c>
      <c r="CB136" s="165">
        <f>CA81-CB81+CB95-CA95</f>
        <v>326</v>
      </c>
      <c r="CC136" s="165">
        <f>CB81-CC81+CC95-CB95</f>
        <v>536</v>
      </c>
      <c r="CD136" s="165">
        <f>CC81-CD81+CD95-CC95</f>
        <v>272</v>
      </c>
      <c r="CE136" s="161">
        <f>-94-SUM(CB136:CD136)</f>
        <v>-1228</v>
      </c>
      <c r="CF136" s="60">
        <f>SUM(CB136:CE136)</f>
        <v>-94</v>
      </c>
      <c r="CG136" s="165">
        <f>CF81-CG81+CG95-CF95</f>
        <v>1040</v>
      </c>
      <c r="CH136" s="165">
        <f>CG81-CH81+CH95-CG95</f>
        <v>495</v>
      </c>
      <c r="CI136" s="165">
        <f>CH81-CI81+CI95-CH95</f>
        <v>1014</v>
      </c>
      <c r="CJ136" s="161">
        <f>2120-SUM(CG136:CI136)</f>
        <v>-429</v>
      </c>
      <c r="CK136" s="235">
        <f>SUM(CG136:CJ136)</f>
        <v>2120</v>
      </c>
      <c r="CL136" s="165">
        <f>CK81-CL81+CL95-CK95</f>
        <v>984</v>
      </c>
      <c r="CM136" s="165">
        <f>CL81-CM81+CM95-CL95</f>
        <v>753</v>
      </c>
      <c r="CN136" s="165">
        <f>CM81-CN81+CN95-CM95</f>
        <v>372</v>
      </c>
      <c r="CO136" s="161">
        <f>1478-SUM(CL136:CN136)</f>
        <v>-631</v>
      </c>
      <c r="CP136" s="235">
        <f>SUM(CL136:CO136)</f>
        <v>1478</v>
      </c>
      <c r="CQ136" s="165">
        <f>CP81-CQ81+CQ95-CP95</f>
        <v>-292</v>
      </c>
      <c r="CR136" s="165">
        <f>CQ81-CR81+CR95-CQ95</f>
        <v>-104</v>
      </c>
      <c r="CS136" s="165">
        <f>CR81-CS81+CS95-CR95</f>
        <v>-145</v>
      </c>
      <c r="CT136" s="161">
        <f>-232-SUM(CQ136:CS136)</f>
        <v>309</v>
      </c>
      <c r="CU136" s="235">
        <f t="shared" si="227"/>
        <v>-232</v>
      </c>
      <c r="CV136" s="165">
        <f>CU81-CV81+CV95-CU95</f>
        <v>0</v>
      </c>
      <c r="CW136" s="165">
        <f>CV81-CW81+CW95-CV95</f>
        <v>0</v>
      </c>
      <c r="CX136" s="165">
        <f>CW81-CX81+CX95-CW95</f>
        <v>0</v>
      </c>
      <c r="CY136" s="165">
        <f>CX81-CY81+CY95-CX95</f>
        <v>0</v>
      </c>
      <c r="CZ136" s="235">
        <f t="shared" si="228"/>
        <v>0</v>
      </c>
      <c r="DA136" s="235">
        <f>CZ81-DA81+DA95-CZ95</f>
        <v>0</v>
      </c>
      <c r="DB136" s="235">
        <f>DA81-DB81+DB95-DA95</f>
        <v>0</v>
      </c>
      <c r="DC136" s="235">
        <f>DB81-DC81+DC95-DB95</f>
        <v>0</v>
      </c>
      <c r="DD136" s="31"/>
      <c r="DE136" s="31"/>
      <c r="DF136" s="235">
        <f t="shared" si="220"/>
        <v>309</v>
      </c>
      <c r="DG136" s="235">
        <v>0</v>
      </c>
      <c r="DH136" s="235">
        <f t="shared" si="221"/>
        <v>-631</v>
      </c>
      <c r="DI136" s="454" t="str">
        <f t="shared" si="222"/>
        <v>NM</v>
      </c>
      <c r="DJ136" s="454">
        <f t="shared" si="223"/>
        <v>-1.4896988906497624</v>
      </c>
      <c r="DK136" s="31"/>
      <c r="DL136" s="31"/>
      <c r="DM136" s="31"/>
    </row>
    <row r="137" spans="1:117" ht="12" customHeight="1">
      <c r="A137" s="1109">
        <f t="shared" si="113"/>
        <v>128</v>
      </c>
      <c r="B137" s="10"/>
      <c r="C137" s="292" t="s">
        <v>828</v>
      </c>
      <c r="D137" s="30"/>
      <c r="E137" s="332">
        <v>129</v>
      </c>
      <c r="F137" s="332">
        <f>-2183-1328</f>
        <v>-3511</v>
      </c>
      <c r="G137" s="332">
        <f>-179+256</f>
        <v>77</v>
      </c>
      <c r="H137" s="332">
        <f>1027-1189</f>
        <v>-162</v>
      </c>
      <c r="I137" s="332">
        <f>-822-331</f>
        <v>-1153</v>
      </c>
      <c r="J137" s="165">
        <f t="shared" ref="J137:L138" si="229">I71-J71</f>
        <v>413</v>
      </c>
      <c r="K137" s="165">
        <f t="shared" si="229"/>
        <v>347</v>
      </c>
      <c r="L137" s="165">
        <f t="shared" si="229"/>
        <v>-1804</v>
      </c>
      <c r="M137" s="161">
        <f>-509-695-SUM(J137:L137)</f>
        <v>-160</v>
      </c>
      <c r="N137" s="60">
        <f>SUM(J137:M137)</f>
        <v>-1204</v>
      </c>
      <c r="O137" s="165">
        <f t="shared" ref="O137:Q138" si="230">N71-O71</f>
        <v>-434</v>
      </c>
      <c r="P137" s="165">
        <f t="shared" si="230"/>
        <v>694</v>
      </c>
      <c r="Q137" s="165">
        <f t="shared" si="230"/>
        <v>1072</v>
      </c>
      <c r="R137" s="161">
        <f>1201-813-SUM(O137:Q137)</f>
        <v>-944</v>
      </c>
      <c r="S137" s="60">
        <f>SUM(O137:R137)</f>
        <v>388</v>
      </c>
      <c r="T137" s="165">
        <f t="shared" ref="T137:V138" si="231">S71-T71</f>
        <v>-3852</v>
      </c>
      <c r="U137" s="165">
        <f t="shared" si="231"/>
        <v>-35</v>
      </c>
      <c r="V137" s="165">
        <f t="shared" si="231"/>
        <v>286</v>
      </c>
      <c r="W137" s="161">
        <f>2568-2533-SUM(T137:V137)</f>
        <v>3636</v>
      </c>
      <c r="X137" s="60">
        <f>SUM(T137:W137)</f>
        <v>35</v>
      </c>
      <c r="Y137" s="165">
        <f t="shared" ref="Y137:AA138" si="232">X71-Y71</f>
        <v>-249</v>
      </c>
      <c r="Z137" s="165">
        <f t="shared" si="232"/>
        <v>-142</v>
      </c>
      <c r="AA137" s="165">
        <f t="shared" si="232"/>
        <v>-317</v>
      </c>
      <c r="AB137" s="161">
        <f>-1789+1229-SUM(Y137:AA137)</f>
        <v>148</v>
      </c>
      <c r="AC137" s="60">
        <f>SUM(Y137:AB137)</f>
        <v>-560</v>
      </c>
      <c r="AD137" s="165">
        <f t="shared" ref="AD137:AF138" si="233">AC71-AD71</f>
        <v>2831</v>
      </c>
      <c r="AE137" s="165">
        <f t="shared" si="233"/>
        <v>4</v>
      </c>
      <c r="AF137" s="165">
        <f t="shared" si="233"/>
        <v>-324</v>
      </c>
      <c r="AG137" s="161">
        <f>-1793+1294-SUM(AD137:AF137)</f>
        <v>-3010</v>
      </c>
      <c r="AH137" s="60">
        <f>SUM(AD137:AG137)</f>
        <v>-499</v>
      </c>
      <c r="AI137" s="165">
        <f t="shared" ref="AI137:AK138" si="234">AH71-AI71</f>
        <v>-635</v>
      </c>
      <c r="AJ137" s="165">
        <f t="shared" si="234"/>
        <v>7</v>
      </c>
      <c r="AK137" s="165">
        <f t="shared" si="234"/>
        <v>1255</v>
      </c>
      <c r="AL137" s="161">
        <f>-2813-SUM(AI137:AK137)</f>
        <v>-3440</v>
      </c>
      <c r="AM137" s="60">
        <f>SUM(AI137:AL137)</f>
        <v>-2813</v>
      </c>
      <c r="AN137" s="165">
        <f t="shared" ref="AN137:AP138" si="235">AM71-AN71</f>
        <v>-288</v>
      </c>
      <c r="AO137" s="165">
        <f t="shared" si="235"/>
        <v>-391</v>
      </c>
      <c r="AP137" s="165">
        <f t="shared" si="235"/>
        <v>1211</v>
      </c>
      <c r="AQ137" s="161">
        <f>2279-SUM(AN137:AP137)</f>
        <v>1747</v>
      </c>
      <c r="AR137" s="60">
        <f>SUM(AN137:AQ137)</f>
        <v>2279</v>
      </c>
      <c r="AS137" s="165">
        <f t="shared" ref="AS137:AU138" si="236">AR71-AS71</f>
        <v>-3660</v>
      </c>
      <c r="AT137" s="165">
        <f t="shared" si="236"/>
        <v>-668</v>
      </c>
      <c r="AU137" s="165">
        <f t="shared" si="236"/>
        <v>186</v>
      </c>
      <c r="AV137" s="161">
        <f>45-SUM(AS137:AU137)</f>
        <v>4187</v>
      </c>
      <c r="AW137" s="60">
        <f>SUM(AS137:AV137)</f>
        <v>45</v>
      </c>
      <c r="AX137" s="165">
        <f t="shared" ref="AX137:AZ138" si="237">AW71-AX71</f>
        <v>121</v>
      </c>
      <c r="AY137" s="165">
        <f t="shared" si="237"/>
        <v>-875</v>
      </c>
      <c r="AZ137" s="165">
        <f t="shared" si="237"/>
        <v>1435</v>
      </c>
      <c r="BA137" s="161">
        <f>1095-SUM(AX137:AZ137)</f>
        <v>414</v>
      </c>
      <c r="BB137" s="60">
        <f>SUM(AX137:BA137)</f>
        <v>1095</v>
      </c>
      <c r="BC137" s="165">
        <f t="shared" ref="BC137:BE138" si="238">BB71-BC71</f>
        <v>284</v>
      </c>
      <c r="BD137" s="165">
        <f t="shared" si="238"/>
        <v>-1253</v>
      </c>
      <c r="BE137" s="165">
        <f t="shared" si="238"/>
        <v>-653</v>
      </c>
      <c r="BF137" s="161">
        <f>2612-SUM(BC137:BE137)</f>
        <v>4234</v>
      </c>
      <c r="BG137" s="60">
        <f>SUM(BC137:BF137)</f>
        <v>2612</v>
      </c>
      <c r="BH137" s="165">
        <f t="shared" ref="BH137:BJ138" si="239">BG71-BH71</f>
        <v>269</v>
      </c>
      <c r="BI137" s="165">
        <f t="shared" si="239"/>
        <v>-1060</v>
      </c>
      <c r="BJ137" s="165">
        <f t="shared" si="239"/>
        <v>-383</v>
      </c>
      <c r="BK137" s="161">
        <f>765-SUM(BH137:BJ137)</f>
        <v>1939</v>
      </c>
      <c r="BL137" s="60">
        <f>SUM(BH137:BK137)</f>
        <v>765</v>
      </c>
      <c r="BM137" s="165">
        <f t="shared" ref="BM137:BO138" si="240">BL71-BM71</f>
        <v>-618</v>
      </c>
      <c r="BN137" s="165">
        <f t="shared" si="240"/>
        <v>-474</v>
      </c>
      <c r="BO137" s="165">
        <f t="shared" si="240"/>
        <v>437</v>
      </c>
      <c r="BP137" s="161">
        <f>-936-SUM(BM137:BO137)</f>
        <v>-281</v>
      </c>
      <c r="BQ137" s="60">
        <f>SUM(BM137:BP137)</f>
        <v>-936</v>
      </c>
      <c r="BR137" s="165">
        <f t="shared" ref="BR137:BT138" si="241">BQ71-BR71</f>
        <v>-1339</v>
      </c>
      <c r="BS137" s="165">
        <f t="shared" si="241"/>
        <v>-256</v>
      </c>
      <c r="BT137" s="165">
        <f t="shared" si="241"/>
        <v>-577</v>
      </c>
      <c r="BU137" s="161">
        <f>-2497-SUM(BR137:BT137)</f>
        <v>-325</v>
      </c>
      <c r="BV137" s="60">
        <f>SUM(BR137:BU137)</f>
        <v>-2497</v>
      </c>
      <c r="BW137" s="165">
        <f t="shared" ref="BW137:BY138" si="242">BV71-BW71</f>
        <v>-506</v>
      </c>
      <c r="BX137" s="165">
        <f t="shared" si="242"/>
        <v>31</v>
      </c>
      <c r="BY137" s="165">
        <f t="shared" si="242"/>
        <v>-340</v>
      </c>
      <c r="BZ137" s="161">
        <f>-2040-SUM(BW137:BY137)</f>
        <v>-1225</v>
      </c>
      <c r="CA137" s="60">
        <f>SUM(BW137:BZ137)</f>
        <v>-2040</v>
      </c>
      <c r="CB137" s="165">
        <f t="shared" ref="CB137:CD138" si="243">CA71-CB71</f>
        <v>-2260</v>
      </c>
      <c r="CC137" s="165">
        <f t="shared" si="243"/>
        <v>-765</v>
      </c>
      <c r="CD137" s="165">
        <f t="shared" si="243"/>
        <v>1710</v>
      </c>
      <c r="CE137" s="161">
        <f>-2896-SUM(CB137:CD137)</f>
        <v>-1581</v>
      </c>
      <c r="CF137" s="60">
        <f>SUM(CB137:CE137)</f>
        <v>-2896</v>
      </c>
      <c r="CG137" s="165">
        <f t="shared" ref="CG137:CI138" si="244">CF71-CG71</f>
        <v>-1297</v>
      </c>
      <c r="CH137" s="165">
        <f t="shared" si="244"/>
        <v>339</v>
      </c>
      <c r="CI137" s="165">
        <f t="shared" si="244"/>
        <v>-707</v>
      </c>
      <c r="CJ137" s="161">
        <f>-3563-SUM(CG137:CI137)</f>
        <v>-1898</v>
      </c>
      <c r="CK137" s="235">
        <f>SUM(CG137:CJ137)</f>
        <v>-3563</v>
      </c>
      <c r="CL137" s="165">
        <f t="shared" ref="CL137:CN138" si="245">CK71-CL71</f>
        <v>-210</v>
      </c>
      <c r="CM137" s="165">
        <f t="shared" si="245"/>
        <v>524</v>
      </c>
      <c r="CN137" s="165">
        <f t="shared" si="245"/>
        <v>699</v>
      </c>
      <c r="CO137" s="161">
        <f>-2855-SUM(CL137:CN137)</f>
        <v>-3868</v>
      </c>
      <c r="CP137" s="235">
        <f>SUM(CL137:CO137)</f>
        <v>-2855</v>
      </c>
      <c r="CQ137" s="165">
        <f t="shared" ref="CQ137:CS138" si="246">CP71-CQ71</f>
        <v>417</v>
      </c>
      <c r="CR137" s="165">
        <f t="shared" si="246"/>
        <v>526</v>
      </c>
      <c r="CS137" s="165">
        <f t="shared" si="246"/>
        <v>-118</v>
      </c>
      <c r="CT137" s="161">
        <f>-2297-SUM(CQ137:CS137)</f>
        <v>-3122</v>
      </c>
      <c r="CU137" s="235">
        <f t="shared" si="227"/>
        <v>-2297</v>
      </c>
      <c r="CV137" s="165">
        <f t="shared" ref="CV137:CY138" si="247">CU71-CV71</f>
        <v>-14.911181813542498</v>
      </c>
      <c r="CW137" s="165">
        <f t="shared" si="247"/>
        <v>-13.746330241874603</v>
      </c>
      <c r="CX137" s="165">
        <f t="shared" si="247"/>
        <v>-28.078128540082616</v>
      </c>
      <c r="CY137" s="165">
        <f t="shared" si="247"/>
        <v>-28.184168568530367</v>
      </c>
      <c r="CZ137" s="235">
        <f t="shared" si="228"/>
        <v>-84.919809164030085</v>
      </c>
      <c r="DA137" s="235">
        <f t="shared" ref="DA137:DC138" si="248">CZ71-DA71</f>
        <v>16.063903257863785</v>
      </c>
      <c r="DB137" s="235">
        <f t="shared" si="248"/>
        <v>-85.418604159158349</v>
      </c>
      <c r="DC137" s="235">
        <f t="shared" si="248"/>
        <v>-281.9146562124788</v>
      </c>
      <c r="DD137" s="31"/>
      <c r="DE137" s="31"/>
      <c r="DF137" s="235">
        <f t="shared" si="220"/>
        <v>-3122</v>
      </c>
      <c r="DG137" s="235">
        <v>19.559470974143551</v>
      </c>
      <c r="DH137" s="235">
        <f t="shared" si="221"/>
        <v>-3868</v>
      </c>
      <c r="DI137" s="454">
        <f t="shared" si="222"/>
        <v>-160.61576896057653</v>
      </c>
      <c r="DJ137" s="454">
        <f t="shared" si="223"/>
        <v>-0.19286452947259569</v>
      </c>
      <c r="DK137" s="31"/>
      <c r="DL137" s="31"/>
      <c r="DM137" s="31"/>
    </row>
    <row r="138" spans="1:117" ht="12" customHeight="1">
      <c r="A138" s="1109">
        <f t="shared" si="113"/>
        <v>129</v>
      </c>
      <c r="B138" s="10"/>
      <c r="C138" s="292" t="s">
        <v>829</v>
      </c>
      <c r="D138" s="30"/>
      <c r="E138" s="332">
        <v>-46</v>
      </c>
      <c r="F138" s="332">
        <v>553</v>
      </c>
      <c r="G138" s="332">
        <v>1234</v>
      </c>
      <c r="H138" s="332">
        <v>-254</v>
      </c>
      <c r="I138" s="332">
        <v>955</v>
      </c>
      <c r="J138" s="165">
        <f t="shared" si="229"/>
        <v>-873</v>
      </c>
      <c r="K138" s="165">
        <f t="shared" si="229"/>
        <v>306</v>
      </c>
      <c r="L138" s="165">
        <f t="shared" si="229"/>
        <v>-1938</v>
      </c>
      <c r="M138" s="161">
        <f>-1369-SUM(J138:L138)</f>
        <v>1136</v>
      </c>
      <c r="N138" s="60">
        <f>SUM(J138:M138)</f>
        <v>-1369</v>
      </c>
      <c r="O138" s="165">
        <f t="shared" si="230"/>
        <v>-150</v>
      </c>
      <c r="P138" s="165">
        <f t="shared" si="230"/>
        <v>444</v>
      </c>
      <c r="Q138" s="165">
        <f t="shared" si="230"/>
        <v>110</v>
      </c>
      <c r="R138" s="161">
        <f>1122-SUM(O138:Q138)</f>
        <v>718</v>
      </c>
      <c r="S138" s="60">
        <f>SUM(O138:R138)</f>
        <v>1122</v>
      </c>
      <c r="T138" s="165">
        <f t="shared" si="231"/>
        <v>-941</v>
      </c>
      <c r="U138" s="165">
        <f t="shared" si="231"/>
        <v>-454</v>
      </c>
      <c r="V138" s="165">
        <f t="shared" si="231"/>
        <v>18</v>
      </c>
      <c r="W138" s="161">
        <f>-650-SUM(T138:V138)</f>
        <v>727</v>
      </c>
      <c r="X138" s="60">
        <f>SUM(T138:W138)</f>
        <v>-650</v>
      </c>
      <c r="Y138" s="165">
        <f t="shared" si="232"/>
        <v>-976</v>
      </c>
      <c r="Z138" s="165">
        <f t="shared" si="232"/>
        <v>-495</v>
      </c>
      <c r="AA138" s="165">
        <f t="shared" si="232"/>
        <v>-1637</v>
      </c>
      <c r="AB138" s="161">
        <f>-505-SUM(Y138:AA138)</f>
        <v>2603</v>
      </c>
      <c r="AC138" s="60">
        <f>SUM(Y138:AB138)</f>
        <v>-505</v>
      </c>
      <c r="AD138" s="165">
        <f t="shared" si="233"/>
        <v>-1042</v>
      </c>
      <c r="AE138" s="165">
        <f t="shared" si="233"/>
        <v>-421</v>
      </c>
      <c r="AF138" s="165">
        <f t="shared" si="233"/>
        <v>-367</v>
      </c>
      <c r="AG138" s="161">
        <f>-130-SUM(AD138:AF138)</f>
        <v>1700</v>
      </c>
      <c r="AH138" s="60">
        <f>SUM(AD138:AG138)</f>
        <v>-130</v>
      </c>
      <c r="AI138" s="165">
        <f t="shared" si="234"/>
        <v>-734</v>
      </c>
      <c r="AJ138" s="165">
        <f t="shared" si="234"/>
        <v>-68</v>
      </c>
      <c r="AK138" s="165">
        <f t="shared" si="234"/>
        <v>-137</v>
      </c>
      <c r="AL138" s="161">
        <f>-94-SUM(AI138:AK138)</f>
        <v>845</v>
      </c>
      <c r="AM138" s="60">
        <f>SUM(AI138:AL138)</f>
        <v>-94</v>
      </c>
      <c r="AN138" s="165">
        <f t="shared" si="235"/>
        <v>-1691</v>
      </c>
      <c r="AO138" s="165">
        <f t="shared" si="235"/>
        <v>-154</v>
      </c>
      <c r="AP138" s="165">
        <f t="shared" si="235"/>
        <v>119</v>
      </c>
      <c r="AQ138" s="161">
        <f>-695-SUM(AN138:AP138)</f>
        <v>1031</v>
      </c>
      <c r="AR138" s="60">
        <f>SUM(AN138:AQ138)</f>
        <v>-695</v>
      </c>
      <c r="AS138" s="165">
        <f t="shared" si="236"/>
        <v>-2508</v>
      </c>
      <c r="AT138" s="165">
        <f t="shared" si="236"/>
        <v>-89</v>
      </c>
      <c r="AU138" s="165">
        <f t="shared" si="236"/>
        <v>-272</v>
      </c>
      <c r="AV138" s="161">
        <f>371-SUM(AS138:AU138)</f>
        <v>3240</v>
      </c>
      <c r="AW138" s="60">
        <f>SUM(AS138:AV138)</f>
        <v>371</v>
      </c>
      <c r="AX138" s="165">
        <f t="shared" si="237"/>
        <v>-1600</v>
      </c>
      <c r="AY138" s="165">
        <f t="shared" si="237"/>
        <v>-1266</v>
      </c>
      <c r="AZ138" s="165">
        <f t="shared" si="237"/>
        <v>939</v>
      </c>
      <c r="BA138" s="161">
        <f>-358-SUM(AX138:AZ138)</f>
        <v>1569</v>
      </c>
      <c r="BB138" s="60">
        <f>SUM(AX138:BA138)</f>
        <v>-358</v>
      </c>
      <c r="BC138" s="165">
        <f t="shared" si="238"/>
        <v>413</v>
      </c>
      <c r="BD138" s="165">
        <f t="shared" si="238"/>
        <v>-28</v>
      </c>
      <c r="BE138" s="165">
        <f t="shared" si="238"/>
        <v>43</v>
      </c>
      <c r="BF138" s="161">
        <f>2201-SUM(BC138:BE138)</f>
        <v>1773</v>
      </c>
      <c r="BG138" s="60">
        <f>SUM(BC138:BF138)</f>
        <v>2201</v>
      </c>
      <c r="BH138" s="165">
        <f t="shared" si="239"/>
        <v>-1251</v>
      </c>
      <c r="BI138" s="165">
        <f t="shared" si="239"/>
        <v>216</v>
      </c>
      <c r="BJ138" s="165">
        <f t="shared" si="239"/>
        <v>-779</v>
      </c>
      <c r="BK138" s="161">
        <f>-704-SUM(BH138:BJ138)</f>
        <v>1110</v>
      </c>
      <c r="BL138" s="60">
        <f>SUM(BH138:BK138)</f>
        <v>-704</v>
      </c>
      <c r="BM138" s="165">
        <f t="shared" si="240"/>
        <v>-1497</v>
      </c>
      <c r="BN138" s="165">
        <f t="shared" si="240"/>
        <v>378</v>
      </c>
      <c r="BO138" s="165">
        <f t="shared" si="240"/>
        <v>-176</v>
      </c>
      <c r="BP138" s="161">
        <f>-367-SUM(BM138:BO138)</f>
        <v>928</v>
      </c>
      <c r="BQ138" s="60">
        <f>SUM(BM138:BP138)</f>
        <v>-367</v>
      </c>
      <c r="BR138" s="165">
        <f t="shared" si="241"/>
        <v>-1130</v>
      </c>
      <c r="BS138" s="165">
        <f t="shared" si="241"/>
        <v>-258</v>
      </c>
      <c r="BT138" s="165">
        <f t="shared" si="241"/>
        <v>-919</v>
      </c>
      <c r="BU138" s="161">
        <f>-1401-SUM(BR138:BT138)</f>
        <v>906</v>
      </c>
      <c r="BV138" s="60">
        <f>SUM(BR138:BU138)</f>
        <v>-1401</v>
      </c>
      <c r="BW138" s="165">
        <f t="shared" si="242"/>
        <v>-1061</v>
      </c>
      <c r="BX138" s="165">
        <f t="shared" si="242"/>
        <v>231</v>
      </c>
      <c r="BY138" s="165">
        <f t="shared" si="242"/>
        <v>-607</v>
      </c>
      <c r="BZ138" s="161">
        <f>-572-SUM(BW138:BY138)</f>
        <v>865</v>
      </c>
      <c r="CA138" s="60">
        <f>SUM(BW138:BZ138)</f>
        <v>-572</v>
      </c>
      <c r="CB138" s="165">
        <f t="shared" si="243"/>
        <v>-1166</v>
      </c>
      <c r="CC138" s="165">
        <f t="shared" si="243"/>
        <v>-491</v>
      </c>
      <c r="CD138" s="165">
        <f t="shared" si="243"/>
        <v>69</v>
      </c>
      <c r="CE138" s="161">
        <f>-936-SUM(CB138:CD138)</f>
        <v>652</v>
      </c>
      <c r="CF138" s="60">
        <f>SUM(CB138:CE138)</f>
        <v>-936</v>
      </c>
      <c r="CG138" s="165">
        <f t="shared" si="244"/>
        <v>-1649</v>
      </c>
      <c r="CH138" s="165">
        <f t="shared" si="244"/>
        <v>81</v>
      </c>
      <c r="CI138" s="165">
        <f t="shared" si="244"/>
        <v>-58</v>
      </c>
      <c r="CJ138" s="161">
        <f>-1155-SUM(CG138:CI138)</f>
        <v>471</v>
      </c>
      <c r="CK138" s="235">
        <f>SUM(CG138:CJ138)</f>
        <v>-1155</v>
      </c>
      <c r="CL138" s="165">
        <f t="shared" si="245"/>
        <v>-1451</v>
      </c>
      <c r="CM138" s="165">
        <f t="shared" si="245"/>
        <v>-59</v>
      </c>
      <c r="CN138" s="165">
        <f t="shared" si="245"/>
        <v>-390</v>
      </c>
      <c r="CO138" s="161">
        <f>-815-SUM(CL138:CN138)</f>
        <v>1085</v>
      </c>
      <c r="CP138" s="235">
        <f>SUM(CL138:CO138)</f>
        <v>-815</v>
      </c>
      <c r="CQ138" s="165">
        <f t="shared" si="246"/>
        <v>-1637</v>
      </c>
      <c r="CR138" s="165">
        <f t="shared" si="246"/>
        <v>-557</v>
      </c>
      <c r="CS138" s="165">
        <f t="shared" si="246"/>
        <v>-171</v>
      </c>
      <c r="CT138" s="161">
        <f>-959-SUM(CQ138:CS138)</f>
        <v>1406</v>
      </c>
      <c r="CU138" s="235">
        <f t="shared" si="227"/>
        <v>-959</v>
      </c>
      <c r="CV138" s="165">
        <f t="shared" si="247"/>
        <v>-57.260430507931233</v>
      </c>
      <c r="CW138" s="165">
        <f t="shared" si="247"/>
        <v>-73.766080649595096</v>
      </c>
      <c r="CX138" s="165">
        <f t="shared" si="247"/>
        <v>-99.312128513935022</v>
      </c>
      <c r="CY138" s="165">
        <f t="shared" si="247"/>
        <v>-35.275282736191002</v>
      </c>
      <c r="CZ138" s="235">
        <f t="shared" si="228"/>
        <v>-265.61392240765235</v>
      </c>
      <c r="DA138" s="235">
        <f t="shared" si="248"/>
        <v>-1814.6820208420213</v>
      </c>
      <c r="DB138" s="235">
        <f t="shared" si="248"/>
        <v>-358.45116490257169</v>
      </c>
      <c r="DC138" s="235">
        <f t="shared" si="248"/>
        <v>-409.23100648941909</v>
      </c>
      <c r="DD138" s="31"/>
      <c r="DE138" s="31"/>
      <c r="DF138" s="235">
        <f t="shared" si="220"/>
        <v>1406</v>
      </c>
      <c r="DG138" s="235">
        <v>-165.0592918305083</v>
      </c>
      <c r="DH138" s="235">
        <f t="shared" si="221"/>
        <v>1085</v>
      </c>
      <c r="DI138" s="454">
        <f t="shared" si="222"/>
        <v>-9.5181511710577063</v>
      </c>
      <c r="DJ138" s="454">
        <f t="shared" si="223"/>
        <v>0.29585253456221206</v>
      </c>
      <c r="DK138" s="31"/>
      <c r="DL138" s="31"/>
      <c r="DM138" s="31"/>
    </row>
    <row r="139" spans="1:117" ht="12" customHeight="1">
      <c r="A139" s="1109">
        <f t="shared" si="113"/>
        <v>130</v>
      </c>
      <c r="B139" s="10"/>
      <c r="C139" s="292" t="s">
        <v>830</v>
      </c>
      <c r="D139" s="30"/>
      <c r="E139" s="332">
        <f>730+1461</f>
        <v>2191</v>
      </c>
      <c r="F139" s="332">
        <f>5447+1303</f>
        <v>6750</v>
      </c>
      <c r="G139" s="332">
        <f>3854-121</f>
        <v>3733</v>
      </c>
      <c r="H139" s="332">
        <f>2915+890</f>
        <v>3805</v>
      </c>
      <c r="I139" s="332">
        <f>1154-1213</f>
        <v>-59</v>
      </c>
      <c r="J139" s="165">
        <f>I86-J86</f>
        <v>-293</v>
      </c>
      <c r="K139" s="165">
        <f>J86-K86</f>
        <v>-2010</v>
      </c>
      <c r="L139" s="165">
        <f>K86-L86</f>
        <v>2389</v>
      </c>
      <c r="M139" s="161">
        <f>2444+1509-SUM(J139:L139)</f>
        <v>3867</v>
      </c>
      <c r="N139" s="60">
        <f>SUM(J139:M139)</f>
        <v>3953</v>
      </c>
      <c r="O139" s="165">
        <f>N86-O86</f>
        <v>-1997</v>
      </c>
      <c r="P139" s="165">
        <f>O86-P86</f>
        <v>-200</v>
      </c>
      <c r="Q139" s="165">
        <f>P86-Q86</f>
        <v>2631</v>
      </c>
      <c r="R139" s="161">
        <f>4729-969-SUM(O139:Q139)</f>
        <v>3326</v>
      </c>
      <c r="S139" s="60">
        <f>SUM(O139:R139)</f>
        <v>3760</v>
      </c>
      <c r="T139" s="165">
        <f>S86-T86</f>
        <v>-5571</v>
      </c>
      <c r="U139" s="165">
        <f>T86-U86</f>
        <v>-27</v>
      </c>
      <c r="V139" s="165">
        <f>U86-V86</f>
        <v>2050</v>
      </c>
      <c r="W139" s="161">
        <f>3928+2678-SUM(T139:V139)</f>
        <v>10154</v>
      </c>
      <c r="X139" s="60">
        <f>SUM(T139:W139)</f>
        <v>6606</v>
      </c>
      <c r="Y139" s="165">
        <f>X86-Y86</f>
        <v>-1544</v>
      </c>
      <c r="Z139" s="165">
        <f>Y86-Z86</f>
        <v>-1352</v>
      </c>
      <c r="AA139" s="165">
        <f>Z86-AA86</f>
        <v>1090</v>
      </c>
      <c r="AB139" s="161">
        <f>-2017+1078-SUM(Y139:AA139)</f>
        <v>867</v>
      </c>
      <c r="AC139" s="60">
        <f>SUM(Y139:AB139)</f>
        <v>-939</v>
      </c>
      <c r="AD139" s="165">
        <f>AC86-AD86</f>
        <v>-6138</v>
      </c>
      <c r="AE139" s="165">
        <f>AD86-AE86</f>
        <v>4666</v>
      </c>
      <c r="AF139" s="165">
        <f>AE86-AF86</f>
        <v>-520</v>
      </c>
      <c r="AG139" s="161">
        <f>-6799-923-SUM(AD139:AF139)</f>
        <v>-5730</v>
      </c>
      <c r="AH139" s="60">
        <f>SUM(AD139:AG139)</f>
        <v>-7722</v>
      </c>
      <c r="AI139" s="165">
        <f>AH86-AI86</f>
        <v>-2139</v>
      </c>
      <c r="AJ139" s="165">
        <f>AI86-AJ86</f>
        <v>316</v>
      </c>
      <c r="AK139" s="165">
        <f>AJ86-AK86</f>
        <v>862</v>
      </c>
      <c r="AL139" s="161">
        <f>-66-SUM(AI139:AK139)</f>
        <v>895</v>
      </c>
      <c r="AM139" s="60">
        <f>SUM(AI139:AL139)</f>
        <v>-66</v>
      </c>
      <c r="AN139" s="165">
        <f>AM86-AN86</f>
        <v>-1095</v>
      </c>
      <c r="AO139" s="165">
        <f>AN86-AO86</f>
        <v>331</v>
      </c>
      <c r="AP139" s="165">
        <f>AO86-AP86</f>
        <v>936</v>
      </c>
      <c r="AQ139" s="161">
        <f>6534-SUM(AN139:AP139)</f>
        <v>6362</v>
      </c>
      <c r="AR139" s="60">
        <f>SUM(AN139:AQ139)</f>
        <v>6534</v>
      </c>
      <c r="AS139" s="165">
        <f>AR86-AS86</f>
        <v>-3266</v>
      </c>
      <c r="AT139" s="165">
        <f>AS86-AT86</f>
        <v>-1015</v>
      </c>
      <c r="AU139" s="165">
        <f>AT86-AU86</f>
        <v>-403</v>
      </c>
      <c r="AV139" s="161">
        <f>1348-SUM(AS139:AU139)</f>
        <v>6032</v>
      </c>
      <c r="AW139" s="60">
        <f>SUM(AS139:AV139)</f>
        <v>1348</v>
      </c>
      <c r="AX139" s="165">
        <f>AW86-AX86</f>
        <v>-3132</v>
      </c>
      <c r="AY139" s="165">
        <f>AX86-AY86</f>
        <v>-252</v>
      </c>
      <c r="AZ139" s="165">
        <f>AY86-AZ86</f>
        <v>3858</v>
      </c>
      <c r="BA139" s="161">
        <f>-12647-SUM(AX139:AZ139)</f>
        <v>-13121</v>
      </c>
      <c r="BB139" s="60">
        <f>SUM(AX139:BA139)</f>
        <v>-12647</v>
      </c>
      <c r="BC139" s="165">
        <f>BB86-BC86</f>
        <v>263</v>
      </c>
      <c r="BD139" s="165">
        <f>BC86-BD86</f>
        <v>-1089</v>
      </c>
      <c r="BE139" s="165">
        <f>BD86-BE86</f>
        <v>-1238</v>
      </c>
      <c r="BF139" s="161">
        <f>-2832-SUM(BC139:BE139)</f>
        <v>-768</v>
      </c>
      <c r="BG139" s="60">
        <f>SUM(BC139:BF139)</f>
        <v>-2832</v>
      </c>
      <c r="BH139" s="165">
        <f>BG86-BH86</f>
        <v>-1310</v>
      </c>
      <c r="BI139" s="165">
        <f>BH86-BI86</f>
        <v>-365</v>
      </c>
      <c r="BJ139" s="165">
        <f>BI86-BJ86</f>
        <v>-1398</v>
      </c>
      <c r="BK139" s="161">
        <f>-704-SUM(BH139:BJ139)</f>
        <v>2369</v>
      </c>
      <c r="BL139" s="60">
        <f>SUM(BH139:BK139)</f>
        <v>-704</v>
      </c>
      <c r="BM139" s="165">
        <f>BL86-BM86</f>
        <v>-3622</v>
      </c>
      <c r="BN139" s="165">
        <f>BM86-BN86</f>
        <v>560</v>
      </c>
      <c r="BO139" s="165">
        <f>BN86-BO86</f>
        <v>500</v>
      </c>
      <c r="BP139" s="161">
        <f>-618-SUM(BM139:BO139)</f>
        <v>1944</v>
      </c>
      <c r="BQ139" s="60">
        <f>SUM(BM139:BP139)</f>
        <v>-618</v>
      </c>
      <c r="BR139" s="165">
        <f>BQ86-BR86</f>
        <v>-1914</v>
      </c>
      <c r="BS139" s="165">
        <f>BR86-BS86</f>
        <v>-23</v>
      </c>
      <c r="BT139" s="165">
        <f>BS86-BT86</f>
        <v>-1132</v>
      </c>
      <c r="BU139" s="161">
        <f>-554-SUM(BR139:BT139)</f>
        <v>2515</v>
      </c>
      <c r="BV139" s="60">
        <f>SUM(BR139:BU139)</f>
        <v>-554</v>
      </c>
      <c r="BW139" s="165">
        <f>BV86-BW86</f>
        <v>-1292</v>
      </c>
      <c r="BX139" s="165">
        <f>BW86-BX86</f>
        <v>-361</v>
      </c>
      <c r="BY139" s="165">
        <f>BX86-BY86</f>
        <v>-679</v>
      </c>
      <c r="BZ139" s="161">
        <f>1231-SUM(BW139:BY139)</f>
        <v>3563</v>
      </c>
      <c r="CA139" s="60">
        <f>SUM(BW139:BZ139)</f>
        <v>1231</v>
      </c>
      <c r="CB139" s="165">
        <f>CA86-CB86</f>
        <v>-2678</v>
      </c>
      <c r="CC139" s="165">
        <f>CB86-CC86</f>
        <v>147</v>
      </c>
      <c r="CD139" s="165">
        <f>CC86-CD86</f>
        <v>907</v>
      </c>
      <c r="CE139" s="161">
        <f>5729-SUM(CB139:CD139)</f>
        <v>7353</v>
      </c>
      <c r="CF139" s="60">
        <f>SUM(CB139:CE139)</f>
        <v>5729</v>
      </c>
      <c r="CG139" s="165">
        <f>CF86-CG86</f>
        <v>-2331</v>
      </c>
      <c r="CH139" s="165">
        <f>CG86-CH86</f>
        <v>522</v>
      </c>
      <c r="CI139" s="165">
        <f>CH86-CI86</f>
        <v>-542</v>
      </c>
      <c r="CJ139" s="161">
        <f>7758-SUM(CG139:CI139)</f>
        <v>10109</v>
      </c>
      <c r="CK139" s="235">
        <f>SUM(CG139:CJ139)</f>
        <v>7758</v>
      </c>
      <c r="CL139" s="165">
        <f>CK86-CL86</f>
        <v>-1800</v>
      </c>
      <c r="CM139" s="165">
        <f>CL86-CM86</f>
        <v>-1012</v>
      </c>
      <c r="CN139" s="165">
        <f>CM86-CN86</f>
        <v>700</v>
      </c>
      <c r="CO139" s="161">
        <f>6595-SUM(CL139:CN139)</f>
        <v>8707</v>
      </c>
      <c r="CP139" s="235">
        <f>SUM(CL139:CO139)</f>
        <v>6595</v>
      </c>
      <c r="CQ139" s="165">
        <f>CP86-CQ86</f>
        <v>-1961</v>
      </c>
      <c r="CR139" s="165">
        <f>CR86-CQ86</f>
        <v>311</v>
      </c>
      <c r="CS139" s="165">
        <f>CS86-CR86</f>
        <v>-2</v>
      </c>
      <c r="CT139" s="161">
        <f>6089-SUM(CQ139:CS139)</f>
        <v>7741</v>
      </c>
      <c r="CU139" s="235">
        <f t="shared" si="227"/>
        <v>6089</v>
      </c>
      <c r="CV139" s="165">
        <f>CV86-CU86</f>
        <v>32.754234831863869</v>
      </c>
      <c r="CW139" s="165">
        <f>CW86-CV86</f>
        <v>30.195495866715646</v>
      </c>
      <c r="CX139" s="165">
        <f>CX86-CW86</f>
        <v>61.677043935294932</v>
      </c>
      <c r="CY139" s="165">
        <f>CY86-CX86</f>
        <v>61.909973828900547</v>
      </c>
      <c r="CZ139" s="235">
        <f t="shared" si="228"/>
        <v>186.53674846277499</v>
      </c>
      <c r="DA139" s="235">
        <f>DA86-CZ86</f>
        <v>697.42254858996603</v>
      </c>
      <c r="DB139" s="235">
        <f>DB86-DA86</f>
        <v>700.9880074733228</v>
      </c>
      <c r="DC139" s="235">
        <f>DC86-DB86</f>
        <v>651.92764249135871</v>
      </c>
      <c r="DD139" s="31"/>
      <c r="DE139" s="31"/>
      <c r="DF139" s="235">
        <f t="shared" si="220"/>
        <v>7741</v>
      </c>
      <c r="DG139" s="235">
        <v>-44.851463751750998</v>
      </c>
      <c r="DH139" s="235">
        <f t="shared" si="221"/>
        <v>8707</v>
      </c>
      <c r="DI139" s="454">
        <f t="shared" si="222"/>
        <v>-173.59191456594974</v>
      </c>
      <c r="DJ139" s="454">
        <f t="shared" si="223"/>
        <v>-0.11094521649247735</v>
      </c>
      <c r="DK139" s="31"/>
      <c r="DL139" s="31"/>
      <c r="DM139" s="31"/>
    </row>
    <row r="140" spans="1:117" ht="12" customHeight="1">
      <c r="A140" s="1109">
        <f t="shared" ref="A140:A180" si="249">A139+1</f>
        <v>131</v>
      </c>
      <c r="B140" s="10"/>
      <c r="C140" s="1" t="s">
        <v>357</v>
      </c>
      <c r="D140" s="30"/>
      <c r="E140" s="235">
        <f>E141-SUM(E132:E134)</f>
        <v>2339</v>
      </c>
      <c r="F140" s="235">
        <f t="shared" ref="F140:BQ140" si="250">F141-SUM(F132:F134)</f>
        <v>10644</v>
      </c>
      <c r="G140" s="235">
        <f t="shared" si="250"/>
        <v>13860</v>
      </c>
      <c r="H140" s="235">
        <f t="shared" si="250"/>
        <v>-97255</v>
      </c>
      <c r="I140" s="235">
        <f t="shared" si="250"/>
        <v>22383</v>
      </c>
      <c r="J140" s="165">
        <f t="shared" si="250"/>
        <v>6974</v>
      </c>
      <c r="K140" s="165">
        <f t="shared" si="250"/>
        <v>14045</v>
      </c>
      <c r="L140" s="165">
        <f t="shared" si="250"/>
        <v>4635</v>
      </c>
      <c r="M140" s="165">
        <f t="shared" si="250"/>
        <v>-723</v>
      </c>
      <c r="N140" s="60">
        <f t="shared" si="250"/>
        <v>24931</v>
      </c>
      <c r="O140" s="165">
        <f t="shared" si="250"/>
        <v>3887.25</v>
      </c>
      <c r="P140" s="165">
        <f t="shared" si="250"/>
        <v>5574.25</v>
      </c>
      <c r="Q140" s="165">
        <f t="shared" si="250"/>
        <v>-13463.75</v>
      </c>
      <c r="R140" s="165">
        <f t="shared" si="250"/>
        <v>-5002.75</v>
      </c>
      <c r="S140" s="60">
        <f t="shared" si="250"/>
        <v>-9005</v>
      </c>
      <c r="T140" s="165">
        <f t="shared" si="250"/>
        <v>7401.75</v>
      </c>
      <c r="U140" s="165">
        <f t="shared" si="250"/>
        <v>7724.75</v>
      </c>
      <c r="V140" s="165">
        <f t="shared" si="250"/>
        <v>-4889.25</v>
      </c>
      <c r="W140" s="165">
        <f t="shared" si="250"/>
        <v>-24564.25</v>
      </c>
      <c r="X140" s="60">
        <f t="shared" si="250"/>
        <v>-14327</v>
      </c>
      <c r="Y140" s="165">
        <f t="shared" si="250"/>
        <v>1913.25</v>
      </c>
      <c r="Z140" s="165">
        <f t="shared" si="250"/>
        <v>20480.25</v>
      </c>
      <c r="AA140" s="165">
        <f t="shared" si="250"/>
        <v>1865.25</v>
      </c>
      <c r="AB140" s="165">
        <f t="shared" si="250"/>
        <v>-12228.75</v>
      </c>
      <c r="AC140" s="60">
        <f t="shared" si="250"/>
        <v>12030</v>
      </c>
      <c r="AD140" s="165">
        <f t="shared" si="250"/>
        <v>6264.5</v>
      </c>
      <c r="AE140" s="165">
        <f t="shared" si="250"/>
        <v>-2380.5</v>
      </c>
      <c r="AF140" s="165">
        <f t="shared" si="250"/>
        <v>8268.5</v>
      </c>
      <c r="AG140" s="165">
        <f t="shared" si="250"/>
        <v>271.5</v>
      </c>
      <c r="AH140" s="60">
        <f t="shared" si="250"/>
        <v>12424</v>
      </c>
      <c r="AI140" s="165">
        <f t="shared" si="250"/>
        <v>-3037.75</v>
      </c>
      <c r="AJ140" s="165">
        <f t="shared" si="250"/>
        <v>-2559.75</v>
      </c>
      <c r="AK140" s="165">
        <f t="shared" si="250"/>
        <v>-3186.75</v>
      </c>
      <c r="AL140" s="165">
        <f t="shared" si="250"/>
        <v>12121.25</v>
      </c>
      <c r="AM140" s="60">
        <f t="shared" si="250"/>
        <v>3337</v>
      </c>
      <c r="AN140" s="165">
        <f t="shared" si="250"/>
        <v>-418.25</v>
      </c>
      <c r="AO140" s="165">
        <f t="shared" si="250"/>
        <v>8163.75</v>
      </c>
      <c r="AP140" s="165">
        <f t="shared" si="250"/>
        <v>6690.75</v>
      </c>
      <c r="AQ140" s="165">
        <f t="shared" si="250"/>
        <v>-13594.25</v>
      </c>
      <c r="AR140" s="60">
        <f t="shared" si="250"/>
        <v>842</v>
      </c>
      <c r="AS140" s="165">
        <f t="shared" si="250"/>
        <v>5062</v>
      </c>
      <c r="AT140" s="165">
        <f t="shared" si="250"/>
        <v>4228</v>
      </c>
      <c r="AU140" s="165">
        <f t="shared" si="250"/>
        <v>5948</v>
      </c>
      <c r="AV140" s="165">
        <f t="shared" si="250"/>
        <v>-2902</v>
      </c>
      <c r="AW140" s="60">
        <f t="shared" si="250"/>
        <v>12336</v>
      </c>
      <c r="AX140" s="165">
        <f t="shared" si="250"/>
        <v>2008.5</v>
      </c>
      <c r="AY140" s="165">
        <f t="shared" si="250"/>
        <v>6920.5</v>
      </c>
      <c r="AZ140" s="165">
        <f t="shared" si="250"/>
        <v>-14099.5</v>
      </c>
      <c r="BA140" s="165">
        <f t="shared" si="250"/>
        <v>1104.5</v>
      </c>
      <c r="BB140" s="60">
        <f t="shared" si="250"/>
        <v>-4066</v>
      </c>
      <c r="BC140" s="165">
        <f t="shared" si="250"/>
        <v>-6862.75</v>
      </c>
      <c r="BD140" s="165">
        <f t="shared" si="250"/>
        <v>-53.75</v>
      </c>
      <c r="BE140" s="165">
        <f t="shared" si="250"/>
        <v>-257.75</v>
      </c>
      <c r="BF140" s="165">
        <f t="shared" si="250"/>
        <v>-6559.75</v>
      </c>
      <c r="BG140" s="60">
        <f t="shared" si="250"/>
        <v>-13734</v>
      </c>
      <c r="BH140" s="165">
        <f t="shared" si="250"/>
        <v>-437</v>
      </c>
      <c r="BI140" s="165">
        <f t="shared" si="250"/>
        <v>-2032</v>
      </c>
      <c r="BJ140" s="165">
        <f t="shared" si="250"/>
        <v>2684</v>
      </c>
      <c r="BK140" s="165">
        <f t="shared" si="250"/>
        <v>-6408</v>
      </c>
      <c r="BL140" s="60">
        <f t="shared" si="250"/>
        <v>-6193</v>
      </c>
      <c r="BM140" s="165">
        <f t="shared" si="250"/>
        <v>5179</v>
      </c>
      <c r="BN140" s="165">
        <f t="shared" si="250"/>
        <v>211</v>
      </c>
      <c r="BO140" s="165">
        <f t="shared" si="250"/>
        <v>-2963</v>
      </c>
      <c r="BP140" s="165">
        <f t="shared" si="250"/>
        <v>-3959</v>
      </c>
      <c r="BQ140" s="60">
        <f t="shared" si="250"/>
        <v>-1532</v>
      </c>
      <c r="BR140" s="165">
        <f t="shared" ref="BR140:CS140" si="251">BR141-SUM(BR132:BR134)</f>
        <v>3538.5</v>
      </c>
      <c r="BS140" s="165">
        <f t="shared" si="251"/>
        <v>127.5</v>
      </c>
      <c r="BT140" s="165">
        <f t="shared" si="251"/>
        <v>3293.5</v>
      </c>
      <c r="BU140" s="165">
        <f t="shared" si="251"/>
        <v>-3427.5</v>
      </c>
      <c r="BV140" s="60">
        <f t="shared" si="251"/>
        <v>3532</v>
      </c>
      <c r="BW140" s="165">
        <f t="shared" si="251"/>
        <v>360</v>
      </c>
      <c r="BX140" s="165">
        <f t="shared" si="251"/>
        <v>3263</v>
      </c>
      <c r="BY140" s="165">
        <f t="shared" si="251"/>
        <v>4045</v>
      </c>
      <c r="BZ140" s="165">
        <f t="shared" si="251"/>
        <v>-3121</v>
      </c>
      <c r="CA140" s="60">
        <f t="shared" si="251"/>
        <v>4547</v>
      </c>
      <c r="CB140" s="165">
        <f t="shared" si="251"/>
        <v>6155.75</v>
      </c>
      <c r="CC140" s="165">
        <f t="shared" si="251"/>
        <v>5167.75</v>
      </c>
      <c r="CD140" s="165">
        <f t="shared" si="251"/>
        <v>320.75</v>
      </c>
      <c r="CE140" s="165">
        <f t="shared" si="251"/>
        <v>-2393.25</v>
      </c>
      <c r="CF140" s="60">
        <f t="shared" si="251"/>
        <v>9251</v>
      </c>
      <c r="CG140" s="165">
        <f t="shared" si="251"/>
        <v>2254.75</v>
      </c>
      <c r="CH140" s="165">
        <f t="shared" si="251"/>
        <v>4095.75</v>
      </c>
      <c r="CI140" s="165">
        <f t="shared" si="251"/>
        <v>5635.75</v>
      </c>
      <c r="CJ140" s="165">
        <f t="shared" si="251"/>
        <v>-8022.25</v>
      </c>
      <c r="CK140" s="235">
        <f t="shared" si="251"/>
        <v>2861.8912404787825</v>
      </c>
      <c r="CL140" s="165">
        <f t="shared" si="251"/>
        <v>5504.25</v>
      </c>
      <c r="CM140" s="165">
        <f t="shared" si="251"/>
        <v>4258.25</v>
      </c>
      <c r="CN140" s="165">
        <f t="shared" si="251"/>
        <v>439.25</v>
      </c>
      <c r="CO140" s="165">
        <f>CO141-SUM(CO132:CO134)</f>
        <v>-6993.75</v>
      </c>
      <c r="CP140" s="235">
        <f t="shared" si="251"/>
        <v>3208</v>
      </c>
      <c r="CQ140" s="165">
        <f t="shared" si="251"/>
        <v>8124</v>
      </c>
      <c r="CR140" s="165">
        <f t="shared" si="251"/>
        <v>3472</v>
      </c>
      <c r="CS140" s="165">
        <f t="shared" si="251"/>
        <v>2216</v>
      </c>
      <c r="CT140" s="165">
        <f>CT141-SUM(CT132:CT134)</f>
        <v>-10109</v>
      </c>
      <c r="CU140" s="235">
        <f t="shared" si="227"/>
        <v>3703</v>
      </c>
      <c r="CV140" s="165">
        <f>+CU82-CV82</f>
        <v>-11.401096086136022</v>
      </c>
      <c r="CW140" s="165">
        <f>+CV82-CW82</f>
        <v>-10.510450068888531</v>
      </c>
      <c r="CX140" s="165">
        <f>+CW82-CX82</f>
        <v>-21.468549267745402</v>
      </c>
      <c r="CY140" s="165">
        <f>+CX82-CY82</f>
        <v>-21.549627519519163</v>
      </c>
      <c r="CZ140" s="235">
        <f t="shared" si="228"/>
        <v>-64.929722942289118</v>
      </c>
      <c r="DA140" s="235">
        <f>+CZ82-DA82</f>
        <v>-46.376830495763897</v>
      </c>
      <c r="DB140" s="235">
        <f>+DA82-DB82</f>
        <v>-238.30344580524797</v>
      </c>
      <c r="DC140" s="235">
        <f>+DB82-DC82</f>
        <v>-221.62519467538368</v>
      </c>
      <c r="DD140" s="31"/>
      <c r="DE140" s="31"/>
      <c r="DF140" s="235">
        <f t="shared" si="220"/>
        <v>-10109</v>
      </c>
      <c r="DG140" s="235">
        <v>13.400626168042436</v>
      </c>
      <c r="DH140" s="235">
        <f t="shared" si="221"/>
        <v>-6993.75</v>
      </c>
      <c r="DI140" s="454">
        <f t="shared" si="222"/>
        <v>-755.3677342561615</v>
      </c>
      <c r="DJ140" s="454">
        <f t="shared" si="223"/>
        <v>0.44543342269883834</v>
      </c>
      <c r="DK140" s="31"/>
      <c r="DL140" s="31"/>
      <c r="DM140" s="31"/>
    </row>
    <row r="141" spans="1:117" ht="12" customHeight="1">
      <c r="A141" s="1109">
        <f t="shared" si="249"/>
        <v>132</v>
      </c>
      <c r="B141" s="10"/>
      <c r="C141" s="1" t="s">
        <v>30</v>
      </c>
      <c r="E141" s="144">
        <f>8849+12322</f>
        <v>21171</v>
      </c>
      <c r="F141" s="144">
        <f>6576+12681</f>
        <v>19257</v>
      </c>
      <c r="G141" s="144">
        <f>13984+13650</f>
        <v>27634</v>
      </c>
      <c r="H141" s="144">
        <f>9622+13478</f>
        <v>23100</v>
      </c>
      <c r="I141" s="144">
        <f>14851+12540</f>
        <v>27391</v>
      </c>
      <c r="J141" s="154">
        <f>3465+5415</f>
        <v>8880</v>
      </c>
      <c r="K141" s="154">
        <f>9600+10013-J141</f>
        <v>10733</v>
      </c>
      <c r="L141" s="154">
        <f>14932+13240-K141-J141</f>
        <v>8559</v>
      </c>
      <c r="M141" s="161">
        <f>18881+15457-L141-K141-J141</f>
        <v>6166</v>
      </c>
      <c r="N141" s="60">
        <f>SUM(J141:M141)</f>
        <v>34338</v>
      </c>
      <c r="O141" s="154">
        <f>3241+1897</f>
        <v>5138</v>
      </c>
      <c r="P141" s="154">
        <f>6818+6847-O141</f>
        <v>8527</v>
      </c>
      <c r="Q141" s="154">
        <f>10755+11232-P141-O141</f>
        <v>8322</v>
      </c>
      <c r="R141" s="161">
        <f>21891-Q141-P141-O141</f>
        <v>-96</v>
      </c>
      <c r="S141" s="60">
        <f>SUM(O141:R141)</f>
        <v>21891</v>
      </c>
      <c r="T141" s="154">
        <v>5617</v>
      </c>
      <c r="U141" s="154">
        <f>12352-T141</f>
        <v>6735</v>
      </c>
      <c r="V141" s="154">
        <f>17583-U141-T141</f>
        <v>5231</v>
      </c>
      <c r="W141" s="161">
        <f>18513-V141-U141-T141</f>
        <v>930</v>
      </c>
      <c r="X141" s="60">
        <f>SUM(T141:W141)</f>
        <v>18513</v>
      </c>
      <c r="Y141" s="154">
        <v>7775</v>
      </c>
      <c r="Z141" s="154">
        <f>13774-Y141</f>
        <v>5999</v>
      </c>
      <c r="AA141" s="154">
        <f>19459-Z141-Y141</f>
        <v>5685</v>
      </c>
      <c r="AB141" s="161">
        <f>17280-AA141-Z141-Y141</f>
        <v>-2179</v>
      </c>
      <c r="AC141" s="60">
        <f>SUM(Y141:AB141)</f>
        <v>17280</v>
      </c>
      <c r="AD141" s="44">
        <v>4868</v>
      </c>
      <c r="AE141" s="44">
        <f>12512-AD141</f>
        <v>7644</v>
      </c>
      <c r="AF141" s="44">
        <f>19887-AE141-AD141</f>
        <v>7375</v>
      </c>
      <c r="AG141" s="44">
        <f>21683-AF141-AE141-AD141</f>
        <v>1796</v>
      </c>
      <c r="AH141" s="60">
        <f>SUM(AD141:AG141)</f>
        <v>21683</v>
      </c>
      <c r="AI141" s="44">
        <v>5165</v>
      </c>
      <c r="AJ141" s="44">
        <f>12749-AI141</f>
        <v>7584</v>
      </c>
      <c r="AK141" s="44">
        <f>19282-AJ141-AI141</f>
        <v>6533</v>
      </c>
      <c r="AL141" s="44">
        <f>20387-AK141-AJ141-AI141</f>
        <v>1105</v>
      </c>
      <c r="AM141" s="60">
        <f>SUM(AI141:AL141)</f>
        <v>20387</v>
      </c>
      <c r="AN141" s="154">
        <v>-17</v>
      </c>
      <c r="AO141" s="154">
        <f>9713-AN141</f>
        <v>9730</v>
      </c>
      <c r="AP141" s="154">
        <f>16979-AO141-AN141</f>
        <v>7266</v>
      </c>
      <c r="AQ141" s="161">
        <f>9622-AP141-AO141-AN141</f>
        <v>-7357</v>
      </c>
      <c r="AR141" s="60">
        <f>SUM(AN141:AQ141)</f>
        <v>9622</v>
      </c>
      <c r="AS141" s="154">
        <v>979</v>
      </c>
      <c r="AT141" s="154">
        <f>5227-AS141</f>
        <v>4248</v>
      </c>
      <c r="AU141" s="154">
        <f>13242-AT141-AS141</f>
        <v>8015</v>
      </c>
      <c r="AV141" s="161">
        <f>17074-AU141-AT141-AS141</f>
        <v>3832</v>
      </c>
      <c r="AW141" s="60">
        <f>SUM(AS141:AV141)</f>
        <v>17074</v>
      </c>
      <c r="AX141" s="154">
        <v>1027</v>
      </c>
      <c r="AY141" s="154">
        <f>2161-AX141</f>
        <v>1134</v>
      </c>
      <c r="AZ141" s="154">
        <f>3269-AY141-AX141</f>
        <v>1108</v>
      </c>
      <c r="BA141" s="161">
        <f>-179-AZ141-AY141-AX141</f>
        <v>-3448</v>
      </c>
      <c r="BB141" s="60">
        <f>SUM(AX141:BA141)</f>
        <v>-179</v>
      </c>
      <c r="BC141" s="154">
        <v>4016</v>
      </c>
      <c r="BD141" s="154">
        <f>9367-BC141</f>
        <v>5351</v>
      </c>
      <c r="BE141" s="154">
        <f>15081-BD141-BC141</f>
        <v>5714</v>
      </c>
      <c r="BF141" s="161">
        <f>15477-BE141-BD141-BC141</f>
        <v>396</v>
      </c>
      <c r="BG141" s="60">
        <f>SUM(BC141:BF141)</f>
        <v>15477</v>
      </c>
      <c r="BH141" s="154">
        <v>2683</v>
      </c>
      <c r="BI141" s="154">
        <f>6457-BH141</f>
        <v>3774</v>
      </c>
      <c r="BJ141" s="154">
        <f>10238-BI141-BH141</f>
        <v>3781</v>
      </c>
      <c r="BK141" s="161">
        <f>11477-BJ141-BI141-BH141</f>
        <v>1239</v>
      </c>
      <c r="BL141" s="60">
        <f>SUM(BH141:BK141)</f>
        <v>11477</v>
      </c>
      <c r="BM141" s="44">
        <v>2497</v>
      </c>
      <c r="BN141" s="44">
        <f>6226-BM141</f>
        <v>3729</v>
      </c>
      <c r="BO141" s="44">
        <f>10019-BN141-BM141</f>
        <v>3793</v>
      </c>
      <c r="BP141" s="117">
        <f>9784-BO141-BN141-BM141</f>
        <v>-235</v>
      </c>
      <c r="BQ141" s="60">
        <f>SUM(BM141:BP141)</f>
        <v>9784</v>
      </c>
      <c r="BR141" s="44">
        <v>2075</v>
      </c>
      <c r="BS141" s="44">
        <f>5979-BR141</f>
        <v>3904</v>
      </c>
      <c r="BT141" s="44">
        <f>9406-BS141-BR141</f>
        <v>3427</v>
      </c>
      <c r="BU141" s="117">
        <f>9045-BT141-BS141-BR141</f>
        <v>-361</v>
      </c>
      <c r="BV141" s="60">
        <f>SUM(BR141:BU141)</f>
        <v>9045</v>
      </c>
      <c r="BW141" s="154">
        <v>211</v>
      </c>
      <c r="BX141" s="154">
        <f>6289-BW141</f>
        <v>6078</v>
      </c>
      <c r="BY141" s="154">
        <f>10129-BX141-BW141</f>
        <v>3840</v>
      </c>
      <c r="BZ141" s="161">
        <f>10444-BY141-BX141-BW141</f>
        <v>315</v>
      </c>
      <c r="CA141" s="60">
        <f>SUM(BW141:BZ141)</f>
        <v>10444</v>
      </c>
      <c r="CB141" s="154">
        <v>2220</v>
      </c>
      <c r="CC141" s="154">
        <f>6970-CB141</f>
        <v>4750</v>
      </c>
      <c r="CD141" s="154">
        <f>12339-CC141-CB141</f>
        <v>5369</v>
      </c>
      <c r="CE141" s="161">
        <f>14507-CD141-CC141-CB141</f>
        <v>2168</v>
      </c>
      <c r="CF141" s="60">
        <f>SUM(CB141:CE141)</f>
        <v>14507</v>
      </c>
      <c r="CG141" s="154">
        <v>2413</v>
      </c>
      <c r="CH141" s="154">
        <f>7623-CG141</f>
        <v>5210</v>
      </c>
      <c r="CI141" s="154">
        <f>14078-CH141-CG141</f>
        <v>6455</v>
      </c>
      <c r="CJ141" s="161">
        <f>16170-CI141-CH141-CG141</f>
        <v>2092</v>
      </c>
      <c r="CK141" s="235">
        <f>SUM(CG141:CJ141)</f>
        <v>16170</v>
      </c>
      <c r="CL141" s="154">
        <v>4149</v>
      </c>
      <c r="CM141" s="154">
        <f>11834-CL141</f>
        <v>7685</v>
      </c>
      <c r="CN141" s="154">
        <f>16994-CM141-CL141</f>
        <v>5160</v>
      </c>
      <c r="CO141" s="161">
        <f>19792-CN141-CM141-CL141</f>
        <v>2798</v>
      </c>
      <c r="CP141" s="235">
        <f>SUM(CL141:CO141)</f>
        <v>19792</v>
      </c>
      <c r="CQ141" s="154">
        <v>4336</v>
      </c>
      <c r="CR141" s="154">
        <f>9951-CQ141</f>
        <v>5615</v>
      </c>
      <c r="CS141" s="154">
        <f>14949-CR141-CQ141</f>
        <v>4998</v>
      </c>
      <c r="CT141" s="154">
        <f>18096-SUM(CQ141:CS141)</f>
        <v>3147</v>
      </c>
      <c r="CU141" s="235">
        <f>SUM(CU132:CU134)+CU140</f>
        <v>18096</v>
      </c>
      <c r="CV141" s="49">
        <f t="shared" ref="CV141:DC141" si="252">SUM(CV132:CV134)+CV140</f>
        <v>1744.5472014242478</v>
      </c>
      <c r="CW141" s="49">
        <f t="shared" si="252"/>
        <v>3127.1996099063581</v>
      </c>
      <c r="CX141" s="49">
        <f t="shared" si="252"/>
        <v>2466.9145126135245</v>
      </c>
      <c r="CY141" s="49">
        <f t="shared" si="252"/>
        <v>2582.7245800046603</v>
      </c>
      <c r="CZ141" s="235">
        <f t="shared" si="252"/>
        <v>9921.3859039487907</v>
      </c>
      <c r="DA141" s="87">
        <f t="shared" si="252"/>
        <v>9005.5768890380859</v>
      </c>
      <c r="DB141" s="87">
        <f t="shared" si="252"/>
        <v>10296.215907065751</v>
      </c>
      <c r="DC141" s="87">
        <f t="shared" si="252"/>
        <v>10847.381727233567</v>
      </c>
      <c r="DD141" s="2"/>
      <c r="DE141" s="2"/>
      <c r="DF141" s="235">
        <f t="shared" si="220"/>
        <v>3147</v>
      </c>
      <c r="DG141" s="235">
        <v>4170.3941364270286</v>
      </c>
      <c r="DH141" s="235">
        <f t="shared" si="221"/>
        <v>2798</v>
      </c>
      <c r="DI141" s="454">
        <f t="shared" si="222"/>
        <v>-0.24539506409910172</v>
      </c>
      <c r="DJ141" s="454">
        <f t="shared" si="223"/>
        <v>0.12473195139385274</v>
      </c>
      <c r="DK141" s="2"/>
      <c r="DL141" s="2"/>
      <c r="DM141" s="2"/>
    </row>
    <row r="142" spans="1:117" ht="12" customHeight="1">
      <c r="A142" s="1109">
        <f t="shared" si="249"/>
        <v>133</v>
      </c>
      <c r="B142" s="10"/>
      <c r="C142" s="38"/>
      <c r="D142" s="38"/>
      <c r="E142" s="145"/>
      <c r="F142" s="145"/>
      <c r="G142" s="145"/>
      <c r="H142" s="145"/>
      <c r="I142" s="145"/>
      <c r="J142" s="153"/>
      <c r="K142" s="153"/>
      <c r="L142" s="153"/>
      <c r="M142" s="152"/>
      <c r="N142" s="75"/>
      <c r="O142" s="153"/>
      <c r="P142" s="153"/>
      <c r="Q142" s="153"/>
      <c r="R142" s="152"/>
      <c r="S142" s="75"/>
      <c r="T142" s="153"/>
      <c r="U142" s="153"/>
      <c r="V142" s="153"/>
      <c r="W142" s="152"/>
      <c r="X142" s="75"/>
      <c r="Y142" s="153"/>
      <c r="Z142" s="153"/>
      <c r="AA142" s="153"/>
      <c r="AB142" s="152"/>
      <c r="AC142" s="75"/>
      <c r="AD142" s="39"/>
      <c r="AE142" s="39"/>
      <c r="AF142" s="39"/>
      <c r="AG142" s="39"/>
      <c r="AH142" s="75"/>
      <c r="AI142" s="39"/>
      <c r="AJ142" s="39"/>
      <c r="AK142" s="39"/>
      <c r="AL142" s="39"/>
      <c r="AM142" s="75"/>
      <c r="AN142" s="153"/>
      <c r="AO142" s="153"/>
      <c r="AP142" s="153"/>
      <c r="AQ142" s="152"/>
      <c r="AR142" s="75"/>
      <c r="AS142" s="153"/>
      <c r="AT142" s="153"/>
      <c r="AU142" s="153"/>
      <c r="AV142" s="152"/>
      <c r="AW142" s="75"/>
      <c r="AX142" s="153"/>
      <c r="AY142" s="153"/>
      <c r="AZ142" s="153"/>
      <c r="BA142" s="152"/>
      <c r="BB142" s="75"/>
      <c r="BC142" s="153"/>
      <c r="BD142" s="153"/>
      <c r="BE142" s="153"/>
      <c r="BF142" s="152"/>
      <c r="BG142" s="75"/>
      <c r="BH142" s="153"/>
      <c r="BI142" s="153"/>
      <c r="BJ142" s="153"/>
      <c r="BK142" s="153"/>
      <c r="BL142" s="75"/>
      <c r="BM142" s="41"/>
      <c r="BN142" s="39"/>
      <c r="BO142" s="39"/>
      <c r="BP142" s="39"/>
      <c r="BQ142" s="75"/>
      <c r="BR142" s="41"/>
      <c r="BS142" s="39"/>
      <c r="BT142" s="39"/>
      <c r="BU142" s="39"/>
      <c r="BV142" s="75"/>
      <c r="BW142" s="153"/>
      <c r="BX142" s="152"/>
      <c r="BY142" s="152"/>
      <c r="BZ142" s="152"/>
      <c r="CA142" s="260"/>
      <c r="CB142" s="153"/>
      <c r="CC142" s="152"/>
      <c r="CD142" s="152"/>
      <c r="CE142" s="152"/>
      <c r="CF142" s="260"/>
      <c r="CG142" s="153"/>
      <c r="CH142" s="153"/>
      <c r="CI142" s="153"/>
      <c r="CJ142" s="153"/>
      <c r="CK142" s="260"/>
      <c r="CL142" s="153"/>
      <c r="CM142" s="153"/>
      <c r="CN142" s="153"/>
      <c r="CO142" s="153"/>
      <c r="CP142" s="260"/>
      <c r="CQ142" s="153"/>
      <c r="CR142" s="41"/>
      <c r="CS142" s="41"/>
      <c r="CT142" s="41"/>
      <c r="CU142" s="260"/>
      <c r="CV142" s="41"/>
      <c r="CW142" s="41"/>
      <c r="CX142" s="41"/>
      <c r="CY142" s="41"/>
      <c r="CZ142" s="260"/>
      <c r="DA142" s="75"/>
      <c r="DB142" s="75"/>
      <c r="DC142" s="75"/>
      <c r="DD142" s="2"/>
      <c r="DE142" s="2"/>
      <c r="DF142" s="260"/>
      <c r="DG142" s="260"/>
      <c r="DH142" s="260"/>
      <c r="DI142" s="463"/>
      <c r="DJ142" s="463"/>
      <c r="DK142" s="2"/>
      <c r="DL142" s="2"/>
      <c r="DM142" s="2"/>
    </row>
    <row r="143" spans="1:117" ht="12" customHeight="1">
      <c r="A143" s="1109">
        <f t="shared" si="249"/>
        <v>134</v>
      </c>
      <c r="B143" s="10"/>
      <c r="C143" s="24" t="s">
        <v>189</v>
      </c>
      <c r="D143" s="30"/>
      <c r="E143" s="146"/>
      <c r="F143" s="146"/>
      <c r="G143" s="146"/>
      <c r="H143" s="146"/>
      <c r="I143" s="146"/>
      <c r="J143" s="25"/>
      <c r="K143" s="25"/>
      <c r="L143" s="25"/>
      <c r="M143" s="16"/>
      <c r="N143" s="68"/>
      <c r="O143" s="25"/>
      <c r="P143" s="25"/>
      <c r="Q143" s="25"/>
      <c r="R143" s="16"/>
      <c r="S143" s="68"/>
      <c r="T143" s="25"/>
      <c r="U143" s="25"/>
      <c r="V143" s="25"/>
      <c r="W143" s="16"/>
      <c r="X143" s="68"/>
      <c r="Y143" s="25"/>
      <c r="Z143" s="25"/>
      <c r="AA143" s="25"/>
      <c r="AB143" s="16"/>
      <c r="AC143" s="68"/>
      <c r="AD143" s="16"/>
      <c r="AE143" s="16"/>
      <c r="AF143" s="16"/>
      <c r="AG143" s="16"/>
      <c r="AH143" s="68"/>
      <c r="AI143" s="16"/>
      <c r="AJ143" s="16"/>
      <c r="AK143" s="16"/>
      <c r="AL143" s="16"/>
      <c r="AM143" s="68"/>
      <c r="AN143" s="25"/>
      <c r="AO143" s="25"/>
      <c r="AP143" s="25"/>
      <c r="AQ143" s="16"/>
      <c r="AR143" s="68"/>
      <c r="AS143" s="25"/>
      <c r="AT143" s="25"/>
      <c r="AU143" s="25"/>
      <c r="AV143" s="16"/>
      <c r="AW143" s="68"/>
      <c r="AX143" s="25"/>
      <c r="AY143" s="25"/>
      <c r="AZ143" s="25"/>
      <c r="BA143" s="16"/>
      <c r="BB143" s="68"/>
      <c r="BC143" s="25"/>
      <c r="BD143" s="25"/>
      <c r="BE143" s="25"/>
      <c r="BF143" s="25"/>
      <c r="BG143" s="68"/>
      <c r="BH143" s="25"/>
      <c r="BI143" s="25"/>
      <c r="BJ143" s="25"/>
      <c r="BK143" s="121"/>
      <c r="BL143" s="68"/>
      <c r="BM143" s="25"/>
      <c r="BN143" s="25"/>
      <c r="BO143" s="25"/>
      <c r="BP143" s="25"/>
      <c r="BQ143" s="68"/>
      <c r="BR143" s="25"/>
      <c r="BS143" s="25"/>
      <c r="BT143" s="25"/>
      <c r="BU143" s="25"/>
      <c r="BV143" s="68"/>
      <c r="BW143" s="25"/>
      <c r="BX143" s="25"/>
      <c r="BY143" s="25"/>
      <c r="BZ143" s="25"/>
      <c r="CA143" s="68"/>
      <c r="CB143" s="25"/>
      <c r="CC143" s="25"/>
      <c r="CD143" s="25"/>
      <c r="CE143" s="25"/>
      <c r="CF143" s="68"/>
      <c r="CG143" s="25"/>
      <c r="CH143" s="25"/>
      <c r="CI143" s="25"/>
      <c r="CJ143" s="261"/>
      <c r="CK143" s="68"/>
      <c r="CL143" s="25"/>
      <c r="CM143" s="25"/>
      <c r="CN143" s="25"/>
      <c r="CO143" s="261"/>
      <c r="CP143" s="68"/>
      <c r="CQ143" s="25"/>
      <c r="CR143" s="25"/>
      <c r="CS143" s="25"/>
      <c r="CT143" s="25"/>
      <c r="CU143" s="68"/>
      <c r="CV143" s="25"/>
      <c r="CW143" s="25"/>
      <c r="CX143" s="25"/>
      <c r="CY143" s="25"/>
      <c r="CZ143" s="68"/>
      <c r="DA143" s="68"/>
      <c r="DB143" s="68"/>
      <c r="DC143" s="68"/>
      <c r="DD143" s="2"/>
      <c r="DE143" s="2"/>
      <c r="DF143" s="68"/>
      <c r="DG143" s="68"/>
      <c r="DH143" s="68"/>
      <c r="DI143" s="454"/>
      <c r="DJ143" s="454"/>
      <c r="DK143" s="2"/>
      <c r="DL143" s="2"/>
      <c r="DM143" s="2"/>
    </row>
    <row r="144" spans="1:117" ht="12" customHeight="1">
      <c r="A144" s="1109">
        <f t="shared" si="249"/>
        <v>135</v>
      </c>
      <c r="B144" s="10"/>
      <c r="C144" s="1" t="s">
        <v>743</v>
      </c>
      <c r="E144" s="144">
        <f>-8676-321</f>
        <v>-8997</v>
      </c>
      <c r="F144" s="144">
        <f>-8209-442</f>
        <v>-8651</v>
      </c>
      <c r="G144" s="144">
        <f>-8142-575</f>
        <v>-8717</v>
      </c>
      <c r="H144" s="144">
        <f>-8113-504</f>
        <v>-8617</v>
      </c>
      <c r="I144" s="144">
        <f>-7069-590</f>
        <v>-7659</v>
      </c>
      <c r="J144" s="154">
        <f>-1500-306</f>
        <v>-1806</v>
      </c>
      <c r="K144" s="154">
        <f>-2952-464-J144</f>
        <v>-1610</v>
      </c>
      <c r="L144" s="154">
        <f>-4884-565-K144-J144</f>
        <v>-2033</v>
      </c>
      <c r="M144" s="161">
        <f>-7393-955-L144-K144-J144</f>
        <v>-2899</v>
      </c>
      <c r="N144" s="60">
        <f>SUM(J144:M144)</f>
        <v>-8348</v>
      </c>
      <c r="O144" s="154">
        <f>-1357-131</f>
        <v>-1488</v>
      </c>
      <c r="P144" s="154">
        <f>-2586-230-O144</f>
        <v>-1328</v>
      </c>
      <c r="Q144" s="154">
        <f>-3994-428-P144-O144</f>
        <v>-1606</v>
      </c>
      <c r="R144" s="161">
        <f>-6952-Q144-P144-O144</f>
        <v>-2530</v>
      </c>
      <c r="S144" s="60">
        <f>SUM(O144:R144)</f>
        <v>-6952</v>
      </c>
      <c r="T144" s="154">
        <v>-1717</v>
      </c>
      <c r="U144" s="154">
        <f>-3236-T144</f>
        <v>-1519</v>
      </c>
      <c r="V144" s="154">
        <f>-5084-U144-T144</f>
        <v>-1848</v>
      </c>
      <c r="W144" s="161">
        <f>-7278-V144-U144-T144</f>
        <v>-2194</v>
      </c>
      <c r="X144" s="60">
        <f>SUM(T144:W144)</f>
        <v>-7278</v>
      </c>
      <c r="Y144" s="154">
        <v>-1496</v>
      </c>
      <c r="Z144" s="154">
        <f>-3533-Y144</f>
        <v>-2037</v>
      </c>
      <c r="AA144" s="154">
        <f>-5829-Z144-Y144</f>
        <v>-2296</v>
      </c>
      <c r="AB144" s="161">
        <f>-7736-AA144-Z144-Y144</f>
        <v>-1907</v>
      </c>
      <c r="AC144" s="60">
        <f>SUM(Y144:AB144)</f>
        <v>-7736</v>
      </c>
      <c r="AD144" s="44">
        <v>-1275</v>
      </c>
      <c r="AE144" s="44">
        <f>-2780-AD144</f>
        <v>-1505</v>
      </c>
      <c r="AF144" s="44">
        <f>-4896-AE144-AD144</f>
        <v>-2116</v>
      </c>
      <c r="AG144" s="44">
        <f>-6738-AF144-AE144-AD144</f>
        <v>-1842</v>
      </c>
      <c r="AH144" s="60">
        <f>SUM(AD144:AG144)</f>
        <v>-6738</v>
      </c>
      <c r="AI144" s="44">
        <v>-1561</v>
      </c>
      <c r="AJ144" s="44">
        <f>-3572-AI144</f>
        <v>-2011</v>
      </c>
      <c r="AK144" s="44">
        <f>-5462-AJ144-AI144</f>
        <v>-1890</v>
      </c>
      <c r="AL144" s="44">
        <f>-7517-AK144-AJ144-AI144</f>
        <v>-2055</v>
      </c>
      <c r="AM144" s="60">
        <f>SUM(AI144:AL144)</f>
        <v>-7517</v>
      </c>
      <c r="AN144" s="154">
        <v>-1838</v>
      </c>
      <c r="AO144" s="154">
        <f>-3403-AN144</f>
        <v>-1565</v>
      </c>
      <c r="AP144" s="154">
        <f>-5242-AO144-AN144</f>
        <v>-1839</v>
      </c>
      <c r="AQ144" s="161">
        <f>-6848-AP144-AO144-AN144</f>
        <v>-1606</v>
      </c>
      <c r="AR144" s="60">
        <f>SUM(AN144:AQ144)</f>
        <v>-6848</v>
      </c>
      <c r="AS144" s="154">
        <v>-1296</v>
      </c>
      <c r="AT144" s="154">
        <f>-2637-AS144</f>
        <v>-1341</v>
      </c>
      <c r="AU144" s="154">
        <f>-4215-AT144-AS144</f>
        <v>-1578</v>
      </c>
      <c r="AV144" s="161">
        <f>-6022-AU144-AT144-AS144</f>
        <v>-1807</v>
      </c>
      <c r="AW144" s="60">
        <f>SUM(AS144:AV144)</f>
        <v>-6022</v>
      </c>
      <c r="AX144" s="154">
        <v>-1490</v>
      </c>
      <c r="AY144" s="154">
        <f>-3128-AX144</f>
        <v>-1638</v>
      </c>
      <c r="AZ144" s="154">
        <f>-4875-AY144-AX144</f>
        <v>-1747</v>
      </c>
      <c r="BA144" s="161">
        <f>-6696-AZ144-AY144-AX144</f>
        <v>-1821</v>
      </c>
      <c r="BB144" s="60">
        <f>SUM(AX144:BA144)</f>
        <v>-6696</v>
      </c>
      <c r="BC144" s="154">
        <v>-1069</v>
      </c>
      <c r="BD144" s="154">
        <f>-2046-BC144</f>
        <v>-977</v>
      </c>
      <c r="BE144" s="154">
        <f>-2990-BD144-BC144</f>
        <v>-944</v>
      </c>
      <c r="BF144" s="161">
        <f>-4059-BE144-BD144-BC144</f>
        <v>-1069</v>
      </c>
      <c r="BG144" s="60">
        <f>SUM(BC144:BF144)</f>
        <v>-4059</v>
      </c>
      <c r="BH144" s="154">
        <v>-1068</v>
      </c>
      <c r="BI144" s="154">
        <f>-2027-BH144</f>
        <v>-959</v>
      </c>
      <c r="BJ144" s="154">
        <f>-2946-BI144-BH144</f>
        <v>-919</v>
      </c>
      <c r="BK144" s="161">
        <f>-4092-BJ144-BI144-BH144</f>
        <v>-1146</v>
      </c>
      <c r="BL144" s="60">
        <f>SUM(BH144:BK144)</f>
        <v>-4092</v>
      </c>
      <c r="BM144" s="44">
        <v>-929</v>
      </c>
      <c r="BN144" s="44">
        <f>-2022-BM144</f>
        <v>-1093</v>
      </c>
      <c r="BO144" s="44">
        <f>-3135-BN144-BM144</f>
        <v>-1113</v>
      </c>
      <c r="BP144" s="117">
        <f>-4293-BO144-BN144-BM144</f>
        <v>-1158</v>
      </c>
      <c r="BQ144" s="60">
        <f>SUM(BM144:BP144)</f>
        <v>-4293</v>
      </c>
      <c r="BR144" s="44">
        <v>-1093</v>
      </c>
      <c r="BS144" s="44">
        <f>-2284-BR144</f>
        <v>-1191</v>
      </c>
      <c r="BT144" s="44">
        <f>-3603-BS144-BR144</f>
        <v>-1319</v>
      </c>
      <c r="BU144" s="117">
        <f>-5488-BT144-BS144-BR144</f>
        <v>-1885</v>
      </c>
      <c r="BV144" s="60">
        <f>SUM(BR144:BU144)</f>
        <v>-5488</v>
      </c>
      <c r="BW144" s="154">
        <v>-1483</v>
      </c>
      <c r="BX144" s="154">
        <f>-3077-BW144</f>
        <v>-1594</v>
      </c>
      <c r="BY144" s="154">
        <f>-4659-BX144-BW144</f>
        <v>-1582</v>
      </c>
      <c r="BZ144" s="161">
        <f>-6597-BY144-BX144-BW144</f>
        <v>-1938</v>
      </c>
      <c r="CA144" s="235">
        <f>SUM(BW144:BZ144)</f>
        <v>-6597</v>
      </c>
      <c r="CB144" s="154">
        <v>-1516</v>
      </c>
      <c r="CC144" s="154">
        <f>-3428-CB144</f>
        <v>-1912</v>
      </c>
      <c r="CD144" s="154">
        <f>-5309-CC144-CB144</f>
        <v>-1881</v>
      </c>
      <c r="CE144" s="161">
        <f>-7463-CD144-CC144-CB144</f>
        <v>-2154</v>
      </c>
      <c r="CF144" s="235">
        <f>SUM(CB144:CE144)</f>
        <v>-7463</v>
      </c>
      <c r="CG144" s="154">
        <v>-1800</v>
      </c>
      <c r="CH144" s="154">
        <f>-3533-CG144</f>
        <v>-1733</v>
      </c>
      <c r="CI144" s="154">
        <f>-5358-CH144-CG144</f>
        <v>-1825</v>
      </c>
      <c r="CJ144" s="161">
        <f>-7196-CI144-CH144-CG144</f>
        <v>-1838</v>
      </c>
      <c r="CK144" s="235">
        <f>SUM(CG144:CJ144)</f>
        <v>-7196</v>
      </c>
      <c r="CL144" s="154">
        <v>-1511</v>
      </c>
      <c r="CM144" s="154">
        <f>-3206-CL144</f>
        <v>-1695</v>
      </c>
      <c r="CN144" s="154">
        <f>-4912-CM144-CL144</f>
        <v>-1706</v>
      </c>
      <c r="CO144" s="161">
        <f>-6992-CN144-CM144-CL144</f>
        <v>-2080</v>
      </c>
      <c r="CP144" s="235">
        <f>SUM(CL144:CO144)</f>
        <v>-6992</v>
      </c>
      <c r="CQ144" s="154">
        <v>-1706</v>
      </c>
      <c r="CR144" s="154">
        <f>-3264-CQ144</f>
        <v>-1558</v>
      </c>
      <c r="CS144" s="154">
        <f>-4936-CQ144-CR144</f>
        <v>-1672</v>
      </c>
      <c r="CT144" s="154">
        <f>-7049-SUM(CQ144:CS144)</f>
        <v>-2113</v>
      </c>
      <c r="CU144" s="235">
        <f>SUM(CQ144:CT144)</f>
        <v>-7049</v>
      </c>
      <c r="CV144" s="49">
        <f>-CV206*CV192/4</f>
        <v>-1883.9587200000001</v>
      </c>
      <c r="CW144" s="49">
        <f>-CW206*CW192/4</f>
        <v>-1886.3986800000002</v>
      </c>
      <c r="CX144" s="49">
        <f>-CX206*CX192/4</f>
        <v>-1891.3825200000003</v>
      </c>
      <c r="CY144" s="49">
        <f>-CY206*CY192/4</f>
        <v>-1896.3851820000002</v>
      </c>
      <c r="CZ144" s="235">
        <f>SUM(CV144:CY144)</f>
        <v>-7558.1251020000009</v>
      </c>
      <c r="DA144" s="235">
        <f>-DA206*DA192</f>
        <v>-7946.4640931750009</v>
      </c>
      <c r="DB144" s="235">
        <f>-DB206*DB192</f>
        <v>-8176.9691586955078</v>
      </c>
      <c r="DC144" s="235">
        <f>-DC206*DC192</f>
        <v>-8055.6880913827972</v>
      </c>
      <c r="DD144" s="2"/>
      <c r="DE144" s="2"/>
      <c r="DF144" s="235">
        <f t="shared" ref="DF144:DF157" si="253">CT144</f>
        <v>-2113</v>
      </c>
      <c r="DG144" s="235">
        <v>-1730.3704312500001</v>
      </c>
      <c r="DH144" s="235">
        <f t="shared" ref="DH144:DH157" si="254">CO144</f>
        <v>-2080</v>
      </c>
      <c r="DI144" s="454">
        <f t="shared" ref="DI144:DI157" si="255">IF(ISERROR(DF144/DG144-1),"NM",DF144/DG144-1)</f>
        <v>0.2211258132015077</v>
      </c>
      <c r="DJ144" s="454">
        <f t="shared" ref="DJ144:DJ157" si="256">IF(ISERROR(DF144/DH144-1),"NM",DF144/DH144-1)</f>
        <v>1.586538461538467E-2</v>
      </c>
      <c r="DK144" s="2"/>
      <c r="DL144" s="2"/>
      <c r="DM144" s="2"/>
    </row>
    <row r="145" spans="1:117" ht="12" customHeight="1">
      <c r="A145" s="1109">
        <f t="shared" si="249"/>
        <v>136</v>
      </c>
      <c r="B145" s="10"/>
      <c r="C145" s="1" t="s">
        <v>744</v>
      </c>
      <c r="E145" s="144">
        <v>-99967</v>
      </c>
      <c r="F145" s="144">
        <v>-109087</v>
      </c>
      <c r="G145" s="144">
        <v>-117895</v>
      </c>
      <c r="H145" s="144">
        <v>-78863</v>
      </c>
      <c r="I145" s="144">
        <v>-80422</v>
      </c>
      <c r="J145" s="154">
        <v>-24585</v>
      </c>
      <c r="K145" s="154">
        <f>-44986-J145</f>
        <v>-20401</v>
      </c>
      <c r="L145" s="154">
        <f>-69257-K145-J145</f>
        <v>-24271</v>
      </c>
      <c r="M145" s="161">
        <f>-96512-L145-K145-J145</f>
        <v>-27255</v>
      </c>
      <c r="N145" s="60">
        <f t="shared" ref="N145:N155" si="257">SUM(J145:M145)</f>
        <v>-96512</v>
      </c>
      <c r="O145" s="154">
        <v>-23772</v>
      </c>
      <c r="P145" s="154">
        <f>-48003-O145</f>
        <v>-24231</v>
      </c>
      <c r="Q145" s="154">
        <f>-67695-P145-O145</f>
        <v>-19692</v>
      </c>
      <c r="R145" s="161">
        <f>-94061-Q145-P145-O145</f>
        <v>-26366</v>
      </c>
      <c r="S145" s="60">
        <f t="shared" ref="S145:S155" si="258">SUM(O145:R145)</f>
        <v>-94061</v>
      </c>
      <c r="T145" s="154">
        <v>-21714</v>
      </c>
      <c r="U145" s="154">
        <f>-44454-T145</f>
        <v>-22740</v>
      </c>
      <c r="V145" s="154">
        <f>-60461-U145-T145</f>
        <v>-16007</v>
      </c>
      <c r="W145" s="161">
        <f>-81690-V145-U145-T145</f>
        <v>-21229</v>
      </c>
      <c r="X145" s="60">
        <f t="shared" ref="X145:X155" si="259">SUM(T145:W145)</f>
        <v>-81690</v>
      </c>
      <c r="Y145" s="154">
        <v>-17584</v>
      </c>
      <c r="Z145" s="154">
        <f>-28920-Y145</f>
        <v>-11336</v>
      </c>
      <c r="AA145" s="154">
        <f>-42239-Z145-Y145</f>
        <v>-13319</v>
      </c>
      <c r="AB145" s="161">
        <f>-59503-AA145-Z145-Y145</f>
        <v>-17264</v>
      </c>
      <c r="AC145" s="60">
        <f t="shared" ref="AC145:AC155" si="260">SUM(Y145:AB145)</f>
        <v>-59503</v>
      </c>
      <c r="AD145" s="44">
        <v>-13586</v>
      </c>
      <c r="AE145" s="44">
        <f>-31727-AD145</f>
        <v>-18141</v>
      </c>
      <c r="AF145" s="44">
        <f>-47416-AE145-AD145</f>
        <v>-15689</v>
      </c>
      <c r="AG145" s="44">
        <f>-63284-AF145-AE145-AD145</f>
        <v>-15868</v>
      </c>
      <c r="AH145" s="60">
        <f t="shared" ref="AH145:AH155" si="261">SUM(AD145:AG145)</f>
        <v>-63284</v>
      </c>
      <c r="AI145" s="44">
        <v>-14035</v>
      </c>
      <c r="AJ145" s="44">
        <f>-28951-AI145</f>
        <v>-14916</v>
      </c>
      <c r="AK145" s="44">
        <f>-42026-AJ145-AI145</f>
        <v>-13075</v>
      </c>
      <c r="AL145" s="44">
        <f>-54024-AK145-AJ145-AI145</f>
        <v>-11998</v>
      </c>
      <c r="AM145" s="60">
        <f t="shared" ref="AM145:AM155" si="262">SUM(AI145:AL145)</f>
        <v>-54024</v>
      </c>
      <c r="AN145" s="154">
        <v>-13732</v>
      </c>
      <c r="AO145" s="154">
        <f>-29407-AN145</f>
        <v>-15675</v>
      </c>
      <c r="AP145" s="154">
        <f>-47688-AO145-AN145</f>
        <v>-18281</v>
      </c>
      <c r="AQ145" s="161">
        <f>-59793-AP145-AO145-AN145</f>
        <v>-12105</v>
      </c>
      <c r="AR145" s="60">
        <f t="shared" ref="AR145:AR155" si="263">SUM(AN145:AQ145)</f>
        <v>-59793</v>
      </c>
      <c r="AS145" s="154">
        <v>-12519</v>
      </c>
      <c r="AT145" s="154">
        <f>-26280-AS145</f>
        <v>-13761</v>
      </c>
      <c r="AU145" s="154">
        <f>-42827-AT145-AS145</f>
        <v>-16547</v>
      </c>
      <c r="AV145" s="161">
        <f>-55681-AU145-AT145-AS145</f>
        <v>-12854</v>
      </c>
      <c r="AW145" s="60">
        <f t="shared" ref="AW145:AW155" si="264">SUM(AS145:AV145)</f>
        <v>-55681</v>
      </c>
      <c r="AX145" s="154">
        <v>-11872</v>
      </c>
      <c r="AY145" s="154">
        <f>-25483-AX145</f>
        <v>-13611</v>
      </c>
      <c r="AZ145" s="154">
        <f>-36932-AY145-AX145</f>
        <v>-11449</v>
      </c>
      <c r="BA145" s="161">
        <f>-44562-AZ145-AY145-AX145</f>
        <v>-7630</v>
      </c>
      <c r="BB145" s="60">
        <f t="shared" ref="BB145:BB155" si="265">SUM(AX145:BA145)</f>
        <v>-44562</v>
      </c>
      <c r="BC145" s="154">
        <v>-6032</v>
      </c>
      <c r="BD145" s="154">
        <f>-13322-BC145</f>
        <v>-7290</v>
      </c>
      <c r="BE145" s="154">
        <f>-21214-BD145-BC145</f>
        <v>-7892</v>
      </c>
      <c r="BF145" s="161">
        <f>-26392-BE145-BD145-BC145</f>
        <v>-5178</v>
      </c>
      <c r="BG145" s="60">
        <f t="shared" ref="BG145:BG155" si="266">SUM(BC145:BF145)</f>
        <v>-26392</v>
      </c>
      <c r="BH145" s="154">
        <v>-6979</v>
      </c>
      <c r="BI145" s="154">
        <f>-14707-BH145</f>
        <v>-7728</v>
      </c>
      <c r="BJ145" s="154">
        <f>-21594-BI145-BH145</f>
        <v>-6887</v>
      </c>
      <c r="BK145" s="161">
        <f>-28873-BJ145-BI145-BH145</f>
        <v>-7279</v>
      </c>
      <c r="BL145" s="60">
        <f t="shared" ref="BL145:BL155" si="267">SUM(BH145:BK145)</f>
        <v>-28873</v>
      </c>
      <c r="BM145" s="44">
        <v>-8068</v>
      </c>
      <c r="BN145" s="44">
        <f>-17355-BM145</f>
        <v>-9287</v>
      </c>
      <c r="BO145" s="44">
        <f>-26150-BN145-BM145</f>
        <v>-8795</v>
      </c>
      <c r="BP145" s="117">
        <f>-35866-BO145-BN145-BM145</f>
        <v>-9716</v>
      </c>
      <c r="BQ145" s="60">
        <f t="shared" ref="BQ145:BQ155" si="268">SUM(BM145:BP145)</f>
        <v>-35866</v>
      </c>
      <c r="BR145" s="44">
        <v>-8929</v>
      </c>
      <c r="BS145" s="44">
        <f>-18799-BR145</f>
        <v>-9870</v>
      </c>
      <c r="BT145" s="44">
        <f>-29034-BS145-BR145</f>
        <v>-10235</v>
      </c>
      <c r="BU145" s="117">
        <f>-38445-BT145-BS145-BR145</f>
        <v>-9411</v>
      </c>
      <c r="BV145" s="60">
        <f t="shared" ref="BV145:BV155" si="269">SUM(BR145:BU145)</f>
        <v>-38445</v>
      </c>
      <c r="BW145" s="154">
        <v>-10389</v>
      </c>
      <c r="BX145" s="154">
        <f>-21835-BW145</f>
        <v>-11446</v>
      </c>
      <c r="BY145" s="154">
        <f>-33636-BX145-BW145</f>
        <v>-11801</v>
      </c>
      <c r="BZ145" s="161">
        <f>-45822-BY145-BX145-BW145</f>
        <v>-12186</v>
      </c>
      <c r="CA145" s="235">
        <f t="shared" ref="CA145:CA155" si="270">SUM(BW145:BZ145)</f>
        <v>-45822</v>
      </c>
      <c r="CB145" s="154">
        <v>-11646</v>
      </c>
      <c r="CC145" s="154">
        <f>-24616-CB145</f>
        <v>-12970</v>
      </c>
      <c r="CD145" s="154">
        <f>-39368-CC145-CB145</f>
        <v>-14752</v>
      </c>
      <c r="CE145" s="161">
        <f>-51673-CD145-CC145-CB145</f>
        <v>-12305</v>
      </c>
      <c r="CF145" s="235">
        <f t="shared" ref="CF145:CF155" si="271">SUM(CB145:CE145)</f>
        <v>-51673</v>
      </c>
      <c r="CG145" s="154">
        <v>-12257</v>
      </c>
      <c r="CH145" s="154">
        <f>-26505-CG145</f>
        <v>-14248</v>
      </c>
      <c r="CI145" s="154">
        <f>-43762-CH145-CG145</f>
        <v>-17257</v>
      </c>
      <c r="CJ145" s="161">
        <f>-57217-CI145-CH145-CG145</f>
        <v>-13455</v>
      </c>
      <c r="CK145" s="235">
        <f t="shared" ref="CK145:CK155" si="272">SUM(CG145:CJ145)</f>
        <v>-57217</v>
      </c>
      <c r="CL145" s="154">
        <v>-12677</v>
      </c>
      <c r="CM145" s="154">
        <f>-27501-CL145</f>
        <v>-14824</v>
      </c>
      <c r="CN145" s="154">
        <f>-43746-CM145-CL145</f>
        <v>-16245</v>
      </c>
      <c r="CO145" s="161">
        <f>-56007-CN145-CM145-CL145</f>
        <v>-12261</v>
      </c>
      <c r="CP145" s="235">
        <f t="shared" ref="CP145:CP155" si="273">SUM(CL145:CO145)</f>
        <v>-56007</v>
      </c>
      <c r="CQ145" s="154">
        <v>-13467</v>
      </c>
      <c r="CR145" s="154">
        <f>-27379-CQ145</f>
        <v>-13912</v>
      </c>
      <c r="CS145" s="154">
        <f>-43054-CQ145-CR145</f>
        <v>-15675</v>
      </c>
      <c r="CT145" s="154">
        <f>-59354-SUM(CQ145:CS145)</f>
        <v>-16300</v>
      </c>
      <c r="CU145" s="235">
        <f t="shared" ref="CU145:CU155" si="274">SUM(CQ145:CT145)</f>
        <v>-59354</v>
      </c>
      <c r="CV145" s="49">
        <f>IF(((CU76-CV76)+(CU77-CV77))&lt;0,((CU76-CV76)+(CU77-CV77)),0)</f>
        <v>-79.039533602088341</v>
      </c>
      <c r="CW145" s="49">
        <f>IF(((CV76-CW76)+(CV77-CW77))&lt;0,((CV76-CW76)+(CV77-CW77)),0)</f>
        <v>-72.865017987453029</v>
      </c>
      <c r="CX145" s="49">
        <f>IF(((CW76-CX76)+(CW77-CX77))&lt;0,((CW76-CX76)+(CW77-CX77)),0)</f>
        <v>-148.83341991120687</v>
      </c>
      <c r="CY145" s="49">
        <f>IF(((CX76-CY76)+(CX77-CY77))&lt;0,((CX76-CY76)+(CX77-CY77)),0)</f>
        <v>-149.39550509645051</v>
      </c>
      <c r="CZ145" s="235">
        <f t="shared" ref="CZ145:CZ155" si="275">SUM(CV145:CY145)</f>
        <v>-450.13347659719875</v>
      </c>
      <c r="DA145" s="87">
        <f>IF(((CZ76-DA76)+(CZ77-DA77))&lt;0,((CZ76-DA76)+(CZ77-DA77)),0)</f>
        <v>-321.51321457465383</v>
      </c>
      <c r="DB145" s="87">
        <f>IF(((DA76-DB76)+(DA77-DB77))&lt;0,((DA76-DB76)+(DA77-DB77)),0)</f>
        <v>-1652.0686318152148</v>
      </c>
      <c r="DC145" s="87">
        <f>IF(((DB76-DC76)+(DB77-DC77))&lt;0,((DB76-DC76)+(DB77-DC77)),0)</f>
        <v>-1536.4445566698341</v>
      </c>
      <c r="DD145" s="2"/>
      <c r="DE145" s="2"/>
      <c r="DF145" s="235">
        <f t="shared" si="253"/>
        <v>-16300</v>
      </c>
      <c r="DG145" s="235">
        <v>0</v>
      </c>
      <c r="DH145" s="235">
        <f t="shared" si="254"/>
        <v>-12261</v>
      </c>
      <c r="DI145" s="454" t="str">
        <f t="shared" si="255"/>
        <v>NM</v>
      </c>
      <c r="DJ145" s="454">
        <f t="shared" si="256"/>
        <v>0.32941848136367335</v>
      </c>
      <c r="DK145" s="2"/>
      <c r="DL145" s="2"/>
      <c r="DM145" s="2"/>
    </row>
    <row r="146" spans="1:117" ht="12" customHeight="1">
      <c r="A146" s="1109">
        <f t="shared" si="249"/>
        <v>137</v>
      </c>
      <c r="B146" s="10"/>
      <c r="C146" s="1" t="s">
        <v>745</v>
      </c>
      <c r="E146" s="144">
        <v>71149</v>
      </c>
      <c r="F146" s="144">
        <v>82398</v>
      </c>
      <c r="G146" s="144">
        <v>86842</v>
      </c>
      <c r="H146" s="144">
        <v>49303</v>
      </c>
      <c r="I146" s="144">
        <v>46646</v>
      </c>
      <c r="J146" s="154">
        <v>15389</v>
      </c>
      <c r="K146" s="154">
        <f>21724-J146</f>
        <v>6335</v>
      </c>
      <c r="L146" s="154">
        <f>39834-K146-J146</f>
        <v>18110</v>
      </c>
      <c r="M146" s="161">
        <f>54290-L146-K146-J146</f>
        <v>14456</v>
      </c>
      <c r="N146" s="60">
        <f t="shared" si="257"/>
        <v>54290</v>
      </c>
      <c r="O146" s="154">
        <v>13249</v>
      </c>
      <c r="P146" s="154">
        <f>26132-O146</f>
        <v>12883</v>
      </c>
      <c r="Q146" s="154">
        <f>35250-P146-O146</f>
        <v>9118</v>
      </c>
      <c r="R146" s="161">
        <f>45110-Q146-P146-O146</f>
        <v>9860</v>
      </c>
      <c r="S146" s="60">
        <f t="shared" si="258"/>
        <v>45110</v>
      </c>
      <c r="T146" s="154">
        <v>14855</v>
      </c>
      <c r="U146" s="154">
        <f>27078-T146</f>
        <v>12223</v>
      </c>
      <c r="V146" s="154">
        <f>38204-U146-T146</f>
        <v>11126</v>
      </c>
      <c r="W146" s="161">
        <f>45767-V146-U146-T146</f>
        <v>7563</v>
      </c>
      <c r="X146" s="60">
        <f t="shared" si="259"/>
        <v>45767</v>
      </c>
      <c r="Y146" s="154">
        <v>10749</v>
      </c>
      <c r="Z146" s="154">
        <f>18800-Y146</f>
        <v>8051</v>
      </c>
      <c r="AA146" s="154">
        <f>33921-Z146-Y146</f>
        <v>15121</v>
      </c>
      <c r="AB146" s="161">
        <f>44476-AA146-Z146-Y146</f>
        <v>10555</v>
      </c>
      <c r="AC146" s="60">
        <f t="shared" si="260"/>
        <v>44476</v>
      </c>
      <c r="AD146" s="44">
        <v>12217</v>
      </c>
      <c r="AE146" s="44">
        <f>23795-AD146</f>
        <v>11578</v>
      </c>
      <c r="AF146" s="44">
        <f>40124-AE146-AD146</f>
        <v>16329</v>
      </c>
      <c r="AG146" s="44">
        <f>51002-AF146-AE146-AD146</f>
        <v>10878</v>
      </c>
      <c r="AH146" s="60">
        <f t="shared" si="261"/>
        <v>51002</v>
      </c>
      <c r="AI146" s="44">
        <v>12877</v>
      </c>
      <c r="AJ146" s="44">
        <f>25169-AI146</f>
        <v>12292</v>
      </c>
      <c r="AK146" s="44">
        <f>36492-AJ146-AI146</f>
        <v>11323</v>
      </c>
      <c r="AL146" s="44">
        <f>48257-AK146-AJ146-AI146</f>
        <v>11765</v>
      </c>
      <c r="AM146" s="60">
        <f t="shared" si="262"/>
        <v>48257</v>
      </c>
      <c r="AN146" s="154">
        <v>11446</v>
      </c>
      <c r="AO146" s="154">
        <f>21021-AN146</f>
        <v>9575</v>
      </c>
      <c r="AP146" s="154">
        <f>31741-AO146-AN146</f>
        <v>10720</v>
      </c>
      <c r="AQ146" s="161">
        <f>41502-AP146-AO146-AN146</f>
        <v>9761</v>
      </c>
      <c r="AR146" s="60">
        <f t="shared" si="263"/>
        <v>41502</v>
      </c>
      <c r="AS146" s="154">
        <v>10885</v>
      </c>
      <c r="AT146" s="154">
        <f>20591-AS146</f>
        <v>9706</v>
      </c>
      <c r="AU146" s="154">
        <f>34509-AT146-AS146</f>
        <v>13918</v>
      </c>
      <c r="AV146" s="161">
        <f>45498-AU146-AT146-AS146</f>
        <v>10989</v>
      </c>
      <c r="AW146" s="60">
        <f t="shared" si="264"/>
        <v>45498</v>
      </c>
      <c r="AX146" s="154">
        <v>10936</v>
      </c>
      <c r="AY146" s="154">
        <f>22150-AX146</f>
        <v>11214</v>
      </c>
      <c r="AZ146" s="154">
        <f>32278-AY146-AX146</f>
        <v>10128</v>
      </c>
      <c r="BA146" s="161">
        <f>42061-AZ146-AY146-AX146</f>
        <v>9783</v>
      </c>
      <c r="BB146" s="60">
        <f t="shared" si="265"/>
        <v>42061</v>
      </c>
      <c r="BC146" s="154">
        <v>10047</v>
      </c>
      <c r="BD146" s="154">
        <f>20184-BC146</f>
        <v>10137</v>
      </c>
      <c r="BE146" s="154">
        <f>31713-BD146-BC146</f>
        <v>11529</v>
      </c>
      <c r="BF146" s="161">
        <f>39884-BE146-BD146-BC146</f>
        <v>8171</v>
      </c>
      <c r="BG146" s="60">
        <f t="shared" si="266"/>
        <v>39884</v>
      </c>
      <c r="BH146" s="154">
        <v>9602</v>
      </c>
      <c r="BI146" s="154">
        <f>19613-BH146</f>
        <v>10011</v>
      </c>
      <c r="BJ146" s="154">
        <f>29075-BI146-BH146</f>
        <v>9462</v>
      </c>
      <c r="BK146" s="161">
        <f>37757-BJ146-BI146-BH146</f>
        <v>8682</v>
      </c>
      <c r="BL146" s="60">
        <f t="shared" si="267"/>
        <v>37757</v>
      </c>
      <c r="BM146" s="44">
        <v>8444</v>
      </c>
      <c r="BN146" s="44">
        <f>17052-BM146</f>
        <v>8608</v>
      </c>
      <c r="BO146" s="44">
        <f>25626-BN146-BM146</f>
        <v>8574</v>
      </c>
      <c r="BP146" s="117">
        <f>33964-BO146-BN146-BM146</f>
        <v>8338</v>
      </c>
      <c r="BQ146" s="60">
        <f t="shared" si="268"/>
        <v>33964</v>
      </c>
      <c r="BR146" s="44">
        <v>7850</v>
      </c>
      <c r="BS146" s="44">
        <f>15992-BR146</f>
        <v>8142</v>
      </c>
      <c r="BT146" s="44">
        <f>23933-BS146-BR146</f>
        <v>7941</v>
      </c>
      <c r="BU146" s="117">
        <f>31570-BT146-BS146-BR146</f>
        <v>7637</v>
      </c>
      <c r="BV146" s="60">
        <f t="shared" si="269"/>
        <v>31570</v>
      </c>
      <c r="BW146" s="154">
        <v>8255</v>
      </c>
      <c r="BX146" s="154">
        <f>16665-BW146</f>
        <v>8410</v>
      </c>
      <c r="BY146" s="154">
        <f>25141-BX146-BW146</f>
        <v>8476</v>
      </c>
      <c r="BZ146" s="161">
        <f>33966-BY146-BX146-BW146</f>
        <v>8825</v>
      </c>
      <c r="CA146" s="235">
        <f t="shared" si="270"/>
        <v>33966</v>
      </c>
      <c r="CB146" s="154">
        <v>8983</v>
      </c>
      <c r="CC146" s="154">
        <f>18277-CB146</f>
        <v>9294</v>
      </c>
      <c r="CD146" s="154">
        <f>27607-CC146-CB146</f>
        <v>9330</v>
      </c>
      <c r="CE146" s="161">
        <f>36497-CD146-CC146-CB146</f>
        <v>8890</v>
      </c>
      <c r="CF146" s="235">
        <f t="shared" si="271"/>
        <v>36497</v>
      </c>
      <c r="CG146" s="154">
        <v>9251</v>
      </c>
      <c r="CH146" s="154">
        <f>18844-CG146</f>
        <v>9593</v>
      </c>
      <c r="CI146" s="154">
        <f>28632-CH146-CG146</f>
        <v>9788</v>
      </c>
      <c r="CJ146" s="161">
        <f>38130-CI146-CH146-CG146</f>
        <v>9498</v>
      </c>
      <c r="CK146" s="235">
        <f t="shared" si="272"/>
        <v>38130</v>
      </c>
      <c r="CL146" s="154">
        <v>9674</v>
      </c>
      <c r="CM146" s="154">
        <f>19732-CL146</f>
        <v>10058</v>
      </c>
      <c r="CN146" s="154">
        <f>30254-CM146-CL146</f>
        <v>10522</v>
      </c>
      <c r="CO146" s="161">
        <f>38834-CN146-CM146-CL146</f>
        <v>8580</v>
      </c>
      <c r="CP146" s="235">
        <f t="shared" si="273"/>
        <v>38834</v>
      </c>
      <c r="CQ146" s="154">
        <v>10695</v>
      </c>
      <c r="CR146" s="154">
        <f>21636-CQ146</f>
        <v>10941</v>
      </c>
      <c r="CS146" s="154">
        <f>32988-CQ146-CR146</f>
        <v>11352</v>
      </c>
      <c r="CT146" s="154">
        <f>44641-SUM(CQ146:CS146)</f>
        <v>11653</v>
      </c>
      <c r="CU146" s="235">
        <f t="shared" si="274"/>
        <v>44641</v>
      </c>
      <c r="CV146" s="49">
        <f>IF(((CU76-CV76)+(CU77-CV77))&gt;0,((CU76-CV76)+(CU77-CV77)),0)</f>
        <v>0</v>
      </c>
      <c r="CW146" s="49">
        <f>IF(((CV76-CW76)+(CV77-CW77))&gt;0,((CV76-CW76)+(CV77-CW77)),0)</f>
        <v>0</v>
      </c>
      <c r="CX146" s="49">
        <f>IF(((CW76-CX76)+(CW77-CX77))&gt;0,((CW76-CX76)+(CW77-CX77)),0)</f>
        <v>0</v>
      </c>
      <c r="CY146" s="49">
        <f>IF(((CX76-CY76)+(CX77-CY77))&gt;0,((CX76-CY76)+(CX77-CY77)),0)</f>
        <v>0</v>
      </c>
      <c r="CZ146" s="235">
        <f t="shared" si="275"/>
        <v>0</v>
      </c>
      <c r="DA146" s="87">
        <f>IF(((CZ76-DA76)+(CZ77-DA77))&gt;0,((CZ76-DA76)+(CZ77-DA77)),0)</f>
        <v>0</v>
      </c>
      <c r="DB146" s="87">
        <f>IF(((DA76-DB76)+(DA77-DB77))&gt;0,((DA76-DB76)+(DA77-DB77)),0)</f>
        <v>0</v>
      </c>
      <c r="DC146" s="87">
        <f>IF(((DB76-DC76)+(DB77-DC77))&gt;0,((DB76-DC76)+(DB77-DC77)),0)</f>
        <v>0</v>
      </c>
      <c r="DD146" s="2"/>
      <c r="DE146" s="2"/>
      <c r="DF146" s="235">
        <f t="shared" si="253"/>
        <v>11653</v>
      </c>
      <c r="DG146" s="235">
        <v>103.3890378251017</v>
      </c>
      <c r="DH146" s="235">
        <f t="shared" si="254"/>
        <v>8580</v>
      </c>
      <c r="DI146" s="454">
        <f t="shared" si="255"/>
        <v>111.71020840442316</v>
      </c>
      <c r="DJ146" s="454">
        <f t="shared" si="256"/>
        <v>0.35815850815850814</v>
      </c>
      <c r="DK146" s="2"/>
      <c r="DL146" s="2"/>
      <c r="DM146" s="2"/>
    </row>
    <row r="147" spans="1:117" ht="12" customHeight="1">
      <c r="A147" s="1109">
        <f t="shared" si="249"/>
        <v>138</v>
      </c>
      <c r="B147" s="10"/>
      <c r="C147" s="1" t="s">
        <v>746</v>
      </c>
      <c r="E147" s="144">
        <f>-51-6274</f>
        <v>-6325</v>
      </c>
      <c r="F147" s="144">
        <f>-6-8020</f>
        <v>-8026</v>
      </c>
      <c r="G147" s="144">
        <f>-43-3067</f>
        <v>-3110</v>
      </c>
      <c r="H147" s="144">
        <f>-758-2102</f>
        <v>-2860</v>
      </c>
      <c r="I147" s="144">
        <f>-3609-900</f>
        <v>-4509</v>
      </c>
      <c r="J147" s="154">
        <f>-1133-142</f>
        <v>-1275</v>
      </c>
      <c r="K147" s="154">
        <f>-2261-302-J147</f>
        <v>-1288</v>
      </c>
      <c r="L147" s="154">
        <f>-374-415-K147-J147</f>
        <v>1774</v>
      </c>
      <c r="M147" s="161">
        <f>-6136-564-L147-K147-J147</f>
        <v>-5911</v>
      </c>
      <c r="N147" s="60">
        <f t="shared" si="257"/>
        <v>-6700</v>
      </c>
      <c r="O147" s="154">
        <f>-6713-204</f>
        <v>-6917</v>
      </c>
      <c r="P147" s="154">
        <f>-10729-485-O147</f>
        <v>-4297</v>
      </c>
      <c r="Q147" s="154">
        <f>-11793-566-P147-O147</f>
        <v>-1145</v>
      </c>
      <c r="R147" s="161">
        <f>-13223-Q147-P147-O147</f>
        <v>-864</v>
      </c>
      <c r="S147" s="60">
        <f t="shared" si="258"/>
        <v>-13223</v>
      </c>
      <c r="T147" s="154">
        <v>-722</v>
      </c>
      <c r="U147" s="154">
        <f>-1350-T147</f>
        <v>-628</v>
      </c>
      <c r="V147" s="154">
        <f>-1883-U147-T147</f>
        <v>-533</v>
      </c>
      <c r="W147" s="161">
        <f>-4055-V147-U147-T147</f>
        <v>-2172</v>
      </c>
      <c r="X147" s="60">
        <f t="shared" si="259"/>
        <v>-4055</v>
      </c>
      <c r="Y147" s="154">
        <v>-715</v>
      </c>
      <c r="Z147" s="154">
        <f>-4574-Y147</f>
        <v>-3859</v>
      </c>
      <c r="AA147" s="154">
        <f>-7846-Z147-Y147</f>
        <v>-3272</v>
      </c>
      <c r="AB147" s="161">
        <f>-10074-AA147-Z147-Y147</f>
        <v>-2228</v>
      </c>
      <c r="AC147" s="60">
        <f t="shared" si="260"/>
        <v>-10074</v>
      </c>
      <c r="AD147" s="44">
        <v>-1344</v>
      </c>
      <c r="AE147" s="44">
        <f>-6026-AD147</f>
        <v>-4682</v>
      </c>
      <c r="AF147" s="44">
        <f>-7597-AE147-AD147</f>
        <v>-1571</v>
      </c>
      <c r="AG147" s="44">
        <f>-11767-AF147-AE147-AD147</f>
        <v>-4170</v>
      </c>
      <c r="AH147" s="60">
        <f t="shared" si="261"/>
        <v>-11767</v>
      </c>
      <c r="AI147" s="44">
        <v>-1922</v>
      </c>
      <c r="AJ147" s="44">
        <f>-3044-AI147</f>
        <v>-1122</v>
      </c>
      <c r="AK147" s="44">
        <f>-10100-AJ147-AI147</f>
        <v>-7056</v>
      </c>
      <c r="AL147" s="44">
        <f>-11883-AK147-AJ147-AI147</f>
        <v>-1783</v>
      </c>
      <c r="AM147" s="60">
        <f t="shared" si="262"/>
        <v>-11883</v>
      </c>
      <c r="AN147" s="154">
        <v>-6735</v>
      </c>
      <c r="AO147" s="154">
        <f>-11170-AN147</f>
        <v>-4435</v>
      </c>
      <c r="AP147" s="154">
        <f>-17471-AO147-AN147</f>
        <v>-6301</v>
      </c>
      <c r="AQ147" s="161">
        <f>-23678-AP147-AO147-AN147</f>
        <v>-6207</v>
      </c>
      <c r="AR147" s="60">
        <f t="shared" si="263"/>
        <v>-23678</v>
      </c>
      <c r="AS147" s="154">
        <v>-2229</v>
      </c>
      <c r="AT147" s="154">
        <f>-4720-AS147</f>
        <v>-2491</v>
      </c>
      <c r="AU147" s="154">
        <f>-9085-AT147-AS147</f>
        <v>-4365</v>
      </c>
      <c r="AV147" s="161">
        <f>-11423-AU147-AT147-AS147</f>
        <v>-2338</v>
      </c>
      <c r="AW147" s="60">
        <f t="shared" si="264"/>
        <v>-11423</v>
      </c>
      <c r="AX147" s="154">
        <v>-13531</v>
      </c>
      <c r="AY147" s="154">
        <f>-33015-AX147</f>
        <v>-19484</v>
      </c>
      <c r="AZ147" s="154">
        <f>-49881-AY147-AX147</f>
        <v>-16866</v>
      </c>
      <c r="BA147" s="161">
        <f>-64754-AZ147-AY147-AX147</f>
        <v>-14873</v>
      </c>
      <c r="BB147" s="60">
        <f t="shared" si="265"/>
        <v>-64754</v>
      </c>
      <c r="BC147" s="154">
        <v>-22002</v>
      </c>
      <c r="BD147" s="154">
        <f>-37138-BC147</f>
        <v>-15136</v>
      </c>
      <c r="BE147" s="154">
        <f>-61142-BD147-BC147</f>
        <v>-24004</v>
      </c>
      <c r="BF147" s="161">
        <f>-78200-BE147-BD147-BC147</f>
        <v>-17058</v>
      </c>
      <c r="BG147" s="60">
        <f t="shared" si="266"/>
        <v>-78200</v>
      </c>
      <c r="BH147" s="154">
        <v>-18341</v>
      </c>
      <c r="BI147" s="154">
        <f>-52139-BH147</f>
        <v>-33798</v>
      </c>
      <c r="BJ147" s="154">
        <f>-79096-BI147-BH147</f>
        <v>-26957</v>
      </c>
      <c r="BK147" s="161">
        <f>-100150-BJ147-BI147-BH147</f>
        <v>-21054</v>
      </c>
      <c r="BL147" s="60">
        <f t="shared" si="267"/>
        <v>-100150</v>
      </c>
      <c r="BM147" s="44">
        <v>-19194</v>
      </c>
      <c r="BN147" s="44">
        <f>-41761-BM147</f>
        <v>-22567</v>
      </c>
      <c r="BO147" s="44">
        <f>-58365-BN147-BM147</f>
        <v>-16604</v>
      </c>
      <c r="BP147" s="117">
        <f>-68723-BO147-BN147-BM147</f>
        <v>-10358</v>
      </c>
      <c r="BQ147" s="60">
        <f t="shared" si="268"/>
        <v>-68723</v>
      </c>
      <c r="BR147" s="44">
        <v>-19816</v>
      </c>
      <c r="BS147" s="44">
        <f>-36837-BR147</f>
        <v>-17021</v>
      </c>
      <c r="BT147" s="44">
        <f>-66232-BS147-BR147</f>
        <v>-29395</v>
      </c>
      <c r="BU147" s="117">
        <f>-95135-BT147-BS147-BR147</f>
        <v>-28903</v>
      </c>
      <c r="BV147" s="60">
        <f t="shared" si="269"/>
        <v>-95135</v>
      </c>
      <c r="BW147" s="154">
        <v>-38953</v>
      </c>
      <c r="BX147" s="154">
        <f>-69773-BW147</f>
        <v>-30820</v>
      </c>
      <c r="BY147" s="154">
        <f>-96614-BX147-BW147</f>
        <v>-26841</v>
      </c>
      <c r="BZ147" s="161">
        <f>-119993-BY147-BX147-BW147</f>
        <v>-23379</v>
      </c>
      <c r="CA147" s="235">
        <f t="shared" si="270"/>
        <v>-119993</v>
      </c>
      <c r="CB147" s="154">
        <v>-15291</v>
      </c>
      <c r="CC147" s="154">
        <f>-26468-CB147</f>
        <v>-11177</v>
      </c>
      <c r="CD147" s="154">
        <f>-37788-CC147-CB147</f>
        <v>-11320</v>
      </c>
      <c r="CE147" s="161">
        <f>-48694-CD147-CC147-CB147</f>
        <v>-10906</v>
      </c>
      <c r="CF147" s="235">
        <f t="shared" si="271"/>
        <v>-48694</v>
      </c>
      <c r="CG147" s="154">
        <v>-11711</v>
      </c>
      <c r="CH147" s="154">
        <f>-21282-CG147</f>
        <v>-9571</v>
      </c>
      <c r="CI147" s="154">
        <f>-29493-CH147-CG147</f>
        <v>-8211</v>
      </c>
      <c r="CJ147" s="161">
        <f>-41279-CI147-CH147-CG147</f>
        <v>-11786</v>
      </c>
      <c r="CK147" s="235">
        <f t="shared" si="272"/>
        <v>-41279</v>
      </c>
      <c r="CL147" s="154">
        <v>-8231</v>
      </c>
      <c r="CM147" s="154">
        <f>-16757-CL147</f>
        <v>-8526</v>
      </c>
      <c r="CN147" s="154">
        <f>-22049-CM147-CL147</f>
        <v>-5292</v>
      </c>
      <c r="CO147" s="161">
        <f>-31428-CN147-CM147-CL147</f>
        <v>-9379</v>
      </c>
      <c r="CP147" s="235">
        <f t="shared" si="273"/>
        <v>-31428</v>
      </c>
      <c r="CQ147" s="154">
        <v>-8878</v>
      </c>
      <c r="CR147" s="154">
        <f>-16931-CQ147</f>
        <v>-8053</v>
      </c>
      <c r="CS147" s="154">
        <f>-20550-CR147-CQ147</f>
        <v>-3619</v>
      </c>
      <c r="CT147" s="154">
        <f>-27567-SUM(CQ147:CS147)</f>
        <v>-7017</v>
      </c>
      <c r="CU147" s="235">
        <f t="shared" si="274"/>
        <v>-27567</v>
      </c>
      <c r="CV147" s="154">
        <v>0</v>
      </c>
      <c r="CW147" s="154">
        <v>0</v>
      </c>
      <c r="CX147" s="154">
        <v>0</v>
      </c>
      <c r="CY147" s="154">
        <v>0</v>
      </c>
      <c r="CZ147" s="235">
        <f t="shared" si="275"/>
        <v>0</v>
      </c>
      <c r="DA147" s="296">
        <v>0</v>
      </c>
      <c r="DB147" s="296">
        <v>0</v>
      </c>
      <c r="DC147" s="296">
        <v>0</v>
      </c>
      <c r="DD147" s="2"/>
      <c r="DE147" s="2"/>
      <c r="DF147" s="235">
        <f t="shared" si="253"/>
        <v>-7017</v>
      </c>
      <c r="DG147" s="235">
        <v>0</v>
      </c>
      <c r="DH147" s="235">
        <f t="shared" si="254"/>
        <v>-9379</v>
      </c>
      <c r="DI147" s="454" t="str">
        <f t="shared" si="255"/>
        <v>NM</v>
      </c>
      <c r="DJ147" s="454">
        <f t="shared" si="256"/>
        <v>-0.25183921526815223</v>
      </c>
      <c r="DK147" s="2"/>
      <c r="DL147" s="2"/>
      <c r="DM147" s="2"/>
    </row>
    <row r="148" spans="1:117" ht="12" customHeight="1">
      <c r="A148" s="1109">
        <f t="shared" si="249"/>
        <v>139</v>
      </c>
      <c r="B148" s="10"/>
      <c r="C148" s="2" t="s">
        <v>758</v>
      </c>
      <c r="E148" s="144">
        <v>-1459</v>
      </c>
      <c r="F148" s="144">
        <v>-1759</v>
      </c>
      <c r="G148" s="144">
        <v>-958</v>
      </c>
      <c r="H148" s="144">
        <v>-1790</v>
      </c>
      <c r="I148" s="144">
        <v>-1739</v>
      </c>
      <c r="J148" s="154">
        <v>-1035</v>
      </c>
      <c r="K148" s="154">
        <f>-2469-J148</f>
        <v>-1434</v>
      </c>
      <c r="L148" s="154">
        <f>-2482-K148-J148</f>
        <v>-13</v>
      </c>
      <c r="M148" s="161">
        <f>-2107-L148-K148-J148</f>
        <v>375</v>
      </c>
      <c r="N148" s="60">
        <f t="shared" si="257"/>
        <v>-2107</v>
      </c>
      <c r="O148" s="154">
        <v>-1118</v>
      </c>
      <c r="P148" s="154">
        <f>-2362-O148</f>
        <v>-1244</v>
      </c>
      <c r="Q148" s="154">
        <f>-1864-P148-O148</f>
        <v>498</v>
      </c>
      <c r="R148" s="161">
        <f>-1412-Q148-P148-O148</f>
        <v>452</v>
      </c>
      <c r="S148" s="60">
        <f t="shared" si="258"/>
        <v>-1412</v>
      </c>
      <c r="T148" s="154">
        <v>-794</v>
      </c>
      <c r="U148" s="154">
        <f>-1896-T148</f>
        <v>-1102</v>
      </c>
      <c r="V148" s="154">
        <f>-1658-U148-T148</f>
        <v>238</v>
      </c>
      <c r="W148" s="161">
        <f>-1846-V148-U148-T148</f>
        <v>-188</v>
      </c>
      <c r="X148" s="60">
        <f t="shared" si="259"/>
        <v>-1846</v>
      </c>
      <c r="Y148" s="154">
        <v>-385</v>
      </c>
      <c r="Z148" s="154">
        <f>-1545-Y148</f>
        <v>-1160</v>
      </c>
      <c r="AA148" s="154">
        <f>-1487-Z148-Y148</f>
        <v>58</v>
      </c>
      <c r="AB148" s="161">
        <f>-1505-AA148-Z148-Y148</f>
        <v>-18</v>
      </c>
      <c r="AC148" s="60">
        <f t="shared" si="260"/>
        <v>-1505</v>
      </c>
      <c r="AD148" s="44">
        <v>-1041</v>
      </c>
      <c r="AE148" s="44">
        <f>-2902-AD148</f>
        <v>-1861</v>
      </c>
      <c r="AF148" s="44">
        <f>-2739-AE148-AD148</f>
        <v>163</v>
      </c>
      <c r="AG148" s="44">
        <f>-2192-AF148-AE148-AD148</f>
        <v>547</v>
      </c>
      <c r="AH148" s="60">
        <f t="shared" si="261"/>
        <v>-2192</v>
      </c>
      <c r="AI148" s="44">
        <v>-1283</v>
      </c>
      <c r="AJ148" s="44">
        <f>-2148-AI148</f>
        <v>-865</v>
      </c>
      <c r="AK148" s="44">
        <f>-2183-AJ148-AI148</f>
        <v>-35</v>
      </c>
      <c r="AL148" s="44">
        <f>-1552-AK148-AJ148-AI148</f>
        <v>631</v>
      </c>
      <c r="AM148" s="60">
        <f t="shared" si="262"/>
        <v>-1552</v>
      </c>
      <c r="AN148" s="44">
        <v>0</v>
      </c>
      <c r="AO148" s="44">
        <f>0-AN148</f>
        <v>0</v>
      </c>
      <c r="AP148" s="44">
        <f>0-AO148-AN148</f>
        <v>0</v>
      </c>
      <c r="AQ148" s="44">
        <f>0-AP148-AO148-AN148</f>
        <v>0</v>
      </c>
      <c r="AR148" s="60">
        <f t="shared" si="263"/>
        <v>0</v>
      </c>
      <c r="AS148" s="44">
        <v>0</v>
      </c>
      <c r="AT148" s="44">
        <f>0-AS148</f>
        <v>0</v>
      </c>
      <c r="AU148" s="44">
        <f>0-AT148-AS148</f>
        <v>0</v>
      </c>
      <c r="AV148" s="44">
        <f>0-AU148-AT148-AS148</f>
        <v>0</v>
      </c>
      <c r="AW148" s="60">
        <f t="shared" si="264"/>
        <v>0</v>
      </c>
      <c r="AX148" s="44">
        <v>0</v>
      </c>
      <c r="AY148" s="44">
        <f>0-AX148</f>
        <v>0</v>
      </c>
      <c r="AZ148" s="44">
        <f>0-AY148-AX148</f>
        <v>0</v>
      </c>
      <c r="BA148" s="44">
        <f>0-AZ148-AY148-AX148</f>
        <v>0</v>
      </c>
      <c r="BB148" s="60">
        <f t="shared" si="265"/>
        <v>0</v>
      </c>
      <c r="BC148" s="44">
        <v>0</v>
      </c>
      <c r="BD148" s="44">
        <f>0-BC148</f>
        <v>0</v>
      </c>
      <c r="BE148" s="44">
        <f>0-BD148-BC148</f>
        <v>0</v>
      </c>
      <c r="BF148" s="44">
        <f>0-BE148-BD148-BC148</f>
        <v>0</v>
      </c>
      <c r="BG148" s="60">
        <f t="shared" si="266"/>
        <v>0</v>
      </c>
      <c r="BH148" s="44">
        <v>0</v>
      </c>
      <c r="BI148" s="44">
        <f>0-BH148</f>
        <v>0</v>
      </c>
      <c r="BJ148" s="44">
        <f>0-BI148-BH148</f>
        <v>0</v>
      </c>
      <c r="BK148" s="44">
        <f>0-BJ148-BI148-BH148</f>
        <v>0</v>
      </c>
      <c r="BL148" s="60">
        <f t="shared" si="267"/>
        <v>0</v>
      </c>
      <c r="BM148" s="44">
        <v>0</v>
      </c>
      <c r="BN148" s="44">
        <f>0-BM148</f>
        <v>0</v>
      </c>
      <c r="BO148" s="44">
        <f>0-BN148-BM148</f>
        <v>0</v>
      </c>
      <c r="BP148" s="44">
        <f>0-BO148-BN148-BM148</f>
        <v>0</v>
      </c>
      <c r="BQ148" s="60">
        <f t="shared" si="268"/>
        <v>0</v>
      </c>
      <c r="BR148" s="44">
        <v>0</v>
      </c>
      <c r="BS148" s="44">
        <f>0-BR148</f>
        <v>0</v>
      </c>
      <c r="BT148" s="44">
        <f>0-BS148-BR148</f>
        <v>0</v>
      </c>
      <c r="BU148" s="44">
        <f>0-BT148-BS148-BR148</f>
        <v>0</v>
      </c>
      <c r="BV148" s="60">
        <f t="shared" si="269"/>
        <v>0</v>
      </c>
      <c r="BW148" s="154">
        <v>0</v>
      </c>
      <c r="BX148" s="154">
        <f>0-BW148</f>
        <v>0</v>
      </c>
      <c r="BY148" s="154">
        <f>0-BX148-BW148</f>
        <v>0</v>
      </c>
      <c r="BZ148" s="154">
        <f>0-BY148-BX148-BW148</f>
        <v>0</v>
      </c>
      <c r="CA148" s="235">
        <f t="shared" si="270"/>
        <v>0</v>
      </c>
      <c r="CB148" s="154">
        <v>0</v>
      </c>
      <c r="CC148" s="154">
        <f>0-CB148</f>
        <v>0</v>
      </c>
      <c r="CD148" s="154">
        <f>0-CC148-CB148</f>
        <v>0</v>
      </c>
      <c r="CE148" s="154">
        <f>0-CD148-CC148-CB148</f>
        <v>0</v>
      </c>
      <c r="CF148" s="235">
        <f t="shared" si="271"/>
        <v>0</v>
      </c>
      <c r="CG148" s="154">
        <v>0</v>
      </c>
      <c r="CH148" s="154">
        <f>0-CG148</f>
        <v>0</v>
      </c>
      <c r="CI148" s="154">
        <f>0-CH148-CG148</f>
        <v>0</v>
      </c>
      <c r="CJ148" s="154">
        <f>0-CI148-CH148-CG148</f>
        <v>0</v>
      </c>
      <c r="CK148" s="235">
        <f t="shared" si="272"/>
        <v>0</v>
      </c>
      <c r="CL148" s="154">
        <v>0</v>
      </c>
      <c r="CM148" s="154">
        <f>0-CL148</f>
        <v>0</v>
      </c>
      <c r="CN148" s="154">
        <f>0-CM148-CL148</f>
        <v>0</v>
      </c>
      <c r="CO148" s="154">
        <f>0-CN148-CM148-CL148</f>
        <v>0</v>
      </c>
      <c r="CP148" s="235">
        <f t="shared" si="273"/>
        <v>0</v>
      </c>
      <c r="CQ148" s="154">
        <v>0</v>
      </c>
      <c r="CR148" s="154"/>
      <c r="CS148" s="154">
        <v>0</v>
      </c>
      <c r="CT148" s="154">
        <v>0</v>
      </c>
      <c r="CU148" s="235">
        <f t="shared" si="274"/>
        <v>0</v>
      </c>
      <c r="CV148" s="154">
        <v>0</v>
      </c>
      <c r="CW148" s="154">
        <v>0</v>
      </c>
      <c r="CX148" s="154">
        <v>0</v>
      </c>
      <c r="CY148" s="154">
        <v>0</v>
      </c>
      <c r="CZ148" s="235">
        <f t="shared" si="275"/>
        <v>0</v>
      </c>
      <c r="DA148" s="296">
        <v>0</v>
      </c>
      <c r="DB148" s="296">
        <v>0</v>
      </c>
      <c r="DC148" s="296">
        <v>0</v>
      </c>
      <c r="DD148" s="2"/>
      <c r="DE148" s="2"/>
      <c r="DF148" s="235">
        <f t="shared" si="253"/>
        <v>0</v>
      </c>
      <c r="DG148" s="235">
        <v>0</v>
      </c>
      <c r="DH148" s="235">
        <f t="shared" si="254"/>
        <v>0</v>
      </c>
      <c r="DI148" s="454" t="str">
        <f t="shared" si="255"/>
        <v>NM</v>
      </c>
      <c r="DJ148" s="454" t="str">
        <f t="shared" si="256"/>
        <v>NM</v>
      </c>
      <c r="DK148" s="2"/>
      <c r="DL148" s="2"/>
      <c r="DM148" s="2"/>
    </row>
    <row r="149" spans="1:117" ht="12" customHeight="1">
      <c r="A149" s="1109">
        <f t="shared" si="249"/>
        <v>140</v>
      </c>
      <c r="B149" s="10"/>
      <c r="C149" s="2" t="s">
        <v>747</v>
      </c>
      <c r="E149" s="144">
        <f>325+5052</f>
        <v>5377</v>
      </c>
      <c r="F149" s="144">
        <f>7+9863</f>
        <v>9870</v>
      </c>
      <c r="G149" s="144">
        <f>13+3520</f>
        <v>3533</v>
      </c>
      <c r="H149" s="144">
        <f>590+2271</f>
        <v>2861</v>
      </c>
      <c r="I149" s="144">
        <f>2352+1100</f>
        <v>3452</v>
      </c>
      <c r="J149" s="154">
        <f>1100+123</f>
        <v>1223</v>
      </c>
      <c r="K149" s="154">
        <f>2217+312-J149</f>
        <v>1306</v>
      </c>
      <c r="L149" s="154">
        <f>29+412-K149-J149</f>
        <v>-2088</v>
      </c>
      <c r="M149" s="161">
        <f>5105+557-L149-K149-J149</f>
        <v>5221</v>
      </c>
      <c r="N149" s="60">
        <f t="shared" si="257"/>
        <v>5662</v>
      </c>
      <c r="O149" s="154">
        <f>8053+199</f>
        <v>8252</v>
      </c>
      <c r="P149" s="154">
        <f>12059+476-O149</f>
        <v>4283</v>
      </c>
      <c r="Q149" s="154">
        <f>13061+615-P149-O149</f>
        <v>1141</v>
      </c>
      <c r="R149" s="161">
        <f>14625-Q149-P149-O149</f>
        <v>949</v>
      </c>
      <c r="S149" s="60">
        <f t="shared" si="258"/>
        <v>14625</v>
      </c>
      <c r="T149" s="154">
        <v>591</v>
      </c>
      <c r="U149" s="154">
        <f>1166-T149</f>
        <v>575</v>
      </c>
      <c r="V149" s="154">
        <f>1622-U149-T149</f>
        <v>456</v>
      </c>
      <c r="W149" s="161">
        <f>3924-V149-U149-T149</f>
        <v>2302</v>
      </c>
      <c r="X149" s="60">
        <f t="shared" si="259"/>
        <v>3924</v>
      </c>
      <c r="Y149" s="154">
        <v>681</v>
      </c>
      <c r="Z149" s="154">
        <f>2469-Y149</f>
        <v>1788</v>
      </c>
      <c r="AA149" s="154">
        <f>4725-Z149-Y149</f>
        <v>2256</v>
      </c>
      <c r="AB149" s="161">
        <f>9382-AA149-Z149-Y149</f>
        <v>4657</v>
      </c>
      <c r="AC149" s="60">
        <f t="shared" si="260"/>
        <v>9382</v>
      </c>
      <c r="AD149" s="44">
        <v>1576</v>
      </c>
      <c r="AE149" s="44">
        <f>5703-AD149</f>
        <v>4127</v>
      </c>
      <c r="AF149" s="44">
        <f>7285-AE149-AD149</f>
        <v>1582</v>
      </c>
      <c r="AG149" s="44">
        <f>16648-AF149-AE149-AD149</f>
        <v>9363</v>
      </c>
      <c r="AH149" s="60">
        <f t="shared" si="261"/>
        <v>16648</v>
      </c>
      <c r="AI149" s="44">
        <v>1931</v>
      </c>
      <c r="AJ149" s="44">
        <f>2395-AI149</f>
        <v>464</v>
      </c>
      <c r="AK149" s="44">
        <f>4197-AJ149-AI149</f>
        <v>1802</v>
      </c>
      <c r="AL149" s="44">
        <f>8735-AK149-AJ149-AI149</f>
        <v>4538</v>
      </c>
      <c r="AM149" s="60">
        <f t="shared" si="262"/>
        <v>8735</v>
      </c>
      <c r="AN149" s="154">
        <v>4501</v>
      </c>
      <c r="AO149" s="154">
        <f>11247-AN149</f>
        <v>6746</v>
      </c>
      <c r="AP149" s="154">
        <f>15196-AO149-AN149</f>
        <v>3949</v>
      </c>
      <c r="AQ149" s="161">
        <f>18456-AP149-AO149-AN149</f>
        <v>3260</v>
      </c>
      <c r="AR149" s="60">
        <f t="shared" si="263"/>
        <v>18456</v>
      </c>
      <c r="AS149" s="154">
        <v>6768</v>
      </c>
      <c r="AT149" s="154">
        <f>12088-AS149</f>
        <v>5320</v>
      </c>
      <c r="AU149" s="154">
        <f>14805-AT149-AS149</f>
        <v>2717</v>
      </c>
      <c r="AV149" s="161">
        <f>18660-AU149-AT149-AS149</f>
        <v>3855</v>
      </c>
      <c r="AW149" s="60">
        <f t="shared" si="264"/>
        <v>18660</v>
      </c>
      <c r="AX149" s="154">
        <v>13527</v>
      </c>
      <c r="AY149" s="154">
        <f>28390-AX149</f>
        <v>14863</v>
      </c>
      <c r="AZ149" s="154">
        <f>47852-AY149-AX149</f>
        <v>19462</v>
      </c>
      <c r="BA149" s="161">
        <f>62046-AZ149-AY149-AX149</f>
        <v>14194</v>
      </c>
      <c r="BB149" s="60">
        <f t="shared" si="265"/>
        <v>62046</v>
      </c>
      <c r="BC149" s="154">
        <v>19071</v>
      </c>
      <c r="BD149" s="154">
        <f>37845-BC149</f>
        <v>18774</v>
      </c>
      <c r="BE149" s="154">
        <f>56639-BD149-BC149</f>
        <v>18794</v>
      </c>
      <c r="BF149" s="161">
        <f>74344-BE149-BD149-BC149</f>
        <v>17705</v>
      </c>
      <c r="BG149" s="60">
        <f t="shared" si="266"/>
        <v>74344</v>
      </c>
      <c r="BH149" s="154">
        <v>17987</v>
      </c>
      <c r="BI149" s="154">
        <f>52118-BH149</f>
        <v>34131</v>
      </c>
      <c r="BJ149" s="154">
        <f>74627-BI149-BH149</f>
        <v>22509</v>
      </c>
      <c r="BK149" s="161">
        <f>101077-BJ149-BI149-BH149</f>
        <v>26450</v>
      </c>
      <c r="BL149" s="60">
        <f t="shared" si="267"/>
        <v>101077</v>
      </c>
      <c r="BM149" s="44">
        <v>26479</v>
      </c>
      <c r="BN149" s="44">
        <f>46680-BM149</f>
        <v>20201</v>
      </c>
      <c r="BO149" s="44">
        <f>62440-BN149-BM149</f>
        <v>15760</v>
      </c>
      <c r="BP149" s="117">
        <f>70795-BO149-BN149-BM149</f>
        <v>8355</v>
      </c>
      <c r="BQ149" s="60">
        <f t="shared" si="268"/>
        <v>70795</v>
      </c>
      <c r="BR149" s="44">
        <v>17704</v>
      </c>
      <c r="BS149" s="44">
        <f>34911-BR149</f>
        <v>17207</v>
      </c>
      <c r="BT149" s="44">
        <f>63119-BS149-BR149</f>
        <v>28208</v>
      </c>
      <c r="BU149" s="117">
        <f>93749-BT149-BS149-BR149</f>
        <v>30630</v>
      </c>
      <c r="BV149" s="60">
        <f t="shared" si="269"/>
        <v>93749</v>
      </c>
      <c r="BW149" s="154">
        <v>38761</v>
      </c>
      <c r="BX149" s="154">
        <f>66727-BW149</f>
        <v>27966</v>
      </c>
      <c r="BY149" s="154">
        <f>94064-BX149-BW149</f>
        <v>27337</v>
      </c>
      <c r="BZ149" s="161">
        <f>118247-BY149-BX149-BW149</f>
        <v>24183</v>
      </c>
      <c r="CA149" s="235">
        <f t="shared" si="270"/>
        <v>118247</v>
      </c>
      <c r="CB149" s="154">
        <v>13780</v>
      </c>
      <c r="CC149" s="154">
        <f>24397-CB149</f>
        <v>10617</v>
      </c>
      <c r="CD149" s="154">
        <f>39153-CC149-CB149</f>
        <v>14756</v>
      </c>
      <c r="CE149" s="161">
        <f>50264-CD149-CC149-CB149</f>
        <v>11111</v>
      </c>
      <c r="CF149" s="235">
        <f t="shared" si="271"/>
        <v>50264</v>
      </c>
      <c r="CG149" s="154">
        <v>11327</v>
      </c>
      <c r="CH149" s="154">
        <f>23222-CG149</f>
        <v>11895</v>
      </c>
      <c r="CI149" s="154">
        <f>32874-CH149-CG149</f>
        <v>9652</v>
      </c>
      <c r="CJ149" s="161">
        <f>40766-CI149-CH149-CG149</f>
        <v>7892</v>
      </c>
      <c r="CK149" s="235">
        <f t="shared" si="272"/>
        <v>40766</v>
      </c>
      <c r="CL149" s="154">
        <v>5679</v>
      </c>
      <c r="CM149" s="154">
        <f>15491-CL149</f>
        <v>9812</v>
      </c>
      <c r="CN149" s="154">
        <f>22022-CM149-CL149</f>
        <v>6531</v>
      </c>
      <c r="CO149" s="161">
        <f>29354-CN149-CM149-CL149</f>
        <v>7332</v>
      </c>
      <c r="CP149" s="235">
        <f t="shared" si="273"/>
        <v>29354</v>
      </c>
      <c r="CQ149" s="154">
        <v>9551</v>
      </c>
      <c r="CR149" s="154">
        <f>16906-CQ149</f>
        <v>7355</v>
      </c>
      <c r="CS149" s="154">
        <f>22953-CQ149-CR149</f>
        <v>6047</v>
      </c>
      <c r="CT149" s="154">
        <f>29898-SUM(CQ149:CS149)</f>
        <v>6945</v>
      </c>
      <c r="CU149" s="235">
        <f t="shared" si="274"/>
        <v>29898</v>
      </c>
      <c r="CV149" s="154">
        <v>0</v>
      </c>
      <c r="CW149" s="154">
        <v>0</v>
      </c>
      <c r="CX149" s="154">
        <v>0</v>
      </c>
      <c r="CY149" s="154">
        <v>0</v>
      </c>
      <c r="CZ149" s="235">
        <f t="shared" si="275"/>
        <v>0</v>
      </c>
      <c r="DA149" s="296">
        <v>0</v>
      </c>
      <c r="DB149" s="296">
        <v>0</v>
      </c>
      <c r="DC149" s="296">
        <v>0</v>
      </c>
      <c r="DD149" s="2"/>
      <c r="DE149" s="2"/>
      <c r="DF149" s="235">
        <f t="shared" si="253"/>
        <v>6945</v>
      </c>
      <c r="DG149" s="235">
        <v>0</v>
      </c>
      <c r="DH149" s="235">
        <f t="shared" si="254"/>
        <v>7332</v>
      </c>
      <c r="DI149" s="454" t="str">
        <f t="shared" si="255"/>
        <v>NM</v>
      </c>
      <c r="DJ149" s="454">
        <f t="shared" si="256"/>
        <v>-5.2782324058919805E-2</v>
      </c>
      <c r="DK149" s="2"/>
      <c r="DL149" s="2"/>
      <c r="DM149" s="2"/>
    </row>
    <row r="150" spans="1:117" ht="12" customHeight="1">
      <c r="A150" s="1109">
        <f t="shared" si="249"/>
        <v>141</v>
      </c>
      <c r="B150" s="10"/>
      <c r="C150" s="2" t="s">
        <v>748</v>
      </c>
      <c r="E150" s="144">
        <v>0</v>
      </c>
      <c r="F150" s="144">
        <v>0</v>
      </c>
      <c r="G150" s="144">
        <v>0</v>
      </c>
      <c r="H150" s="144">
        <v>0</v>
      </c>
      <c r="I150" s="144">
        <v>0</v>
      </c>
      <c r="J150" s="44">
        <v>0</v>
      </c>
      <c r="K150" s="44">
        <f>0-J150</f>
        <v>0</v>
      </c>
      <c r="L150" s="44">
        <f>0-K150-J150</f>
        <v>0</v>
      </c>
      <c r="M150" s="161">
        <f>0-L150-K150-J150</f>
        <v>0</v>
      </c>
      <c r="N150" s="60">
        <f t="shared" si="257"/>
        <v>0</v>
      </c>
      <c r="O150" s="44">
        <v>0</v>
      </c>
      <c r="P150" s="44">
        <f>0-O150</f>
        <v>0</v>
      </c>
      <c r="Q150" s="44">
        <f>0-P150-O150</f>
        <v>0</v>
      </c>
      <c r="R150" s="161">
        <f>0-Q150-P150-O150</f>
        <v>0</v>
      </c>
      <c r="S150" s="60">
        <f t="shared" si="258"/>
        <v>0</v>
      </c>
      <c r="T150" s="44">
        <v>0</v>
      </c>
      <c r="U150" s="44">
        <f>0-T150</f>
        <v>0</v>
      </c>
      <c r="V150" s="44">
        <f>0-U150-T150</f>
        <v>0</v>
      </c>
      <c r="W150" s="161">
        <f>0-V150-U150-T150</f>
        <v>0</v>
      </c>
      <c r="X150" s="60">
        <f t="shared" si="259"/>
        <v>0</v>
      </c>
      <c r="Y150" s="44">
        <v>0</v>
      </c>
      <c r="Z150" s="44">
        <f>0-Y150</f>
        <v>0</v>
      </c>
      <c r="AA150" s="44">
        <f>0-Z150-Y150</f>
        <v>0</v>
      </c>
      <c r="AB150" s="161">
        <f>0-AA150-Z150-Y150</f>
        <v>0</v>
      </c>
      <c r="AC150" s="60">
        <f t="shared" si="260"/>
        <v>0</v>
      </c>
      <c r="AD150" s="44">
        <v>0</v>
      </c>
      <c r="AE150" s="44">
        <f>0-AD150</f>
        <v>0</v>
      </c>
      <c r="AF150" s="44">
        <f>0-AE150-AD150</f>
        <v>0</v>
      </c>
      <c r="AG150" s="44">
        <f>0-AF150-AE150-AD150</f>
        <v>0</v>
      </c>
      <c r="AH150" s="60">
        <f t="shared" si="261"/>
        <v>0</v>
      </c>
      <c r="AI150" s="44">
        <v>0</v>
      </c>
      <c r="AJ150" s="44">
        <f>0-AI150</f>
        <v>0</v>
      </c>
      <c r="AK150" s="44">
        <f>0-AJ150-AI150</f>
        <v>0</v>
      </c>
      <c r="AL150" s="44">
        <f>0-AK150-AJ150-AI150</f>
        <v>0</v>
      </c>
      <c r="AM150" s="60">
        <f t="shared" si="262"/>
        <v>0</v>
      </c>
      <c r="AN150" s="44">
        <v>0</v>
      </c>
      <c r="AO150" s="44">
        <f>0-AN150</f>
        <v>0</v>
      </c>
      <c r="AP150" s="44">
        <f>0-AO150-AN150</f>
        <v>0</v>
      </c>
      <c r="AQ150" s="44">
        <f>0-AP150-AO150-AN150</f>
        <v>0</v>
      </c>
      <c r="AR150" s="60">
        <f t="shared" si="263"/>
        <v>0</v>
      </c>
      <c r="AS150" s="44">
        <v>0</v>
      </c>
      <c r="AT150" s="44">
        <f>0-AS150</f>
        <v>0</v>
      </c>
      <c r="AU150" s="154">
        <f>716-AT150-AS150</f>
        <v>716</v>
      </c>
      <c r="AV150" s="161">
        <f>0-AU150-AT150-AS150</f>
        <v>-716</v>
      </c>
      <c r="AW150" s="60">
        <f t="shared" si="264"/>
        <v>0</v>
      </c>
      <c r="AX150" s="154">
        <v>456</v>
      </c>
      <c r="AY150" s="154">
        <f>1630-AX150</f>
        <v>1174</v>
      </c>
      <c r="AZ150" s="154">
        <f>1826-AY150-AX150</f>
        <v>196</v>
      </c>
      <c r="BA150" s="161">
        <f>2533-AZ150-AY150-AX150</f>
        <v>707</v>
      </c>
      <c r="BB150" s="60">
        <f t="shared" si="265"/>
        <v>2533</v>
      </c>
      <c r="BC150" s="154">
        <v>1163</v>
      </c>
      <c r="BD150" s="154">
        <f>1019-BC150</f>
        <v>-144</v>
      </c>
      <c r="BE150" s="154">
        <f>451-BD150-BC150</f>
        <v>-568</v>
      </c>
      <c r="BF150" s="161">
        <f>478-BE150-BD150-BC150</f>
        <v>27</v>
      </c>
      <c r="BG150" s="60">
        <f t="shared" si="266"/>
        <v>478</v>
      </c>
      <c r="BH150" s="154">
        <v>46</v>
      </c>
      <c r="BI150" s="154">
        <f>-79-BH150</f>
        <v>-125</v>
      </c>
      <c r="BJ150" s="154">
        <f>-234-BI150-BH150</f>
        <v>-155</v>
      </c>
      <c r="BK150" s="161">
        <f>-37-BJ150-BI150-BH150</f>
        <v>197</v>
      </c>
      <c r="BL150" s="60">
        <f t="shared" si="267"/>
        <v>-37</v>
      </c>
      <c r="BM150" s="44">
        <v>15</v>
      </c>
      <c r="BN150" s="44">
        <f>103-BM150</f>
        <v>88</v>
      </c>
      <c r="BO150" s="44">
        <f>50-BN150-BM150</f>
        <v>-53</v>
      </c>
      <c r="BP150" s="117">
        <f>353-BO150-BN150-BM150</f>
        <v>303</v>
      </c>
      <c r="BQ150" s="60">
        <f t="shared" si="268"/>
        <v>353</v>
      </c>
      <c r="BR150" s="44">
        <v>-201</v>
      </c>
      <c r="BS150" s="44">
        <f>-348-BR150</f>
        <v>-147</v>
      </c>
      <c r="BT150" s="44">
        <f>-681-BS150-BR150</f>
        <v>-333</v>
      </c>
      <c r="BU150" s="117">
        <f>-737-BT150-BS150-BR150</f>
        <v>-56</v>
      </c>
      <c r="BV150" s="60">
        <f t="shared" si="269"/>
        <v>-737</v>
      </c>
      <c r="BW150" s="154">
        <v>-217</v>
      </c>
      <c r="BX150" s="154">
        <f>-125-BW150</f>
        <v>92</v>
      </c>
      <c r="BY150" s="154">
        <f>-247-BX150-BW150</f>
        <v>-122</v>
      </c>
      <c r="BZ150" s="161">
        <f>-217-BY150-BX150-BW150</f>
        <v>30</v>
      </c>
      <c r="CA150" s="235">
        <f t="shared" si="270"/>
        <v>-217</v>
      </c>
      <c r="CB150" s="154">
        <v>-72</v>
      </c>
      <c r="CC150" s="154">
        <f>29-CB150</f>
        <v>101</v>
      </c>
      <c r="CD150" s="154">
        <f>-46-CC150-CB150</f>
        <v>-75</v>
      </c>
      <c r="CE150" s="161">
        <f>281-CD150-CC150-CB150</f>
        <v>327</v>
      </c>
      <c r="CF150" s="235">
        <f t="shared" si="271"/>
        <v>281</v>
      </c>
      <c r="CG150" s="154">
        <v>113</v>
      </c>
      <c r="CH150" s="154">
        <f>192-CG150</f>
        <v>79</v>
      </c>
      <c r="CI150" s="154">
        <f>26-CH150-CG150</f>
        <v>-166</v>
      </c>
      <c r="CJ150" s="161">
        <f>134-CI150-CH150-CG150</f>
        <v>108</v>
      </c>
      <c r="CK150" s="235">
        <f t="shared" si="272"/>
        <v>134</v>
      </c>
      <c r="CL150" s="154">
        <v>104</v>
      </c>
      <c r="CM150" s="154">
        <f>111-CL150</f>
        <v>7</v>
      </c>
      <c r="CN150" s="154">
        <f>330-CM150-CL150</f>
        <v>219</v>
      </c>
      <c r="CO150" s="161">
        <f>825-CN150-CM150-CL150</f>
        <v>495</v>
      </c>
      <c r="CP150" s="235">
        <f t="shared" si="273"/>
        <v>825</v>
      </c>
      <c r="CQ150" s="154">
        <v>156</v>
      </c>
      <c r="CR150" s="154">
        <f t="shared" ref="CR150:CR155" si="276">-CQ150</f>
        <v>-156</v>
      </c>
      <c r="CS150" s="154">
        <f>62-CQ150-CR150</f>
        <v>62</v>
      </c>
      <c r="CT150" s="154">
        <f>100-SUM(CQ150:CS150)</f>
        <v>38</v>
      </c>
      <c r="CU150" s="235">
        <f t="shared" si="274"/>
        <v>100</v>
      </c>
      <c r="CV150" s="154">
        <v>0</v>
      </c>
      <c r="CW150" s="154">
        <v>0</v>
      </c>
      <c r="CX150" s="154">
        <v>0</v>
      </c>
      <c r="CY150" s="154">
        <v>0</v>
      </c>
      <c r="CZ150" s="235">
        <f t="shared" si="275"/>
        <v>0</v>
      </c>
      <c r="DA150" s="296">
        <v>0</v>
      </c>
      <c r="DB150" s="296">
        <v>0</v>
      </c>
      <c r="DC150" s="296">
        <v>0</v>
      </c>
      <c r="DD150" s="2"/>
      <c r="DE150" s="2"/>
      <c r="DF150" s="235">
        <f t="shared" si="253"/>
        <v>38</v>
      </c>
      <c r="DG150" s="235">
        <v>0</v>
      </c>
      <c r="DH150" s="235">
        <f t="shared" si="254"/>
        <v>495</v>
      </c>
      <c r="DI150" s="454" t="str">
        <f t="shared" si="255"/>
        <v>NM</v>
      </c>
      <c r="DJ150" s="454">
        <f t="shared" si="256"/>
        <v>-0.92323232323232318</v>
      </c>
      <c r="DK150" s="2"/>
      <c r="DL150" s="2"/>
      <c r="DM150" s="2"/>
    </row>
    <row r="151" spans="1:117" ht="12" customHeight="1">
      <c r="A151" s="1109">
        <f t="shared" si="249"/>
        <v>142</v>
      </c>
      <c r="B151" s="10"/>
      <c r="C151" s="2" t="s">
        <v>757</v>
      </c>
      <c r="E151" s="144">
        <v>0</v>
      </c>
      <c r="F151" s="144">
        <v>0</v>
      </c>
      <c r="G151" s="144">
        <v>0</v>
      </c>
      <c r="H151" s="144">
        <v>0</v>
      </c>
      <c r="I151" s="144">
        <v>0</v>
      </c>
      <c r="J151" s="44">
        <v>0</v>
      </c>
      <c r="K151" s="44">
        <f>0-J151</f>
        <v>0</v>
      </c>
      <c r="L151" s="44">
        <f>0-K151-J151</f>
        <v>0</v>
      </c>
      <c r="M151" s="161">
        <f>0-L151-K151-J151</f>
        <v>0</v>
      </c>
      <c r="N151" s="60">
        <f t="shared" si="257"/>
        <v>0</v>
      </c>
      <c r="O151" s="44">
        <v>0</v>
      </c>
      <c r="P151" s="44">
        <f>0-O151</f>
        <v>0</v>
      </c>
      <c r="Q151" s="44">
        <f>0-P151-O151</f>
        <v>0</v>
      </c>
      <c r="R151" s="161">
        <f>0-Q151-P151-O151</f>
        <v>0</v>
      </c>
      <c r="S151" s="60">
        <f t="shared" si="258"/>
        <v>0</v>
      </c>
      <c r="T151" s="44">
        <v>0</v>
      </c>
      <c r="U151" s="44">
        <f>0-T151</f>
        <v>0</v>
      </c>
      <c r="V151" s="44">
        <f>0-U151-T151</f>
        <v>0</v>
      </c>
      <c r="W151" s="161">
        <f>0-V151-U151-T151</f>
        <v>0</v>
      </c>
      <c r="X151" s="60">
        <f t="shared" si="259"/>
        <v>0</v>
      </c>
      <c r="Y151" s="44">
        <v>0</v>
      </c>
      <c r="Z151" s="44">
        <f>0-Y151</f>
        <v>0</v>
      </c>
      <c r="AA151" s="44">
        <f>0-Z151-Y151</f>
        <v>0</v>
      </c>
      <c r="AB151" s="161">
        <f>0-AA151-Z151-Y151</f>
        <v>0</v>
      </c>
      <c r="AC151" s="60">
        <f t="shared" si="260"/>
        <v>0</v>
      </c>
      <c r="AD151" s="44">
        <v>0</v>
      </c>
      <c r="AE151" s="44">
        <f>0-AD151</f>
        <v>0</v>
      </c>
      <c r="AF151" s="44">
        <f>0-AE151-AD151</f>
        <v>0</v>
      </c>
      <c r="AG151" s="44">
        <f>-39-AF151-AE151-AD151</f>
        <v>-39</v>
      </c>
      <c r="AH151" s="60">
        <f t="shared" si="261"/>
        <v>-39</v>
      </c>
      <c r="AI151" s="44">
        <v>0</v>
      </c>
      <c r="AJ151" s="44">
        <f>-4-AI151</f>
        <v>-4</v>
      </c>
      <c r="AK151" s="44">
        <f>-4-AJ151-AI151</f>
        <v>0</v>
      </c>
      <c r="AL151" s="44">
        <f>-1255-AK151-AJ151-AI151</f>
        <v>-1251</v>
      </c>
      <c r="AM151" s="60">
        <f t="shared" si="262"/>
        <v>-1255</v>
      </c>
      <c r="AN151" s="154">
        <v>-4</v>
      </c>
      <c r="AO151" s="154">
        <f>-4-AN151</f>
        <v>0</v>
      </c>
      <c r="AP151" s="154">
        <f>-4-AO151-AN151</f>
        <v>0</v>
      </c>
      <c r="AQ151" s="161">
        <f>-4-AP151-AO151-AN151</f>
        <v>0</v>
      </c>
      <c r="AR151" s="60">
        <f t="shared" si="263"/>
        <v>-4</v>
      </c>
      <c r="AS151" s="44">
        <v>0</v>
      </c>
      <c r="AT151" s="154">
        <f>-83-AS151</f>
        <v>-83</v>
      </c>
      <c r="AU151" s="44">
        <f>0-AT151-AS151</f>
        <v>83</v>
      </c>
      <c r="AV151" s="161">
        <f>0-AU151-AT151-AS151</f>
        <v>0</v>
      </c>
      <c r="AW151" s="60">
        <f t="shared" si="264"/>
        <v>0</v>
      </c>
      <c r="AX151" s="44">
        <v>0</v>
      </c>
      <c r="AY151" s="154">
        <f>-925-AX151</f>
        <v>-925</v>
      </c>
      <c r="AZ151" s="154">
        <f>-925-AY151-AX151</f>
        <v>0</v>
      </c>
      <c r="BA151" s="161">
        <f>-928-AZ151-AY151-AX151</f>
        <v>-3</v>
      </c>
      <c r="BB151" s="60">
        <f t="shared" si="265"/>
        <v>-928</v>
      </c>
      <c r="BC151" s="154">
        <v>-343</v>
      </c>
      <c r="BD151" s="154">
        <f>-343-BC151</f>
        <v>0</v>
      </c>
      <c r="BE151" s="154">
        <f>-343-BD151-BC151</f>
        <v>0</v>
      </c>
      <c r="BF151" s="161">
        <f>-343-BE151-BD151-BC151</f>
        <v>0</v>
      </c>
      <c r="BG151" s="60">
        <f t="shared" si="266"/>
        <v>-343</v>
      </c>
      <c r="BH151" s="154">
        <v>0</v>
      </c>
      <c r="BI151" s="154">
        <f>0-BH151</f>
        <v>0</v>
      </c>
      <c r="BJ151" s="154">
        <f>-456-BI151-BH151</f>
        <v>-456</v>
      </c>
      <c r="BK151" s="161">
        <f>-456-BJ151-BI151-BH151</f>
        <v>0</v>
      </c>
      <c r="BL151" s="60">
        <f t="shared" si="267"/>
        <v>-456</v>
      </c>
      <c r="BM151" s="44">
        <v>0</v>
      </c>
      <c r="BN151" s="44">
        <f>0-BM151</f>
        <v>0</v>
      </c>
      <c r="BO151" s="44">
        <f>0-BN151-BM151</f>
        <v>0</v>
      </c>
      <c r="BP151" s="117">
        <f>-69-BO151-BN151-BM151</f>
        <v>-69</v>
      </c>
      <c r="BQ151" s="60">
        <f t="shared" si="268"/>
        <v>-69</v>
      </c>
      <c r="BR151" s="44">
        <v>0</v>
      </c>
      <c r="BS151" s="44">
        <f>0-BR151</f>
        <v>0</v>
      </c>
      <c r="BT151" s="44">
        <f>191-BS151-BR151</f>
        <v>191</v>
      </c>
      <c r="BU151" s="44">
        <f>191-BT151-BS151-BR151</f>
        <v>0</v>
      </c>
      <c r="BV151" s="60">
        <f t="shared" si="269"/>
        <v>191</v>
      </c>
      <c r="BW151" s="154">
        <v>9</v>
      </c>
      <c r="BX151" s="154">
        <f>9-BW151</f>
        <v>0</v>
      </c>
      <c r="BY151" s="154">
        <f>0-BX151-BW151</f>
        <v>-9</v>
      </c>
      <c r="BZ151" s="154">
        <f>0-BY151-BX151-BW151</f>
        <v>0</v>
      </c>
      <c r="CA151" s="235">
        <f t="shared" si="270"/>
        <v>0</v>
      </c>
      <c r="CB151" s="154">
        <v>0</v>
      </c>
      <c r="CC151" s="154">
        <f>0-CB151</f>
        <v>0</v>
      </c>
      <c r="CD151" s="154">
        <f>0-CC151-CB151</f>
        <v>0</v>
      </c>
      <c r="CE151" s="154">
        <f>0-CD151-CC151-CB151</f>
        <v>0</v>
      </c>
      <c r="CF151" s="235">
        <f t="shared" si="271"/>
        <v>0</v>
      </c>
      <c r="CG151" s="154">
        <v>0</v>
      </c>
      <c r="CH151" s="154">
        <f>0-CG151</f>
        <v>0</v>
      </c>
      <c r="CI151" s="154">
        <f>0-CH151-CG151</f>
        <v>0</v>
      </c>
      <c r="CJ151" s="154">
        <f>0-CI151-CH151-CG151</f>
        <v>0</v>
      </c>
      <c r="CK151" s="235">
        <f t="shared" si="272"/>
        <v>0</v>
      </c>
      <c r="CL151" s="154">
        <v>0</v>
      </c>
      <c r="CM151" s="154">
        <f>0-CL151</f>
        <v>0</v>
      </c>
      <c r="CN151" s="154">
        <f>0-CM151-CL151</f>
        <v>0</v>
      </c>
      <c r="CO151" s="154">
        <f>0-CN151-CM151-CL151</f>
        <v>0</v>
      </c>
      <c r="CP151" s="235">
        <f t="shared" si="273"/>
        <v>0</v>
      </c>
      <c r="CQ151" s="154">
        <v>0</v>
      </c>
      <c r="CR151" s="154">
        <f t="shared" si="276"/>
        <v>0</v>
      </c>
      <c r="CS151" s="154">
        <v>0</v>
      </c>
      <c r="CT151" s="154">
        <v>0</v>
      </c>
      <c r="CU151" s="235">
        <f t="shared" si="274"/>
        <v>0</v>
      </c>
      <c r="CV151" s="154">
        <v>0</v>
      </c>
      <c r="CW151" s="154">
        <v>0</v>
      </c>
      <c r="CX151" s="154">
        <v>0</v>
      </c>
      <c r="CY151" s="154">
        <v>0</v>
      </c>
      <c r="CZ151" s="235">
        <f t="shared" si="275"/>
        <v>0</v>
      </c>
      <c r="DA151" s="296">
        <v>0</v>
      </c>
      <c r="DB151" s="296">
        <v>0</v>
      </c>
      <c r="DC151" s="296">
        <v>0</v>
      </c>
      <c r="DD151" s="2"/>
      <c r="DE151" s="2"/>
      <c r="DF151" s="235">
        <f t="shared" si="253"/>
        <v>0</v>
      </c>
      <c r="DG151" s="235">
        <v>0</v>
      </c>
      <c r="DH151" s="235">
        <f t="shared" si="254"/>
        <v>0</v>
      </c>
      <c r="DI151" s="454" t="str">
        <f t="shared" si="255"/>
        <v>NM</v>
      </c>
      <c r="DJ151" s="454" t="str">
        <f t="shared" si="256"/>
        <v>NM</v>
      </c>
      <c r="DK151" s="2"/>
      <c r="DL151" s="2"/>
      <c r="DM151" s="2"/>
    </row>
    <row r="152" spans="1:117" ht="12" customHeight="1">
      <c r="A152" s="1109">
        <f t="shared" si="249"/>
        <v>143</v>
      </c>
      <c r="B152" s="10"/>
      <c r="C152" s="2" t="s">
        <v>756</v>
      </c>
      <c r="E152" s="144">
        <v>0</v>
      </c>
      <c r="F152" s="144">
        <v>0</v>
      </c>
      <c r="G152" s="144">
        <v>0</v>
      </c>
      <c r="H152" s="144">
        <v>0</v>
      </c>
      <c r="I152" s="144">
        <v>0</v>
      </c>
      <c r="J152" s="154">
        <v>0</v>
      </c>
      <c r="K152" s="154">
        <f>0-J152</f>
        <v>0</v>
      </c>
      <c r="L152" s="154">
        <f>0-K152-J152</f>
        <v>0</v>
      </c>
      <c r="M152" s="161">
        <f>0-L152-K152-J152</f>
        <v>0</v>
      </c>
      <c r="N152" s="60">
        <f t="shared" si="257"/>
        <v>0</v>
      </c>
      <c r="O152" s="154">
        <v>0</v>
      </c>
      <c r="P152" s="154">
        <f>0-O152</f>
        <v>0</v>
      </c>
      <c r="Q152" s="154">
        <f>0-P152-O152</f>
        <v>0</v>
      </c>
      <c r="R152" s="161">
        <f>0-Q152-P152-O152</f>
        <v>0</v>
      </c>
      <c r="S152" s="60">
        <f t="shared" si="258"/>
        <v>0</v>
      </c>
      <c r="T152" s="154">
        <v>0</v>
      </c>
      <c r="U152" s="154">
        <f>0-T152</f>
        <v>0</v>
      </c>
      <c r="V152" s="154">
        <f>0-U152-T152</f>
        <v>0</v>
      </c>
      <c r="W152" s="161">
        <f>257-V152-U152-T152</f>
        <v>257</v>
      </c>
      <c r="X152" s="60">
        <f t="shared" si="259"/>
        <v>257</v>
      </c>
      <c r="Y152" s="154">
        <v>157</v>
      </c>
      <c r="Z152" s="154">
        <f>281-Y152</f>
        <v>124</v>
      </c>
      <c r="AA152" s="154">
        <f>1702-Z152-Y152</f>
        <v>1421</v>
      </c>
      <c r="AB152" s="161">
        <f>1702-AA152-Z152-Y152</f>
        <v>0</v>
      </c>
      <c r="AC152" s="60">
        <f t="shared" si="260"/>
        <v>1702</v>
      </c>
      <c r="AD152" s="44">
        <v>100</v>
      </c>
      <c r="AE152" s="44">
        <f>125-AD152</f>
        <v>25</v>
      </c>
      <c r="AF152" s="44">
        <f>537-AE152-AD152</f>
        <v>412</v>
      </c>
      <c r="AG152" s="44">
        <f>537-AF152-AE152-AD152</f>
        <v>0</v>
      </c>
      <c r="AH152" s="60">
        <f t="shared" si="261"/>
        <v>537</v>
      </c>
      <c r="AI152" s="44">
        <v>39</v>
      </c>
      <c r="AJ152" s="44">
        <f>2070-AI152</f>
        <v>2031</v>
      </c>
      <c r="AK152" s="44">
        <f>2245-AJ152-AI152</f>
        <v>175</v>
      </c>
      <c r="AL152" s="44">
        <f>7937-AK152-AJ152-AI152</f>
        <v>5692</v>
      </c>
      <c r="AM152" s="60">
        <f t="shared" si="262"/>
        <v>7937</v>
      </c>
      <c r="AN152" s="154">
        <v>50</v>
      </c>
      <c r="AO152" s="154">
        <f>51-AN152</f>
        <v>1</v>
      </c>
      <c r="AP152" s="154">
        <f>54-AO152-AN152</f>
        <v>3</v>
      </c>
      <c r="AQ152" s="161">
        <f>56-AP152-AO152-AN152</f>
        <v>2</v>
      </c>
      <c r="AR152" s="60">
        <f t="shared" si="263"/>
        <v>56</v>
      </c>
      <c r="AS152" s="154">
        <v>35</v>
      </c>
      <c r="AT152" s="154">
        <f>1001-AS152</f>
        <v>966</v>
      </c>
      <c r="AU152" s="154">
        <f>1236-AT152-AS152</f>
        <v>235</v>
      </c>
      <c r="AV152" s="161">
        <f>1236-AU152-AT152-AS152</f>
        <v>0</v>
      </c>
      <c r="AW152" s="60">
        <f t="shared" si="264"/>
        <v>1236</v>
      </c>
      <c r="AX152" s="154">
        <v>44</v>
      </c>
      <c r="AY152" s="154">
        <f>6150-AX152</f>
        <v>6106</v>
      </c>
      <c r="AZ152" s="154">
        <f>6293-AY152-AX152</f>
        <v>143</v>
      </c>
      <c r="BA152" s="161">
        <f>6854-AZ152-AY152-AX152</f>
        <v>561</v>
      </c>
      <c r="BB152" s="60">
        <f t="shared" si="265"/>
        <v>6854</v>
      </c>
      <c r="BC152" s="154">
        <v>166</v>
      </c>
      <c r="BD152" s="154">
        <f>171-BC152</f>
        <v>5</v>
      </c>
      <c r="BE152" s="154">
        <f>380-BD152-BC152</f>
        <v>209</v>
      </c>
      <c r="BF152" s="161">
        <f>382-BE152-BD152-BC152</f>
        <v>2</v>
      </c>
      <c r="BG152" s="60">
        <f t="shared" si="266"/>
        <v>382</v>
      </c>
      <c r="BH152" s="154">
        <v>0</v>
      </c>
      <c r="BI152" s="154">
        <f>0-BH152</f>
        <v>0</v>
      </c>
      <c r="BJ152" s="154">
        <f>1318-BI152-BH152</f>
        <v>1318</v>
      </c>
      <c r="BK152" s="161">
        <f>1318-BJ152-BI152-BH152</f>
        <v>0</v>
      </c>
      <c r="BL152" s="60">
        <f t="shared" si="267"/>
        <v>1318</v>
      </c>
      <c r="BM152" s="44">
        <v>0</v>
      </c>
      <c r="BN152" s="44">
        <f>144-BM152</f>
        <v>144</v>
      </c>
      <c r="BO152" s="44">
        <f>150-BN152-BM152</f>
        <v>6</v>
      </c>
      <c r="BP152" s="44">
        <f>333-BO152-BN152-BM152</f>
        <v>183</v>
      </c>
      <c r="BQ152" s="60">
        <f t="shared" si="268"/>
        <v>333</v>
      </c>
      <c r="BR152" s="44">
        <v>5</v>
      </c>
      <c r="BS152" s="44">
        <f>64-BR152</f>
        <v>59</v>
      </c>
      <c r="BT152" s="44">
        <f>65-BS152-BR152</f>
        <v>1</v>
      </c>
      <c r="BU152" s="44">
        <f>66-BT152-BS152-BR152</f>
        <v>1</v>
      </c>
      <c r="BV152" s="60">
        <f t="shared" si="269"/>
        <v>66</v>
      </c>
      <c r="BW152" s="154">
        <v>0</v>
      </c>
      <c r="BX152" s="154">
        <f>0-BW152</f>
        <v>0</v>
      </c>
      <c r="BY152" s="154">
        <f>0-BX152-BW152</f>
        <v>0</v>
      </c>
      <c r="BZ152" s="161">
        <f>0-BY152-BX152-BW152</f>
        <v>0</v>
      </c>
      <c r="CA152" s="235">
        <f t="shared" si="270"/>
        <v>0</v>
      </c>
      <c r="CB152" s="154">
        <v>0</v>
      </c>
      <c r="CC152" s="154">
        <f>0-CB152</f>
        <v>0</v>
      </c>
      <c r="CD152" s="154">
        <f>0-CC152-CB152</f>
        <v>0</v>
      </c>
      <c r="CE152" s="154">
        <f>0-CD152-CC152-CB152</f>
        <v>0</v>
      </c>
      <c r="CF152" s="235">
        <f t="shared" si="271"/>
        <v>0</v>
      </c>
      <c r="CG152" s="154">
        <v>0</v>
      </c>
      <c r="CH152" s="154">
        <f>0-CG152</f>
        <v>0</v>
      </c>
      <c r="CI152" s="154">
        <f>0-CH152-CG152</f>
        <v>0</v>
      </c>
      <c r="CJ152" s="154">
        <f>0-CI152-CH152-CG152</f>
        <v>0</v>
      </c>
      <c r="CK152" s="235">
        <f t="shared" si="272"/>
        <v>0</v>
      </c>
      <c r="CL152" s="154">
        <v>0</v>
      </c>
      <c r="CM152" s="154">
        <f>0-CL152</f>
        <v>0</v>
      </c>
      <c r="CN152" s="154">
        <f>0-CM152-CL152</f>
        <v>0</v>
      </c>
      <c r="CO152" s="154">
        <f>0-CN152-CM152-CL152</f>
        <v>0</v>
      </c>
      <c r="CP152" s="235">
        <f t="shared" si="273"/>
        <v>0</v>
      </c>
      <c r="CQ152" s="154">
        <v>0</v>
      </c>
      <c r="CR152" s="154">
        <f t="shared" si="276"/>
        <v>0</v>
      </c>
      <c r="CS152" s="154">
        <v>0</v>
      </c>
      <c r="CT152" s="154">
        <v>0</v>
      </c>
      <c r="CU152" s="235">
        <f t="shared" si="274"/>
        <v>0</v>
      </c>
      <c r="CV152" s="154">
        <v>0</v>
      </c>
      <c r="CW152" s="154">
        <v>0</v>
      </c>
      <c r="CX152" s="154">
        <v>0</v>
      </c>
      <c r="CY152" s="154">
        <v>0</v>
      </c>
      <c r="CZ152" s="235">
        <f t="shared" si="275"/>
        <v>0</v>
      </c>
      <c r="DA152" s="296">
        <v>0</v>
      </c>
      <c r="DB152" s="296">
        <v>0</v>
      </c>
      <c r="DC152" s="296">
        <v>0</v>
      </c>
      <c r="DD152" s="2"/>
      <c r="DE152" s="2"/>
      <c r="DF152" s="235">
        <f t="shared" si="253"/>
        <v>0</v>
      </c>
      <c r="DG152" s="235">
        <v>0</v>
      </c>
      <c r="DH152" s="235">
        <f t="shared" si="254"/>
        <v>0</v>
      </c>
      <c r="DI152" s="454" t="str">
        <f t="shared" si="255"/>
        <v>NM</v>
      </c>
      <c r="DJ152" s="454" t="str">
        <f t="shared" si="256"/>
        <v>NM</v>
      </c>
      <c r="DK152" s="2"/>
      <c r="DL152" s="2"/>
      <c r="DM152" s="2"/>
    </row>
    <row r="153" spans="1:117" ht="12" customHeight="1">
      <c r="A153" s="1109">
        <f t="shared" si="249"/>
        <v>144</v>
      </c>
      <c r="B153" s="10"/>
      <c r="C153" s="2" t="s">
        <v>760</v>
      </c>
      <c r="E153" s="144">
        <v>4360</v>
      </c>
      <c r="F153" s="144">
        <v>2867</v>
      </c>
      <c r="G153" s="144">
        <v>5197</v>
      </c>
      <c r="H153" s="144">
        <v>8413</v>
      </c>
      <c r="I153" s="144">
        <v>9931</v>
      </c>
      <c r="J153" s="154">
        <v>2807</v>
      </c>
      <c r="K153" s="154">
        <f>7704-J153</f>
        <v>4897</v>
      </c>
      <c r="L153" s="154">
        <f>12502-K153-J153</f>
        <v>4798</v>
      </c>
      <c r="M153" s="161">
        <f>19439-L153-K153-J153</f>
        <v>6937</v>
      </c>
      <c r="N153" s="60">
        <f t="shared" si="257"/>
        <v>19439</v>
      </c>
      <c r="O153" s="154">
        <v>7174</v>
      </c>
      <c r="P153" s="154">
        <f>10141-O153</f>
        <v>2967</v>
      </c>
      <c r="Q153" s="154">
        <f>29515-P153-O153</f>
        <v>19374</v>
      </c>
      <c r="R153" s="161">
        <f>41419-Q153-P153-O153</f>
        <v>11904</v>
      </c>
      <c r="S153" s="60">
        <f t="shared" si="258"/>
        <v>41419</v>
      </c>
      <c r="T153" s="154">
        <v>15399</v>
      </c>
      <c r="U153" s="154">
        <f>19430-T153</f>
        <v>4031</v>
      </c>
      <c r="V153" s="154">
        <f>28237-U153-T153</f>
        <v>8807</v>
      </c>
      <c r="W153" s="161">
        <f>41289-V153-U153-T153</f>
        <v>13052</v>
      </c>
      <c r="X153" s="60">
        <f t="shared" si="259"/>
        <v>41289</v>
      </c>
      <c r="Y153" s="154">
        <v>10966</v>
      </c>
      <c r="Z153" s="154">
        <f>13573-Y153</f>
        <v>2607</v>
      </c>
      <c r="AA153" s="154">
        <f>15781-Z153-Y153</f>
        <v>2208</v>
      </c>
      <c r="AB153" s="161">
        <f>18401-AA153-Z153-Y153</f>
        <v>2620</v>
      </c>
      <c r="AC153" s="60">
        <f t="shared" si="260"/>
        <v>18401</v>
      </c>
      <c r="AD153" s="44">
        <v>1680</v>
      </c>
      <c r="AE153" s="44">
        <f>3760-AD153</f>
        <v>2080</v>
      </c>
      <c r="AF153" s="44">
        <f>4661-AE153-AD153</f>
        <v>901</v>
      </c>
      <c r="AG153" s="44">
        <f>0-AF153-AE153-AD153</f>
        <v>-4661</v>
      </c>
      <c r="AH153" s="60">
        <f t="shared" si="261"/>
        <v>0</v>
      </c>
      <c r="AI153" s="44">
        <v>8373</v>
      </c>
      <c r="AJ153" s="44">
        <f>12506-AI153</f>
        <v>4133</v>
      </c>
      <c r="AK153" s="44">
        <f>15144-AJ153-AI153</f>
        <v>2638</v>
      </c>
      <c r="AL153" s="44">
        <f>17288-AK153-AJ153-AI153</f>
        <v>2144</v>
      </c>
      <c r="AM153" s="60">
        <f t="shared" si="262"/>
        <v>17288</v>
      </c>
      <c r="AN153" s="154">
        <v>2540</v>
      </c>
      <c r="AO153" s="154">
        <f>2947-AN153</f>
        <v>407</v>
      </c>
      <c r="AP153" s="154">
        <f>3956-AO153-AN153</f>
        <v>1009</v>
      </c>
      <c r="AQ153" s="161">
        <f>5120-AP153-AO153-AN153</f>
        <v>1164</v>
      </c>
      <c r="AR153" s="60">
        <f t="shared" si="263"/>
        <v>5120</v>
      </c>
      <c r="AS153" s="154">
        <v>697</v>
      </c>
      <c r="AT153" s="154">
        <f>702-AS153</f>
        <v>5</v>
      </c>
      <c r="AU153" s="154">
        <f>705-AT153-AS153</f>
        <v>3</v>
      </c>
      <c r="AV153" s="161">
        <f>708-AU153-AT153-AS153</f>
        <v>3</v>
      </c>
      <c r="AW153" s="60">
        <f t="shared" si="264"/>
        <v>708</v>
      </c>
      <c r="AX153" s="44">
        <v>0</v>
      </c>
      <c r="AY153" s="44">
        <f>0-AX153</f>
        <v>0</v>
      </c>
      <c r="AZ153" s="44">
        <f>0-AY153-AX153</f>
        <v>0</v>
      </c>
      <c r="BA153" s="161">
        <f>0-AZ153-AY153-AX153</f>
        <v>0</v>
      </c>
      <c r="BB153" s="60">
        <f t="shared" si="265"/>
        <v>0</v>
      </c>
      <c r="BC153" s="44">
        <v>0</v>
      </c>
      <c r="BD153" s="44">
        <f>0-BC153</f>
        <v>0</v>
      </c>
      <c r="BE153" s="154">
        <f>0-BD153-BC153</f>
        <v>0</v>
      </c>
      <c r="BF153" s="161">
        <f>911-BE153-BD153-BC153</f>
        <v>911</v>
      </c>
      <c r="BG153" s="60">
        <f t="shared" si="266"/>
        <v>911</v>
      </c>
      <c r="BH153" s="154">
        <v>0</v>
      </c>
      <c r="BI153" s="154">
        <f>0-BH153</f>
        <v>0</v>
      </c>
      <c r="BJ153" s="154">
        <f>0-BI153-BH153</f>
        <v>0</v>
      </c>
      <c r="BK153" s="154">
        <f>0-BJ153-BI153-BH153</f>
        <v>0</v>
      </c>
      <c r="BL153" s="60">
        <f t="shared" si="267"/>
        <v>0</v>
      </c>
      <c r="BM153" s="44">
        <v>0</v>
      </c>
      <c r="BN153" s="44">
        <f>0-BM153</f>
        <v>0</v>
      </c>
      <c r="BO153" s="44">
        <f>0-BN153-BM153</f>
        <v>0</v>
      </c>
      <c r="BP153" s="44">
        <f>0-BO153-BN153-BM153</f>
        <v>0</v>
      </c>
      <c r="BQ153" s="60">
        <f t="shared" si="268"/>
        <v>0</v>
      </c>
      <c r="BR153" s="44">
        <v>0</v>
      </c>
      <c r="BS153" s="44">
        <f>0-BR153</f>
        <v>0</v>
      </c>
      <c r="BT153" s="44">
        <f>0-BS153-BR153</f>
        <v>0</v>
      </c>
      <c r="BU153" s="44">
        <f>0-BT153-BS153-BR153</f>
        <v>0</v>
      </c>
      <c r="BV153" s="60">
        <f t="shared" si="269"/>
        <v>0</v>
      </c>
      <c r="BW153" s="154">
        <v>0</v>
      </c>
      <c r="BX153" s="154">
        <f>0-BW153</f>
        <v>0</v>
      </c>
      <c r="BY153" s="154">
        <f>0-BX153-BW153</f>
        <v>0</v>
      </c>
      <c r="BZ153" s="154">
        <f>0-BY153-BX153-BW153</f>
        <v>0</v>
      </c>
      <c r="CA153" s="235">
        <f t="shared" si="270"/>
        <v>0</v>
      </c>
      <c r="CB153" s="154">
        <v>0</v>
      </c>
      <c r="CC153" s="154">
        <f>0-CB153</f>
        <v>0</v>
      </c>
      <c r="CD153" s="154">
        <f>0-CC153-CB153</f>
        <v>0</v>
      </c>
      <c r="CE153" s="154">
        <f>0-CD153-CC153-CB153</f>
        <v>0</v>
      </c>
      <c r="CF153" s="235">
        <f t="shared" si="271"/>
        <v>0</v>
      </c>
      <c r="CG153" s="154">
        <v>0</v>
      </c>
      <c r="CH153" s="154">
        <f>0-CG153</f>
        <v>0</v>
      </c>
      <c r="CI153" s="154">
        <f>0-CH153-CG153</f>
        <v>0</v>
      </c>
      <c r="CJ153" s="154">
        <f>0-CI153-CH153-CG153</f>
        <v>0</v>
      </c>
      <c r="CK153" s="235">
        <f t="shared" si="272"/>
        <v>0</v>
      </c>
      <c r="CL153" s="154">
        <v>0</v>
      </c>
      <c r="CM153" s="154">
        <f>0-CL153</f>
        <v>0</v>
      </c>
      <c r="CN153" s="154">
        <f>0-CM153-CL153</f>
        <v>0</v>
      </c>
      <c r="CO153" s="154">
        <f>0-CN153-CM153-CL153</f>
        <v>0</v>
      </c>
      <c r="CP153" s="235">
        <f t="shared" si="273"/>
        <v>0</v>
      </c>
      <c r="CQ153" s="154">
        <v>0</v>
      </c>
      <c r="CR153" s="154">
        <f t="shared" si="276"/>
        <v>0</v>
      </c>
      <c r="CS153" s="154">
        <v>0</v>
      </c>
      <c r="CT153" s="154">
        <v>0</v>
      </c>
      <c r="CU153" s="235">
        <f t="shared" si="274"/>
        <v>0</v>
      </c>
      <c r="CV153" s="154">
        <v>0</v>
      </c>
      <c r="CW153" s="154">
        <v>0</v>
      </c>
      <c r="CX153" s="154">
        <v>0</v>
      </c>
      <c r="CY153" s="154">
        <v>0</v>
      </c>
      <c r="CZ153" s="235">
        <f t="shared" si="275"/>
        <v>0</v>
      </c>
      <c r="DA153" s="296">
        <v>0</v>
      </c>
      <c r="DB153" s="296">
        <v>0</v>
      </c>
      <c r="DC153" s="296">
        <v>0</v>
      </c>
      <c r="DD153" s="2"/>
      <c r="DE153" s="2"/>
      <c r="DF153" s="235">
        <f t="shared" si="253"/>
        <v>0</v>
      </c>
      <c r="DG153" s="235">
        <v>0</v>
      </c>
      <c r="DH153" s="235">
        <f t="shared" si="254"/>
        <v>0</v>
      </c>
      <c r="DI153" s="454" t="str">
        <f t="shared" si="255"/>
        <v>NM</v>
      </c>
      <c r="DJ153" s="454" t="str">
        <f t="shared" si="256"/>
        <v>NM</v>
      </c>
      <c r="DK153" s="2"/>
      <c r="DL153" s="2"/>
      <c r="DM153" s="2"/>
    </row>
    <row r="154" spans="1:117" ht="12" customHeight="1">
      <c r="A154" s="1109">
        <f t="shared" si="249"/>
        <v>145</v>
      </c>
      <c r="B154" s="10"/>
      <c r="C154" s="196" t="s">
        <v>763</v>
      </c>
      <c r="E154" s="144">
        <v>-19</v>
      </c>
      <c r="F154" s="144">
        <v>416</v>
      </c>
      <c r="G154" s="144">
        <v>258</v>
      </c>
      <c r="H154" s="144">
        <v>642</v>
      </c>
      <c r="I154" s="144">
        <v>1329</v>
      </c>
      <c r="J154" s="44">
        <v>35</v>
      </c>
      <c r="K154" s="44">
        <f>45-J154</f>
        <v>10</v>
      </c>
      <c r="L154" s="154">
        <f>92-K154-J154</f>
        <v>47</v>
      </c>
      <c r="M154" s="161">
        <f>645-L154-K154-J154</f>
        <v>553</v>
      </c>
      <c r="N154" s="60">
        <f t="shared" si="257"/>
        <v>645</v>
      </c>
      <c r="O154" s="44">
        <v>-674</v>
      </c>
      <c r="P154" s="44">
        <f>-460-O154</f>
        <v>214</v>
      </c>
      <c r="Q154" s="154">
        <f>116-P154-O154</f>
        <v>576</v>
      </c>
      <c r="R154" s="161">
        <f>0-Q154-P154-O154</f>
        <v>-116</v>
      </c>
      <c r="S154" s="60">
        <f t="shared" si="258"/>
        <v>0</v>
      </c>
      <c r="T154" s="44">
        <v>0</v>
      </c>
      <c r="U154" s="44">
        <f>0-T154</f>
        <v>0</v>
      </c>
      <c r="V154" s="44">
        <f>0-U154-T154</f>
        <v>0</v>
      </c>
      <c r="W154" s="44">
        <f>0-V154-U154-T154</f>
        <v>0</v>
      </c>
      <c r="X154" s="60">
        <f t="shared" si="259"/>
        <v>0</v>
      </c>
      <c r="Y154" s="44">
        <v>0</v>
      </c>
      <c r="Z154" s="44">
        <f>0-Y154</f>
        <v>0</v>
      </c>
      <c r="AA154" s="44">
        <f>0-Z154-Y154</f>
        <v>0</v>
      </c>
      <c r="AB154" s="44">
        <f>0-AA154-Z154-Y154</f>
        <v>0</v>
      </c>
      <c r="AC154" s="60">
        <f t="shared" si="260"/>
        <v>0</v>
      </c>
      <c r="AD154" s="44">
        <v>0</v>
      </c>
      <c r="AE154" s="44">
        <f>0-AD154</f>
        <v>0</v>
      </c>
      <c r="AF154" s="44">
        <f>0-AE154-AD154</f>
        <v>0</v>
      </c>
      <c r="AG154" s="44">
        <f>0-AF154-AE154-AD154</f>
        <v>0</v>
      </c>
      <c r="AH154" s="60">
        <f t="shared" si="261"/>
        <v>0</v>
      </c>
      <c r="AI154" s="44">
        <v>0</v>
      </c>
      <c r="AJ154" s="44">
        <f>0-AI154</f>
        <v>0</v>
      </c>
      <c r="AK154" s="44">
        <f>0-AJ154-AI154</f>
        <v>0</v>
      </c>
      <c r="AL154" s="44">
        <f>0-AK154-AJ154-AI154</f>
        <v>0</v>
      </c>
      <c r="AM154" s="60">
        <f t="shared" si="262"/>
        <v>0</v>
      </c>
      <c r="AN154" s="44">
        <v>0</v>
      </c>
      <c r="AO154" s="44">
        <f>0-AN154</f>
        <v>0</v>
      </c>
      <c r="AP154" s="44">
        <f>0-AO154-AN154</f>
        <v>0</v>
      </c>
      <c r="AQ154" s="44">
        <f>0-AP154-AO154-AN154</f>
        <v>0</v>
      </c>
      <c r="AR154" s="60">
        <f t="shared" si="263"/>
        <v>0</v>
      </c>
      <c r="AS154" s="44">
        <v>0</v>
      </c>
      <c r="AT154" s="44">
        <f>0-AS154</f>
        <v>0</v>
      </c>
      <c r="AU154" s="44">
        <f>0-AT154-AS154</f>
        <v>0</v>
      </c>
      <c r="AV154" s="44">
        <f>0-AU154-AT154-AS154</f>
        <v>0</v>
      </c>
      <c r="AW154" s="60">
        <f t="shared" si="264"/>
        <v>0</v>
      </c>
      <c r="AX154" s="44">
        <v>0</v>
      </c>
      <c r="AY154" s="44">
        <f>0-AX154</f>
        <v>0</v>
      </c>
      <c r="AZ154" s="44">
        <f>0-AY154-AX154</f>
        <v>0</v>
      </c>
      <c r="BA154" s="44">
        <f>0-AZ154-AY154-AX154</f>
        <v>0</v>
      </c>
      <c r="BB154" s="60">
        <f t="shared" si="265"/>
        <v>0</v>
      </c>
      <c r="BC154" s="44">
        <v>0</v>
      </c>
      <c r="BD154" s="44">
        <f>0-BC154</f>
        <v>0</v>
      </c>
      <c r="BE154" s="44">
        <f>0-BD154-BC154</f>
        <v>0</v>
      </c>
      <c r="BF154" s="44">
        <f>0-BE154-BD154-BC154</f>
        <v>0</v>
      </c>
      <c r="BG154" s="60">
        <f t="shared" si="266"/>
        <v>0</v>
      </c>
      <c r="BH154" s="44">
        <v>0</v>
      </c>
      <c r="BI154" s="44">
        <f>0-BH154</f>
        <v>0</v>
      </c>
      <c r="BJ154" s="44">
        <f>0-BI154-BH154</f>
        <v>0</v>
      </c>
      <c r="BK154" s="44">
        <f>0-BJ154-BI154-BH154</f>
        <v>0</v>
      </c>
      <c r="BL154" s="60">
        <f t="shared" si="267"/>
        <v>0</v>
      </c>
      <c r="BM154" s="44">
        <v>0</v>
      </c>
      <c r="BN154" s="44">
        <f>0-BM154</f>
        <v>0</v>
      </c>
      <c r="BO154" s="44">
        <f>0-BN154-BM154</f>
        <v>0</v>
      </c>
      <c r="BP154" s="44">
        <f>0-BO154-BN154-BM154</f>
        <v>0</v>
      </c>
      <c r="BQ154" s="60">
        <f t="shared" si="268"/>
        <v>0</v>
      </c>
      <c r="BR154" s="44">
        <v>0</v>
      </c>
      <c r="BS154" s="44">
        <f>0-BR154</f>
        <v>0</v>
      </c>
      <c r="BT154" s="44">
        <f>0-BS154-BR154</f>
        <v>0</v>
      </c>
      <c r="BU154" s="44">
        <f>0-BT154-BS154-BR154</f>
        <v>0</v>
      </c>
      <c r="BV154" s="60">
        <f t="shared" si="269"/>
        <v>0</v>
      </c>
      <c r="BW154" s="154">
        <v>0</v>
      </c>
      <c r="BX154" s="154">
        <f>0-BW154</f>
        <v>0</v>
      </c>
      <c r="BY154" s="154">
        <f>0-BX154-BW154</f>
        <v>0</v>
      </c>
      <c r="BZ154" s="154">
        <f>0-BY154-BX154-BW154</f>
        <v>0</v>
      </c>
      <c r="CA154" s="235">
        <f t="shared" si="270"/>
        <v>0</v>
      </c>
      <c r="CB154" s="154">
        <v>0</v>
      </c>
      <c r="CC154" s="154">
        <f>0-CB154</f>
        <v>0</v>
      </c>
      <c r="CD154" s="154">
        <f>0-CC154-CB154</f>
        <v>0</v>
      </c>
      <c r="CE154" s="154">
        <f>0-CD154-CC154-CB154</f>
        <v>0</v>
      </c>
      <c r="CF154" s="235">
        <f t="shared" si="271"/>
        <v>0</v>
      </c>
      <c r="CG154" s="154">
        <v>0</v>
      </c>
      <c r="CH154" s="154">
        <f>0-CG154</f>
        <v>0</v>
      </c>
      <c r="CI154" s="154">
        <f>0-CH154-CG154</f>
        <v>0</v>
      </c>
      <c r="CJ154" s="154">
        <f>0-CI154-CH154-CG154</f>
        <v>0</v>
      </c>
      <c r="CK154" s="235">
        <f t="shared" si="272"/>
        <v>0</v>
      </c>
      <c r="CL154" s="154">
        <v>0</v>
      </c>
      <c r="CM154" s="154">
        <f>0-CL154</f>
        <v>0</v>
      </c>
      <c r="CN154" s="154">
        <f>0-CM154-CL154</f>
        <v>0</v>
      </c>
      <c r="CO154" s="154">
        <f>0-CN154-CM154-CL154</f>
        <v>0</v>
      </c>
      <c r="CP154" s="235">
        <f t="shared" si="273"/>
        <v>0</v>
      </c>
      <c r="CQ154" s="154">
        <v>0</v>
      </c>
      <c r="CR154" s="154">
        <f t="shared" si="276"/>
        <v>0</v>
      </c>
      <c r="CS154" s="154">
        <v>0</v>
      </c>
      <c r="CT154" s="154">
        <v>0</v>
      </c>
      <c r="CU154" s="235">
        <f t="shared" si="274"/>
        <v>0</v>
      </c>
      <c r="CV154" s="154">
        <v>0</v>
      </c>
      <c r="CW154" s="154">
        <v>0</v>
      </c>
      <c r="CX154" s="154">
        <v>0</v>
      </c>
      <c r="CY154" s="154">
        <v>0</v>
      </c>
      <c r="CZ154" s="235">
        <f t="shared" si="275"/>
        <v>0</v>
      </c>
      <c r="DA154" s="296">
        <v>0</v>
      </c>
      <c r="DB154" s="296">
        <v>0</v>
      </c>
      <c r="DC154" s="296">
        <v>0</v>
      </c>
      <c r="DD154" s="2"/>
      <c r="DE154" s="2"/>
      <c r="DF154" s="235">
        <f t="shared" si="253"/>
        <v>0</v>
      </c>
      <c r="DG154" s="235">
        <v>0</v>
      </c>
      <c r="DH154" s="235">
        <f t="shared" si="254"/>
        <v>0</v>
      </c>
      <c r="DI154" s="454" t="str">
        <f t="shared" si="255"/>
        <v>NM</v>
      </c>
      <c r="DJ154" s="454" t="str">
        <f t="shared" si="256"/>
        <v>NM</v>
      </c>
      <c r="DK154" s="2"/>
      <c r="DL154" s="2"/>
      <c r="DM154" s="2"/>
    </row>
    <row r="155" spans="1:117" ht="12" customHeight="1">
      <c r="A155" s="1109">
        <f t="shared" si="249"/>
        <v>146</v>
      </c>
      <c r="B155" s="10"/>
      <c r="C155" s="197" t="s">
        <v>759</v>
      </c>
      <c r="E155" s="144">
        <v>0</v>
      </c>
      <c r="F155" s="144">
        <v>-166</v>
      </c>
      <c r="G155" s="144">
        <v>-40</v>
      </c>
      <c r="H155" s="144">
        <v>-344</v>
      </c>
      <c r="I155" s="144">
        <f>-5763-144</f>
        <v>-5907</v>
      </c>
      <c r="J155" s="154">
        <f>-206-49</f>
        <v>-255</v>
      </c>
      <c r="K155" s="44">
        <f>-2060-76-J155</f>
        <v>-1881</v>
      </c>
      <c r="L155" s="44">
        <f>-2487-87-K155-J155</f>
        <v>-438</v>
      </c>
      <c r="M155" s="44">
        <f>-2662-112-L155-K155-J155</f>
        <v>-200</v>
      </c>
      <c r="N155" s="60">
        <f t="shared" si="257"/>
        <v>-2774</v>
      </c>
      <c r="O155" s="154">
        <f>-122-743</f>
        <v>-865</v>
      </c>
      <c r="P155" s="44">
        <f>-1868-742-O155</f>
        <v>-1745</v>
      </c>
      <c r="Q155" s="44">
        <f>-1935-743-P155-O155</f>
        <v>-68</v>
      </c>
      <c r="R155" s="44">
        <f>-2735-Q155-P155-O155</f>
        <v>-57</v>
      </c>
      <c r="S155" s="60">
        <f t="shared" si="258"/>
        <v>-2735</v>
      </c>
      <c r="T155" s="154">
        <v>-37</v>
      </c>
      <c r="U155" s="44">
        <f>-22-T155</f>
        <v>15</v>
      </c>
      <c r="V155" s="44">
        <f>-22-U155-T155</f>
        <v>0</v>
      </c>
      <c r="W155" s="44">
        <f>-289-V155-U155-T155</f>
        <v>-267</v>
      </c>
      <c r="X155" s="60">
        <f t="shared" si="259"/>
        <v>-289</v>
      </c>
      <c r="Y155" s="154">
        <v>-8</v>
      </c>
      <c r="Z155" s="44">
        <f>0-Y155</f>
        <v>8</v>
      </c>
      <c r="AA155" s="44">
        <f>0-Z155-Y155</f>
        <v>0</v>
      </c>
      <c r="AB155" s="44">
        <f>0-AA155-Z155-Y155</f>
        <v>0</v>
      </c>
      <c r="AC155" s="60">
        <f t="shared" si="260"/>
        <v>0</v>
      </c>
      <c r="AD155" s="44">
        <v>0</v>
      </c>
      <c r="AE155" s="44">
        <f>-30-AD155</f>
        <v>-30</v>
      </c>
      <c r="AF155" s="44">
        <f>-30-AE155-AD155</f>
        <v>0</v>
      </c>
      <c r="AG155" s="44">
        <f>-30-AF155-AE155-AD155</f>
        <v>0</v>
      </c>
      <c r="AH155" s="60">
        <f t="shared" si="261"/>
        <v>-30</v>
      </c>
      <c r="AI155" s="44">
        <v>0</v>
      </c>
      <c r="AJ155" s="44">
        <f>-1296-AI155</f>
        <v>-1296</v>
      </c>
      <c r="AK155" s="44">
        <f>-1617-AJ155-AI155</f>
        <v>-321</v>
      </c>
      <c r="AL155" s="44">
        <f>-2031-AK155-AJ155-AI155</f>
        <v>-414</v>
      </c>
      <c r="AM155" s="60">
        <f t="shared" si="262"/>
        <v>-2031</v>
      </c>
      <c r="AN155" s="44">
        <v>0</v>
      </c>
      <c r="AO155" s="154">
        <f>-37-AN155</f>
        <v>-37</v>
      </c>
      <c r="AP155" s="44">
        <f>0-AO155-AN155</f>
        <v>37</v>
      </c>
      <c r="AQ155" s="161">
        <f>0-AP155-AO155-AN155</f>
        <v>0</v>
      </c>
      <c r="AR155" s="60">
        <f t="shared" si="263"/>
        <v>0</v>
      </c>
      <c r="AS155" s="154">
        <v>-2</v>
      </c>
      <c r="AT155" s="44">
        <f>0-AS155</f>
        <v>2</v>
      </c>
      <c r="AU155" s="154">
        <f>-83-AT155-AS155</f>
        <v>-83</v>
      </c>
      <c r="AV155" s="161">
        <f>-83-AU155-AT155-AS155</f>
        <v>0</v>
      </c>
      <c r="AW155" s="60">
        <f t="shared" si="264"/>
        <v>-83</v>
      </c>
      <c r="AX155" s="44">
        <v>0</v>
      </c>
      <c r="AY155" s="154">
        <f>-13-AX155</f>
        <v>-13</v>
      </c>
      <c r="AZ155" s="154">
        <f>-13-AY155-AX155</f>
        <v>0</v>
      </c>
      <c r="BA155" s="161">
        <f>-13-AZ155-AY155-AX155</f>
        <v>0</v>
      </c>
      <c r="BB155" s="60">
        <f t="shared" si="265"/>
        <v>-13</v>
      </c>
      <c r="BC155" s="44">
        <v>0</v>
      </c>
      <c r="BD155" s="44">
        <f>0-BC155</f>
        <v>0</v>
      </c>
      <c r="BE155" s="44">
        <f>0-BD155-BC155</f>
        <v>0</v>
      </c>
      <c r="BF155" s="44">
        <f>0-BE155-BD155-BC155</f>
        <v>0</v>
      </c>
      <c r="BG155" s="60">
        <f t="shared" si="266"/>
        <v>0</v>
      </c>
      <c r="BH155" s="154">
        <v>0</v>
      </c>
      <c r="BI155" s="154">
        <f>0-BH155</f>
        <v>0</v>
      </c>
      <c r="BJ155" s="154">
        <f>0-BI155-BH155</f>
        <v>0</v>
      </c>
      <c r="BK155" s="154">
        <f>0-BJ155-BI155-BH155</f>
        <v>0</v>
      </c>
      <c r="BL155" s="60">
        <f t="shared" si="267"/>
        <v>0</v>
      </c>
      <c r="BM155" s="44">
        <v>0</v>
      </c>
      <c r="BN155" s="44">
        <f>0-BM155</f>
        <v>0</v>
      </c>
      <c r="BO155" s="44">
        <f>0-BN155-BM155</f>
        <v>0</v>
      </c>
      <c r="BP155" s="44">
        <f>0-BO155-BN155-BM155</f>
        <v>0</v>
      </c>
      <c r="BQ155" s="60">
        <f t="shared" si="268"/>
        <v>0</v>
      </c>
      <c r="BR155" s="44">
        <v>0</v>
      </c>
      <c r="BS155" s="44">
        <f>0-BR155</f>
        <v>0</v>
      </c>
      <c r="BT155" s="44">
        <f>0-BS155-BR155</f>
        <v>0</v>
      </c>
      <c r="BU155" s="44">
        <f>0-BT155-BS155-BR155</f>
        <v>0</v>
      </c>
      <c r="BV155" s="60">
        <f t="shared" si="269"/>
        <v>0</v>
      </c>
      <c r="BW155" s="154">
        <v>0</v>
      </c>
      <c r="BX155" s="154">
        <f>0-BW155</f>
        <v>0</v>
      </c>
      <c r="BY155" s="154">
        <f>0-BX155-BW155</f>
        <v>0</v>
      </c>
      <c r="BZ155" s="154">
        <f>0-BY155-BX155-BW155</f>
        <v>0</v>
      </c>
      <c r="CA155" s="235">
        <f t="shared" si="270"/>
        <v>0</v>
      </c>
      <c r="CB155" s="154">
        <v>0</v>
      </c>
      <c r="CC155" s="154">
        <f>0-CB155</f>
        <v>0</v>
      </c>
      <c r="CD155" s="154">
        <f>0-CC155-CB155</f>
        <v>0</v>
      </c>
      <c r="CE155" s="154">
        <f>0-CD155-CC155-CB155</f>
        <v>0</v>
      </c>
      <c r="CF155" s="235">
        <f t="shared" si="271"/>
        <v>0</v>
      </c>
      <c r="CG155" s="154">
        <v>0</v>
      </c>
      <c r="CH155" s="154">
        <f>0-CG155</f>
        <v>0</v>
      </c>
      <c r="CI155" s="154">
        <f>0-CH155-CG155</f>
        <v>0</v>
      </c>
      <c r="CJ155" s="154">
        <f>0-CI155-CH155-CG155</f>
        <v>0</v>
      </c>
      <c r="CK155" s="235">
        <f t="shared" si="272"/>
        <v>0</v>
      </c>
      <c r="CL155" s="154">
        <v>0</v>
      </c>
      <c r="CM155" s="154">
        <f>0-CL155</f>
        <v>0</v>
      </c>
      <c r="CN155" s="154">
        <f>0-CM155-CL155</f>
        <v>0</v>
      </c>
      <c r="CO155" s="154">
        <f>0-CN155-CM155-CL155</f>
        <v>0</v>
      </c>
      <c r="CP155" s="235">
        <f t="shared" si="273"/>
        <v>0</v>
      </c>
      <c r="CQ155" s="154">
        <v>0</v>
      </c>
      <c r="CR155" s="154">
        <f t="shared" si="276"/>
        <v>0</v>
      </c>
      <c r="CS155" s="154">
        <v>0</v>
      </c>
      <c r="CT155" s="154">
        <v>0</v>
      </c>
      <c r="CU155" s="235">
        <f t="shared" si="274"/>
        <v>0</v>
      </c>
      <c r="CV155" s="154">
        <v>0</v>
      </c>
      <c r="CW155" s="154">
        <v>0</v>
      </c>
      <c r="CX155" s="154">
        <v>0</v>
      </c>
      <c r="CY155" s="154">
        <v>0</v>
      </c>
      <c r="CZ155" s="235">
        <f t="shared" si="275"/>
        <v>0</v>
      </c>
      <c r="DA155" s="296">
        <v>0</v>
      </c>
      <c r="DB155" s="296">
        <v>0</v>
      </c>
      <c r="DC155" s="296">
        <v>0</v>
      </c>
      <c r="DD155" s="2"/>
      <c r="DE155" s="2"/>
      <c r="DF155" s="235">
        <f t="shared" si="253"/>
        <v>0</v>
      </c>
      <c r="DG155" s="235">
        <v>0</v>
      </c>
      <c r="DH155" s="235">
        <f t="shared" si="254"/>
        <v>0</v>
      </c>
      <c r="DI155" s="454" t="str">
        <f t="shared" si="255"/>
        <v>NM</v>
      </c>
      <c r="DJ155" s="454" t="str">
        <f t="shared" si="256"/>
        <v>NM</v>
      </c>
      <c r="DK155" s="2"/>
      <c r="DL155" s="2"/>
      <c r="DM155" s="2"/>
    </row>
    <row r="156" spans="1:117" ht="12" customHeight="1">
      <c r="A156" s="1109">
        <f t="shared" si="249"/>
        <v>147</v>
      </c>
      <c r="B156" s="10"/>
      <c r="C156" s="97" t="s">
        <v>357</v>
      </c>
      <c r="D156" s="91"/>
      <c r="E156" s="147">
        <f>558-184</f>
        <v>374</v>
      </c>
      <c r="F156" s="147">
        <f>-586-45-195+1157</f>
        <v>331</v>
      </c>
      <c r="G156" s="147">
        <f>-285-569-332</f>
        <v>-1186</v>
      </c>
      <c r="H156" s="147">
        <f>-468-463-110</f>
        <v>-1041</v>
      </c>
      <c r="I156" s="147">
        <f>-70+119</f>
        <v>49</v>
      </c>
      <c r="J156" s="159">
        <f>-56+240</f>
        <v>184</v>
      </c>
      <c r="K156" s="159">
        <f>190-J156</f>
        <v>6</v>
      </c>
      <c r="L156" s="159">
        <f>226-K156-J156</f>
        <v>36</v>
      </c>
      <c r="M156" s="154">
        <f>-320-L156-K156-J156</f>
        <v>-546</v>
      </c>
      <c r="N156" s="93">
        <f>SUM(J156:M156)</f>
        <v>-320</v>
      </c>
      <c r="O156" s="159">
        <f>342+9</f>
        <v>351</v>
      </c>
      <c r="P156" s="159">
        <f>366-35-O156</f>
        <v>-20</v>
      </c>
      <c r="Q156" s="159">
        <f>375-111-P156-O156</f>
        <v>-67</v>
      </c>
      <c r="R156" s="154">
        <f>617-Q156-P156-O156</f>
        <v>353</v>
      </c>
      <c r="S156" s="93">
        <f>SUM(O156:R156)</f>
        <v>617</v>
      </c>
      <c r="T156" s="159">
        <v>228</v>
      </c>
      <c r="U156" s="159">
        <f>381-T156</f>
        <v>153</v>
      </c>
      <c r="V156" s="159">
        <f>618-U156-T156</f>
        <v>237</v>
      </c>
      <c r="W156" s="154">
        <f>407-V156-U156-T156</f>
        <v>-211</v>
      </c>
      <c r="X156" s="93">
        <f>SUM(T156:W156)</f>
        <v>407</v>
      </c>
      <c r="Y156" s="159">
        <f>47+1421</f>
        <v>1468</v>
      </c>
      <c r="Z156" s="159">
        <f>451+1421-Y156</f>
        <v>404</v>
      </c>
      <c r="AA156" s="159">
        <f>716-Z156-Y156</f>
        <v>-1156</v>
      </c>
      <c r="AB156" s="154">
        <f>1599-AA156-Z156-Y156</f>
        <v>883</v>
      </c>
      <c r="AC156" s="93">
        <f>SUM(Y156:AB156)</f>
        <v>1599</v>
      </c>
      <c r="AD156" s="92">
        <v>303</v>
      </c>
      <c r="AE156" s="92">
        <f>-48-AD156</f>
        <v>-351</v>
      </c>
      <c r="AF156" s="92">
        <f>-348-AE156-AD156</f>
        <v>-300</v>
      </c>
      <c r="AG156" s="92">
        <f>2292-AF156-AE156-AD156</f>
        <v>2640</v>
      </c>
      <c r="AH156" s="93">
        <f>SUM(AD156:AG156)</f>
        <v>2292</v>
      </c>
      <c r="AI156" s="92">
        <v>-195</v>
      </c>
      <c r="AJ156" s="92">
        <f>1154-AI156</f>
        <v>1349</v>
      </c>
      <c r="AK156" s="92">
        <f>2229-AJ156-AI156</f>
        <v>1075</v>
      </c>
      <c r="AL156" s="92">
        <f>1849-AK156-AJ156-AI156</f>
        <v>-380</v>
      </c>
      <c r="AM156" s="93">
        <f>SUM(AI156:AL156)</f>
        <v>1849</v>
      </c>
      <c r="AN156" s="159">
        <v>-36</v>
      </c>
      <c r="AO156" s="159">
        <f>777-AN156</f>
        <v>813</v>
      </c>
      <c r="AP156" s="159">
        <f>143-AO156-AN156</f>
        <v>-634</v>
      </c>
      <c r="AQ156" s="154">
        <f>325-AP156-AO156-AN156</f>
        <v>182</v>
      </c>
      <c r="AR156" s="93">
        <f>SUM(AN156:AQ156)</f>
        <v>325</v>
      </c>
      <c r="AS156" s="159">
        <v>256</v>
      </c>
      <c r="AT156" s="159">
        <f>1178-AS156</f>
        <v>922</v>
      </c>
      <c r="AU156" s="159">
        <f>185-AT156-AS156</f>
        <v>-993</v>
      </c>
      <c r="AV156" s="154">
        <f>-211-AU156-AT156-AS156</f>
        <v>-396</v>
      </c>
      <c r="AW156" s="93">
        <f>SUM(AS156:AV156)</f>
        <v>-211</v>
      </c>
      <c r="AX156" s="159">
        <v>165</v>
      </c>
      <c r="AY156" s="159">
        <f>239-AX156</f>
        <v>74</v>
      </c>
      <c r="AZ156" s="159">
        <f>348-AY156-AX156</f>
        <v>109</v>
      </c>
      <c r="BA156" s="154">
        <f>316-AZ156-AY156-AX156</f>
        <v>-32</v>
      </c>
      <c r="BB156" s="93">
        <f>SUM(AX156:BA156)</f>
        <v>316</v>
      </c>
      <c r="BC156" s="159">
        <v>-336</v>
      </c>
      <c r="BD156" s="159">
        <f>-674-BC156</f>
        <v>-338</v>
      </c>
      <c r="BE156" s="159">
        <f>-622-BD156-BC156</f>
        <v>52</v>
      </c>
      <c r="BF156" s="154">
        <f>-386-BE156-BD156-BC156</f>
        <v>236</v>
      </c>
      <c r="BG156" s="93">
        <f>SUM(BC156:BF156)</f>
        <v>-386</v>
      </c>
      <c r="BH156" s="159">
        <v>-80</v>
      </c>
      <c r="BI156" s="159">
        <f>65-BH156</f>
        <v>145</v>
      </c>
      <c r="BJ156" s="159">
        <f>-74-BI156-BH156</f>
        <v>-139</v>
      </c>
      <c r="BK156" s="154">
        <f>270+94-BJ156-BI156-BH156</f>
        <v>438</v>
      </c>
      <c r="BL156" s="93">
        <f>SUM(BH156:BK156)</f>
        <v>364</v>
      </c>
      <c r="BM156" s="92">
        <v>147</v>
      </c>
      <c r="BN156" s="92">
        <f>-18-BM156</f>
        <v>-165</v>
      </c>
      <c r="BO156" s="92">
        <f>375-BN156-BM156</f>
        <v>393</v>
      </c>
      <c r="BP156" s="44">
        <f>465-BO156-BN156-BM156</f>
        <v>90</v>
      </c>
      <c r="BQ156" s="93">
        <f>SUM(BM156:BP156)</f>
        <v>465</v>
      </c>
      <c r="BR156" s="92">
        <v>-31</v>
      </c>
      <c r="BS156" s="92">
        <f>-248-BR156</f>
        <v>-217</v>
      </c>
      <c r="BT156" s="92">
        <f>-381-BS156-BR156</f>
        <v>-133</v>
      </c>
      <c r="BU156" s="44">
        <f>-61-BT156-BS156-BR156</f>
        <v>320</v>
      </c>
      <c r="BV156" s="93">
        <f>SUM(BR156:BU156)</f>
        <v>-61</v>
      </c>
      <c r="BW156" s="159">
        <v>166</v>
      </c>
      <c r="BX156" s="159">
        <f>96-BW156</f>
        <v>-70</v>
      </c>
      <c r="BY156" s="159">
        <f>221-BX156-BW156</f>
        <v>125</v>
      </c>
      <c r="BZ156" s="154">
        <f>190-BY156-BX156-BW156</f>
        <v>-31</v>
      </c>
      <c r="CA156" s="245">
        <f>SUM(BW156:BZ156)</f>
        <v>190</v>
      </c>
      <c r="CB156" s="159">
        <v>100</v>
      </c>
      <c r="CC156" s="159">
        <f>124-CB156</f>
        <v>24</v>
      </c>
      <c r="CD156" s="159">
        <f>157-CC156-CB156</f>
        <v>33</v>
      </c>
      <c r="CE156" s="154">
        <f>141-477-CD156-CC156-CB156</f>
        <v>-493</v>
      </c>
      <c r="CF156" s="245">
        <f>SUM(CB156:CE156)</f>
        <v>-336</v>
      </c>
      <c r="CG156" s="159">
        <v>117</v>
      </c>
      <c r="CH156" s="159">
        <f>112-CG156</f>
        <v>-5</v>
      </c>
      <c r="CI156" s="159">
        <f>417-CH156-CG156</f>
        <v>305</v>
      </c>
      <c r="CJ156" s="154">
        <f>500-CI156-CH156-CG156</f>
        <v>83</v>
      </c>
      <c r="CK156" s="245">
        <f>SUM(CG156:CJ156)</f>
        <v>500</v>
      </c>
      <c r="CL156" s="159">
        <v>-13</v>
      </c>
      <c r="CM156" s="159">
        <f>21-CL156</f>
        <v>34</v>
      </c>
      <c r="CN156" s="159">
        <f>43-CM156-CL156</f>
        <v>22</v>
      </c>
      <c r="CO156" s="154">
        <f>62-CN156-CM156-CL156</f>
        <v>19</v>
      </c>
      <c r="CP156" s="245">
        <f>SUM(CL156:CO156)</f>
        <v>62</v>
      </c>
      <c r="CQ156" s="159">
        <v>10</v>
      </c>
      <c r="CR156" s="159">
        <f>154+16-CQ156</f>
        <v>160</v>
      </c>
      <c r="CS156" s="92">
        <f>-5-CQ156-CR156</f>
        <v>-175</v>
      </c>
      <c r="CT156" s="92">
        <f>-61-SUM(CQ156:CS156)</f>
        <v>-56</v>
      </c>
      <c r="CU156" s="245">
        <f>SUM(CQ156:CT156)</f>
        <v>-61</v>
      </c>
      <c r="CV156" s="92">
        <v>0</v>
      </c>
      <c r="CW156" s="92">
        <v>0</v>
      </c>
      <c r="CX156" s="92">
        <v>0</v>
      </c>
      <c r="CY156" s="92">
        <v>0</v>
      </c>
      <c r="CZ156" s="245">
        <f>SUM(CV156:CY156)</f>
        <v>0</v>
      </c>
      <c r="DA156" s="94">
        <v>0</v>
      </c>
      <c r="DB156" s="94">
        <v>0</v>
      </c>
      <c r="DC156" s="94">
        <v>0</v>
      </c>
      <c r="DD156" s="2"/>
      <c r="DE156" s="2"/>
      <c r="DF156" s="245">
        <f t="shared" si="253"/>
        <v>-56</v>
      </c>
      <c r="DG156" s="245">
        <v>0</v>
      </c>
      <c r="DH156" s="245">
        <f t="shared" si="254"/>
        <v>19</v>
      </c>
      <c r="DI156" s="459" t="str">
        <f t="shared" si="255"/>
        <v>NM</v>
      </c>
      <c r="DJ156" s="459">
        <f t="shared" si="256"/>
        <v>-3.9473684210526314</v>
      </c>
      <c r="DK156" s="2"/>
      <c r="DL156" s="2"/>
      <c r="DM156" s="2"/>
    </row>
    <row r="157" spans="1:117" ht="12" customHeight="1">
      <c r="A157" s="1109">
        <f t="shared" si="249"/>
        <v>148</v>
      </c>
      <c r="B157" s="10"/>
      <c r="C157" s="2" t="s">
        <v>251</v>
      </c>
      <c r="D157" s="2"/>
      <c r="E157" s="60">
        <f t="shared" ref="E157:AJ157" si="277">SUM(E144:E156)</f>
        <v>-35507</v>
      </c>
      <c r="F157" s="60">
        <f t="shared" si="277"/>
        <v>-31807</v>
      </c>
      <c r="G157" s="60">
        <f t="shared" si="277"/>
        <v>-36076</v>
      </c>
      <c r="H157" s="60">
        <f t="shared" si="277"/>
        <v>-32296</v>
      </c>
      <c r="I157" s="60">
        <f t="shared" si="277"/>
        <v>-38829</v>
      </c>
      <c r="J157" s="155">
        <f t="shared" si="277"/>
        <v>-9318</v>
      </c>
      <c r="K157" s="155">
        <f t="shared" si="277"/>
        <v>-14060</v>
      </c>
      <c r="L157" s="155">
        <f t="shared" si="277"/>
        <v>-4078</v>
      </c>
      <c r="M157" s="238">
        <f t="shared" si="277"/>
        <v>-9269</v>
      </c>
      <c r="N157" s="60">
        <f t="shared" si="277"/>
        <v>-36725</v>
      </c>
      <c r="O157" s="155">
        <f t="shared" si="277"/>
        <v>-5808</v>
      </c>
      <c r="P157" s="155">
        <f t="shared" si="277"/>
        <v>-12518</v>
      </c>
      <c r="Q157" s="155">
        <f t="shared" si="277"/>
        <v>8129</v>
      </c>
      <c r="R157" s="238">
        <f t="shared" si="277"/>
        <v>-6415</v>
      </c>
      <c r="S157" s="60">
        <f t="shared" si="277"/>
        <v>-16612</v>
      </c>
      <c r="T157" s="155">
        <f t="shared" si="277"/>
        <v>6089</v>
      </c>
      <c r="U157" s="155">
        <f t="shared" si="277"/>
        <v>-8992</v>
      </c>
      <c r="V157" s="155">
        <f t="shared" si="277"/>
        <v>2476</v>
      </c>
      <c r="W157" s="238">
        <f t="shared" si="277"/>
        <v>-3087</v>
      </c>
      <c r="X157" s="60">
        <f t="shared" si="277"/>
        <v>-3514</v>
      </c>
      <c r="Y157" s="155">
        <f t="shared" si="277"/>
        <v>3833</v>
      </c>
      <c r="Z157" s="155">
        <f t="shared" si="277"/>
        <v>-5410</v>
      </c>
      <c r="AA157" s="155">
        <f t="shared" si="277"/>
        <v>1021</v>
      </c>
      <c r="AB157" s="238">
        <f t="shared" si="277"/>
        <v>-2702</v>
      </c>
      <c r="AC157" s="60">
        <f t="shared" si="277"/>
        <v>-3258</v>
      </c>
      <c r="AD157" s="49">
        <f t="shared" si="277"/>
        <v>-1370</v>
      </c>
      <c r="AE157" s="49">
        <f t="shared" si="277"/>
        <v>-8760</v>
      </c>
      <c r="AF157" s="49">
        <f t="shared" si="277"/>
        <v>-289</v>
      </c>
      <c r="AG157" s="49">
        <f t="shared" si="277"/>
        <v>-3152</v>
      </c>
      <c r="AH157" s="60">
        <f t="shared" si="277"/>
        <v>-13571</v>
      </c>
      <c r="AI157" s="49">
        <f t="shared" si="277"/>
        <v>4224</v>
      </c>
      <c r="AJ157" s="49">
        <f t="shared" si="277"/>
        <v>55</v>
      </c>
      <c r="AK157" s="49">
        <f t="shared" ref="AK157:BP157" si="278">SUM(AK144:AK156)</f>
        <v>-5364</v>
      </c>
      <c r="AL157" s="49">
        <f t="shared" si="278"/>
        <v>6889</v>
      </c>
      <c r="AM157" s="60">
        <f t="shared" si="278"/>
        <v>5804</v>
      </c>
      <c r="AN157" s="155">
        <f t="shared" si="278"/>
        <v>-3808</v>
      </c>
      <c r="AO157" s="155">
        <f t="shared" si="278"/>
        <v>-4170</v>
      </c>
      <c r="AP157" s="155">
        <f t="shared" si="278"/>
        <v>-11337</v>
      </c>
      <c r="AQ157" s="238">
        <f t="shared" si="278"/>
        <v>-5549</v>
      </c>
      <c r="AR157" s="60">
        <f t="shared" si="278"/>
        <v>-24864</v>
      </c>
      <c r="AS157" s="155">
        <f t="shared" si="278"/>
        <v>2595</v>
      </c>
      <c r="AT157" s="155">
        <f t="shared" si="278"/>
        <v>-755</v>
      </c>
      <c r="AU157" s="155">
        <f t="shared" si="278"/>
        <v>-5894</v>
      </c>
      <c r="AV157" s="238">
        <f t="shared" si="278"/>
        <v>-3264</v>
      </c>
      <c r="AW157" s="60">
        <f t="shared" si="278"/>
        <v>-7318</v>
      </c>
      <c r="AX157" s="155">
        <f t="shared" si="278"/>
        <v>-1765</v>
      </c>
      <c r="AY157" s="155">
        <f t="shared" si="278"/>
        <v>-2240</v>
      </c>
      <c r="AZ157" s="155">
        <f t="shared" si="278"/>
        <v>-24</v>
      </c>
      <c r="BA157" s="238">
        <f t="shared" si="278"/>
        <v>886</v>
      </c>
      <c r="BB157" s="60">
        <f t="shared" si="278"/>
        <v>-3143</v>
      </c>
      <c r="BC157" s="155">
        <f t="shared" si="278"/>
        <v>665</v>
      </c>
      <c r="BD157" s="155">
        <f t="shared" si="278"/>
        <v>5031</v>
      </c>
      <c r="BE157" s="155">
        <f t="shared" si="278"/>
        <v>-2824</v>
      </c>
      <c r="BF157" s="238">
        <f t="shared" si="278"/>
        <v>3747</v>
      </c>
      <c r="BG157" s="60">
        <f t="shared" si="278"/>
        <v>6619</v>
      </c>
      <c r="BH157" s="155">
        <f t="shared" si="278"/>
        <v>1167</v>
      </c>
      <c r="BI157" s="155">
        <f t="shared" si="278"/>
        <v>1677</v>
      </c>
      <c r="BJ157" s="155">
        <f t="shared" si="278"/>
        <v>-2224</v>
      </c>
      <c r="BK157" s="238">
        <f t="shared" si="278"/>
        <v>6288</v>
      </c>
      <c r="BL157" s="60">
        <f t="shared" si="278"/>
        <v>6908</v>
      </c>
      <c r="BM157" s="49">
        <f t="shared" si="278"/>
        <v>6894</v>
      </c>
      <c r="BN157" s="49">
        <f t="shared" si="278"/>
        <v>-4071</v>
      </c>
      <c r="BO157" s="49">
        <f t="shared" si="278"/>
        <v>-1832</v>
      </c>
      <c r="BP157" s="114">
        <f t="shared" si="278"/>
        <v>-4032</v>
      </c>
      <c r="BQ157" s="60">
        <f t="shared" ref="BQ157:CU157" si="279">SUM(BQ144:BQ156)</f>
        <v>-3041</v>
      </c>
      <c r="BR157" s="49">
        <f t="shared" si="279"/>
        <v>-4511</v>
      </c>
      <c r="BS157" s="49">
        <f t="shared" si="279"/>
        <v>-3038</v>
      </c>
      <c r="BT157" s="49">
        <f t="shared" si="279"/>
        <v>-5074</v>
      </c>
      <c r="BU157" s="114">
        <f t="shared" si="279"/>
        <v>-1667</v>
      </c>
      <c r="BV157" s="60">
        <f t="shared" si="279"/>
        <v>-14290</v>
      </c>
      <c r="BW157" s="155">
        <f t="shared" si="279"/>
        <v>-3851</v>
      </c>
      <c r="BX157" s="155">
        <f t="shared" si="279"/>
        <v>-7462</v>
      </c>
      <c r="BY157" s="155">
        <f t="shared" si="279"/>
        <v>-4417</v>
      </c>
      <c r="BZ157" s="238">
        <f t="shared" si="279"/>
        <v>-4496</v>
      </c>
      <c r="CA157" s="235">
        <f t="shared" si="279"/>
        <v>-20226</v>
      </c>
      <c r="CB157" s="155">
        <f t="shared" si="279"/>
        <v>-5662</v>
      </c>
      <c r="CC157" s="155">
        <f t="shared" si="279"/>
        <v>-6023</v>
      </c>
      <c r="CD157" s="155">
        <f t="shared" si="279"/>
        <v>-3909</v>
      </c>
      <c r="CE157" s="238">
        <f t="shared" si="279"/>
        <v>-5530</v>
      </c>
      <c r="CF157" s="235">
        <f t="shared" si="279"/>
        <v>-21124</v>
      </c>
      <c r="CG157" s="155">
        <f t="shared" si="279"/>
        <v>-4960</v>
      </c>
      <c r="CH157" s="155">
        <f t="shared" si="279"/>
        <v>-3990</v>
      </c>
      <c r="CI157" s="155">
        <f t="shared" si="279"/>
        <v>-7714</v>
      </c>
      <c r="CJ157" s="238">
        <f t="shared" si="279"/>
        <v>-9498</v>
      </c>
      <c r="CK157" s="235">
        <f t="shared" si="279"/>
        <v>-26162</v>
      </c>
      <c r="CL157" s="155">
        <f t="shared" si="279"/>
        <v>-6975</v>
      </c>
      <c r="CM157" s="155">
        <f t="shared" si="279"/>
        <v>-5134</v>
      </c>
      <c r="CN157" s="155">
        <f t="shared" si="279"/>
        <v>-5949</v>
      </c>
      <c r="CO157" s="238">
        <f t="shared" si="279"/>
        <v>-7294</v>
      </c>
      <c r="CP157" s="235">
        <f t="shared" si="279"/>
        <v>-25352</v>
      </c>
      <c r="CQ157" s="155">
        <f t="shared" si="279"/>
        <v>-3639</v>
      </c>
      <c r="CR157" s="49">
        <f t="shared" si="279"/>
        <v>-5223</v>
      </c>
      <c r="CS157" s="49">
        <f t="shared" si="279"/>
        <v>-3680</v>
      </c>
      <c r="CT157" s="49">
        <f t="shared" si="279"/>
        <v>-6850</v>
      </c>
      <c r="CU157" s="235">
        <f t="shared" si="279"/>
        <v>-19392</v>
      </c>
      <c r="CV157" s="49">
        <f t="shared" ref="CV157:DC157" si="280">SUM(CV144:CV156)</f>
        <v>-1962.9982536020884</v>
      </c>
      <c r="CW157" s="49">
        <f t="shared" si="280"/>
        <v>-1959.2636979874533</v>
      </c>
      <c r="CX157" s="49">
        <f t="shared" si="280"/>
        <v>-2040.2159399112072</v>
      </c>
      <c r="CY157" s="49">
        <f t="shared" si="280"/>
        <v>-2045.7806870964507</v>
      </c>
      <c r="CZ157" s="235">
        <f>SUM(CZ144:CZ156)</f>
        <v>-8008.2585785971996</v>
      </c>
      <c r="DA157" s="87">
        <f t="shared" si="280"/>
        <v>-8267.9773077496538</v>
      </c>
      <c r="DB157" s="87">
        <f t="shared" si="280"/>
        <v>-9829.0377905107234</v>
      </c>
      <c r="DC157" s="87">
        <f t="shared" si="280"/>
        <v>-9592.1326480526313</v>
      </c>
      <c r="DD157" s="2"/>
      <c r="DE157" s="2"/>
      <c r="DF157" s="235">
        <f t="shared" si="253"/>
        <v>-6850</v>
      </c>
      <c r="DG157" s="235">
        <v>-1626.9813934248984</v>
      </c>
      <c r="DH157" s="235">
        <f t="shared" si="254"/>
        <v>-7294</v>
      </c>
      <c r="DI157" s="454">
        <f t="shared" si="255"/>
        <v>3.210250976245228</v>
      </c>
      <c r="DJ157" s="454">
        <f t="shared" si="256"/>
        <v>-6.0871949547573356E-2</v>
      </c>
      <c r="DK157" s="2"/>
      <c r="DL157" s="2"/>
      <c r="DM157" s="2"/>
    </row>
    <row r="158" spans="1:117" ht="12" customHeight="1">
      <c r="A158" s="1109">
        <f t="shared" si="249"/>
        <v>149</v>
      </c>
      <c r="B158" s="10"/>
      <c r="C158" s="2"/>
      <c r="D158" s="2"/>
      <c r="E158" s="74"/>
      <c r="F158" s="74"/>
      <c r="G158" s="74"/>
      <c r="H158" s="74"/>
      <c r="I158" s="74"/>
      <c r="J158" s="148"/>
      <c r="K158" s="148"/>
      <c r="L158" s="148"/>
      <c r="M158" s="148"/>
      <c r="N158" s="74"/>
      <c r="O158" s="148"/>
      <c r="P158" s="148"/>
      <c r="Q158" s="148"/>
      <c r="R158" s="148"/>
      <c r="S158" s="74"/>
      <c r="T158" s="148"/>
      <c r="U158" s="148"/>
      <c r="V158" s="148"/>
      <c r="W158" s="148"/>
      <c r="X158" s="74"/>
      <c r="Y158" s="148"/>
      <c r="Z158" s="148"/>
      <c r="AA158" s="148"/>
      <c r="AB158" s="148"/>
      <c r="AC158" s="74"/>
      <c r="AD158" s="19"/>
      <c r="AE158" s="19"/>
      <c r="AF158" s="19"/>
      <c r="AG158" s="19"/>
      <c r="AH158" s="74"/>
      <c r="AI158" s="19"/>
      <c r="AJ158" s="19"/>
      <c r="AK158" s="19"/>
      <c r="AL158" s="19"/>
      <c r="AM158" s="74"/>
      <c r="AN158" s="148"/>
      <c r="AO158" s="148"/>
      <c r="AP158" s="148"/>
      <c r="AQ158" s="148"/>
      <c r="AR158" s="74"/>
      <c r="AS158" s="148"/>
      <c r="AT158" s="148"/>
      <c r="AU158" s="148"/>
      <c r="AV158" s="148"/>
      <c r="AW158" s="74"/>
      <c r="AX158" s="148"/>
      <c r="AY158" s="148"/>
      <c r="AZ158" s="148"/>
      <c r="BA158" s="148"/>
      <c r="BB158" s="74"/>
      <c r="BC158" s="148"/>
      <c r="BD158" s="148"/>
      <c r="BE158" s="148"/>
      <c r="BF158" s="148"/>
      <c r="BG158" s="74"/>
      <c r="BH158" s="148"/>
      <c r="BI158" s="148"/>
      <c r="BJ158" s="148"/>
      <c r="BK158" s="148"/>
      <c r="BL158" s="74"/>
      <c r="BM158" s="15"/>
      <c r="BN158" s="15"/>
      <c r="BO158" s="15"/>
      <c r="BP158" s="15"/>
      <c r="BQ158" s="74"/>
      <c r="BR158" s="15"/>
      <c r="BS158" s="15"/>
      <c r="BT158" s="15"/>
      <c r="BU158" s="15"/>
      <c r="BV158" s="74"/>
      <c r="BW158" s="148"/>
      <c r="BX158" s="148"/>
      <c r="BY158" s="148"/>
      <c r="BZ158" s="148"/>
      <c r="CA158" s="259"/>
      <c r="CB158" s="148"/>
      <c r="CC158" s="148"/>
      <c r="CD158" s="148"/>
      <c r="CE158" s="148"/>
      <c r="CF158" s="259"/>
      <c r="CG158" s="148"/>
      <c r="CH158" s="148"/>
      <c r="CI158" s="148"/>
      <c r="CJ158" s="148"/>
      <c r="CK158" s="259"/>
      <c r="CL158" s="148"/>
      <c r="CM158" s="148"/>
      <c r="CN158" s="148"/>
      <c r="CO158" s="148"/>
      <c r="CP158" s="259"/>
      <c r="CQ158" s="148"/>
      <c r="CR158" s="15"/>
      <c r="CS158" s="15"/>
      <c r="CT158" s="15"/>
      <c r="CU158" s="259"/>
      <c r="CV158" s="15"/>
      <c r="CW158" s="15"/>
      <c r="CX158" s="15"/>
      <c r="CY158" s="15"/>
      <c r="CZ158" s="259"/>
      <c r="DA158" s="74"/>
      <c r="DB158" s="74"/>
      <c r="DC158" s="74"/>
      <c r="DD158" s="2"/>
      <c r="DE158" s="2"/>
      <c r="DF158" s="259"/>
      <c r="DG158" s="259"/>
      <c r="DH158" s="259"/>
      <c r="DI158" s="454"/>
      <c r="DJ158" s="454"/>
      <c r="DK158" s="2"/>
      <c r="DL158" s="2"/>
      <c r="DM158" s="2"/>
    </row>
    <row r="159" spans="1:117" ht="12" customHeight="1">
      <c r="A159" s="1109">
        <f t="shared" si="249"/>
        <v>150</v>
      </c>
      <c r="B159" s="10"/>
      <c r="C159" s="24" t="s">
        <v>188</v>
      </c>
      <c r="D159" s="30"/>
      <c r="E159" s="68"/>
      <c r="F159" s="68"/>
      <c r="G159" s="68"/>
      <c r="H159" s="68"/>
      <c r="I159" s="68"/>
      <c r="J159" s="25"/>
      <c r="K159" s="25"/>
      <c r="L159" s="25"/>
      <c r="M159" s="121"/>
      <c r="N159" s="68"/>
      <c r="O159" s="25"/>
      <c r="P159" s="25"/>
      <c r="Q159" s="25"/>
      <c r="R159" s="121"/>
      <c r="S159" s="68"/>
      <c r="T159" s="25"/>
      <c r="U159" s="25"/>
      <c r="V159" s="25"/>
      <c r="W159" s="121"/>
      <c r="X159" s="68"/>
      <c r="Y159" s="25"/>
      <c r="Z159" s="25"/>
      <c r="AA159" s="25"/>
      <c r="AB159" s="121"/>
      <c r="AC159" s="68"/>
      <c r="AD159" s="16"/>
      <c r="AE159" s="16"/>
      <c r="AF159" s="16"/>
      <c r="AG159" s="16"/>
      <c r="AH159" s="68"/>
      <c r="AI159" s="16"/>
      <c r="AJ159" s="16"/>
      <c r="AK159" s="16"/>
      <c r="AL159" s="16"/>
      <c r="AM159" s="68"/>
      <c r="AN159" s="25"/>
      <c r="AO159" s="25"/>
      <c r="AP159" s="25"/>
      <c r="AQ159" s="121"/>
      <c r="AR159" s="68"/>
      <c r="AS159" s="25"/>
      <c r="AT159" s="25"/>
      <c r="AU159" s="25"/>
      <c r="AV159" s="121"/>
      <c r="AW159" s="68"/>
      <c r="AX159" s="25"/>
      <c r="AY159" s="25"/>
      <c r="AZ159" s="25"/>
      <c r="BA159" s="121"/>
      <c r="BB159" s="68"/>
      <c r="BC159" s="25"/>
      <c r="BD159" s="25"/>
      <c r="BE159" s="25"/>
      <c r="BF159" s="121"/>
      <c r="BG159" s="68"/>
      <c r="BH159" s="25"/>
      <c r="BI159" s="25"/>
      <c r="BJ159" s="25"/>
      <c r="BK159" s="121"/>
      <c r="BL159" s="68"/>
      <c r="BM159" s="25"/>
      <c r="BN159" s="25"/>
      <c r="BO159" s="25"/>
      <c r="BP159" s="121"/>
      <c r="BQ159" s="68"/>
      <c r="BR159" s="25"/>
      <c r="BS159" s="25"/>
      <c r="BT159" s="25"/>
      <c r="BU159" s="121"/>
      <c r="BV159" s="68"/>
      <c r="BW159" s="25"/>
      <c r="BX159" s="25"/>
      <c r="BY159" s="25"/>
      <c r="BZ159" s="261"/>
      <c r="CA159" s="68"/>
      <c r="CB159" s="25"/>
      <c r="CC159" s="25"/>
      <c r="CD159" s="25"/>
      <c r="CE159" s="261"/>
      <c r="CF159" s="68"/>
      <c r="CG159" s="25"/>
      <c r="CH159" s="25"/>
      <c r="CI159" s="25"/>
      <c r="CJ159" s="261"/>
      <c r="CK159" s="68"/>
      <c r="CL159" s="25"/>
      <c r="CM159" s="25"/>
      <c r="CN159" s="25"/>
      <c r="CO159" s="261"/>
      <c r="CP159" s="68"/>
      <c r="CQ159" s="25"/>
      <c r="CR159" s="25"/>
      <c r="CS159" s="25"/>
      <c r="CT159" s="25"/>
      <c r="CU159" s="68"/>
      <c r="CV159" s="25"/>
      <c r="CW159" s="25"/>
      <c r="CX159" s="25"/>
      <c r="CY159" s="25"/>
      <c r="CZ159" s="68"/>
      <c r="DA159" s="68"/>
      <c r="DB159" s="68"/>
      <c r="DC159" s="68"/>
      <c r="DD159" s="2"/>
      <c r="DE159" s="2"/>
      <c r="DF159" s="68"/>
      <c r="DG159" s="68"/>
      <c r="DH159" s="68"/>
      <c r="DI159" s="454"/>
      <c r="DJ159" s="454"/>
      <c r="DK159" s="2"/>
      <c r="DL159" s="2"/>
      <c r="DM159" s="2"/>
    </row>
    <row r="160" spans="1:117" ht="12" customHeight="1">
      <c r="A160" s="1109">
        <f t="shared" si="249"/>
        <v>151</v>
      </c>
      <c r="B160" s="10"/>
      <c r="C160" s="30"/>
      <c r="D160" s="30"/>
      <c r="E160" s="68"/>
      <c r="F160" s="68"/>
      <c r="G160" s="68"/>
      <c r="H160" s="68"/>
      <c r="I160" s="68"/>
      <c r="J160" s="25"/>
      <c r="K160" s="25"/>
      <c r="L160" s="25"/>
      <c r="M160" s="121"/>
      <c r="N160" s="68"/>
      <c r="O160" s="25"/>
      <c r="P160" s="25"/>
      <c r="Q160" s="25"/>
      <c r="R160" s="121"/>
      <c r="S160" s="68"/>
      <c r="T160" s="25"/>
      <c r="U160" s="25"/>
      <c r="V160" s="25"/>
      <c r="W160" s="121"/>
      <c r="X160" s="68"/>
      <c r="Y160" s="25"/>
      <c r="Z160" s="25"/>
      <c r="AA160" s="25"/>
      <c r="AB160" s="121"/>
      <c r="AC160" s="68"/>
      <c r="AD160" s="16"/>
      <c r="AE160" s="16"/>
      <c r="AF160" s="16"/>
      <c r="AG160" s="16"/>
      <c r="AH160" s="68"/>
      <c r="AI160" s="16"/>
      <c r="AJ160" s="16"/>
      <c r="AK160" s="16"/>
      <c r="AL160" s="16"/>
      <c r="AM160" s="68"/>
      <c r="AN160" s="25"/>
      <c r="AO160" s="25"/>
      <c r="AP160" s="25"/>
      <c r="AQ160" s="121"/>
      <c r="AR160" s="68"/>
      <c r="AS160" s="25"/>
      <c r="AT160" s="25"/>
      <c r="AU160" s="25"/>
      <c r="AV160" s="121"/>
      <c r="AW160" s="68"/>
      <c r="AX160" s="25"/>
      <c r="AY160" s="25"/>
      <c r="AZ160" s="25"/>
      <c r="BA160" s="121"/>
      <c r="BB160" s="68"/>
      <c r="BC160" s="25"/>
      <c r="BD160" s="25"/>
      <c r="BE160" s="25"/>
      <c r="BF160" s="121"/>
      <c r="BG160" s="68"/>
      <c r="BH160" s="25"/>
      <c r="BI160" s="25"/>
      <c r="BJ160" s="25"/>
      <c r="BK160" s="121"/>
      <c r="BL160" s="68"/>
      <c r="BM160" s="25"/>
      <c r="BN160" s="25"/>
      <c r="BO160" s="25"/>
      <c r="BP160" s="121"/>
      <c r="BQ160" s="68"/>
      <c r="BR160" s="25"/>
      <c r="BS160" s="25"/>
      <c r="BT160" s="25"/>
      <c r="BU160" s="121"/>
      <c r="BV160" s="68"/>
      <c r="BW160" s="25"/>
      <c r="BX160" s="25"/>
      <c r="BY160" s="25"/>
      <c r="BZ160" s="261"/>
      <c r="CA160" s="68"/>
      <c r="CB160" s="25"/>
      <c r="CC160" s="25"/>
      <c r="CD160" s="25"/>
      <c r="CE160" s="261"/>
      <c r="CF160" s="68"/>
      <c r="CG160" s="25"/>
      <c r="CH160" s="25"/>
      <c r="CI160" s="25"/>
      <c r="CJ160" s="261"/>
      <c r="CK160" s="68"/>
      <c r="CL160" s="25"/>
      <c r="CM160" s="25"/>
      <c r="CN160" s="25"/>
      <c r="CO160" s="261"/>
      <c r="CP160" s="68"/>
      <c r="CQ160" s="25"/>
      <c r="CR160" s="25"/>
      <c r="CS160" s="25"/>
      <c r="CT160" s="25"/>
      <c r="CU160" s="68"/>
      <c r="CV160" s="25"/>
      <c r="CW160" s="25"/>
      <c r="CX160" s="25"/>
      <c r="CY160" s="25"/>
      <c r="CZ160" s="68"/>
      <c r="DA160" s="68"/>
      <c r="DB160" s="68"/>
      <c r="DC160" s="68"/>
      <c r="DD160" s="1088"/>
      <c r="DE160" s="2"/>
      <c r="DF160" s="68"/>
      <c r="DG160" s="68"/>
      <c r="DH160" s="68"/>
      <c r="DI160" s="454"/>
      <c r="DJ160" s="454"/>
      <c r="DK160" s="2"/>
      <c r="DL160" s="2"/>
      <c r="DM160" s="2"/>
    </row>
    <row r="161" spans="1:117" ht="12" customHeight="1">
      <c r="A161" s="1109">
        <f t="shared" si="249"/>
        <v>152</v>
      </c>
      <c r="B161" s="10"/>
      <c r="C161" s="2" t="s">
        <v>749</v>
      </c>
      <c r="E161" s="144">
        <v>-1559</v>
      </c>
      <c r="F161" s="144">
        <v>-1800</v>
      </c>
      <c r="G161" s="144">
        <v>-2020</v>
      </c>
      <c r="H161" s="144">
        <v>-5348</v>
      </c>
      <c r="I161" s="144">
        <v>-2290</v>
      </c>
      <c r="J161" s="154">
        <v>-607</v>
      </c>
      <c r="K161" s="154">
        <f>-1578-J161</f>
        <v>-971</v>
      </c>
      <c r="L161" s="154">
        <f>-2185-K161-J161</f>
        <v>-607</v>
      </c>
      <c r="M161" s="161">
        <f>-2751-L161-K161-J161</f>
        <v>-566</v>
      </c>
      <c r="N161" s="60">
        <f t="shared" ref="N161:N167" si="281">SUM(J161:M161)</f>
        <v>-2751</v>
      </c>
      <c r="O161" s="154">
        <v>-557</v>
      </c>
      <c r="P161" s="154">
        <f>-1107-O161</f>
        <v>-550</v>
      </c>
      <c r="Q161" s="154">
        <f>-1654-P161-O161</f>
        <v>-547</v>
      </c>
      <c r="R161" s="161">
        <f>-1929-Q161-P161-O161</f>
        <v>-275</v>
      </c>
      <c r="S161" s="60">
        <f>SUM(O161:R161)</f>
        <v>-1929</v>
      </c>
      <c r="T161" s="154">
        <v>-184</v>
      </c>
      <c r="U161" s="154">
        <f>-369-T161</f>
        <v>-185</v>
      </c>
      <c r="V161" s="154">
        <f>-555-U161-T161</f>
        <v>-186</v>
      </c>
      <c r="W161" s="161">
        <f>-743-V161-U161-T161</f>
        <v>-188</v>
      </c>
      <c r="X161" s="60">
        <f>SUM(T161:W161)</f>
        <v>-743</v>
      </c>
      <c r="Y161" s="154">
        <v>-183</v>
      </c>
      <c r="Z161" s="154">
        <f>-366-Y161</f>
        <v>-183</v>
      </c>
      <c r="AA161" s="154">
        <f>-549-Z161-Y161</f>
        <v>-183</v>
      </c>
      <c r="AB161" s="161">
        <f>-733-AA161-Z161-Y161</f>
        <v>-184</v>
      </c>
      <c r="AC161" s="60">
        <f>SUM(Y161:AB161)</f>
        <v>-733</v>
      </c>
      <c r="AD161" s="44">
        <v>-183</v>
      </c>
      <c r="AE161" s="44">
        <f>-366-AD161</f>
        <v>-183</v>
      </c>
      <c r="AF161" s="44">
        <f>-549-AE161-AD161</f>
        <v>-183</v>
      </c>
      <c r="AG161" s="44">
        <f>-733-AF161-AE161-AD161</f>
        <v>-184</v>
      </c>
      <c r="AH161" s="60">
        <f>SUM(AD161:AG161)</f>
        <v>-733</v>
      </c>
      <c r="AI161" s="44">
        <v>-183</v>
      </c>
      <c r="AJ161" s="44">
        <f>-367-AI161</f>
        <v>-184</v>
      </c>
      <c r="AK161" s="44">
        <f>-552-AJ161-AI161</f>
        <v>-185</v>
      </c>
      <c r="AL161" s="44">
        <f>-738-AK161-AJ161-AI161</f>
        <v>-186</v>
      </c>
      <c r="AM161" s="60">
        <f>SUM(AI161:AL161)</f>
        <v>-738</v>
      </c>
      <c r="AN161" s="154">
        <v>-186</v>
      </c>
      <c r="AO161" s="154">
        <f>-374-AN161</f>
        <v>-188</v>
      </c>
      <c r="AP161" s="154">
        <f>-468-AO161-AN161</f>
        <v>-94</v>
      </c>
      <c r="AQ161" s="161">
        <f>-468-AP161-AO161-AN161</f>
        <v>0</v>
      </c>
      <c r="AR161" s="60">
        <f>SUM(AN161:AQ161)</f>
        <v>-468</v>
      </c>
      <c r="AS161" s="44">
        <v>0</v>
      </c>
      <c r="AT161" s="44">
        <f>0-AS161</f>
        <v>0</v>
      </c>
      <c r="AU161" s="44">
        <f>0-AT161-AS161</f>
        <v>0</v>
      </c>
      <c r="AV161" s="44">
        <f>0-AU161-AT161-AS161</f>
        <v>0</v>
      </c>
      <c r="AW161" s="60">
        <f>SUM(AS161:AV161)</f>
        <v>0</v>
      </c>
      <c r="AX161" s="44">
        <v>0</v>
      </c>
      <c r="AY161" s="44">
        <f>0-AX161</f>
        <v>0</v>
      </c>
      <c r="AZ161" s="44">
        <f>0-AY161-AX161</f>
        <v>0</v>
      </c>
      <c r="BA161" s="44">
        <f>0-AZ161-AY161-AX161</f>
        <v>0</v>
      </c>
      <c r="BB161" s="60">
        <f>SUM(AX161:BA161)</f>
        <v>0</v>
      </c>
      <c r="BC161" s="44">
        <v>0</v>
      </c>
      <c r="BD161" s="44">
        <f>0-BC161</f>
        <v>0</v>
      </c>
      <c r="BE161" s="44">
        <f>0-BD161-BC161</f>
        <v>0</v>
      </c>
      <c r="BF161" s="44">
        <f>0-BE161-BD161-BC161</f>
        <v>0</v>
      </c>
      <c r="BG161" s="60">
        <f>SUM(BC161:BF161)</f>
        <v>0</v>
      </c>
      <c r="BH161" s="44">
        <v>0</v>
      </c>
      <c r="BI161" s="44">
        <f>0-BH161</f>
        <v>0</v>
      </c>
      <c r="BJ161" s="44">
        <f>0-BI161-BH161</f>
        <v>0</v>
      </c>
      <c r="BK161" s="44">
        <f>0-BJ161-BI161-BH161</f>
        <v>0</v>
      </c>
      <c r="BL161" s="60">
        <f>SUM(BH161:BK161)</f>
        <v>0</v>
      </c>
      <c r="BM161" s="117">
        <v>0</v>
      </c>
      <c r="BN161" s="44">
        <f>0-BM161</f>
        <v>0</v>
      </c>
      <c r="BO161" s="44">
        <f>0-BN161-BM161</f>
        <v>0</v>
      </c>
      <c r="BP161" s="117">
        <f>0-BO161-BN161-BM161</f>
        <v>0</v>
      </c>
      <c r="BQ161" s="60">
        <f>SUM(BM161:BP161)</f>
        <v>0</v>
      </c>
      <c r="BR161" s="117">
        <v>-190</v>
      </c>
      <c r="BS161" s="44">
        <f>-381-BR161</f>
        <v>-191</v>
      </c>
      <c r="BT161" s="44">
        <f>-572-BS161-BR161</f>
        <v>-191</v>
      </c>
      <c r="BU161" s="117">
        <f>-763-BT161-BS161-BR161</f>
        <v>-191</v>
      </c>
      <c r="BV161" s="60">
        <f>SUM(BR161:BU161)</f>
        <v>-763</v>
      </c>
      <c r="BW161" s="161">
        <v>-392</v>
      </c>
      <c r="BX161" s="154">
        <f>-785-BW161</f>
        <v>-393</v>
      </c>
      <c r="BY161" s="154">
        <f>-1179-BX161-BW161</f>
        <v>-394</v>
      </c>
      <c r="BZ161" s="161">
        <f>-1574-BY161-BX161-BW161</f>
        <v>-395</v>
      </c>
      <c r="CA161" s="235">
        <f>SUM(BW161:BZ161)</f>
        <v>-1574</v>
      </c>
      <c r="CB161" s="161">
        <v>-493</v>
      </c>
      <c r="CC161" s="154">
        <f>-987-CB161</f>
        <v>-494</v>
      </c>
      <c r="CD161" s="154">
        <f>-1470-CC161-CB161</f>
        <v>-483</v>
      </c>
      <c r="CE161" s="161">
        <f>-1952-CD161-CC161-CB161</f>
        <v>-482</v>
      </c>
      <c r="CF161" s="235">
        <f>SUM(CB161:CE161)</f>
        <v>-1952</v>
      </c>
      <c r="CG161" s="161">
        <v>-593</v>
      </c>
      <c r="CH161" s="154">
        <f>-1190-CG161</f>
        <v>-597</v>
      </c>
      <c r="CI161" s="154">
        <f>-1785-CH161-CG161</f>
        <v>-595</v>
      </c>
      <c r="CJ161" s="161">
        <f>-2380-CI161-CH161-CG161</f>
        <v>-595</v>
      </c>
      <c r="CK161" s="235">
        <f>SUM(CG161:CJ161)</f>
        <v>-2380</v>
      </c>
      <c r="CL161" s="161">
        <v>-1588</v>
      </c>
      <c r="CM161" s="154">
        <f>-2184-CL161</f>
        <v>-596</v>
      </c>
      <c r="CN161" s="154">
        <f>-2780-CM161-CL161</f>
        <v>-596</v>
      </c>
      <c r="CO161" s="161">
        <f>-3376-CN161-CM161-CL161</f>
        <v>-596</v>
      </c>
      <c r="CP161" s="235">
        <f>SUM(CL161:CO161)</f>
        <v>-3376</v>
      </c>
      <c r="CQ161" s="161">
        <v>-795</v>
      </c>
      <c r="CR161" s="161">
        <f>-1392-CQ161</f>
        <v>-597</v>
      </c>
      <c r="CS161" s="161">
        <f>-1988-CQ161-CR161</f>
        <v>-596</v>
      </c>
      <c r="CT161" s="44">
        <f>-2584-SUM(CQ161:CS161)</f>
        <v>-596</v>
      </c>
      <c r="CU161" s="235">
        <f>SUM(CQ161:CT161)</f>
        <v>-2584</v>
      </c>
      <c r="CV161" s="44">
        <f>-CV53*CV210-0.13*CV53</f>
        <v>-1114.9561659599999</v>
      </c>
      <c r="CW161" s="44">
        <f t="shared" ref="CW161:DC161" si="282">-CW53*CW210</f>
        <v>-597.29794604999995</v>
      </c>
      <c r="CX161" s="44">
        <f t="shared" si="282"/>
        <v>-597.29794604999995</v>
      </c>
      <c r="CY161" s="44">
        <f t="shared" si="282"/>
        <v>-597.29794604999995</v>
      </c>
      <c r="CZ161" s="60">
        <f>SUM(CV161:CY161)</f>
        <v>-2906.8500041100001</v>
      </c>
      <c r="DA161" s="86">
        <f>-DA53*DA210</f>
        <v>-1194.5958920999999</v>
      </c>
      <c r="DB161" s="86">
        <f t="shared" si="282"/>
        <v>-1194.5958920999999</v>
      </c>
      <c r="DC161" s="86">
        <f t="shared" si="282"/>
        <v>-1194.5958920999999</v>
      </c>
      <c r="DD161" s="2"/>
      <c r="DE161" s="2"/>
      <c r="DF161" s="235">
        <f t="shared" ref="DF161:DF168" si="283">CT161</f>
        <v>-596</v>
      </c>
      <c r="DG161" s="235">
        <v>-597.29794604999995</v>
      </c>
      <c r="DH161" s="235">
        <f t="shared" ref="DH161:DH168" si="284">CO161</f>
        <v>-596</v>
      </c>
      <c r="DI161" s="454">
        <f t="shared" ref="DI161:DI168" si="285">IF(ISERROR(DF161/DG161-1),"NM",DF161/DG161-1)</f>
        <v>-2.1730294881866508E-3</v>
      </c>
      <c r="DJ161" s="454">
        <f t="shared" ref="DJ161:DJ168" si="286">IF(ISERROR(DF161/DH161-1),"NM",DF161/DH161-1)</f>
        <v>0</v>
      </c>
      <c r="DK161" s="2"/>
      <c r="DL161" s="2"/>
      <c r="DM161" s="2"/>
    </row>
    <row r="162" spans="1:117" ht="12" customHeight="1">
      <c r="A162" s="1109">
        <f t="shared" si="249"/>
        <v>153</v>
      </c>
      <c r="B162" s="10"/>
      <c r="C162" s="2" t="s">
        <v>762</v>
      </c>
      <c r="E162" s="144">
        <v>601</v>
      </c>
      <c r="F162" s="144">
        <f>192+1897</f>
        <v>2089</v>
      </c>
      <c r="G162" s="144">
        <f>310-15+453</f>
        <v>748</v>
      </c>
      <c r="H162" s="144">
        <f>157-669</f>
        <v>-512</v>
      </c>
      <c r="I162" s="144">
        <f>274-707</f>
        <v>-433</v>
      </c>
      <c r="J162" s="154">
        <v>-78</v>
      </c>
      <c r="K162" s="154">
        <f>-192-J162</f>
        <v>-114</v>
      </c>
      <c r="L162" s="154">
        <f>-185-K162-J162</f>
        <v>7</v>
      </c>
      <c r="M162" s="154">
        <f>592-1821-L162-K162-J162</f>
        <v>-1044</v>
      </c>
      <c r="N162" s="60">
        <f t="shared" si="281"/>
        <v>-1229</v>
      </c>
      <c r="O162" s="154">
        <v>-801</v>
      </c>
      <c r="P162" s="154">
        <f>-1322-O162</f>
        <v>-521</v>
      </c>
      <c r="Q162" s="154">
        <f>-1347-P162-O162</f>
        <v>-25</v>
      </c>
      <c r="R162" s="154">
        <f>-1385-Q162-P162-O162</f>
        <v>-38</v>
      </c>
      <c r="S162" s="60">
        <f t="shared" ref="S162:S167" si="287">SUM(O162:R162)</f>
        <v>-1385</v>
      </c>
      <c r="T162" s="154">
        <v>-57</v>
      </c>
      <c r="U162" s="154">
        <f>92-T162</f>
        <v>149</v>
      </c>
      <c r="V162" s="154">
        <f>196-U162-T162</f>
        <v>104</v>
      </c>
      <c r="W162" s="154">
        <f>287-V162-U162-T162</f>
        <v>91</v>
      </c>
      <c r="X162" s="60">
        <f t="shared" ref="X162:X167" si="288">SUM(T162:W162)</f>
        <v>287</v>
      </c>
      <c r="Y162" s="154">
        <v>-22</v>
      </c>
      <c r="Z162" s="154">
        <f>-3-Y162</f>
        <v>19</v>
      </c>
      <c r="AA162" s="154">
        <f>-43-Z162-Y162</f>
        <v>-40</v>
      </c>
      <c r="AB162" s="154">
        <f>9-AA162-Z162-Y162</f>
        <v>52</v>
      </c>
      <c r="AC162" s="60">
        <f t="shared" ref="AC162:AC167" si="289">SUM(Y162:AB162)</f>
        <v>9</v>
      </c>
      <c r="AD162" s="44">
        <v>-60</v>
      </c>
      <c r="AE162" s="44">
        <f>-101-AD162</f>
        <v>-41</v>
      </c>
      <c r="AF162" s="44">
        <f>-127-AE162-AD162</f>
        <v>-26</v>
      </c>
      <c r="AG162" s="44">
        <f>-151-AF162-AE162-AD162</f>
        <v>-24</v>
      </c>
      <c r="AH162" s="60">
        <f t="shared" ref="AH162:AH167" si="290">SUM(AD162:AG162)</f>
        <v>-151</v>
      </c>
      <c r="AI162" s="44">
        <v>-14</v>
      </c>
      <c r="AJ162" s="44">
        <f>-263+447-AI162</f>
        <v>198</v>
      </c>
      <c r="AK162" s="44">
        <f>-447+697-AJ162-AI162</f>
        <v>66</v>
      </c>
      <c r="AL162" s="44">
        <f>-570+895-AK162-AJ162-AI162</f>
        <v>75</v>
      </c>
      <c r="AM162" s="60">
        <f t="shared" ref="AM162:AM167" si="291">SUM(AI162:AL162)</f>
        <v>325</v>
      </c>
      <c r="AN162" s="154">
        <f>-111+153</f>
        <v>42</v>
      </c>
      <c r="AO162" s="154">
        <f>-97+234-AN162</f>
        <v>95</v>
      </c>
      <c r="AP162" s="154">
        <f>-139+355-AO162-AN162</f>
        <v>79</v>
      </c>
      <c r="AQ162" s="154">
        <f>-183+431-AP162-AO162-AN162</f>
        <v>32</v>
      </c>
      <c r="AR162" s="60">
        <f t="shared" ref="AR162:AR167" si="292">SUM(AN162:AQ162)</f>
        <v>248</v>
      </c>
      <c r="AS162" s="154">
        <f>-31+27</f>
        <v>-4</v>
      </c>
      <c r="AT162" s="154">
        <f>-31+51-AS162</f>
        <v>24</v>
      </c>
      <c r="AU162" s="154">
        <f>-31+152-AT162-AS162</f>
        <v>101</v>
      </c>
      <c r="AV162" s="154">
        <f>-31+250-AU162-AT162-AS162</f>
        <v>98</v>
      </c>
      <c r="AW162" s="60">
        <f t="shared" ref="AW162:AW167" si="293">SUM(AS162:AV162)</f>
        <v>219</v>
      </c>
      <c r="AX162" s="154">
        <v>63</v>
      </c>
      <c r="AY162" s="154">
        <f>144-AX162</f>
        <v>81</v>
      </c>
      <c r="AZ162" s="154">
        <f>663-AY162-AX162</f>
        <v>519</v>
      </c>
      <c r="BA162" s="154">
        <f>756-AZ162-AY162-AX162</f>
        <v>93</v>
      </c>
      <c r="BB162" s="60">
        <f t="shared" ref="BB162:BB167" si="294">SUM(AX162:BA162)</f>
        <v>756</v>
      </c>
      <c r="BC162" s="44">
        <v>0</v>
      </c>
      <c r="BD162" s="154">
        <f>1651-BC162</f>
        <v>1651</v>
      </c>
      <c r="BE162" s="154">
        <f>2270-BD162-BC162</f>
        <v>619</v>
      </c>
      <c r="BF162" s="154">
        <f>2450-BE162-BD162-BC162</f>
        <v>180</v>
      </c>
      <c r="BG162" s="60">
        <f t="shared" ref="BG162:BG167" si="295">SUM(BC162:BF162)</f>
        <v>2450</v>
      </c>
      <c r="BH162" s="154">
        <v>530</v>
      </c>
      <c r="BI162" s="154">
        <f>842-BH162</f>
        <v>312</v>
      </c>
      <c r="BJ162" s="154">
        <f>1230-BI162-BH162</f>
        <v>388</v>
      </c>
      <c r="BK162" s="154">
        <f>1339-BJ162-BI162-BH162</f>
        <v>109</v>
      </c>
      <c r="BL162" s="60">
        <f t="shared" ref="BL162:BL167" si="296">SUM(BH162:BK162)</f>
        <v>1339</v>
      </c>
      <c r="BM162" s="44">
        <v>0</v>
      </c>
      <c r="BN162" s="44">
        <f>0-BM162</f>
        <v>0</v>
      </c>
      <c r="BO162" s="44">
        <f>0-BN162-BM162</f>
        <v>0</v>
      </c>
      <c r="BP162" s="44">
        <f>0-BO162-BN162-BM162</f>
        <v>0</v>
      </c>
      <c r="BQ162" s="60">
        <f t="shared" ref="BQ162:BQ167" si="297">SUM(BM162:BP162)</f>
        <v>0</v>
      </c>
      <c r="BR162" s="44">
        <v>-27</v>
      </c>
      <c r="BS162" s="44">
        <f>-59-BR162</f>
        <v>-32</v>
      </c>
      <c r="BT162" s="44">
        <f>-92-BS162-BR162</f>
        <v>-33</v>
      </c>
      <c r="BU162" s="44">
        <f>-125-BT162-BS162-BR162</f>
        <v>-33</v>
      </c>
      <c r="BV162" s="60">
        <f t="shared" ref="BV162:BV167" si="298">SUM(BR162:BU162)</f>
        <v>-125</v>
      </c>
      <c r="BW162" s="154">
        <v>-10</v>
      </c>
      <c r="BX162" s="154">
        <f>-87-BW162</f>
        <v>-77</v>
      </c>
      <c r="BY162" s="154">
        <f>-164-BX162-BW162</f>
        <v>-77</v>
      </c>
      <c r="BZ162" s="154">
        <f>-213-BY162-BX162-BW162</f>
        <v>-49</v>
      </c>
      <c r="CA162" s="235">
        <f t="shared" ref="CA162:CA167" si="299">SUM(BW162:BZ162)</f>
        <v>-213</v>
      </c>
      <c r="CB162" s="154">
        <v>0</v>
      </c>
      <c r="CC162" s="154">
        <f>-862-CB162</f>
        <v>-862</v>
      </c>
      <c r="CD162" s="154">
        <f>-1964-CC162-CB162</f>
        <v>-1102</v>
      </c>
      <c r="CE162" s="154">
        <f>-1964-CD162-CC162-CB162</f>
        <v>0</v>
      </c>
      <c r="CF162" s="235">
        <f t="shared" ref="CF162:CF167" si="300">SUM(CB162:CE162)</f>
        <v>-1964</v>
      </c>
      <c r="CG162" s="154">
        <v>0</v>
      </c>
      <c r="CH162" s="154">
        <f>-91-CG162</f>
        <v>-91</v>
      </c>
      <c r="CI162" s="154">
        <f>-129-CH162-CG162</f>
        <v>-38</v>
      </c>
      <c r="CJ162" s="154">
        <f>-129-CI162-CH162-CG162</f>
        <v>0</v>
      </c>
      <c r="CK162" s="235">
        <f t="shared" ref="CK162:CK167" si="301">SUM(CG162:CJ162)</f>
        <v>-129</v>
      </c>
      <c r="CL162" s="154">
        <v>-145</v>
      </c>
      <c r="CM162" s="154">
        <f>-145-CL162</f>
        <v>0</v>
      </c>
      <c r="CN162" s="154">
        <f>-145-CM162-CL162</f>
        <v>0</v>
      </c>
      <c r="CO162" s="154">
        <f>-145-CN162-CM162-CL162</f>
        <v>0</v>
      </c>
      <c r="CP162" s="235">
        <f t="shared" ref="CP162:CP167" si="302">SUM(CL162:CO162)</f>
        <v>-145</v>
      </c>
      <c r="CQ162" s="154">
        <v>0</v>
      </c>
      <c r="CR162" s="154">
        <f>-131-CQ162</f>
        <v>-131</v>
      </c>
      <c r="CS162" s="154">
        <f>-131-CQ162-CR162</f>
        <v>0</v>
      </c>
      <c r="CT162" s="44">
        <f>-131-SUM(CQ162:CS162)</f>
        <v>0</v>
      </c>
      <c r="CU162" s="235">
        <f t="shared" ref="CU162:CU167" si="303">SUM(CQ162:CT162)</f>
        <v>-131</v>
      </c>
      <c r="CV162" s="44">
        <v>0</v>
      </c>
      <c r="CW162" s="44">
        <v>-100</v>
      </c>
      <c r="CX162" s="44">
        <v>0</v>
      </c>
      <c r="CY162" s="44">
        <v>0</v>
      </c>
      <c r="CZ162" s="235">
        <f t="shared" ref="CZ162:CZ167" si="304">SUM(CV162:CY162)</f>
        <v>-100</v>
      </c>
      <c r="DA162" s="86">
        <v>0</v>
      </c>
      <c r="DB162" s="86">
        <v>0</v>
      </c>
      <c r="DC162" s="86">
        <v>0</v>
      </c>
      <c r="DD162" s="2"/>
      <c r="DE162" s="2"/>
      <c r="DF162" s="235">
        <f t="shared" si="283"/>
        <v>0</v>
      </c>
      <c r="DG162" s="235">
        <v>0</v>
      </c>
      <c r="DH162" s="235">
        <f t="shared" si="284"/>
        <v>0</v>
      </c>
      <c r="DI162" s="454" t="str">
        <f t="shared" si="285"/>
        <v>NM</v>
      </c>
      <c r="DJ162" s="454" t="str">
        <f t="shared" si="286"/>
        <v>NM</v>
      </c>
      <c r="DK162" s="2"/>
      <c r="DL162" s="2"/>
      <c r="DM162" s="2"/>
    </row>
    <row r="163" spans="1:117" ht="12" customHeight="1">
      <c r="A163" s="1109">
        <f t="shared" si="249"/>
        <v>154</v>
      </c>
      <c r="B163" s="10"/>
      <c r="C163" s="2" t="s">
        <v>750</v>
      </c>
      <c r="E163" s="144">
        <f>413+5884</f>
        <v>6297</v>
      </c>
      <c r="F163" s="144">
        <f>151+3474</f>
        <v>3625</v>
      </c>
      <c r="G163" s="144">
        <f>-430+6210</f>
        <v>5780</v>
      </c>
      <c r="H163" s="144">
        <f>497+7475</f>
        <v>7972</v>
      </c>
      <c r="I163" s="144">
        <f>-429+5547</f>
        <v>5118</v>
      </c>
      <c r="J163" s="154">
        <f>-736-3891</f>
        <v>-4627</v>
      </c>
      <c r="K163" s="154">
        <f>-707-5588-J163</f>
        <v>-1668</v>
      </c>
      <c r="L163" s="154">
        <f>-841-8140-K163-J163</f>
        <v>-2686</v>
      </c>
      <c r="M163" s="154">
        <f>-776-6406-L163-K163-J163</f>
        <v>1799</v>
      </c>
      <c r="N163" s="60">
        <f t="shared" si="281"/>
        <v>-7182</v>
      </c>
      <c r="O163" s="154">
        <f>-28-4861</f>
        <v>-4889</v>
      </c>
      <c r="P163" s="154">
        <f>-70-2375-O163</f>
        <v>2444</v>
      </c>
      <c r="Q163" s="154">
        <f>-2-12506-P163-O163</f>
        <v>-10063</v>
      </c>
      <c r="R163" s="154">
        <f>-18311-Q163-P163-O163</f>
        <v>-5803</v>
      </c>
      <c r="S163" s="60">
        <f t="shared" si="287"/>
        <v>-18311</v>
      </c>
      <c r="T163" s="154">
        <v>-6822</v>
      </c>
      <c r="U163" s="154">
        <f>-7020-T163</f>
        <v>-198</v>
      </c>
      <c r="V163" s="154">
        <f>-13455-U163-T163</f>
        <v>-6435</v>
      </c>
      <c r="W163" s="154">
        <f>-14171-V163-U163-T163</f>
        <v>-716</v>
      </c>
      <c r="X163" s="60">
        <f t="shared" si="288"/>
        <v>-14171</v>
      </c>
      <c r="Y163" s="154">
        <v>2197</v>
      </c>
      <c r="Z163" s="154">
        <f>-2453-Y163</f>
        <v>-4650</v>
      </c>
      <c r="AA163" s="154">
        <f>3232-Z163-Y163</f>
        <v>5685</v>
      </c>
      <c r="AB163" s="154">
        <f>1305-AA163-Z163-Y163</f>
        <v>-1927</v>
      </c>
      <c r="AC163" s="60">
        <f t="shared" si="289"/>
        <v>1305</v>
      </c>
      <c r="AD163" s="44">
        <v>4725</v>
      </c>
      <c r="AE163" s="44">
        <f>8412-AD163</f>
        <v>3687</v>
      </c>
      <c r="AF163" s="44">
        <f>8700-AE163-AD163</f>
        <v>288</v>
      </c>
      <c r="AG163" s="44">
        <f>4885-AF163-AE163-AD163</f>
        <v>-3815</v>
      </c>
      <c r="AH163" s="60">
        <f t="shared" si="290"/>
        <v>4885</v>
      </c>
      <c r="AI163" s="44">
        <v>-410</v>
      </c>
      <c r="AJ163" s="44">
        <f>765-AI163</f>
        <v>1175</v>
      </c>
      <c r="AK163" s="44">
        <f>-6234-AJ163-AI163</f>
        <v>-6999</v>
      </c>
      <c r="AL163" s="44">
        <f>-8713-AK163-AJ163-AI163</f>
        <v>-2479</v>
      </c>
      <c r="AM163" s="60">
        <f t="shared" si="291"/>
        <v>-8713</v>
      </c>
      <c r="AN163" s="154">
        <v>1015</v>
      </c>
      <c r="AO163" s="154">
        <f>280-AN163</f>
        <v>-735</v>
      </c>
      <c r="AP163" s="154">
        <f>-276-AO163-AN163</f>
        <v>-556</v>
      </c>
      <c r="AQ163" s="154">
        <f>-5825-AP163-AO163-AN163</f>
        <v>-5549</v>
      </c>
      <c r="AR163" s="60">
        <f t="shared" si="292"/>
        <v>-5825</v>
      </c>
      <c r="AS163" s="154">
        <v>389</v>
      </c>
      <c r="AT163" s="154">
        <f>-1396-AS163</f>
        <v>-1785</v>
      </c>
      <c r="AU163" s="154">
        <f>-2558-AT163-AS163</f>
        <v>-1162</v>
      </c>
      <c r="AV163" s="154">
        <f>919-AU163-AT163-AS163</f>
        <v>3477</v>
      </c>
      <c r="AW163" s="60">
        <f t="shared" si="293"/>
        <v>919</v>
      </c>
      <c r="AX163" s="154">
        <v>-678</v>
      </c>
      <c r="AY163" s="154">
        <f>-1049-AX163</f>
        <v>-371</v>
      </c>
      <c r="AZ163" s="154">
        <f>-4422-AY163-AX163</f>
        <v>-3373</v>
      </c>
      <c r="BA163" s="154">
        <f>-5120-AZ163-AY163-AX163</f>
        <v>-698</v>
      </c>
      <c r="BB163" s="60">
        <f t="shared" si="294"/>
        <v>-5120</v>
      </c>
      <c r="BC163" s="154">
        <v>-3869</v>
      </c>
      <c r="BD163" s="154">
        <f>-5597-BC163</f>
        <v>-1728</v>
      </c>
      <c r="BE163" s="154">
        <f>-5586-BD163-BC163</f>
        <v>11</v>
      </c>
      <c r="BF163" s="154">
        <f>-5881-BE163-BD163-BC163</f>
        <v>-295</v>
      </c>
      <c r="BG163" s="60">
        <f t="shared" si="295"/>
        <v>-5881</v>
      </c>
      <c r="BH163" s="154">
        <v>-1042</v>
      </c>
      <c r="BI163" s="154">
        <f>-700-BH163</f>
        <v>342</v>
      </c>
      <c r="BJ163" s="154">
        <f>-908-BI163-BH163</f>
        <v>-208</v>
      </c>
      <c r="BK163" s="154">
        <f>-1754-BJ163-BI163-BH163</f>
        <v>-846</v>
      </c>
      <c r="BL163" s="60">
        <f t="shared" si="296"/>
        <v>-1754</v>
      </c>
      <c r="BM163" s="44">
        <v>561</v>
      </c>
      <c r="BN163" s="44">
        <f>662-BM163</f>
        <v>101</v>
      </c>
      <c r="BO163" s="44">
        <f>1552-BN163-BM163</f>
        <v>890</v>
      </c>
      <c r="BP163" s="44">
        <f>2841-BO163-BN163-BM163</f>
        <v>1289</v>
      </c>
      <c r="BQ163" s="60">
        <f t="shared" si="297"/>
        <v>2841</v>
      </c>
      <c r="BR163" s="44">
        <v>-1651</v>
      </c>
      <c r="BS163" s="44">
        <f>-3013-BR163</f>
        <v>-1362</v>
      </c>
      <c r="BT163" s="44">
        <f>-2111-BS163-BR163</f>
        <v>902</v>
      </c>
      <c r="BU163" s="44">
        <f>1208-BT163-BS163-BR163</f>
        <v>3319</v>
      </c>
      <c r="BV163" s="60">
        <f t="shared" si="298"/>
        <v>1208</v>
      </c>
      <c r="BW163" s="154">
        <v>-1428</v>
      </c>
      <c r="BX163" s="154">
        <f>-4188-BW163</f>
        <v>-2760</v>
      </c>
      <c r="BY163" s="154">
        <f>-3227-BX163-BW163</f>
        <v>961</v>
      </c>
      <c r="BZ163" s="154">
        <f>-2927-BY163-BX163-BW163</f>
        <v>300</v>
      </c>
      <c r="CA163" s="235">
        <f t="shared" si="299"/>
        <v>-2927</v>
      </c>
      <c r="CB163" s="154">
        <v>-1023</v>
      </c>
      <c r="CC163" s="154">
        <f>-3188-CB163</f>
        <v>-2165</v>
      </c>
      <c r="CD163" s="154">
        <f>-2792-CC163-CB163</f>
        <v>396</v>
      </c>
      <c r="CE163" s="154">
        <f>-3870-CD163-CC163-CB163</f>
        <v>-1078</v>
      </c>
      <c r="CF163" s="235">
        <f t="shared" si="300"/>
        <v>-3870</v>
      </c>
      <c r="CG163" s="154">
        <v>488</v>
      </c>
      <c r="CH163" s="154">
        <f>176-CG163</f>
        <v>-312</v>
      </c>
      <c r="CI163" s="154">
        <f>844-CH163-CG163</f>
        <v>668</v>
      </c>
      <c r="CJ163" s="154">
        <f>1646-CI163-CH163-CG163</f>
        <v>802</v>
      </c>
      <c r="CK163" s="235">
        <f t="shared" si="301"/>
        <v>1646</v>
      </c>
      <c r="CL163" s="154">
        <v>-121</v>
      </c>
      <c r="CM163" s="154">
        <f>934-CL163</f>
        <v>1055</v>
      </c>
      <c r="CN163" s="154">
        <f>1200-CM163-CL163</f>
        <v>266</v>
      </c>
      <c r="CO163" s="154">
        <f>3864-CN163-CM163-CL163</f>
        <v>2664</v>
      </c>
      <c r="CP163" s="235">
        <f t="shared" si="302"/>
        <v>3864</v>
      </c>
      <c r="CQ163" s="154">
        <v>658</v>
      </c>
      <c r="CR163" s="154">
        <f>72-CQ163</f>
        <v>-586</v>
      </c>
      <c r="CS163" s="154">
        <f>1899-CQ163-CR163</f>
        <v>1827</v>
      </c>
      <c r="CT163" s="154">
        <f>1229-SUM(CQ163:CS163)</f>
        <v>-670</v>
      </c>
      <c r="CU163" s="235">
        <f t="shared" si="303"/>
        <v>1229</v>
      </c>
      <c r="CV163" s="49">
        <f>CV88-CU88+CV89-CU89</f>
        <v>0</v>
      </c>
      <c r="CW163" s="49">
        <f>CW88-CV88+CW89-CV89</f>
        <v>0</v>
      </c>
      <c r="CX163" s="49">
        <f>CX88-CW88+CX89-CW89</f>
        <v>0</v>
      </c>
      <c r="CY163" s="49">
        <f>CY88-CX88+CY89-CX89</f>
        <v>0</v>
      </c>
      <c r="CZ163" s="235">
        <f t="shared" si="304"/>
        <v>0</v>
      </c>
      <c r="DA163" s="87">
        <f>DA88-CZ88+DA89-CZ89</f>
        <v>0</v>
      </c>
      <c r="DB163" s="87">
        <f>DB88-DA88+DB89-DA89</f>
        <v>0</v>
      </c>
      <c r="DC163" s="87">
        <f>DC88-DB88+DC89-DB89</f>
        <v>0</v>
      </c>
      <c r="DD163" s="2"/>
      <c r="DE163" s="2"/>
      <c r="DF163" s="235">
        <f t="shared" si="283"/>
        <v>-670</v>
      </c>
      <c r="DG163" s="235">
        <v>0</v>
      </c>
      <c r="DH163" s="235">
        <f t="shared" si="284"/>
        <v>2664</v>
      </c>
      <c r="DI163" s="454" t="str">
        <f t="shared" si="285"/>
        <v>NM</v>
      </c>
      <c r="DJ163" s="454">
        <f t="shared" si="286"/>
        <v>-1.2515015015015014</v>
      </c>
      <c r="DK163" s="2"/>
      <c r="DL163" s="2"/>
      <c r="DM163" s="2"/>
    </row>
    <row r="164" spans="1:117" ht="12" customHeight="1">
      <c r="A164" s="1109">
        <f t="shared" si="249"/>
        <v>155</v>
      </c>
      <c r="B164" s="10"/>
      <c r="C164" s="2" t="s">
        <v>751</v>
      </c>
      <c r="E164" s="144">
        <f>300+23854</f>
        <v>24154</v>
      </c>
      <c r="F164" s="144">
        <f>1688+22342</f>
        <v>24030</v>
      </c>
      <c r="G164" s="144">
        <f>1100+22923</f>
        <v>24023</v>
      </c>
      <c r="H164" s="144">
        <f>2403+21776</f>
        <v>24179</v>
      </c>
      <c r="I164" s="144">
        <f>3143+37184</f>
        <v>40327</v>
      </c>
      <c r="J164" s="154">
        <f>156+11610</f>
        <v>11766</v>
      </c>
      <c r="K164" s="154">
        <f>205+22321-J164</f>
        <v>10760</v>
      </c>
      <c r="L164" s="154">
        <f>1917+31397-K164-J164</f>
        <v>10788</v>
      </c>
      <c r="M164" s="154">
        <f>2363+37086-L164-K164-J164</f>
        <v>6135</v>
      </c>
      <c r="N164" s="60">
        <f t="shared" si="281"/>
        <v>39449</v>
      </c>
      <c r="O164" s="154">
        <f>201+14386</f>
        <v>14587</v>
      </c>
      <c r="P164" s="154">
        <f>346+25028-O164</f>
        <v>10787</v>
      </c>
      <c r="Q164" s="154">
        <f>386+31123-P164-O164</f>
        <v>6135</v>
      </c>
      <c r="R164" s="154">
        <f>46256-Q164-P164-O164</f>
        <v>14747</v>
      </c>
      <c r="S164" s="60">
        <f t="shared" si="287"/>
        <v>46256</v>
      </c>
      <c r="T164" s="154">
        <v>9563</v>
      </c>
      <c r="U164" s="154">
        <f>12624-T164</f>
        <v>3061</v>
      </c>
      <c r="V164" s="154">
        <f>14272-U164-T164</f>
        <v>1648</v>
      </c>
      <c r="W164" s="154">
        <f>15842-V164-U164-T164</f>
        <v>1570</v>
      </c>
      <c r="X164" s="60">
        <f t="shared" si="288"/>
        <v>15842</v>
      </c>
      <c r="Y164" s="154">
        <v>3952</v>
      </c>
      <c r="Z164" s="154">
        <f>8545-Y164</f>
        <v>4593</v>
      </c>
      <c r="AA164" s="154">
        <f>17221-Z164-Y164</f>
        <v>8676</v>
      </c>
      <c r="AB164" s="154">
        <f>23086-AA164-Z164-Y164</f>
        <v>5865</v>
      </c>
      <c r="AC164" s="60">
        <f t="shared" si="289"/>
        <v>23086</v>
      </c>
      <c r="AD164" s="44">
        <v>4491</v>
      </c>
      <c r="AE164" s="44">
        <f>7831-AD164</f>
        <v>3340</v>
      </c>
      <c r="AF164" s="44">
        <f>12544-AE164-AD164</f>
        <v>4713</v>
      </c>
      <c r="AG164" s="44">
        <f>22223-AF164-AE164-AD164</f>
        <v>9679</v>
      </c>
      <c r="AH164" s="60">
        <f t="shared" si="290"/>
        <v>22223</v>
      </c>
      <c r="AI164" s="44">
        <v>5522</v>
      </c>
      <c r="AJ164" s="44">
        <f>15118-AI164</f>
        <v>9596</v>
      </c>
      <c r="AK164" s="44">
        <f>21677-AJ164-AI164</f>
        <v>6559</v>
      </c>
      <c r="AL164" s="44">
        <f>24559-AK164-AJ164-AI164</f>
        <v>2882</v>
      </c>
      <c r="AM164" s="60">
        <f t="shared" si="291"/>
        <v>24559</v>
      </c>
      <c r="AN164" s="154">
        <v>10007</v>
      </c>
      <c r="AO164" s="154">
        <f>23900-AN164</f>
        <v>13893</v>
      </c>
      <c r="AP164" s="154">
        <f>32775-AO164-AN164</f>
        <v>8875</v>
      </c>
      <c r="AQ164" s="154">
        <f>58258-AP164-AO164-AN164</f>
        <v>25483</v>
      </c>
      <c r="AR164" s="60">
        <f t="shared" si="292"/>
        <v>58258</v>
      </c>
      <c r="AS164" s="154">
        <v>4270</v>
      </c>
      <c r="AT164" s="154">
        <f>17165-AS164</f>
        <v>12895</v>
      </c>
      <c r="AU164" s="154">
        <f>24018-AT164-AS164</f>
        <v>6853</v>
      </c>
      <c r="AV164" s="154">
        <f>33113-AU164-AT164-AS164</f>
        <v>9095</v>
      </c>
      <c r="AW164" s="60">
        <f t="shared" si="293"/>
        <v>33113</v>
      </c>
      <c r="AX164" s="154">
        <v>11150</v>
      </c>
      <c r="AY164" s="154">
        <f>20726-AX164</f>
        <v>9576</v>
      </c>
      <c r="AZ164" s="154">
        <f>27565-AY164-AX164</f>
        <v>6839</v>
      </c>
      <c r="BA164" s="154">
        <f>42163-AZ164-AY164-AX164</f>
        <v>14598</v>
      </c>
      <c r="BB164" s="60">
        <f t="shared" si="294"/>
        <v>42163</v>
      </c>
      <c r="BC164" s="154">
        <v>15410</v>
      </c>
      <c r="BD164" s="154">
        <f>25262-BC164</f>
        <v>9852</v>
      </c>
      <c r="BE164" s="154">
        <f>35641-BD164-BC164</f>
        <v>10379</v>
      </c>
      <c r="BF164" s="154">
        <f>45993-BE164-BD164-BC164</f>
        <v>10352</v>
      </c>
      <c r="BG164" s="60">
        <f t="shared" si="295"/>
        <v>45993</v>
      </c>
      <c r="BH164" s="154">
        <v>8827</v>
      </c>
      <c r="BI164" s="154">
        <f>15282-BH164</f>
        <v>6455</v>
      </c>
      <c r="BJ164" s="154">
        <f>25804-BI164-BH164</f>
        <v>10522</v>
      </c>
      <c r="BK164" s="154">
        <f>30821-BJ164-BI164-BH164</f>
        <v>5017</v>
      </c>
      <c r="BL164" s="60">
        <f t="shared" si="296"/>
        <v>30821</v>
      </c>
      <c r="BM164" s="44">
        <v>9268</v>
      </c>
      <c r="BN164" s="44">
        <f>18513-BM164</f>
        <v>9245</v>
      </c>
      <c r="BO164" s="44">
        <f>25070-BN164-BM164</f>
        <v>6557</v>
      </c>
      <c r="BP164" s="44">
        <f>35921-BO164-BN164-BM164</f>
        <v>10851</v>
      </c>
      <c r="BQ164" s="60">
        <f t="shared" si="297"/>
        <v>35921</v>
      </c>
      <c r="BR164" s="44">
        <v>10318</v>
      </c>
      <c r="BS164" s="44">
        <f>20157-BR164</f>
        <v>9839</v>
      </c>
      <c r="BT164" s="44">
        <f>25272-BS164-BR164</f>
        <v>5115</v>
      </c>
      <c r="BU164" s="44">
        <f>32436-BT164-BS164-BR164</f>
        <v>7164</v>
      </c>
      <c r="BV164" s="60">
        <f t="shared" si="298"/>
        <v>32436</v>
      </c>
      <c r="BW164" s="154">
        <v>11242</v>
      </c>
      <c r="BX164" s="154">
        <f>20297-BW164</f>
        <v>9055</v>
      </c>
      <c r="BY164" s="154">
        <f>28946-BX164-BW164</f>
        <v>8649</v>
      </c>
      <c r="BZ164" s="154">
        <f>40543-BY164-BX164-BW164</f>
        <v>11597</v>
      </c>
      <c r="CA164" s="235">
        <f t="shared" si="299"/>
        <v>40543</v>
      </c>
      <c r="CB164" s="154">
        <v>11773</v>
      </c>
      <c r="CC164" s="154">
        <f>22755-CB164</f>
        <v>10982</v>
      </c>
      <c r="CD164" s="154">
        <f>31107-CC164-CB164</f>
        <v>8352</v>
      </c>
      <c r="CE164" s="154">
        <f>40043-CD164-CC164-CB164</f>
        <v>8936</v>
      </c>
      <c r="CF164" s="235">
        <f t="shared" si="300"/>
        <v>40043</v>
      </c>
      <c r="CG164" s="154">
        <v>13624</v>
      </c>
      <c r="CH164" s="154">
        <f>24912-CG164</f>
        <v>11288</v>
      </c>
      <c r="CI164" s="154">
        <f>35876-CH164-CG164</f>
        <v>10964</v>
      </c>
      <c r="CJ164" s="154">
        <f>48860-CI164-CH164-CG164</f>
        <v>12984</v>
      </c>
      <c r="CK164" s="235">
        <f t="shared" si="301"/>
        <v>48860</v>
      </c>
      <c r="CL164" s="154">
        <v>15623</v>
      </c>
      <c r="CM164" s="154">
        <f>25574-CL164</f>
        <v>9951</v>
      </c>
      <c r="CN164" s="154">
        <f>31956-CM164-CL164</f>
        <v>6382</v>
      </c>
      <c r="CO164" s="154">
        <f>45961-CN164-CM164-CL164</f>
        <v>14005</v>
      </c>
      <c r="CP164" s="235">
        <f t="shared" si="302"/>
        <v>45961</v>
      </c>
      <c r="CQ164" s="154">
        <v>13253</v>
      </c>
      <c r="CR164" s="154">
        <f>20467-CQ164</f>
        <v>7214</v>
      </c>
      <c r="CS164" s="154">
        <f>30557-CQ164-CR164</f>
        <v>10090</v>
      </c>
      <c r="CT164" s="154">
        <f>45801-SUM(CQ164:CS164)</f>
        <v>15244</v>
      </c>
      <c r="CU164" s="235">
        <f t="shared" si="303"/>
        <v>45801</v>
      </c>
      <c r="CV164" s="49">
        <f>IF((CV93-CU93+CV94-CU94)&gt;0,(CV93-CU93+CV94-CU94),0)</f>
        <v>0</v>
      </c>
      <c r="CW164" s="49">
        <f>IF((CW93-CV93+CW94-CV94)&gt;0,(CW93-CV93+CW94-CV94),0)</f>
        <v>0</v>
      </c>
      <c r="CX164" s="49">
        <f>IF((CX93-CW93+CX94-CW94)&gt;0,(CX93-CW93+CX94-CW94),0)</f>
        <v>0</v>
      </c>
      <c r="CY164" s="49">
        <f>IF((CY93-CX93+CY94-CX94)&gt;0,(CY93-CX93+CY94-CX94),0)</f>
        <v>0</v>
      </c>
      <c r="CZ164" s="235">
        <f t="shared" si="304"/>
        <v>0</v>
      </c>
      <c r="DA164" s="87">
        <f>IF((DA93-CZ93+DA94-CZ94)&gt;0,(DA93-CZ93+DA94-CZ94),0)</f>
        <v>0</v>
      </c>
      <c r="DB164" s="87">
        <f>IF((DB93-DA93+DB94-DA94)&gt;0,(DB93-DA93+DB94-DA94),0)</f>
        <v>0</v>
      </c>
      <c r="DC164" s="87">
        <f>IF((DC93-DB93+DC94-DB94)&gt;0,(DC93-DB93+DC94-DB94),0)</f>
        <v>0</v>
      </c>
      <c r="DD164" s="2"/>
      <c r="DE164" s="2"/>
      <c r="DF164" s="235">
        <f t="shared" si="283"/>
        <v>15244</v>
      </c>
      <c r="DG164" s="235">
        <v>0</v>
      </c>
      <c r="DH164" s="235">
        <f t="shared" si="284"/>
        <v>14005</v>
      </c>
      <c r="DI164" s="454" t="str">
        <f t="shared" si="285"/>
        <v>NM</v>
      </c>
      <c r="DJ164" s="454">
        <f t="shared" si="286"/>
        <v>8.8468404141378132E-2</v>
      </c>
      <c r="DK164" s="2"/>
      <c r="DL164" s="2"/>
      <c r="DM164" s="2"/>
    </row>
    <row r="165" spans="1:117" ht="12" customHeight="1">
      <c r="A165" s="1109">
        <f t="shared" si="249"/>
        <v>156</v>
      </c>
      <c r="B165" s="10"/>
      <c r="C165" s="2" t="s">
        <v>752</v>
      </c>
      <c r="E165" s="144">
        <f>-177-11489</f>
        <v>-11666</v>
      </c>
      <c r="F165" s="144">
        <f>-1031-14428</f>
        <v>-15459</v>
      </c>
      <c r="G165" s="144">
        <f>-668-18215</f>
        <v>-18883</v>
      </c>
      <c r="H165" s="144">
        <f>-1434-16797</f>
        <v>-18231</v>
      </c>
      <c r="I165" s="144">
        <f>-821-28672</f>
        <v>-29493</v>
      </c>
      <c r="J165" s="154">
        <f>-389-3672</f>
        <v>-4061</v>
      </c>
      <c r="K165" s="154">
        <f>-424-7574-J165</f>
        <v>-3937</v>
      </c>
      <c r="L165" s="154">
        <f>-823-14896-K165-J165</f>
        <v>-7721</v>
      </c>
      <c r="M165" s="154">
        <f>-1277-17158-L165-K165-J165</f>
        <v>-2716</v>
      </c>
      <c r="N165" s="60">
        <f t="shared" si="281"/>
        <v>-18435</v>
      </c>
      <c r="O165" s="154">
        <f>-76-7691</f>
        <v>-7767</v>
      </c>
      <c r="P165" s="154">
        <f>-368-13791-O165</f>
        <v>-6392</v>
      </c>
      <c r="Q165" s="154">
        <f>-1066-20675-P165-O165</f>
        <v>-7582</v>
      </c>
      <c r="R165" s="154">
        <f>-27315-Q165-P165-O165</f>
        <v>-5574</v>
      </c>
      <c r="S165" s="60">
        <f t="shared" si="287"/>
        <v>-27315</v>
      </c>
      <c r="T165" s="154">
        <v>-10293</v>
      </c>
      <c r="U165" s="154">
        <f>-14656-T165</f>
        <v>-4363</v>
      </c>
      <c r="V165" s="154">
        <f>-13929-U165-T165</f>
        <v>727</v>
      </c>
      <c r="W165" s="154">
        <f>-16619-V165-U165-T165</f>
        <v>-2690</v>
      </c>
      <c r="X165" s="60">
        <f t="shared" si="288"/>
        <v>-16619</v>
      </c>
      <c r="Y165" s="154">
        <v>-10718</v>
      </c>
      <c r="Z165" s="154">
        <f>-12943-Y165</f>
        <v>-2225</v>
      </c>
      <c r="AA165" s="154">
        <f>-23862-Z165-Y165</f>
        <v>-10919</v>
      </c>
      <c r="AB165" s="154">
        <f>-28780-AA165-Z165-Y165</f>
        <v>-4918</v>
      </c>
      <c r="AC165" s="60">
        <f t="shared" si="289"/>
        <v>-28780</v>
      </c>
      <c r="AD165" s="44">
        <v>-16868</v>
      </c>
      <c r="AE165" s="44">
        <f>-24401-AD165</f>
        <v>-7533</v>
      </c>
      <c r="AF165" s="44">
        <f>-34490-AE165-AD165</f>
        <v>-10089</v>
      </c>
      <c r="AG165" s="44">
        <f>-36000-AF165-AE165-AD165</f>
        <v>-1510</v>
      </c>
      <c r="AH165" s="60">
        <f t="shared" si="290"/>
        <v>-36000</v>
      </c>
      <c r="AI165" s="44">
        <v>-14312</v>
      </c>
      <c r="AJ165" s="44">
        <f>-26151-AI165</f>
        <v>-11839</v>
      </c>
      <c r="AK165" s="44">
        <f>-32516-AJ165-AI165</f>
        <v>-6365</v>
      </c>
      <c r="AL165" s="44">
        <f>-36080-AK165-AJ165-AI165</f>
        <v>-3564</v>
      </c>
      <c r="AM165" s="60">
        <f t="shared" si="291"/>
        <v>-36080</v>
      </c>
      <c r="AN165" s="154">
        <v>-14446</v>
      </c>
      <c r="AO165" s="154">
        <f>-26433-AN165</f>
        <v>-11987</v>
      </c>
      <c r="AP165" s="154">
        <f>-33012-AO165-AN165</f>
        <v>-6579</v>
      </c>
      <c r="AQ165" s="154">
        <f>-36601-AP165-AO165-AN165</f>
        <v>-3589</v>
      </c>
      <c r="AR165" s="60">
        <f t="shared" si="292"/>
        <v>-36601</v>
      </c>
      <c r="AS165" s="154">
        <v>-9748</v>
      </c>
      <c r="AT165" s="154">
        <f>-19768-AS165</f>
        <v>-10020</v>
      </c>
      <c r="AU165" s="154">
        <f>-32457-AT165-AS165</f>
        <v>-12689</v>
      </c>
      <c r="AV165" s="154">
        <f>-39431-AU165-AT165-AS165</f>
        <v>-6974</v>
      </c>
      <c r="AW165" s="60">
        <f t="shared" si="293"/>
        <v>-39431</v>
      </c>
      <c r="AX165" s="154">
        <v>-11107</v>
      </c>
      <c r="AY165" s="154">
        <f>-23396-AX165</f>
        <v>-12289</v>
      </c>
      <c r="AZ165" s="154">
        <f>-32768-AY165-AX165</f>
        <v>-9372</v>
      </c>
      <c r="BA165" s="154">
        <f>-46299-AZ165-AY165-AX165</f>
        <v>-13531</v>
      </c>
      <c r="BB165" s="60">
        <f t="shared" si="294"/>
        <v>-46299</v>
      </c>
      <c r="BC165" s="154">
        <v>-16355</v>
      </c>
      <c r="BD165" s="154">
        <f>-33890-BC165</f>
        <v>-17535</v>
      </c>
      <c r="BE165" s="154">
        <f>-45998-BD165-BC165</f>
        <v>-12108</v>
      </c>
      <c r="BF165" s="154">
        <f>-61822-BE165-BD165-BC165</f>
        <v>-15824</v>
      </c>
      <c r="BG165" s="60">
        <f t="shared" si="295"/>
        <v>-61822</v>
      </c>
      <c r="BH165" s="154">
        <v>-8506</v>
      </c>
      <c r="BI165" s="154">
        <f>-26636-BH165</f>
        <v>-18130</v>
      </c>
      <c r="BJ165" s="154">
        <f>-39701-BI165-BH165</f>
        <v>-13065</v>
      </c>
      <c r="BK165" s="154">
        <f>-47625-BJ165-BI165-BH165</f>
        <v>-7924</v>
      </c>
      <c r="BL165" s="60">
        <f t="shared" si="296"/>
        <v>-47625</v>
      </c>
      <c r="BM165" s="44">
        <v>-13199</v>
      </c>
      <c r="BN165" s="44">
        <f>-26292-BM165</f>
        <v>-13093</v>
      </c>
      <c r="BO165" s="44">
        <f>-35915-BN165-BM165</f>
        <v>-9623</v>
      </c>
      <c r="BP165" s="44">
        <f>-43095-BO165-BN165-BM165</f>
        <v>-7180</v>
      </c>
      <c r="BQ165" s="60">
        <f t="shared" si="297"/>
        <v>-43095</v>
      </c>
      <c r="BR165" s="44">
        <v>-8164</v>
      </c>
      <c r="BS165" s="44">
        <f>-17099-BR165</f>
        <v>-8935</v>
      </c>
      <c r="BT165" s="44">
        <f>-23041-BS165-BR165</f>
        <v>-5942</v>
      </c>
      <c r="BU165" s="44">
        <f>-29210-BT165-BS165-BR165</f>
        <v>-6169</v>
      </c>
      <c r="BV165" s="60">
        <f t="shared" si="298"/>
        <v>-29210</v>
      </c>
      <c r="BW165" s="154">
        <v>-7548</v>
      </c>
      <c r="BX165" s="154">
        <f>-12712-BW165</f>
        <v>-5164</v>
      </c>
      <c r="BY165" s="154">
        <f>-20288-BX165-BW165</f>
        <v>-7576</v>
      </c>
      <c r="BZ165" s="154">
        <f>-27953-BY165-BX165-BW165</f>
        <v>-7665</v>
      </c>
      <c r="CA165" s="235">
        <f t="shared" si="299"/>
        <v>-27953</v>
      </c>
      <c r="CB165" s="154">
        <v>-8287</v>
      </c>
      <c r="CC165" s="154">
        <f>-15925-CB165</f>
        <v>-7638</v>
      </c>
      <c r="CD165" s="154">
        <f>-22504-CC165-CB165</f>
        <v>-6579</v>
      </c>
      <c r="CE165" s="154">
        <f>-28859-CD165-CC165-CB165</f>
        <v>-6355</v>
      </c>
      <c r="CF165" s="235">
        <f t="shared" si="300"/>
        <v>-28859</v>
      </c>
      <c r="CG165" s="154">
        <v>-8686</v>
      </c>
      <c r="CH165" s="154">
        <f>-19787-CG165</f>
        <v>-11101</v>
      </c>
      <c r="CI165" s="154">
        <f>-27366-CH165-CG165</f>
        <v>-7579</v>
      </c>
      <c r="CJ165" s="154">
        <f>-33358-CI165-CH165-CG165</f>
        <v>-5992</v>
      </c>
      <c r="CK165" s="235">
        <f t="shared" si="301"/>
        <v>-33358</v>
      </c>
      <c r="CL165" s="154">
        <v>-9431</v>
      </c>
      <c r="CM165" s="154">
        <f>-21104-CL165</f>
        <v>-11673</v>
      </c>
      <c r="CN165" s="154">
        <f>-30019-CM165-CL165</f>
        <v>-8915</v>
      </c>
      <c r="CO165" s="154">
        <f>-38797-CN165-CM165-CL165</f>
        <v>-8778</v>
      </c>
      <c r="CP165" s="235">
        <f t="shared" si="302"/>
        <v>-38797</v>
      </c>
      <c r="CQ165" s="154">
        <v>-11911</v>
      </c>
      <c r="CR165" s="154">
        <f>-19952-CQ165</f>
        <v>-8041</v>
      </c>
      <c r="CS165" s="154">
        <f>-31378-CQ165-CR165</f>
        <v>-11426</v>
      </c>
      <c r="CT165" s="154">
        <f>-40770-SUM(CQ165:CS165)</f>
        <v>-9392</v>
      </c>
      <c r="CU165" s="235">
        <f t="shared" si="303"/>
        <v>-40770</v>
      </c>
      <c r="CV165" s="49">
        <f>IF((CV93-CU93+CV94-CU94)&lt;0,(CV93-CU93+CV94-CU94),0)</f>
        <v>0</v>
      </c>
      <c r="CW165" s="49">
        <f>IF((CW93-CV93+CW94-CV94)&lt;0,(CW93-CV93+CW94-CV94),0)</f>
        <v>0</v>
      </c>
      <c r="CX165" s="49">
        <f>IF((CX93-CW93+CX94-CW94)&lt;0,(CX93-CW93+CX94-CW94),0)</f>
        <v>0</v>
      </c>
      <c r="CY165" s="49">
        <f>IF((CY93-CX93+CY94-CX94)&lt;0,(CY93-CX93+CY94-CX94),0)</f>
        <v>0</v>
      </c>
      <c r="CZ165" s="235">
        <f t="shared" si="304"/>
        <v>0</v>
      </c>
      <c r="DA165" s="87">
        <f>IF((DA93-CZ93+DA94-CZ94)&lt;0,(DA93-CZ93+DA94-CZ94),0)</f>
        <v>0</v>
      </c>
      <c r="DB165" s="87">
        <f>IF((DB93-DA93+DB94-DA94)&lt;0,(DB93-DA93+DB94-DA94),0)</f>
        <v>0</v>
      </c>
      <c r="DC165" s="87">
        <f>IF((DC93-DB93+DC94-DB94)&lt;0,(DC93-DB93+DC94-DB94),0)</f>
        <v>0</v>
      </c>
      <c r="DD165" s="2"/>
      <c r="DE165" s="2"/>
      <c r="DF165" s="235">
        <f t="shared" si="283"/>
        <v>-9392</v>
      </c>
      <c r="DG165" s="235">
        <v>0</v>
      </c>
      <c r="DH165" s="235">
        <f t="shared" si="284"/>
        <v>-8778</v>
      </c>
      <c r="DI165" s="454" t="str">
        <f t="shared" si="285"/>
        <v>NM</v>
      </c>
      <c r="DJ165" s="454">
        <f t="shared" si="286"/>
        <v>6.9947596263385758E-2</v>
      </c>
      <c r="DK165" s="2"/>
      <c r="DL165" s="2"/>
      <c r="DM165" s="2"/>
    </row>
    <row r="166" spans="1:117" ht="12" customHeight="1">
      <c r="A166" s="1109">
        <f t="shared" si="249"/>
        <v>157</v>
      </c>
      <c r="B166" s="10"/>
      <c r="C166" s="2" t="s">
        <v>764</v>
      </c>
      <c r="E166" s="144">
        <v>19</v>
      </c>
      <c r="F166" s="144">
        <v>-416</v>
      </c>
      <c r="G166" s="144">
        <v>-258</v>
      </c>
      <c r="H166" s="144">
        <v>-642</v>
      </c>
      <c r="I166" s="144">
        <v>-1329</v>
      </c>
      <c r="J166" s="154">
        <v>-35</v>
      </c>
      <c r="K166" s="154">
        <f>-45-J166</f>
        <v>-10</v>
      </c>
      <c r="L166" s="154">
        <f>-92-K166-J166</f>
        <v>-47</v>
      </c>
      <c r="M166" s="154">
        <f>-645-L166-K166-J166</f>
        <v>-553</v>
      </c>
      <c r="N166" s="60">
        <f t="shared" si="281"/>
        <v>-645</v>
      </c>
      <c r="O166" s="154">
        <v>674</v>
      </c>
      <c r="P166" s="154">
        <f>460-O166</f>
        <v>-214</v>
      </c>
      <c r="Q166" s="154">
        <f>-116-P166-O166</f>
        <v>-576</v>
      </c>
      <c r="R166" s="154">
        <f>0-Q166-P166-O166</f>
        <v>116</v>
      </c>
      <c r="S166" s="60">
        <f t="shared" si="287"/>
        <v>0</v>
      </c>
      <c r="T166" s="44">
        <v>0</v>
      </c>
      <c r="U166" s="44">
        <f>0-T166</f>
        <v>0</v>
      </c>
      <c r="V166" s="44">
        <f>0-U166-T166</f>
        <v>0</v>
      </c>
      <c r="W166" s="44">
        <f>0-V166-U166-T166</f>
        <v>0</v>
      </c>
      <c r="X166" s="60">
        <f t="shared" si="288"/>
        <v>0</v>
      </c>
      <c r="Y166" s="44">
        <v>0</v>
      </c>
      <c r="Z166" s="44">
        <f>0-Y166</f>
        <v>0</v>
      </c>
      <c r="AA166" s="44">
        <f>0-Z166-Y166</f>
        <v>0</v>
      </c>
      <c r="AB166" s="44">
        <f>0-AA166-Z166-Y166</f>
        <v>0</v>
      </c>
      <c r="AC166" s="60">
        <f t="shared" si="289"/>
        <v>0</v>
      </c>
      <c r="AD166" s="44">
        <v>0</v>
      </c>
      <c r="AE166" s="44">
        <f>0-AD166</f>
        <v>0</v>
      </c>
      <c r="AF166" s="44">
        <f>0-AE166-AD166</f>
        <v>0</v>
      </c>
      <c r="AG166" s="44">
        <f>0-AF166-AE166-AD166</f>
        <v>0</v>
      </c>
      <c r="AH166" s="60">
        <f t="shared" si="290"/>
        <v>0</v>
      </c>
      <c r="AI166" s="44">
        <v>0</v>
      </c>
      <c r="AJ166" s="44">
        <f>0-AI166</f>
        <v>0</v>
      </c>
      <c r="AK166" s="44">
        <f>0-AJ166-AI166</f>
        <v>0</v>
      </c>
      <c r="AL166" s="44">
        <f>0-AK166-AJ166-AI166</f>
        <v>0</v>
      </c>
      <c r="AM166" s="60">
        <f t="shared" si="291"/>
        <v>0</v>
      </c>
      <c r="AN166" s="44">
        <v>0</v>
      </c>
      <c r="AO166" s="44">
        <f>0-AN166</f>
        <v>0</v>
      </c>
      <c r="AP166" s="44">
        <f>0-AO166-AN166</f>
        <v>0</v>
      </c>
      <c r="AQ166" s="44">
        <f>0-AP166-AO166-AN166</f>
        <v>0</v>
      </c>
      <c r="AR166" s="60">
        <f t="shared" si="292"/>
        <v>0</v>
      </c>
      <c r="AS166" s="44">
        <v>0</v>
      </c>
      <c r="AT166" s="44">
        <f>0-AS166</f>
        <v>0</v>
      </c>
      <c r="AU166" s="44">
        <f>0-AT166-AS166</f>
        <v>0</v>
      </c>
      <c r="AV166" s="44">
        <f>0-AU166-AT166-AS166</f>
        <v>0</v>
      </c>
      <c r="AW166" s="60">
        <f t="shared" si="293"/>
        <v>0</v>
      </c>
      <c r="AX166" s="44">
        <v>0</v>
      </c>
      <c r="AY166" s="44">
        <f>0-AX166</f>
        <v>0</v>
      </c>
      <c r="AZ166" s="44">
        <f>0-AY166-AX166</f>
        <v>0</v>
      </c>
      <c r="BA166" s="44">
        <f>0-AZ166-AY166-AX166</f>
        <v>0</v>
      </c>
      <c r="BB166" s="60">
        <f t="shared" si="294"/>
        <v>0</v>
      </c>
      <c r="BC166" s="44">
        <v>0</v>
      </c>
      <c r="BD166" s="44">
        <f>0-BC166</f>
        <v>0</v>
      </c>
      <c r="BE166" s="44">
        <f>0-BD166-BC166</f>
        <v>0</v>
      </c>
      <c r="BF166" s="44">
        <f>0-BE166-BD166-BC166</f>
        <v>0</v>
      </c>
      <c r="BG166" s="60">
        <f t="shared" si="295"/>
        <v>0</v>
      </c>
      <c r="BH166" s="44">
        <v>0</v>
      </c>
      <c r="BI166" s="44">
        <f>0-BH166</f>
        <v>0</v>
      </c>
      <c r="BJ166" s="44">
        <f>0-BI166-BH166</f>
        <v>0</v>
      </c>
      <c r="BK166" s="44">
        <f>0-BJ166-BI166-BH166</f>
        <v>0</v>
      </c>
      <c r="BL166" s="60">
        <f t="shared" si="296"/>
        <v>0</v>
      </c>
      <c r="BM166" s="44">
        <v>0</v>
      </c>
      <c r="BN166" s="44">
        <f>0-BM166</f>
        <v>0</v>
      </c>
      <c r="BO166" s="44">
        <f>0-BN166-BM166</f>
        <v>0</v>
      </c>
      <c r="BP166" s="44">
        <f>0-BO166-BN166-BM166</f>
        <v>0</v>
      </c>
      <c r="BQ166" s="60">
        <f t="shared" si="297"/>
        <v>0</v>
      </c>
      <c r="BR166" s="44">
        <v>0</v>
      </c>
      <c r="BS166" s="44">
        <f>0-BR166</f>
        <v>0</v>
      </c>
      <c r="BT166" s="44">
        <f>0-BS166-BR166</f>
        <v>0</v>
      </c>
      <c r="BU166" s="44">
        <f>0-BT166-BS166-BR166</f>
        <v>0</v>
      </c>
      <c r="BV166" s="60">
        <f t="shared" si="298"/>
        <v>0</v>
      </c>
      <c r="BW166" s="154"/>
      <c r="BX166" s="154"/>
      <c r="BY166" s="154"/>
      <c r="BZ166" s="154"/>
      <c r="CA166" s="235">
        <f t="shared" si="299"/>
        <v>0</v>
      </c>
      <c r="CB166" s="154">
        <v>0</v>
      </c>
      <c r="CC166" s="154">
        <f>0-CB166</f>
        <v>0</v>
      </c>
      <c r="CD166" s="154">
        <f>0-CC166-CB166</f>
        <v>0</v>
      </c>
      <c r="CE166" s="154">
        <f>0-CD166-CC166-CB166</f>
        <v>0</v>
      </c>
      <c r="CF166" s="235">
        <f t="shared" si="300"/>
        <v>0</v>
      </c>
      <c r="CG166" s="154">
        <v>0</v>
      </c>
      <c r="CH166" s="154">
        <f>0-CG166</f>
        <v>0</v>
      </c>
      <c r="CI166" s="154">
        <f>0-CH166-CG166</f>
        <v>0</v>
      </c>
      <c r="CJ166" s="154">
        <f>0-CI166-CH166-CG166</f>
        <v>0</v>
      </c>
      <c r="CK166" s="235">
        <f t="shared" si="301"/>
        <v>0</v>
      </c>
      <c r="CL166" s="154">
        <v>0</v>
      </c>
      <c r="CM166" s="154">
        <f>0-CL166</f>
        <v>0</v>
      </c>
      <c r="CN166" s="154">
        <f>0-CM166-CL166</f>
        <v>0</v>
      </c>
      <c r="CO166" s="154">
        <f>0-CN166-CM166-CL166</f>
        <v>0</v>
      </c>
      <c r="CP166" s="235">
        <f t="shared" si="302"/>
        <v>0</v>
      </c>
      <c r="CQ166" s="154">
        <v>0</v>
      </c>
      <c r="CR166" s="154">
        <v>0</v>
      </c>
      <c r="CS166" s="154">
        <v>0</v>
      </c>
      <c r="CT166" s="49">
        <v>0</v>
      </c>
      <c r="CU166" s="235">
        <f t="shared" si="303"/>
        <v>0</v>
      </c>
      <c r="CV166" s="49">
        <v>0</v>
      </c>
      <c r="CW166" s="49">
        <v>0</v>
      </c>
      <c r="CX166" s="49">
        <v>0</v>
      </c>
      <c r="CY166" s="49">
        <v>0</v>
      </c>
      <c r="CZ166" s="235">
        <f t="shared" si="304"/>
        <v>0</v>
      </c>
      <c r="DA166" s="87">
        <v>0</v>
      </c>
      <c r="DB166" s="87">
        <v>0</v>
      </c>
      <c r="DC166" s="87">
        <v>0</v>
      </c>
      <c r="DD166" s="2"/>
      <c r="DE166" s="2"/>
      <c r="DF166" s="235">
        <f t="shared" si="283"/>
        <v>0</v>
      </c>
      <c r="DG166" s="235">
        <v>0</v>
      </c>
      <c r="DH166" s="235">
        <f t="shared" si="284"/>
        <v>0</v>
      </c>
      <c r="DI166" s="454" t="str">
        <f t="shared" si="285"/>
        <v>NM</v>
      </c>
      <c r="DJ166" s="454" t="str">
        <f t="shared" si="286"/>
        <v>NM</v>
      </c>
      <c r="DK166" s="2"/>
      <c r="DL166" s="2"/>
      <c r="DM166" s="2"/>
    </row>
    <row r="167" spans="1:117" ht="12" customHeight="1">
      <c r="A167" s="1109">
        <f t="shared" si="249"/>
        <v>158</v>
      </c>
      <c r="B167" s="10"/>
      <c r="C167" s="97" t="s">
        <v>357</v>
      </c>
      <c r="D167" s="91"/>
      <c r="E167" s="147">
        <f>121+102-1875+283</f>
        <v>-1369</v>
      </c>
      <c r="F167" s="147">
        <f>37-528</f>
        <v>-491</v>
      </c>
      <c r="G167" s="147">
        <f>16-206</f>
        <v>-190</v>
      </c>
      <c r="H167" s="147">
        <f>-472-12-508-420</f>
        <v>-1412</v>
      </c>
      <c r="I167" s="147">
        <f>-127+88</f>
        <v>-39</v>
      </c>
      <c r="J167" s="159">
        <f>21-549+17</f>
        <v>-511</v>
      </c>
      <c r="K167" s="159">
        <f>694+517+650-85-J167</f>
        <v>2287</v>
      </c>
      <c r="L167" s="159">
        <f>14-409-5440+650-85-K167-J167</f>
        <v>-7046</v>
      </c>
      <c r="M167" s="154">
        <f>139-585-5555+650-85-L167-K167-J167</f>
        <v>-166</v>
      </c>
      <c r="N167" s="93">
        <f t="shared" si="281"/>
        <v>-5436</v>
      </c>
      <c r="O167" s="159">
        <f>84+44</f>
        <v>128</v>
      </c>
      <c r="P167" s="159">
        <f>170-362-O167</f>
        <v>-320</v>
      </c>
      <c r="Q167" s="159">
        <f>174-212-P167-O167</f>
        <v>154</v>
      </c>
      <c r="R167" s="154">
        <f>77-Q167-P167-O167</f>
        <v>115</v>
      </c>
      <c r="S167" s="93">
        <f t="shared" si="287"/>
        <v>77</v>
      </c>
      <c r="T167" s="159">
        <f>32+4900</f>
        <v>4932</v>
      </c>
      <c r="U167" s="159">
        <f>464+4900-T167</f>
        <v>432</v>
      </c>
      <c r="V167" s="159">
        <f>40+4900-U167-T167</f>
        <v>-424</v>
      </c>
      <c r="W167" s="154">
        <f>346+4900-177-V167-U167-T167</f>
        <v>129</v>
      </c>
      <c r="X167" s="93">
        <f t="shared" si="288"/>
        <v>5069</v>
      </c>
      <c r="Y167" s="159">
        <v>17</v>
      </c>
      <c r="Z167" s="159">
        <f>43-Y167</f>
        <v>26</v>
      </c>
      <c r="AA167" s="159">
        <f>3-Z167-Y167</f>
        <v>-40</v>
      </c>
      <c r="AB167" s="154">
        <f>-82-AA167-Z167-Y167</f>
        <v>-85</v>
      </c>
      <c r="AC167" s="93">
        <f t="shared" si="289"/>
        <v>-82</v>
      </c>
      <c r="AD167" s="92">
        <v>-12</v>
      </c>
      <c r="AE167" s="92">
        <f>-35-AD167</f>
        <v>-23</v>
      </c>
      <c r="AF167" s="92">
        <f>-49-AE167-AD167</f>
        <v>-14</v>
      </c>
      <c r="AG167" s="92">
        <f>-136-AF167-AE167-AD167</f>
        <v>-87</v>
      </c>
      <c r="AH167" s="93">
        <f t="shared" si="290"/>
        <v>-136</v>
      </c>
      <c r="AI167" s="92">
        <v>-21</v>
      </c>
      <c r="AJ167" s="92">
        <f>-26-AI167</f>
        <v>-5</v>
      </c>
      <c r="AK167" s="92">
        <f>-28-AJ167-AI167</f>
        <v>-2</v>
      </c>
      <c r="AL167" s="92">
        <f>-153-AK167-AJ167-AI167</f>
        <v>-125</v>
      </c>
      <c r="AM167" s="93">
        <f t="shared" si="291"/>
        <v>-153</v>
      </c>
      <c r="AN167" s="159">
        <v>126</v>
      </c>
      <c r="AO167" s="159">
        <f>241-AN167</f>
        <v>115</v>
      </c>
      <c r="AP167" s="159">
        <f>-34-AO167-AN167</f>
        <v>-275</v>
      </c>
      <c r="AQ167" s="154">
        <f>-339-AP167-AO167-AN167</f>
        <v>-305</v>
      </c>
      <c r="AR167" s="93">
        <f t="shared" si="292"/>
        <v>-339</v>
      </c>
      <c r="AS167" s="159">
        <v>-51</v>
      </c>
      <c r="AT167" s="159">
        <f>-61-AS167</f>
        <v>-10</v>
      </c>
      <c r="AU167" s="159">
        <f>151-AT167-AS167</f>
        <v>212</v>
      </c>
      <c r="AV167" s="154">
        <f>-88-AU167-AT167-AS167</f>
        <v>-239</v>
      </c>
      <c r="AW167" s="93">
        <f t="shared" si="293"/>
        <v>-88</v>
      </c>
      <c r="AX167" s="159">
        <v>-129</v>
      </c>
      <c r="AY167" s="159">
        <f>-267-AX167</f>
        <v>-138</v>
      </c>
      <c r="AZ167" s="159">
        <f>-531-AY167-AX167</f>
        <v>-264</v>
      </c>
      <c r="BA167" s="154">
        <f>-604-AZ167-AY167-AX167</f>
        <v>-73</v>
      </c>
      <c r="BB167" s="93">
        <f t="shared" si="294"/>
        <v>-604</v>
      </c>
      <c r="BC167" s="159">
        <v>-87</v>
      </c>
      <c r="BD167" s="159">
        <f>-557-BC167</f>
        <v>-470</v>
      </c>
      <c r="BE167" s="159">
        <f>-780-BD167-BC167</f>
        <v>-223</v>
      </c>
      <c r="BF167" s="154">
        <f>-996-2574-BE167-BD167-BC167</f>
        <v>-2790</v>
      </c>
      <c r="BG167" s="93">
        <f t="shared" si="295"/>
        <v>-3570</v>
      </c>
      <c r="BH167" s="154">
        <v>79</v>
      </c>
      <c r="BI167" s="159">
        <f>39-BH167</f>
        <v>-40</v>
      </c>
      <c r="BJ167" s="159">
        <f>5-BI167-BH167</f>
        <v>-34</v>
      </c>
      <c r="BK167" s="154">
        <f>100-7302-BJ167-BI167-BH167</f>
        <v>-7207</v>
      </c>
      <c r="BL167" s="93">
        <f t="shared" si="296"/>
        <v>-7202</v>
      </c>
      <c r="BM167" s="44">
        <v>88</v>
      </c>
      <c r="BN167" s="92">
        <f>112-BM167</f>
        <v>24</v>
      </c>
      <c r="BO167" s="92">
        <f>79-BN167-BM167</f>
        <v>-33</v>
      </c>
      <c r="BP167" s="44">
        <f>92-BO167-BN167-BM167</f>
        <v>13</v>
      </c>
      <c r="BQ167" s="93">
        <f t="shared" si="297"/>
        <v>92</v>
      </c>
      <c r="BR167" s="44">
        <v>84</v>
      </c>
      <c r="BS167" s="92">
        <f>48-BR167</f>
        <v>-36</v>
      </c>
      <c r="BT167" s="92">
        <f>162-BS167-BR167</f>
        <v>114</v>
      </c>
      <c r="BU167" s="44">
        <f>159-BT167-BS167-BR167</f>
        <v>-3</v>
      </c>
      <c r="BV167" s="93">
        <f t="shared" si="298"/>
        <v>159</v>
      </c>
      <c r="BW167" s="154">
        <v>103</v>
      </c>
      <c r="BX167" s="159">
        <f>150-BW167</f>
        <v>47</v>
      </c>
      <c r="BY167" s="159">
        <f>254-BX167-BW167</f>
        <v>104</v>
      </c>
      <c r="BZ167" s="154">
        <f>257-BY167-BX167-BW167</f>
        <v>3</v>
      </c>
      <c r="CA167" s="245">
        <f t="shared" si="299"/>
        <v>257</v>
      </c>
      <c r="CB167" s="154">
        <v>18</v>
      </c>
      <c r="CC167" s="159">
        <f>9-CB167</f>
        <v>-9</v>
      </c>
      <c r="CD167" s="159">
        <f>36-CC167-CB167</f>
        <v>27</v>
      </c>
      <c r="CE167" s="154">
        <f>25-CD167-CC167-CB167</f>
        <v>-11</v>
      </c>
      <c r="CF167" s="245">
        <f t="shared" si="300"/>
        <v>25</v>
      </c>
      <c r="CG167" s="154">
        <v>-249</v>
      </c>
      <c r="CH167" s="159">
        <f>-279-CG167</f>
        <v>-30</v>
      </c>
      <c r="CI167" s="159">
        <f>-303-CH167-CG167</f>
        <v>-24</v>
      </c>
      <c r="CJ167" s="154">
        <f>-317-CI167-CH167-CG167</f>
        <v>-14</v>
      </c>
      <c r="CK167" s="245">
        <f t="shared" si="301"/>
        <v>-317</v>
      </c>
      <c r="CL167" s="154">
        <v>-59</v>
      </c>
      <c r="CM167" s="159">
        <f>-30-CL167</f>
        <v>29</v>
      </c>
      <c r="CN167" s="159">
        <f>-44-CM167-CL167</f>
        <v>-14</v>
      </c>
      <c r="CO167" s="154">
        <f>-49-CN167-CM167-CL167</f>
        <v>-5</v>
      </c>
      <c r="CP167" s="245">
        <f t="shared" si="302"/>
        <v>-49</v>
      </c>
      <c r="CQ167" s="154">
        <v>-85</v>
      </c>
      <c r="CR167" s="159">
        <f>-102-CQ167</f>
        <v>-17</v>
      </c>
      <c r="CS167" s="159">
        <f>-124-CQ167-CR167</f>
        <v>-22</v>
      </c>
      <c r="CT167" s="159">
        <f>-151-SUM(CQ167:CS167)</f>
        <v>-27</v>
      </c>
      <c r="CU167" s="245">
        <f t="shared" si="303"/>
        <v>-151</v>
      </c>
      <c r="CV167" s="95">
        <f>CU79-CV79</f>
        <v>0</v>
      </c>
      <c r="CW167" s="95">
        <f>CV79-CW79</f>
        <v>0</v>
      </c>
      <c r="CX167" s="95">
        <f>CW79-CX79</f>
        <v>0</v>
      </c>
      <c r="CY167" s="95">
        <f>CX79-CY79</f>
        <v>0</v>
      </c>
      <c r="CZ167" s="245">
        <f t="shared" si="304"/>
        <v>0</v>
      </c>
      <c r="DA167" s="96">
        <f>CZ79-DA79</f>
        <v>0</v>
      </c>
      <c r="DB167" s="96">
        <f>DA79-DB79</f>
        <v>0</v>
      </c>
      <c r="DC167" s="96">
        <f>DB79-DC79</f>
        <v>0</v>
      </c>
      <c r="DD167" s="2"/>
      <c r="DE167" s="2"/>
      <c r="DF167" s="245">
        <f t="shared" si="283"/>
        <v>-27</v>
      </c>
      <c r="DG167" s="245">
        <v>0</v>
      </c>
      <c r="DH167" s="245">
        <f t="shared" si="284"/>
        <v>-5</v>
      </c>
      <c r="DI167" s="459" t="str">
        <f t="shared" si="285"/>
        <v>NM</v>
      </c>
      <c r="DJ167" s="459">
        <f t="shared" si="286"/>
        <v>4.4000000000000004</v>
      </c>
      <c r="DK167" s="2"/>
      <c r="DL167" s="2"/>
      <c r="DM167" s="2"/>
    </row>
    <row r="168" spans="1:117" ht="12" customHeight="1">
      <c r="A168" s="1109">
        <f t="shared" si="249"/>
        <v>159</v>
      </c>
      <c r="B168" s="10"/>
      <c r="C168" s="2" t="s">
        <v>320</v>
      </c>
      <c r="D168" s="2"/>
      <c r="E168" s="60">
        <f t="shared" ref="E168:AJ168" si="305">SUM(E161:E167)</f>
        <v>16477</v>
      </c>
      <c r="F168" s="60">
        <f t="shared" si="305"/>
        <v>11578</v>
      </c>
      <c r="G168" s="60">
        <f t="shared" si="305"/>
        <v>9200</v>
      </c>
      <c r="H168" s="60">
        <f t="shared" si="305"/>
        <v>6006</v>
      </c>
      <c r="I168" s="60">
        <f t="shared" si="305"/>
        <v>11861</v>
      </c>
      <c r="J168" s="162">
        <f t="shared" si="305"/>
        <v>1847</v>
      </c>
      <c r="K168" s="162">
        <f t="shared" si="305"/>
        <v>6347</v>
      </c>
      <c r="L168" s="162">
        <f t="shared" si="305"/>
        <v>-7312</v>
      </c>
      <c r="M168" s="238">
        <f t="shared" si="305"/>
        <v>2889</v>
      </c>
      <c r="N168" s="60">
        <f t="shared" si="305"/>
        <v>3771</v>
      </c>
      <c r="O168" s="162">
        <f t="shared" si="305"/>
        <v>1375</v>
      </c>
      <c r="P168" s="162">
        <f t="shared" si="305"/>
        <v>5234</v>
      </c>
      <c r="Q168" s="162">
        <f t="shared" si="305"/>
        <v>-12504</v>
      </c>
      <c r="R168" s="238">
        <f t="shared" si="305"/>
        <v>3288</v>
      </c>
      <c r="S168" s="60">
        <f t="shared" si="305"/>
        <v>-2607</v>
      </c>
      <c r="T168" s="162">
        <f t="shared" si="305"/>
        <v>-2861</v>
      </c>
      <c r="U168" s="162">
        <f t="shared" si="305"/>
        <v>-1104</v>
      </c>
      <c r="V168" s="162">
        <f t="shared" si="305"/>
        <v>-4566</v>
      </c>
      <c r="W168" s="238">
        <f t="shared" si="305"/>
        <v>-1804</v>
      </c>
      <c r="X168" s="60">
        <f t="shared" si="305"/>
        <v>-10335</v>
      </c>
      <c r="Y168" s="162">
        <f t="shared" si="305"/>
        <v>-4757</v>
      </c>
      <c r="Z168" s="162">
        <f t="shared" si="305"/>
        <v>-2420</v>
      </c>
      <c r="AA168" s="162">
        <f t="shared" si="305"/>
        <v>3179</v>
      </c>
      <c r="AB168" s="238">
        <f t="shared" si="305"/>
        <v>-1197</v>
      </c>
      <c r="AC168" s="60">
        <f t="shared" si="305"/>
        <v>-5195</v>
      </c>
      <c r="AD168" s="49">
        <f t="shared" si="305"/>
        <v>-7907</v>
      </c>
      <c r="AE168" s="49">
        <f t="shared" si="305"/>
        <v>-753</v>
      </c>
      <c r="AF168" s="49">
        <f t="shared" si="305"/>
        <v>-5311</v>
      </c>
      <c r="AG168" s="49">
        <f t="shared" si="305"/>
        <v>4059</v>
      </c>
      <c r="AH168" s="60">
        <f t="shared" si="305"/>
        <v>-9912</v>
      </c>
      <c r="AI168" s="49">
        <f t="shared" si="305"/>
        <v>-9418</v>
      </c>
      <c r="AJ168" s="49">
        <f t="shared" si="305"/>
        <v>-1059</v>
      </c>
      <c r="AK168" s="49">
        <f t="shared" ref="AK168:BP168" si="306">SUM(AK161:AK167)</f>
        <v>-6926</v>
      </c>
      <c r="AL168" s="49">
        <f t="shared" si="306"/>
        <v>-3397</v>
      </c>
      <c r="AM168" s="60">
        <f t="shared" si="306"/>
        <v>-20800</v>
      </c>
      <c r="AN168" s="162">
        <f t="shared" si="306"/>
        <v>-3442</v>
      </c>
      <c r="AO168" s="162">
        <f t="shared" si="306"/>
        <v>1193</v>
      </c>
      <c r="AP168" s="162">
        <f t="shared" si="306"/>
        <v>1450</v>
      </c>
      <c r="AQ168" s="238">
        <f t="shared" si="306"/>
        <v>16072</v>
      </c>
      <c r="AR168" s="60">
        <f t="shared" si="306"/>
        <v>15273</v>
      </c>
      <c r="AS168" s="162">
        <f t="shared" si="306"/>
        <v>-5144</v>
      </c>
      <c r="AT168" s="162">
        <f t="shared" si="306"/>
        <v>1104</v>
      </c>
      <c r="AU168" s="162">
        <f t="shared" si="306"/>
        <v>-6685</v>
      </c>
      <c r="AV168" s="238">
        <f t="shared" si="306"/>
        <v>5457</v>
      </c>
      <c r="AW168" s="60">
        <f t="shared" si="306"/>
        <v>-5268</v>
      </c>
      <c r="AX168" s="162">
        <f t="shared" si="306"/>
        <v>-701</v>
      </c>
      <c r="AY168" s="162">
        <f t="shared" si="306"/>
        <v>-3141</v>
      </c>
      <c r="AZ168" s="162">
        <f t="shared" si="306"/>
        <v>-5651</v>
      </c>
      <c r="BA168" s="238">
        <f t="shared" si="306"/>
        <v>389</v>
      </c>
      <c r="BB168" s="60">
        <f t="shared" si="306"/>
        <v>-9104</v>
      </c>
      <c r="BC168" s="162">
        <f t="shared" si="306"/>
        <v>-4901</v>
      </c>
      <c r="BD168" s="162">
        <f t="shared" si="306"/>
        <v>-8230</v>
      </c>
      <c r="BE168" s="162">
        <f t="shared" si="306"/>
        <v>-1322</v>
      </c>
      <c r="BF168" s="238">
        <f t="shared" si="306"/>
        <v>-8377</v>
      </c>
      <c r="BG168" s="60">
        <f t="shared" si="306"/>
        <v>-22830</v>
      </c>
      <c r="BH168" s="238">
        <f t="shared" si="306"/>
        <v>-112</v>
      </c>
      <c r="BI168" s="162">
        <f t="shared" si="306"/>
        <v>-11061</v>
      </c>
      <c r="BJ168" s="162">
        <f t="shared" si="306"/>
        <v>-2397</v>
      </c>
      <c r="BK168" s="238">
        <f t="shared" si="306"/>
        <v>-10851</v>
      </c>
      <c r="BL168" s="60">
        <f t="shared" si="306"/>
        <v>-24421</v>
      </c>
      <c r="BM168" s="114">
        <f t="shared" si="306"/>
        <v>-3282</v>
      </c>
      <c r="BN168" s="118">
        <f t="shared" si="306"/>
        <v>-3723</v>
      </c>
      <c r="BO168" s="118">
        <f t="shared" si="306"/>
        <v>-2209</v>
      </c>
      <c r="BP168" s="114">
        <f t="shared" si="306"/>
        <v>4973</v>
      </c>
      <c r="BQ168" s="60">
        <f t="shared" ref="BQ168:CR168" si="307">SUM(BQ161:BQ167)</f>
        <v>-4241</v>
      </c>
      <c r="BR168" s="114">
        <f t="shared" si="307"/>
        <v>370</v>
      </c>
      <c r="BS168" s="118">
        <f t="shared" si="307"/>
        <v>-717</v>
      </c>
      <c r="BT168" s="118">
        <f t="shared" si="307"/>
        <v>-35</v>
      </c>
      <c r="BU168" s="114">
        <f t="shared" si="307"/>
        <v>4087</v>
      </c>
      <c r="BV168" s="60">
        <f t="shared" si="307"/>
        <v>3705</v>
      </c>
      <c r="BW168" s="238">
        <f t="shared" si="307"/>
        <v>1967</v>
      </c>
      <c r="BX168" s="162">
        <f t="shared" si="307"/>
        <v>708</v>
      </c>
      <c r="BY168" s="162">
        <f t="shared" si="307"/>
        <v>1667</v>
      </c>
      <c r="BZ168" s="238">
        <f t="shared" si="307"/>
        <v>3791</v>
      </c>
      <c r="CA168" s="235">
        <f t="shared" si="307"/>
        <v>8133</v>
      </c>
      <c r="CB168" s="238">
        <f t="shared" si="307"/>
        <v>1988</v>
      </c>
      <c r="CC168" s="162">
        <f t="shared" si="307"/>
        <v>-186</v>
      </c>
      <c r="CD168" s="162">
        <f t="shared" si="307"/>
        <v>611</v>
      </c>
      <c r="CE168" s="238">
        <f t="shared" si="307"/>
        <v>1010</v>
      </c>
      <c r="CF168" s="235">
        <f t="shared" si="307"/>
        <v>3423</v>
      </c>
      <c r="CG168" s="238">
        <f t="shared" si="307"/>
        <v>4584</v>
      </c>
      <c r="CH168" s="162">
        <f t="shared" si="307"/>
        <v>-843</v>
      </c>
      <c r="CI168" s="162">
        <f t="shared" si="307"/>
        <v>3396</v>
      </c>
      <c r="CJ168" s="238">
        <f t="shared" si="307"/>
        <v>7185</v>
      </c>
      <c r="CK168" s="235">
        <f t="shared" si="307"/>
        <v>14322</v>
      </c>
      <c r="CL168" s="238">
        <f t="shared" si="307"/>
        <v>4279</v>
      </c>
      <c r="CM168" s="162">
        <f t="shared" si="307"/>
        <v>-1234</v>
      </c>
      <c r="CN168" s="162">
        <f t="shared" si="307"/>
        <v>-2877</v>
      </c>
      <c r="CO168" s="238">
        <f t="shared" si="307"/>
        <v>7290</v>
      </c>
      <c r="CP168" s="235">
        <f t="shared" si="307"/>
        <v>7458</v>
      </c>
      <c r="CQ168" s="238">
        <f t="shared" si="307"/>
        <v>1120</v>
      </c>
      <c r="CR168" s="118">
        <f t="shared" si="307"/>
        <v>-2158</v>
      </c>
      <c r="CS168" s="118">
        <f t="shared" ref="CS168:DC168" si="308">SUM(CS161:CS167)</f>
        <v>-127</v>
      </c>
      <c r="CT168" s="118">
        <f t="shared" si="308"/>
        <v>4559</v>
      </c>
      <c r="CU168" s="235">
        <f t="shared" si="308"/>
        <v>3394</v>
      </c>
      <c r="CV168" s="118">
        <f t="shared" si="308"/>
        <v>-1114.9561659599999</v>
      </c>
      <c r="CW168" s="118">
        <f t="shared" si="308"/>
        <v>-697.29794604999995</v>
      </c>
      <c r="CX168" s="118">
        <f t="shared" si="308"/>
        <v>-597.29794604999995</v>
      </c>
      <c r="CY168" s="118">
        <f t="shared" si="308"/>
        <v>-597.29794604999995</v>
      </c>
      <c r="CZ168" s="235">
        <f t="shared" si="308"/>
        <v>-3006.8500041100001</v>
      </c>
      <c r="DA168" s="297">
        <f t="shared" si="308"/>
        <v>-1194.5958920999999</v>
      </c>
      <c r="DB168" s="297">
        <f t="shared" si="308"/>
        <v>-1194.5958920999999</v>
      </c>
      <c r="DC168" s="297">
        <f t="shared" si="308"/>
        <v>-1194.5958920999999</v>
      </c>
      <c r="DD168" s="2"/>
      <c r="DE168" s="2"/>
      <c r="DF168" s="235">
        <f t="shared" si="283"/>
        <v>4559</v>
      </c>
      <c r="DG168" s="235">
        <v>-597.29794604999995</v>
      </c>
      <c r="DH168" s="235">
        <f t="shared" si="284"/>
        <v>7290</v>
      </c>
      <c r="DI168" s="454">
        <f t="shared" si="285"/>
        <v>-8.6327066418848268</v>
      </c>
      <c r="DJ168" s="454">
        <f t="shared" si="286"/>
        <v>-0.37462277091906726</v>
      </c>
      <c r="DK168" s="2"/>
      <c r="DL168" s="2"/>
      <c r="DM168" s="2"/>
    </row>
    <row r="169" spans="1:117" ht="12" customHeight="1">
      <c r="A169" s="1109">
        <f t="shared" si="249"/>
        <v>160</v>
      </c>
      <c r="B169" s="10"/>
      <c r="C169" s="24"/>
      <c r="D169" s="24"/>
      <c r="E169" s="74"/>
      <c r="F169" s="74"/>
      <c r="G169" s="74"/>
      <c r="H169" s="74"/>
      <c r="I169" s="74"/>
      <c r="J169" s="148"/>
      <c r="K169" s="148"/>
      <c r="L169" s="148"/>
      <c r="M169" s="148"/>
      <c r="N169" s="74"/>
      <c r="O169" s="148"/>
      <c r="P169" s="148"/>
      <c r="Q169" s="148"/>
      <c r="R169" s="148"/>
      <c r="S169" s="74"/>
      <c r="T169" s="148"/>
      <c r="U169" s="148"/>
      <c r="V169" s="148"/>
      <c r="W169" s="148"/>
      <c r="X169" s="74"/>
      <c r="Y169" s="148"/>
      <c r="Z169" s="148"/>
      <c r="AA169" s="148"/>
      <c r="AB169" s="148"/>
      <c r="AC169" s="74"/>
      <c r="AD169" s="19"/>
      <c r="AE169" s="19"/>
      <c r="AF169" s="19"/>
      <c r="AG169" s="19"/>
      <c r="AH169" s="74"/>
      <c r="AI169" s="19"/>
      <c r="AJ169" s="19"/>
      <c r="AK169" s="19"/>
      <c r="AL169" s="19"/>
      <c r="AM169" s="74"/>
      <c r="AN169" s="148"/>
      <c r="AO169" s="148"/>
      <c r="AP169" s="148"/>
      <c r="AQ169" s="148"/>
      <c r="AR169" s="74"/>
      <c r="AS169" s="148"/>
      <c r="AT169" s="148"/>
      <c r="AU169" s="148"/>
      <c r="AV169" s="148"/>
      <c r="AW169" s="74"/>
      <c r="AX169" s="148"/>
      <c r="AY169" s="148"/>
      <c r="AZ169" s="148"/>
      <c r="BA169" s="148"/>
      <c r="BB169" s="74"/>
      <c r="BC169" s="148"/>
      <c r="BD169" s="148"/>
      <c r="BE169" s="148"/>
      <c r="BF169" s="148"/>
      <c r="BG169" s="74"/>
      <c r="BH169" s="148"/>
      <c r="BI169" s="148"/>
      <c r="BJ169" s="148"/>
      <c r="BK169" s="148"/>
      <c r="BL169" s="74"/>
      <c r="BM169" s="15"/>
      <c r="BN169" s="15"/>
      <c r="BO169" s="15"/>
      <c r="BP169" s="15"/>
      <c r="BQ169" s="74"/>
      <c r="BR169" s="15"/>
      <c r="BS169" s="15"/>
      <c r="BT169" s="15"/>
      <c r="BU169" s="15"/>
      <c r="BV169" s="74"/>
      <c r="BW169" s="148"/>
      <c r="BX169" s="148"/>
      <c r="BY169" s="148"/>
      <c r="BZ169" s="148"/>
      <c r="CA169" s="259"/>
      <c r="CB169" s="148"/>
      <c r="CC169" s="148"/>
      <c r="CD169" s="148"/>
      <c r="CE169" s="148"/>
      <c r="CF169" s="259"/>
      <c r="CG169" s="148"/>
      <c r="CH169" s="148"/>
      <c r="CI169" s="148"/>
      <c r="CJ169" s="148"/>
      <c r="CK169" s="259"/>
      <c r="CL169" s="148"/>
      <c r="CM169" s="148"/>
      <c r="CN169" s="148"/>
      <c r="CO169" s="148"/>
      <c r="CP169" s="259"/>
      <c r="CQ169" s="148"/>
      <c r="CR169" s="15"/>
      <c r="CS169" s="15"/>
      <c r="CT169" s="15"/>
      <c r="CU169" s="259"/>
      <c r="CV169" s="15"/>
      <c r="CW169" s="15"/>
      <c r="CX169" s="15"/>
      <c r="CY169" s="15"/>
      <c r="CZ169" s="259"/>
      <c r="DA169" s="74"/>
      <c r="DB169" s="74"/>
      <c r="DC169" s="74"/>
      <c r="DD169" s="2"/>
      <c r="DE169" s="2"/>
      <c r="DF169" s="259"/>
      <c r="DG169" s="259"/>
      <c r="DH169" s="259"/>
      <c r="DI169" s="454"/>
      <c r="DJ169" s="454"/>
      <c r="DK169" s="2"/>
      <c r="DL169" s="2"/>
      <c r="DM169" s="2"/>
    </row>
    <row r="170" spans="1:117" ht="12" customHeight="1">
      <c r="A170" s="1109">
        <f t="shared" si="249"/>
        <v>161</v>
      </c>
      <c r="B170" s="10"/>
      <c r="C170" s="2" t="s">
        <v>265</v>
      </c>
      <c r="E170" s="144">
        <f>107-28</f>
        <v>79</v>
      </c>
      <c r="F170" s="144">
        <f>-85-116</f>
        <v>-201</v>
      </c>
      <c r="G170" s="144">
        <f>-119+28</f>
        <v>-91</v>
      </c>
      <c r="H170" s="144">
        <f>-54+146</f>
        <v>92</v>
      </c>
      <c r="I170" s="144">
        <f>-57-279</f>
        <v>-336</v>
      </c>
      <c r="J170" s="154">
        <f>48-80</f>
        <v>-32</v>
      </c>
      <c r="K170" s="154">
        <f>-1-145-J170</f>
        <v>-114</v>
      </c>
      <c r="L170" s="154">
        <f>-23-294-K170-J170</f>
        <v>-171</v>
      </c>
      <c r="M170" s="161">
        <f>-55-859-L170-K170-J170</f>
        <v>-597</v>
      </c>
      <c r="N170" s="60">
        <f>SUM(J170:M170)</f>
        <v>-914</v>
      </c>
      <c r="O170" s="154">
        <f>-63-111</f>
        <v>-174</v>
      </c>
      <c r="P170" s="154">
        <f>-20-193-O170</f>
        <v>-39</v>
      </c>
      <c r="Q170" s="154">
        <f>-95-13-P170-O170</f>
        <v>105</v>
      </c>
      <c r="R170" s="161">
        <f>-252-Q170-P170-O170</f>
        <v>-144</v>
      </c>
      <c r="S170" s="60">
        <f>SUM(O170:R170)</f>
        <v>-252</v>
      </c>
      <c r="T170" s="154">
        <v>-49</v>
      </c>
      <c r="U170" s="154">
        <f>324-T170</f>
        <v>373</v>
      </c>
      <c r="V170" s="154">
        <f>193-U170-T170</f>
        <v>-131</v>
      </c>
      <c r="W170" s="161">
        <f>373-V170-U170-T170</f>
        <v>180</v>
      </c>
      <c r="X170" s="60">
        <f>SUM(T170:W170)</f>
        <v>373</v>
      </c>
      <c r="Y170" s="154">
        <v>133</v>
      </c>
      <c r="Z170" s="154">
        <f>415-Y170</f>
        <v>282</v>
      </c>
      <c r="AA170" s="154">
        <f>474-Z170-Y170</f>
        <v>59</v>
      </c>
      <c r="AB170" s="161">
        <f>811-AA170-Z170-Y170</f>
        <v>337</v>
      </c>
      <c r="AC170" s="60">
        <f>SUM(Y170:AB170)</f>
        <v>811</v>
      </c>
      <c r="AD170" s="44">
        <v>-73</v>
      </c>
      <c r="AE170" s="44">
        <f>-145-AD170</f>
        <v>-72</v>
      </c>
      <c r="AF170" s="44">
        <f>-6-AE170-AD170</f>
        <v>139</v>
      </c>
      <c r="AG170" s="44">
        <f>505-AF170-AE170-AD170</f>
        <v>511</v>
      </c>
      <c r="AH170" s="60">
        <f>SUM(AD170:AG170)</f>
        <v>505</v>
      </c>
      <c r="AI170" s="44">
        <v>-137</v>
      </c>
      <c r="AJ170" s="44">
        <f>-526-AI170</f>
        <v>-389</v>
      </c>
      <c r="AK170" s="44">
        <f>-376-AJ170-AI170</f>
        <v>150</v>
      </c>
      <c r="AL170" s="44">
        <f>-496-AK170-AJ170-AI170</f>
        <v>-120</v>
      </c>
      <c r="AM170" s="60">
        <f>SUM(AI170:AL170)</f>
        <v>-496</v>
      </c>
      <c r="AN170" s="154">
        <v>49</v>
      </c>
      <c r="AO170" s="154">
        <f>-425-AN170</f>
        <v>-474</v>
      </c>
      <c r="AP170" s="154">
        <f>238-AO170-AN170</f>
        <v>663</v>
      </c>
      <c r="AQ170" s="161">
        <f>464-AP170-AO170-AN170</f>
        <v>226</v>
      </c>
      <c r="AR170" s="60">
        <f>SUM(AN170:AQ170)</f>
        <v>464</v>
      </c>
      <c r="AS170" s="154">
        <v>-91</v>
      </c>
      <c r="AT170" s="154">
        <f>71-AS170</f>
        <v>162</v>
      </c>
      <c r="AU170" s="154">
        <f>64-AT170-AS170</f>
        <v>-7</v>
      </c>
      <c r="AV170" s="161">
        <f>1014-AU170-AT170-AS170</f>
        <v>950</v>
      </c>
      <c r="AW170" s="60">
        <f>SUM(AS170:AV170)</f>
        <v>1014</v>
      </c>
      <c r="AX170" s="154">
        <v>316</v>
      </c>
      <c r="AY170" s="154">
        <f>469-AX170</f>
        <v>153</v>
      </c>
      <c r="AZ170" s="154">
        <f>-136-AY170-AX170</f>
        <v>-605</v>
      </c>
      <c r="BA170" s="161">
        <f>-808-AZ170-AY170-AX170</f>
        <v>-672</v>
      </c>
      <c r="BB170" s="60">
        <f>SUM(AX170:BA170)</f>
        <v>-808</v>
      </c>
      <c r="BC170" s="154">
        <v>-310</v>
      </c>
      <c r="BD170" s="154">
        <f>296-BC170</f>
        <v>606</v>
      </c>
      <c r="BE170" s="154">
        <f>503-BD170-BC170</f>
        <v>207</v>
      </c>
      <c r="BF170" s="161">
        <f>454-BE170-BD170-BC170</f>
        <v>-49</v>
      </c>
      <c r="BG170" s="60">
        <f>SUM(BC170:BF170)</f>
        <v>454</v>
      </c>
      <c r="BH170" s="154">
        <v>-276</v>
      </c>
      <c r="BI170" s="154">
        <f>-700-BH170</f>
        <v>-424</v>
      </c>
      <c r="BJ170" s="154">
        <f>-190-BI170-BH170</f>
        <v>510</v>
      </c>
      <c r="BK170" s="161">
        <f>-53-BJ170-BI170-BH170</f>
        <v>137</v>
      </c>
      <c r="BL170" s="60">
        <f>SUM(BH170:BK170)</f>
        <v>-53</v>
      </c>
      <c r="BM170" s="44">
        <v>404</v>
      </c>
      <c r="BN170" s="44">
        <f>632-BM170</f>
        <v>228</v>
      </c>
      <c r="BO170" s="44">
        <f>-72-BN170-BM170</f>
        <v>-704</v>
      </c>
      <c r="BP170" s="117">
        <f>-159-BO170-BN170-BM170</f>
        <v>-87</v>
      </c>
      <c r="BQ170" s="60">
        <f>SUM(BM170:BP170)</f>
        <v>-159</v>
      </c>
      <c r="BR170" s="44">
        <v>162</v>
      </c>
      <c r="BS170" s="44">
        <f>-130-BR170</f>
        <v>-292</v>
      </c>
      <c r="BT170" s="44">
        <f>-10-BS170-BR170</f>
        <v>120</v>
      </c>
      <c r="BU170" s="117">
        <f>51-BT170-BS170-BR170</f>
        <v>61</v>
      </c>
      <c r="BV170" s="60">
        <f>SUM(BR170:BU170)</f>
        <v>51</v>
      </c>
      <c r="BW170" s="154">
        <v>-166</v>
      </c>
      <c r="BX170" s="154">
        <f>-198-BW170</f>
        <v>-32</v>
      </c>
      <c r="BY170" s="154">
        <f>-58-BX170-BW170</f>
        <v>140</v>
      </c>
      <c r="BZ170" s="161">
        <f>-37-BY170-BX170-BW170</f>
        <v>21</v>
      </c>
      <c r="CA170" s="235">
        <f>SUM(BW170:BZ170)</f>
        <v>-37</v>
      </c>
      <c r="CB170" s="154">
        <v>-31</v>
      </c>
      <c r="CC170" s="154">
        <f>18-CB170</f>
        <v>49</v>
      </c>
      <c r="CD170" s="154">
        <f>-306-CC170-CB170</f>
        <v>-324</v>
      </c>
      <c r="CE170" s="161">
        <f>-517-CD170-CC170-CB170</f>
        <v>-211</v>
      </c>
      <c r="CF170" s="235">
        <f>SUM(CB170:CE170)</f>
        <v>-517</v>
      </c>
      <c r="CG170" s="154">
        <v>-426</v>
      </c>
      <c r="CH170" s="154">
        <f>-274-CG170</f>
        <v>152</v>
      </c>
      <c r="CI170" s="154">
        <f>-622-CH170-CG170</f>
        <v>-348</v>
      </c>
      <c r="CJ170" s="161">
        <f>-815-CI170-CH170-CG170</f>
        <v>-193</v>
      </c>
      <c r="CK170" s="235">
        <f>SUM(CG170:CJ170)</f>
        <v>-815</v>
      </c>
      <c r="CL170" s="154">
        <v>192</v>
      </c>
      <c r="CM170" s="154">
        <f>21-CL170</f>
        <v>-171</v>
      </c>
      <c r="CN170" s="154">
        <f>-36-CM170-CL170</f>
        <v>-57</v>
      </c>
      <c r="CO170" s="161">
        <f>-265-CN170-CM170-CL170</f>
        <v>-229</v>
      </c>
      <c r="CP170" s="235">
        <f>SUM(CL170:CO170)</f>
        <v>-265</v>
      </c>
      <c r="CQ170" s="154">
        <v>101</v>
      </c>
      <c r="CR170" s="44">
        <f>267-CQ170</f>
        <v>166</v>
      </c>
      <c r="CS170" s="44">
        <f>442-CQ170-CR170</f>
        <v>175</v>
      </c>
      <c r="CT170" s="44">
        <f>489-SUM(CQ170:CS170)</f>
        <v>47</v>
      </c>
      <c r="CU170" s="235">
        <f>SUM(CQ170:CT170)</f>
        <v>489</v>
      </c>
      <c r="CV170" s="44">
        <v>0</v>
      </c>
      <c r="CW170" s="44">
        <v>0</v>
      </c>
      <c r="CX170" s="44">
        <v>0</v>
      </c>
      <c r="CY170" s="44">
        <v>0</v>
      </c>
      <c r="CZ170" s="235">
        <f>SUM(CV170:CY170)</f>
        <v>0</v>
      </c>
      <c r="DA170" s="86">
        <v>0</v>
      </c>
      <c r="DB170" s="86">
        <v>0</v>
      </c>
      <c r="DC170" s="86">
        <v>0</v>
      </c>
      <c r="DD170" s="2"/>
      <c r="DE170" s="2"/>
      <c r="DF170" s="235">
        <f>CT170</f>
        <v>47</v>
      </c>
      <c r="DG170" s="235">
        <v>0</v>
      </c>
      <c r="DH170" s="235">
        <f>CO170</f>
        <v>-229</v>
      </c>
      <c r="DI170" s="454" t="str">
        <f>IF(ISERROR(DF170/DG170-1),"NM",DF170/DG170-1)</f>
        <v>NM</v>
      </c>
      <c r="DJ170" s="454">
        <f>IF(ISERROR(DF170/DH170-1),"NM",DF170/DH170-1)</f>
        <v>-1.205240174672489</v>
      </c>
      <c r="DK170" s="2"/>
      <c r="DL170" s="2"/>
      <c r="DM170" s="2"/>
    </row>
    <row r="171" spans="1:117" ht="12" customHeight="1">
      <c r="A171" s="1109">
        <f t="shared" si="249"/>
        <v>162</v>
      </c>
      <c r="B171" s="10"/>
      <c r="C171" s="2" t="s">
        <v>761</v>
      </c>
      <c r="E171" s="144">
        <v>0</v>
      </c>
      <c r="F171" s="144">
        <v>0</v>
      </c>
      <c r="G171" s="144">
        <v>0</v>
      </c>
      <c r="H171" s="144">
        <v>0</v>
      </c>
      <c r="I171" s="144">
        <v>0</v>
      </c>
      <c r="J171" s="154">
        <v>0</v>
      </c>
      <c r="K171" s="154">
        <f>0-J171</f>
        <v>0</v>
      </c>
      <c r="L171" s="154">
        <f>0-K171-J171</f>
        <v>0</v>
      </c>
      <c r="M171" s="161">
        <f>0-L171-K171-J171</f>
        <v>0</v>
      </c>
      <c r="N171" s="60">
        <f>SUM(J171:M171)</f>
        <v>0</v>
      </c>
      <c r="O171" s="154">
        <v>0</v>
      </c>
      <c r="P171" s="154">
        <f>0-O171</f>
        <v>0</v>
      </c>
      <c r="Q171" s="154">
        <f>0-P171-O171</f>
        <v>0</v>
      </c>
      <c r="R171" s="161">
        <f>0-Q171-P171-O171</f>
        <v>0</v>
      </c>
      <c r="S171" s="60">
        <f>SUM(O171:R171)</f>
        <v>0</v>
      </c>
      <c r="T171" s="44">
        <v>0</v>
      </c>
      <c r="U171" s="44">
        <f>0-T171</f>
        <v>0</v>
      </c>
      <c r="V171" s="44">
        <f>0-U171-T171</f>
        <v>0</v>
      </c>
      <c r="W171" s="44">
        <f>0-V171-U171-T171</f>
        <v>0</v>
      </c>
      <c r="X171" s="60">
        <f>SUM(T171:W171)</f>
        <v>0</v>
      </c>
      <c r="Y171" s="44">
        <v>0</v>
      </c>
      <c r="Z171" s="44">
        <f>0-Y171</f>
        <v>0</v>
      </c>
      <c r="AA171" s="44">
        <f>0-Z171-Y171</f>
        <v>0</v>
      </c>
      <c r="AB171" s="44">
        <f>0-AA171-Z171-Y171</f>
        <v>0</v>
      </c>
      <c r="AC171" s="60">
        <f>SUM(Y171:AB171)</f>
        <v>0</v>
      </c>
      <c r="AD171" s="44">
        <v>0</v>
      </c>
      <c r="AE171" s="44">
        <f>0-AD171</f>
        <v>0</v>
      </c>
      <c r="AF171" s="44">
        <f>0-AE171-AD171</f>
        <v>0</v>
      </c>
      <c r="AG171" s="44">
        <f>0-AF171-AE171-AD171</f>
        <v>0</v>
      </c>
      <c r="AH171" s="60">
        <f>SUM(AD171:AG171)</f>
        <v>0</v>
      </c>
      <c r="AI171" s="44">
        <v>0</v>
      </c>
      <c r="AJ171" s="44">
        <f>0-AI171</f>
        <v>0</v>
      </c>
      <c r="AK171" s="44">
        <f>0-AJ171-AI171</f>
        <v>0</v>
      </c>
      <c r="AL171" s="44">
        <f>0-AK171-AJ171-AI171</f>
        <v>0</v>
      </c>
      <c r="AM171" s="60">
        <f>SUM(AI171:AL171)</f>
        <v>0</v>
      </c>
      <c r="AN171" s="44">
        <v>0</v>
      </c>
      <c r="AO171" s="44">
        <f>0-AN171</f>
        <v>0</v>
      </c>
      <c r="AP171" s="44">
        <f>0-AO171-AN171</f>
        <v>0</v>
      </c>
      <c r="AQ171" s="44">
        <f>0-AP171-AO171-AN171</f>
        <v>0</v>
      </c>
      <c r="AR171" s="60">
        <f>SUM(AN171:AQ171)</f>
        <v>0</v>
      </c>
      <c r="AS171" s="44">
        <v>0</v>
      </c>
      <c r="AT171" s="44">
        <f>0-AS171</f>
        <v>0</v>
      </c>
      <c r="AU171" s="44">
        <f>0-AT171-AS171</f>
        <v>0</v>
      </c>
      <c r="AV171" s="44">
        <f>0-AU171-AT171-AS171</f>
        <v>0</v>
      </c>
      <c r="AW171" s="60">
        <f>SUM(AS171:AV171)</f>
        <v>0</v>
      </c>
      <c r="AX171" s="44">
        <v>0</v>
      </c>
      <c r="AY171" s="44">
        <f>0-AX171</f>
        <v>0</v>
      </c>
      <c r="AZ171" s="44">
        <f>0-AY171-AX171</f>
        <v>0</v>
      </c>
      <c r="BA171" s="44">
        <f>0-AZ171-AY171-AX171</f>
        <v>0</v>
      </c>
      <c r="BB171" s="60">
        <f>SUM(AX171:BA171)</f>
        <v>0</v>
      </c>
      <c r="BC171" s="154">
        <v>-630</v>
      </c>
      <c r="BD171" s="154">
        <f>-630-BC171</f>
        <v>0</v>
      </c>
      <c r="BE171" s="154">
        <f>-630-BD171-BC171</f>
        <v>0</v>
      </c>
      <c r="BF171" s="44">
        <f>0-BE171-BD171-BC171</f>
        <v>630</v>
      </c>
      <c r="BG171" s="60">
        <f>SUM(BC171:BF171)</f>
        <v>0</v>
      </c>
      <c r="BH171" s="44">
        <v>0</v>
      </c>
      <c r="BI171" s="44">
        <f>0-BH171</f>
        <v>0</v>
      </c>
      <c r="BJ171" s="44">
        <f>0-BI171-BH171</f>
        <v>0</v>
      </c>
      <c r="BK171" s="44">
        <f>0-BJ171-BI171-BH171</f>
        <v>0</v>
      </c>
      <c r="BL171" s="60">
        <f>SUM(BH171:BK171)</f>
        <v>0</v>
      </c>
      <c r="BM171" s="44">
        <v>0</v>
      </c>
      <c r="BN171" s="44">
        <f>0-BM171</f>
        <v>0</v>
      </c>
      <c r="BO171" s="44">
        <f>0-BN171-BM171</f>
        <v>0</v>
      </c>
      <c r="BP171" s="44">
        <f>0-BO171-BN171-BM171</f>
        <v>0</v>
      </c>
      <c r="BQ171" s="60">
        <f>SUM(BM171:BP171)</f>
        <v>0</v>
      </c>
      <c r="BR171" s="44">
        <v>0</v>
      </c>
      <c r="BS171" s="44">
        <f>0-BR171</f>
        <v>0</v>
      </c>
      <c r="BT171" s="44">
        <f>0-BS171-BR171</f>
        <v>0</v>
      </c>
      <c r="BU171" s="44">
        <f>0-BT171-BS171-BR171</f>
        <v>0</v>
      </c>
      <c r="BV171" s="60">
        <f>SUM(BR171:BU171)</f>
        <v>0</v>
      </c>
      <c r="BW171" s="154">
        <v>0</v>
      </c>
      <c r="BX171" s="154">
        <f>0-BW171</f>
        <v>0</v>
      </c>
      <c r="BY171" s="154">
        <f>0-BX171-BW171</f>
        <v>0</v>
      </c>
      <c r="BZ171" s="154">
        <f>0-BY171-BX171-BW171</f>
        <v>0</v>
      </c>
      <c r="CA171" s="235">
        <f>SUM(BW171:BZ171)</f>
        <v>0</v>
      </c>
      <c r="CB171" s="154">
        <v>0</v>
      </c>
      <c r="CC171" s="154">
        <f>0-CB171</f>
        <v>0</v>
      </c>
      <c r="CD171" s="154">
        <f>0-CC171-CB171</f>
        <v>0</v>
      </c>
      <c r="CE171" s="154">
        <f>0-CD171-CC171-CB171</f>
        <v>0</v>
      </c>
      <c r="CF171" s="235">
        <f>SUM(CB171:CE171)</f>
        <v>0</v>
      </c>
      <c r="CG171" s="154">
        <v>0</v>
      </c>
      <c r="CH171" s="154">
        <f>0-CG171</f>
        <v>0</v>
      </c>
      <c r="CI171" s="154">
        <f>0-CH171-CG171</f>
        <v>0</v>
      </c>
      <c r="CJ171" s="154">
        <f>0-CI171-CH171-CG171</f>
        <v>0</v>
      </c>
      <c r="CK171" s="235">
        <f>SUM(CG171:CJ171)</f>
        <v>0</v>
      </c>
      <c r="CL171" s="154">
        <v>0</v>
      </c>
      <c r="CM171" s="154">
        <f>0-CL171</f>
        <v>0</v>
      </c>
      <c r="CN171" s="154">
        <f>0-CM171-CL171</f>
        <v>0</v>
      </c>
      <c r="CO171" s="154">
        <f>0-CN171-CM171-CL171</f>
        <v>0</v>
      </c>
      <c r="CP171" s="235">
        <f>SUM(CL171:CO171)</f>
        <v>0</v>
      </c>
      <c r="CQ171" s="154">
        <v>0</v>
      </c>
      <c r="CR171" s="44">
        <v>0</v>
      </c>
      <c r="CS171" s="44">
        <v>0</v>
      </c>
      <c r="CT171" s="44">
        <v>0</v>
      </c>
      <c r="CU171" s="235">
        <f>SUM(CQ171:CT171)</f>
        <v>0</v>
      </c>
      <c r="CV171" s="44">
        <v>0</v>
      </c>
      <c r="CW171" s="44">
        <v>0</v>
      </c>
      <c r="CX171" s="44">
        <v>0</v>
      </c>
      <c r="CY171" s="44">
        <v>0</v>
      </c>
      <c r="CZ171" s="235">
        <f>SUM(CV171:CY171)</f>
        <v>0</v>
      </c>
      <c r="DA171" s="86">
        <v>0</v>
      </c>
      <c r="DB171" s="86">
        <v>0</v>
      </c>
      <c r="DC171" s="86">
        <v>0</v>
      </c>
      <c r="DD171" s="2"/>
      <c r="DE171" s="2"/>
      <c r="DF171" s="235">
        <f>CT171</f>
        <v>0</v>
      </c>
      <c r="DG171" s="235">
        <v>0</v>
      </c>
      <c r="DH171" s="235">
        <f>CO171</f>
        <v>0</v>
      </c>
      <c r="DI171" s="454" t="str">
        <f>IF(ISERROR(DF171/DG171-1),"NM",DF171/DG171-1)</f>
        <v>NM</v>
      </c>
      <c r="DJ171" s="454" t="str">
        <f>IF(ISERROR(DF171/DH171-1),"NM",DF171/DH171-1)</f>
        <v>NM</v>
      </c>
      <c r="DK171" s="2"/>
      <c r="DL171" s="2"/>
      <c r="DM171" s="2"/>
    </row>
    <row r="172" spans="1:117" ht="12" customHeight="1">
      <c r="A172" s="1109">
        <f t="shared" si="249"/>
        <v>163</v>
      </c>
      <c r="B172" s="10"/>
      <c r="C172" s="2"/>
      <c r="E172" s="144"/>
      <c r="F172" s="144"/>
      <c r="G172" s="144"/>
      <c r="H172" s="144"/>
      <c r="I172" s="144"/>
      <c r="J172" s="154"/>
      <c r="K172" s="154"/>
      <c r="L172" s="154"/>
      <c r="M172" s="161"/>
      <c r="N172" s="60"/>
      <c r="O172" s="154"/>
      <c r="P172" s="154"/>
      <c r="Q172" s="154"/>
      <c r="R172" s="161"/>
      <c r="S172" s="60"/>
      <c r="T172" s="154"/>
      <c r="U172" s="154"/>
      <c r="V172" s="154"/>
      <c r="W172" s="161"/>
      <c r="X172" s="60"/>
      <c r="Y172" s="154"/>
      <c r="Z172" s="154"/>
      <c r="AA172" s="154"/>
      <c r="AB172" s="161"/>
      <c r="AC172" s="60"/>
      <c r="AD172" s="44"/>
      <c r="AE172" s="44"/>
      <c r="AF172" s="44"/>
      <c r="AG172" s="44"/>
      <c r="AH172" s="60"/>
      <c r="AI172" s="44"/>
      <c r="AJ172" s="44"/>
      <c r="AK172" s="44"/>
      <c r="AL172" s="44"/>
      <c r="AM172" s="60"/>
      <c r="AN172" s="154"/>
      <c r="AO172" s="154"/>
      <c r="AP172" s="154"/>
      <c r="AQ172" s="161"/>
      <c r="AR172" s="60"/>
      <c r="AS172" s="154"/>
      <c r="AT172" s="154"/>
      <c r="AU172" s="154"/>
      <c r="AV172" s="161"/>
      <c r="AW172" s="60"/>
      <c r="AX172" s="154"/>
      <c r="AY172" s="154"/>
      <c r="AZ172" s="154"/>
      <c r="BA172" s="161"/>
      <c r="BB172" s="60"/>
      <c r="BC172" s="154"/>
      <c r="BD172" s="154"/>
      <c r="BE172" s="154"/>
      <c r="BF172" s="161"/>
      <c r="BG172" s="60"/>
      <c r="BH172" s="154"/>
      <c r="BI172" s="154"/>
      <c r="BJ172" s="154"/>
      <c r="BK172" s="161"/>
      <c r="BL172" s="60"/>
      <c r="BM172" s="44"/>
      <c r="BN172" s="44"/>
      <c r="BO172" s="44"/>
      <c r="BP172" s="117"/>
      <c r="BQ172" s="60"/>
      <c r="BR172" s="44"/>
      <c r="BS172" s="44"/>
      <c r="BT172" s="44"/>
      <c r="BU172" s="117"/>
      <c r="BV172" s="60"/>
      <c r="BW172" s="154"/>
      <c r="BX172" s="154"/>
      <c r="BY172" s="154"/>
      <c r="BZ172" s="161"/>
      <c r="CA172" s="235"/>
      <c r="CB172" s="154"/>
      <c r="CC172" s="154"/>
      <c r="CD172" s="154"/>
      <c r="CE172" s="161"/>
      <c r="CF172" s="235"/>
      <c r="CG172" s="154"/>
      <c r="CH172" s="154"/>
      <c r="CI172" s="154"/>
      <c r="CJ172" s="161"/>
      <c r="CK172" s="235"/>
      <c r="CL172" s="154"/>
      <c r="CM172" s="154"/>
      <c r="CN172" s="154"/>
      <c r="CO172" s="161"/>
      <c r="CP172" s="235"/>
      <c r="CQ172" s="154"/>
      <c r="CR172" s="44"/>
      <c r="CS172" s="44"/>
      <c r="CT172" s="44"/>
      <c r="CU172" s="235"/>
      <c r="CV172" s="44"/>
      <c r="CW172" s="44"/>
      <c r="CX172" s="44"/>
      <c r="CY172" s="44"/>
      <c r="CZ172" s="235"/>
      <c r="DA172" s="86"/>
      <c r="DB172" s="86"/>
      <c r="DC172" s="86"/>
      <c r="DD172" s="2"/>
      <c r="DE172" s="2"/>
      <c r="DF172" s="235"/>
      <c r="DG172" s="235"/>
      <c r="DH172" s="235"/>
      <c r="DI172" s="454"/>
      <c r="DJ172" s="454"/>
      <c r="DK172" s="2"/>
      <c r="DL172" s="2"/>
      <c r="DM172" s="2"/>
    </row>
    <row r="173" spans="1:117" ht="12" customHeight="1">
      <c r="A173" s="1109">
        <f t="shared" si="249"/>
        <v>164</v>
      </c>
      <c r="B173" s="10"/>
      <c r="C173" s="2" t="s">
        <v>765</v>
      </c>
      <c r="E173" s="144"/>
      <c r="F173" s="144"/>
      <c r="G173" s="144"/>
      <c r="H173" s="144"/>
      <c r="I173" s="87">
        <f>-(H178+I141+I157+I168+I170+I171-I68)</f>
        <v>-542</v>
      </c>
      <c r="J173" s="154">
        <v>0</v>
      </c>
      <c r="K173" s="154">
        <f>0-J173</f>
        <v>0</v>
      </c>
      <c r="L173" s="154">
        <f>0-K173-J173</f>
        <v>0</v>
      </c>
      <c r="M173" s="161">
        <f>0-L173-K173-J173</f>
        <v>0</v>
      </c>
      <c r="N173" s="60">
        <f>SUM(J173:M173)</f>
        <v>0</v>
      </c>
      <c r="O173" s="154">
        <v>0</v>
      </c>
      <c r="P173" s="154">
        <f>0-O173</f>
        <v>0</v>
      </c>
      <c r="Q173" s="154">
        <f>0-P173-O173</f>
        <v>0</v>
      </c>
      <c r="R173" s="49">
        <f>-(Q178+R141+R157+R168+R170+R171-R68)</f>
        <v>-74</v>
      </c>
      <c r="S173" s="60">
        <f>SUM(O173:R173)</f>
        <v>-74</v>
      </c>
      <c r="T173" s="49">
        <f>-(S178+T141+T157+T168+T170+T171-T68)</f>
        <v>27</v>
      </c>
      <c r="U173" s="49">
        <f>-(T178+U141+U157+U168+U170+U171-U68)</f>
        <v>71</v>
      </c>
      <c r="V173" s="49">
        <f>-(U178+V141+V157+V168+V170+V171-V68)</f>
        <v>-40</v>
      </c>
      <c r="W173" s="49">
        <f>-(V178+W141+W157+W168+W170+W171-W68)</f>
        <v>-71</v>
      </c>
      <c r="X173" s="60">
        <f>SUM(T173:W173)</f>
        <v>-13</v>
      </c>
      <c r="Y173" s="49">
        <f>-(X178+Y141+Y157+Y168+Y170+Y171-Y68)</f>
        <v>32</v>
      </c>
      <c r="Z173" s="49">
        <f>-(Y178+Z141+Z157+Z168+Z170+Z171-Z68)</f>
        <v>-4</v>
      </c>
      <c r="AA173" s="49">
        <f>-(Z178+AA141+AA157+AA168+AA170+AA171-AA68)</f>
        <v>259</v>
      </c>
      <c r="AB173" s="49">
        <f>-(AA178+AB141+AB157+AB168+AB170+AB171-AB68)</f>
        <v>1062</v>
      </c>
      <c r="AC173" s="60">
        <f>SUM(Y173:AB173)</f>
        <v>1349</v>
      </c>
      <c r="AD173" s="49">
        <f>-(AC178+AD141+AD157+AD168+AD170+AD171-AD68)</f>
        <v>-536</v>
      </c>
      <c r="AE173" s="49">
        <f>-(AD178+AE141+AE157+AE168+AE170+AE171-AE68)</f>
        <v>-601</v>
      </c>
      <c r="AF173" s="49">
        <f>-(AE178+AF141+AF157+AF168+AF170+AF171-AF68)</f>
        <v>-146</v>
      </c>
      <c r="AG173" s="49">
        <f>-(AF178+AG141+AG157+AG168+AG170+AG171-AG68)</f>
        <v>2201</v>
      </c>
      <c r="AH173" s="60">
        <f>SUM(AD173:AG173)</f>
        <v>918</v>
      </c>
      <c r="AI173" s="49">
        <f>-(AH178+AI141+AI157+AI168+AI170+AI171-AI68)</f>
        <v>680</v>
      </c>
      <c r="AJ173" s="49">
        <f>-(AI178+AJ141+AJ157+AJ168+AJ170+AJ171-AJ68)</f>
        <v>597</v>
      </c>
      <c r="AK173" s="49">
        <f>-(AJ178+AK141+AK157+AK168+AK170+AK171-AK68)</f>
        <v>3674</v>
      </c>
      <c r="AL173" s="49">
        <f>-(AK178+AL141+AL157+AL168+AL170+AL171-AL68)</f>
        <v>-4271</v>
      </c>
      <c r="AM173" s="60">
        <f>SUM(AI173:AL173)</f>
        <v>680</v>
      </c>
      <c r="AN173" s="49">
        <f>-(AM178+AN141+AN157+AN168+AN170+AN171-AN68)</f>
        <v>-9</v>
      </c>
      <c r="AO173" s="49">
        <f>-(AN178+AO141+AO157+AO168+AO170+AO171-AO68)</f>
        <v>527</v>
      </c>
      <c r="AP173" s="49">
        <f>-(AO178+AP141+AP157+AP168+AP170+AP171-AP68)</f>
        <v>-516</v>
      </c>
      <c r="AQ173" s="49">
        <f>-(AP178+AQ141+AQ157+AQ168+AQ170+AQ171-AQ68)</f>
        <v>-7</v>
      </c>
      <c r="AR173" s="60">
        <f>SUM(AN173:AQ173)</f>
        <v>-5</v>
      </c>
      <c r="AS173" s="49">
        <f>-(AR178+AS141+AS157+AS168+AS170+AS171-AS68)</f>
        <v>-368</v>
      </c>
      <c r="AT173" s="49">
        <f>-(AS178+AT141+AT157+AT168+AT170+AT171-AT68)</f>
        <v>374</v>
      </c>
      <c r="AU173" s="49">
        <f>-(AT178+AU141+AU157+AU168+AU170+AU171-AU68)</f>
        <v>8</v>
      </c>
      <c r="AV173" s="49">
        <f>-(AU178+AV141+AV157+AV168+AV170+AV171-AV68)</f>
        <v>871</v>
      </c>
      <c r="AW173" s="60">
        <f>SUM(AS173:AV173)</f>
        <v>885</v>
      </c>
      <c r="AX173" s="49">
        <f>-(AW178+AX141+AX157+AX168+AX170+AX171-AX68)</f>
        <v>-409</v>
      </c>
      <c r="AY173" s="49">
        <f>-(AX178+AY141+AY157+AY168+AY170+AY171-AY68)</f>
        <v>409</v>
      </c>
      <c r="AZ173" s="49">
        <f>-(AY178+AZ141+AZ157+AZ168+AZ170+AZ171-AZ68)</f>
        <v>0</v>
      </c>
      <c r="BA173" s="49">
        <f>-(AZ178+BA141+BA157+BA168+BA170+BA171-BA68)</f>
        <v>0</v>
      </c>
      <c r="BB173" s="60">
        <f>SUM(AX173:BA173)</f>
        <v>0</v>
      </c>
      <c r="BC173" s="49">
        <f>-(BB178+BC141+BC157+BC168+BC170+BC171-BC68)</f>
        <v>204</v>
      </c>
      <c r="BD173" s="49">
        <f>-(BC178+BD141+BD157+BD168+BD170+BD171-BD68)</f>
        <v>160</v>
      </c>
      <c r="BE173" s="49">
        <f>-(BD178+BE141+BE157+BE168+BE170+BE171-BE68)</f>
        <v>12</v>
      </c>
      <c r="BF173" s="49">
        <f>-(BE178+BF141+BF157+BF168+BF170+BF171-BF68)</f>
        <v>-1251</v>
      </c>
      <c r="BG173" s="60">
        <f>SUM(BC173:BF173)</f>
        <v>-875</v>
      </c>
      <c r="BH173" s="44">
        <v>0</v>
      </c>
      <c r="BI173" s="44">
        <f>0-BH173</f>
        <v>0</v>
      </c>
      <c r="BJ173" s="44">
        <f>0-BI173-BH173</f>
        <v>0</v>
      </c>
      <c r="BK173" s="44">
        <f>0-BJ173-BI173-BH173</f>
        <v>0</v>
      </c>
      <c r="BL173" s="60">
        <f>SUM(BH173:BK173)</f>
        <v>0</v>
      </c>
      <c r="BM173" s="49">
        <f>-(BL178+BM141+BM157+BM168+BM170+BM171-BM68)</f>
        <v>0</v>
      </c>
      <c r="BN173" s="49">
        <f>-(BM178+BN141+BN157+BN168+BN170+BN171-BN68)</f>
        <v>-9</v>
      </c>
      <c r="BO173" s="49">
        <f>-(BN178+BO141+BO157+BO168+BO170+BO171-BO68)</f>
        <v>-60</v>
      </c>
      <c r="BP173" s="49">
        <f>-(BO178+BP141+BP157+BP168+BP170+BP171-BP68)</f>
        <v>69</v>
      </c>
      <c r="BQ173" s="60">
        <f>SUM(BM173:BP173)</f>
        <v>0</v>
      </c>
      <c r="BR173" s="44"/>
      <c r="BS173" s="44"/>
      <c r="BT173" s="44"/>
      <c r="BU173" s="117"/>
      <c r="BV173" s="60">
        <f>SUM(BR173:BU173)</f>
        <v>0</v>
      </c>
      <c r="BW173" s="49">
        <f>-(BV178+BW141+BW157+BW168+BW170+BW171-BW68)</f>
        <v>0</v>
      </c>
      <c r="BX173" s="49">
        <f>-(BW178+BX141+BX157+BX168+BX170+BX171-BX68)</f>
        <v>250</v>
      </c>
      <c r="BY173" s="49">
        <f>-(BX178+BY141+BY157+BY168+BY170+BY171-BY68)</f>
        <v>160</v>
      </c>
      <c r="BZ173" s="49">
        <f>-(BY178+BZ141+BZ157+BZ168+BZ170+BZ171-BZ68)</f>
        <v>85</v>
      </c>
      <c r="CA173" s="60">
        <f>SUM(BW173:BZ173)</f>
        <v>495</v>
      </c>
      <c r="CB173" s="154">
        <v>0</v>
      </c>
      <c r="CC173" s="154">
        <f>0-CB173</f>
        <v>0</v>
      </c>
      <c r="CD173" s="154">
        <f>0-CC173-CB173</f>
        <v>0</v>
      </c>
      <c r="CE173" s="154">
        <f>0-CD173-CC173-CB173</f>
        <v>0</v>
      </c>
      <c r="CF173" s="235">
        <f>SUM(CB173:CE173)</f>
        <v>0</v>
      </c>
      <c r="CG173" s="154">
        <v>0</v>
      </c>
      <c r="CH173" s="154">
        <f>0-CG173</f>
        <v>0</v>
      </c>
      <c r="CI173" s="154">
        <f>0-CH173-CG173</f>
        <v>0</v>
      </c>
      <c r="CJ173" s="154">
        <f>0-CI173-CH173-CG173</f>
        <v>0</v>
      </c>
      <c r="CK173" s="235">
        <f>SUM(CG173:CJ173)</f>
        <v>0</v>
      </c>
      <c r="CL173" s="154">
        <v>0</v>
      </c>
      <c r="CM173" s="154">
        <f>0-CL173</f>
        <v>0</v>
      </c>
      <c r="CN173" s="154">
        <f>0-CM173-CL173</f>
        <v>0</v>
      </c>
      <c r="CO173" s="154">
        <f>0-CN173-CM173-CL173</f>
        <v>0</v>
      </c>
      <c r="CP173" s="235">
        <f>SUM(CL173:CO173)</f>
        <v>0</v>
      </c>
      <c r="CQ173" s="154"/>
      <c r="CR173" s="44"/>
      <c r="CS173" s="44"/>
      <c r="CT173" s="44"/>
      <c r="CU173" s="235">
        <f>SUM(CQ173:CT173)</f>
        <v>0</v>
      </c>
      <c r="CV173" s="44"/>
      <c r="CW173" s="44"/>
      <c r="CX173" s="44"/>
      <c r="CY173" s="44"/>
      <c r="CZ173" s="235">
        <f>SUM(CV173:CY173)</f>
        <v>0</v>
      </c>
      <c r="DA173" s="86"/>
      <c r="DB173" s="86"/>
      <c r="DC173" s="86"/>
      <c r="DD173" s="2"/>
      <c r="DE173" s="2"/>
      <c r="DF173" s="235">
        <f>CT173</f>
        <v>0</v>
      </c>
      <c r="DG173" s="235">
        <v>0</v>
      </c>
      <c r="DH173" s="235">
        <f>CO173</f>
        <v>0</v>
      </c>
      <c r="DI173" s="454" t="str">
        <f>IF(ISERROR(DF173/DG173-1),"NM",DF173/DG173-1)</f>
        <v>NM</v>
      </c>
      <c r="DJ173" s="454" t="str">
        <f>IF(ISERROR(DF173/DH173-1),"NM",DF173/DH173-1)</f>
        <v>NM</v>
      </c>
      <c r="DK173" s="2"/>
      <c r="DL173" s="2"/>
      <c r="DM173" s="2"/>
    </row>
    <row r="174" spans="1:117" ht="12" customHeight="1">
      <c r="A174" s="1109">
        <f t="shared" si="249"/>
        <v>165</v>
      </c>
      <c r="B174" s="10"/>
      <c r="C174" s="2"/>
      <c r="E174" s="144"/>
      <c r="F174" s="144"/>
      <c r="G174" s="144"/>
      <c r="H174" s="144"/>
      <c r="I174" s="144"/>
      <c r="J174" s="154"/>
      <c r="K174" s="154"/>
      <c r="L174" s="154"/>
      <c r="M174" s="161"/>
      <c r="N174" s="60"/>
      <c r="O174" s="154"/>
      <c r="P174" s="154"/>
      <c r="Q174" s="154"/>
      <c r="R174" s="161"/>
      <c r="S174" s="60"/>
      <c r="T174" s="154"/>
      <c r="U174" s="154"/>
      <c r="V174" s="154"/>
      <c r="W174" s="161"/>
      <c r="X174" s="60"/>
      <c r="Y174" s="154"/>
      <c r="Z174" s="154"/>
      <c r="AA174" s="154"/>
      <c r="AB174" s="161"/>
      <c r="AC174" s="60"/>
      <c r="AD174" s="44"/>
      <c r="AE174" s="44"/>
      <c r="AF174" s="44"/>
      <c r="AG174" s="44"/>
      <c r="AH174" s="60"/>
      <c r="AI174" s="44"/>
      <c r="AJ174" s="44"/>
      <c r="AK174" s="44"/>
      <c r="AL174" s="44"/>
      <c r="AM174" s="60"/>
      <c r="AN174" s="154"/>
      <c r="AO174" s="154"/>
      <c r="AP174" s="154"/>
      <c r="AQ174" s="161"/>
      <c r="AR174" s="60"/>
      <c r="AS174" s="154"/>
      <c r="AT174" s="154"/>
      <c r="AU174" s="154"/>
      <c r="AV174" s="161"/>
      <c r="AW174" s="60"/>
      <c r="AX174" s="154"/>
      <c r="AY174" s="154"/>
      <c r="AZ174" s="154"/>
      <c r="BA174" s="161"/>
      <c r="BB174" s="60"/>
      <c r="BC174" s="154"/>
      <c r="BD174" s="154"/>
      <c r="BE174" s="154"/>
      <c r="BF174" s="161"/>
      <c r="BG174" s="60"/>
      <c r="BH174" s="154"/>
      <c r="BI174" s="154"/>
      <c r="BJ174" s="154"/>
      <c r="BK174" s="161"/>
      <c r="BL174" s="60"/>
      <c r="BM174" s="44"/>
      <c r="BN174" s="44"/>
      <c r="BO174" s="44"/>
      <c r="BP174" s="117"/>
      <c r="BQ174" s="60"/>
      <c r="BR174" s="44"/>
      <c r="BS174" s="44"/>
      <c r="BT174" s="44"/>
      <c r="BU174" s="117"/>
      <c r="BV174" s="60"/>
      <c r="BW174" s="154"/>
      <c r="BX174" s="154"/>
      <c r="BY174" s="154"/>
      <c r="BZ174" s="161"/>
      <c r="CA174" s="235"/>
      <c r="CB174" s="154"/>
      <c r="CC174" s="154"/>
      <c r="CD174" s="154"/>
      <c r="CE174" s="161"/>
      <c r="CF174" s="235"/>
      <c r="CG174" s="154"/>
      <c r="CH174" s="154"/>
      <c r="CI174" s="154"/>
      <c r="CJ174" s="161"/>
      <c r="CK174" s="235"/>
      <c r="CL174" s="154"/>
      <c r="CM174" s="154"/>
      <c r="CN174" s="154"/>
      <c r="CO174" s="161"/>
      <c r="CP174" s="235"/>
      <c r="CQ174" s="154"/>
      <c r="CR174" s="44"/>
      <c r="CS174" s="44"/>
      <c r="CT174" s="44"/>
      <c r="CU174" s="235"/>
      <c r="CV174" s="44"/>
      <c r="CW174" s="44"/>
      <c r="CX174" s="44"/>
      <c r="CY174" s="44"/>
      <c r="CZ174" s="235"/>
      <c r="DA174" s="86"/>
      <c r="DB174" s="86"/>
      <c r="DC174" s="86"/>
      <c r="DD174" s="2"/>
      <c r="DE174" s="2"/>
      <c r="DF174" s="235"/>
      <c r="DG174" s="235"/>
      <c r="DH174" s="235"/>
      <c r="DI174" s="454"/>
      <c r="DJ174" s="454"/>
      <c r="DK174" s="2"/>
      <c r="DL174" s="2"/>
      <c r="DM174" s="2"/>
    </row>
    <row r="175" spans="1:117" ht="12" customHeight="1">
      <c r="A175" s="1109">
        <f t="shared" si="249"/>
        <v>166</v>
      </c>
      <c r="B175" s="10"/>
      <c r="C175" s="2" t="s">
        <v>264</v>
      </c>
      <c r="D175" s="2"/>
      <c r="E175" s="60">
        <f t="shared" ref="E175:AJ175" si="309">E168+E157+E141+E170+E171+E173</f>
        <v>2220</v>
      </c>
      <c r="F175" s="60">
        <f t="shared" si="309"/>
        <v>-1173</v>
      </c>
      <c r="G175" s="60">
        <f t="shared" si="309"/>
        <v>667</v>
      </c>
      <c r="H175" s="60">
        <f t="shared" si="309"/>
        <v>-3098</v>
      </c>
      <c r="I175" s="60">
        <f t="shared" si="309"/>
        <v>-455</v>
      </c>
      <c r="J175" s="155">
        <f t="shared" si="309"/>
        <v>1377</v>
      </c>
      <c r="K175" s="155">
        <f t="shared" si="309"/>
        <v>2906</v>
      </c>
      <c r="L175" s="155">
        <f t="shared" si="309"/>
        <v>-3002</v>
      </c>
      <c r="M175" s="155">
        <f t="shared" si="309"/>
        <v>-811</v>
      </c>
      <c r="N175" s="60">
        <f t="shared" si="309"/>
        <v>470</v>
      </c>
      <c r="O175" s="155">
        <f t="shared" si="309"/>
        <v>531</v>
      </c>
      <c r="P175" s="155">
        <f t="shared" si="309"/>
        <v>1204</v>
      </c>
      <c r="Q175" s="155">
        <f t="shared" si="309"/>
        <v>4052</v>
      </c>
      <c r="R175" s="155">
        <f t="shared" si="309"/>
        <v>-3441</v>
      </c>
      <c r="S175" s="60">
        <f t="shared" si="309"/>
        <v>2346</v>
      </c>
      <c r="T175" s="155">
        <f t="shared" si="309"/>
        <v>8823</v>
      </c>
      <c r="U175" s="155">
        <f t="shared" si="309"/>
        <v>-2917</v>
      </c>
      <c r="V175" s="155">
        <f t="shared" si="309"/>
        <v>2970</v>
      </c>
      <c r="W175" s="155">
        <f t="shared" si="309"/>
        <v>-3852</v>
      </c>
      <c r="X175" s="60">
        <f t="shared" si="309"/>
        <v>5024</v>
      </c>
      <c r="Y175" s="155">
        <f t="shared" si="309"/>
        <v>7016</v>
      </c>
      <c r="Z175" s="155">
        <f t="shared" si="309"/>
        <v>-1553</v>
      </c>
      <c r="AA175" s="155">
        <f t="shared" si="309"/>
        <v>10203</v>
      </c>
      <c r="AB175" s="155">
        <f t="shared" si="309"/>
        <v>-4679</v>
      </c>
      <c r="AC175" s="60">
        <f t="shared" si="309"/>
        <v>10987</v>
      </c>
      <c r="AD175" s="49">
        <f t="shared" si="309"/>
        <v>-5018</v>
      </c>
      <c r="AE175" s="49">
        <f t="shared" si="309"/>
        <v>-2542</v>
      </c>
      <c r="AF175" s="49">
        <f t="shared" si="309"/>
        <v>1768</v>
      </c>
      <c r="AG175" s="49">
        <f t="shared" si="309"/>
        <v>5415</v>
      </c>
      <c r="AH175" s="60">
        <f t="shared" si="309"/>
        <v>-377</v>
      </c>
      <c r="AI175" s="49">
        <f t="shared" si="309"/>
        <v>514</v>
      </c>
      <c r="AJ175" s="49">
        <f t="shared" si="309"/>
        <v>6788</v>
      </c>
      <c r="AK175" s="49">
        <f t="shared" ref="AK175:BP175" si="310">AK168+AK157+AK141+AK170+AK171+AK173</f>
        <v>-1933</v>
      </c>
      <c r="AL175" s="49">
        <f t="shared" si="310"/>
        <v>206</v>
      </c>
      <c r="AM175" s="60">
        <f t="shared" si="310"/>
        <v>5575</v>
      </c>
      <c r="AN175" s="155">
        <f t="shared" si="310"/>
        <v>-7227</v>
      </c>
      <c r="AO175" s="155">
        <f t="shared" si="310"/>
        <v>6806</v>
      </c>
      <c r="AP175" s="155">
        <f t="shared" si="310"/>
        <v>-2474</v>
      </c>
      <c r="AQ175" s="155">
        <f t="shared" si="310"/>
        <v>3385</v>
      </c>
      <c r="AR175" s="60">
        <f t="shared" si="310"/>
        <v>490</v>
      </c>
      <c r="AS175" s="155">
        <f t="shared" si="310"/>
        <v>-2029</v>
      </c>
      <c r="AT175" s="155">
        <f t="shared" si="310"/>
        <v>5133</v>
      </c>
      <c r="AU175" s="155">
        <f t="shared" si="310"/>
        <v>-4563</v>
      </c>
      <c r="AV175" s="155">
        <f t="shared" si="310"/>
        <v>7846</v>
      </c>
      <c r="AW175" s="60">
        <f t="shared" si="310"/>
        <v>6387</v>
      </c>
      <c r="AX175" s="155">
        <f t="shared" si="310"/>
        <v>-1532</v>
      </c>
      <c r="AY175" s="155">
        <f t="shared" si="310"/>
        <v>-3685</v>
      </c>
      <c r="AZ175" s="155">
        <f t="shared" si="310"/>
        <v>-5172</v>
      </c>
      <c r="BA175" s="155">
        <f t="shared" si="310"/>
        <v>-2845</v>
      </c>
      <c r="BB175" s="60">
        <f t="shared" si="310"/>
        <v>-13234</v>
      </c>
      <c r="BC175" s="155">
        <f t="shared" si="310"/>
        <v>-956</v>
      </c>
      <c r="BD175" s="155">
        <f t="shared" si="310"/>
        <v>2918</v>
      </c>
      <c r="BE175" s="155">
        <f t="shared" si="310"/>
        <v>1787</v>
      </c>
      <c r="BF175" s="155">
        <f t="shared" si="310"/>
        <v>-4904</v>
      </c>
      <c r="BG175" s="60">
        <f t="shared" si="310"/>
        <v>-1155</v>
      </c>
      <c r="BH175" s="155">
        <f t="shared" si="310"/>
        <v>3462</v>
      </c>
      <c r="BI175" s="155">
        <f t="shared" si="310"/>
        <v>-6034</v>
      </c>
      <c r="BJ175" s="155">
        <f t="shared" si="310"/>
        <v>-330</v>
      </c>
      <c r="BK175" s="155">
        <f t="shared" si="310"/>
        <v>-3187</v>
      </c>
      <c r="BL175" s="60">
        <f t="shared" si="310"/>
        <v>-6089</v>
      </c>
      <c r="BM175" s="49">
        <f t="shared" si="310"/>
        <v>6513</v>
      </c>
      <c r="BN175" s="49">
        <f t="shared" si="310"/>
        <v>-3846</v>
      </c>
      <c r="BO175" s="49">
        <f t="shared" si="310"/>
        <v>-1012</v>
      </c>
      <c r="BP175" s="49">
        <f t="shared" si="310"/>
        <v>688</v>
      </c>
      <c r="BQ175" s="60">
        <f t="shared" ref="BQ175:CV175" si="311">BQ168+BQ157+BQ141+BQ170+BQ171+BQ173</f>
        <v>2343</v>
      </c>
      <c r="BR175" s="49">
        <f t="shared" si="311"/>
        <v>-1904</v>
      </c>
      <c r="BS175" s="49">
        <f t="shared" si="311"/>
        <v>-143</v>
      </c>
      <c r="BT175" s="49">
        <f t="shared" si="311"/>
        <v>-1562</v>
      </c>
      <c r="BU175" s="49">
        <f t="shared" si="311"/>
        <v>2120</v>
      </c>
      <c r="BV175" s="60">
        <f t="shared" si="311"/>
        <v>-1489</v>
      </c>
      <c r="BW175" s="155">
        <f t="shared" si="311"/>
        <v>-1839</v>
      </c>
      <c r="BX175" s="155">
        <f t="shared" si="311"/>
        <v>-458</v>
      </c>
      <c r="BY175" s="155">
        <f t="shared" si="311"/>
        <v>1390</v>
      </c>
      <c r="BZ175" s="155">
        <f t="shared" si="311"/>
        <v>-284</v>
      </c>
      <c r="CA175" s="235">
        <f t="shared" si="311"/>
        <v>-1191</v>
      </c>
      <c r="CB175" s="155">
        <f t="shared" si="311"/>
        <v>-1485</v>
      </c>
      <c r="CC175" s="155">
        <f t="shared" si="311"/>
        <v>-1410</v>
      </c>
      <c r="CD175" s="155">
        <f t="shared" si="311"/>
        <v>1747</v>
      </c>
      <c r="CE175" s="155">
        <f t="shared" si="311"/>
        <v>-2563</v>
      </c>
      <c r="CF175" s="235">
        <f t="shared" si="311"/>
        <v>-3711</v>
      </c>
      <c r="CG175" s="155">
        <f t="shared" si="311"/>
        <v>1611</v>
      </c>
      <c r="CH175" s="155">
        <f t="shared" si="311"/>
        <v>529</v>
      </c>
      <c r="CI175" s="155">
        <f t="shared" si="311"/>
        <v>1789</v>
      </c>
      <c r="CJ175" s="155">
        <f t="shared" si="311"/>
        <v>-414</v>
      </c>
      <c r="CK175" s="235">
        <f t="shared" si="311"/>
        <v>3515</v>
      </c>
      <c r="CL175" s="155">
        <f t="shared" si="311"/>
        <v>1645</v>
      </c>
      <c r="CM175" s="155">
        <f t="shared" si="311"/>
        <v>1146</v>
      </c>
      <c r="CN175" s="155">
        <f t="shared" si="311"/>
        <v>-3723</v>
      </c>
      <c r="CO175" s="155">
        <f t="shared" si="311"/>
        <v>2565</v>
      </c>
      <c r="CP175" s="235">
        <f t="shared" si="311"/>
        <v>1633</v>
      </c>
      <c r="CQ175" s="155">
        <f t="shared" si="311"/>
        <v>1918</v>
      </c>
      <c r="CR175" s="155">
        <f t="shared" si="311"/>
        <v>-1600</v>
      </c>
      <c r="CS175" s="155">
        <f t="shared" si="311"/>
        <v>1366</v>
      </c>
      <c r="CT175" s="155">
        <f t="shared" si="311"/>
        <v>903</v>
      </c>
      <c r="CU175" s="235">
        <f t="shared" si="311"/>
        <v>2587</v>
      </c>
      <c r="CV175" s="155">
        <f t="shared" si="311"/>
        <v>-1333.4072181378406</v>
      </c>
      <c r="CW175" s="155">
        <f t="shared" ref="CW175:DC175" si="312">CW168+CW157+CW141+CW170+CW171+CW173</f>
        <v>470.63796586890476</v>
      </c>
      <c r="CX175" s="155">
        <f t="shared" si="312"/>
        <v>-170.59937334768256</v>
      </c>
      <c r="CY175" s="155">
        <f t="shared" si="312"/>
        <v>-60.354053141790246</v>
      </c>
      <c r="CZ175" s="235">
        <f t="shared" si="312"/>
        <v>-1093.7226787584095</v>
      </c>
      <c r="DA175" s="255">
        <f t="shared" si="312"/>
        <v>-456.99631081156804</v>
      </c>
      <c r="DB175" s="255">
        <f t="shared" si="312"/>
        <v>-727.41777554497276</v>
      </c>
      <c r="DC175" s="255">
        <f t="shared" si="312"/>
        <v>60.653187080935822</v>
      </c>
      <c r="DD175" s="2"/>
      <c r="DE175" s="2"/>
      <c r="DF175" s="235">
        <f>CT175</f>
        <v>903</v>
      </c>
      <c r="DG175" s="235">
        <v>1946.1147969521303</v>
      </c>
      <c r="DH175" s="235">
        <f>CO175</f>
        <v>2565</v>
      </c>
      <c r="DI175" s="454">
        <f>IF(ISERROR(DF175/DG175-1),"NM",DF175/DG175-1)</f>
        <v>-0.53599859503960623</v>
      </c>
      <c r="DJ175" s="454">
        <f>IF(ISERROR(DF175/DH175-1),"NM",DF175/DH175-1)</f>
        <v>-0.64795321637426895</v>
      </c>
      <c r="DK175" s="2"/>
      <c r="DL175" s="2"/>
      <c r="DM175" s="2"/>
    </row>
    <row r="176" spans="1:117" ht="12" customHeight="1">
      <c r="A176" s="1109">
        <f t="shared" si="249"/>
        <v>167</v>
      </c>
      <c r="B176" s="10"/>
      <c r="C176" s="2"/>
      <c r="D176" s="2"/>
      <c r="E176" s="74"/>
      <c r="F176" s="74"/>
      <c r="G176" s="74"/>
      <c r="H176" s="74"/>
      <c r="I176" s="74"/>
      <c r="J176" s="148"/>
      <c r="K176" s="148"/>
      <c r="L176" s="148"/>
      <c r="M176" s="148"/>
      <c r="N176" s="74"/>
      <c r="O176" s="148"/>
      <c r="P176" s="148"/>
      <c r="Q176" s="148"/>
      <c r="R176" s="148"/>
      <c r="S176" s="74"/>
      <c r="T176" s="148"/>
      <c r="U176" s="148"/>
      <c r="V176" s="148"/>
      <c r="W176" s="148"/>
      <c r="X176" s="74"/>
      <c r="Y176" s="148"/>
      <c r="Z176" s="148"/>
      <c r="AA176" s="148"/>
      <c r="AB176" s="148"/>
      <c r="AC176" s="74"/>
      <c r="AD176" s="15"/>
      <c r="AE176" s="15"/>
      <c r="AF176" s="19"/>
      <c r="AG176" s="15"/>
      <c r="AH176" s="74"/>
      <c r="AI176" s="15"/>
      <c r="AJ176" s="15"/>
      <c r="AK176" s="19"/>
      <c r="AL176" s="15"/>
      <c r="AM176" s="74"/>
      <c r="AN176" s="148"/>
      <c r="AO176" s="148"/>
      <c r="AP176" s="148"/>
      <c r="AQ176" s="148"/>
      <c r="AR176" s="74"/>
      <c r="AS176" s="148"/>
      <c r="AT176" s="148"/>
      <c r="AU176" s="148"/>
      <c r="AV176" s="148"/>
      <c r="AW176" s="74"/>
      <c r="AX176" s="148"/>
      <c r="AY176" s="148"/>
      <c r="AZ176" s="148"/>
      <c r="BA176" s="148"/>
      <c r="BB176" s="74"/>
      <c r="BC176" s="148"/>
      <c r="BD176" s="148"/>
      <c r="BE176" s="148"/>
      <c r="BF176" s="148"/>
      <c r="BG176" s="74"/>
      <c r="BH176" s="148"/>
      <c r="BI176" s="148"/>
      <c r="BJ176" s="148"/>
      <c r="BK176" s="148"/>
      <c r="BL176" s="74"/>
      <c r="BM176" s="15"/>
      <c r="BN176" s="15"/>
      <c r="BO176" s="15"/>
      <c r="BP176" s="15"/>
      <c r="BQ176" s="74"/>
      <c r="BR176" s="15"/>
      <c r="BS176" s="15"/>
      <c r="BT176" s="15"/>
      <c r="BU176" s="15"/>
      <c r="BV176" s="74"/>
      <c r="BW176" s="148"/>
      <c r="BX176" s="148"/>
      <c r="BY176" s="148"/>
      <c r="BZ176" s="148"/>
      <c r="CA176" s="259"/>
      <c r="CB176" s="148"/>
      <c r="CC176" s="148"/>
      <c r="CD176" s="148"/>
      <c r="CE176" s="148"/>
      <c r="CF176" s="259"/>
      <c r="CG176" s="148"/>
      <c r="CH176" s="148"/>
      <c r="CI176" s="148"/>
      <c r="CJ176" s="148"/>
      <c r="CK176" s="259"/>
      <c r="CL176" s="148"/>
      <c r="CM176" s="148"/>
      <c r="CN176" s="148"/>
      <c r="CO176" s="148"/>
      <c r="CP176" s="259"/>
      <c r="CQ176" s="148"/>
      <c r="CR176" s="15"/>
      <c r="CS176" s="15"/>
      <c r="CT176" s="15"/>
      <c r="CU176" s="259"/>
      <c r="CV176" s="15"/>
      <c r="CW176" s="15"/>
      <c r="CX176" s="15"/>
      <c r="CY176" s="15"/>
      <c r="CZ176" s="259"/>
      <c r="DA176" s="74"/>
      <c r="DB176" s="74"/>
      <c r="DC176" s="74"/>
      <c r="DD176" s="2"/>
      <c r="DE176" s="2"/>
      <c r="DF176" s="259"/>
      <c r="DG176" s="259"/>
      <c r="DH176" s="259"/>
      <c r="DI176" s="454"/>
      <c r="DJ176" s="454"/>
      <c r="DK176" s="2"/>
      <c r="DL176" s="2"/>
      <c r="DM176" s="2"/>
    </row>
    <row r="177" spans="1:117" ht="12" customHeight="1">
      <c r="A177" s="1109">
        <f t="shared" si="249"/>
        <v>168</v>
      </c>
      <c r="B177" s="10"/>
      <c r="C177" s="97" t="s">
        <v>353</v>
      </c>
      <c r="D177" s="97"/>
      <c r="E177" s="93">
        <f>4481+1739</f>
        <v>6220</v>
      </c>
      <c r="F177" s="93">
        <f t="shared" ref="F177:M177" si="313">E178</f>
        <v>8440</v>
      </c>
      <c r="G177" s="93">
        <f t="shared" si="313"/>
        <v>7267</v>
      </c>
      <c r="H177" s="93">
        <f t="shared" si="313"/>
        <v>7934</v>
      </c>
      <c r="I177" s="93">
        <f t="shared" si="313"/>
        <v>4836</v>
      </c>
      <c r="J177" s="160">
        <f t="shared" si="313"/>
        <v>4381</v>
      </c>
      <c r="K177" s="160">
        <f t="shared" si="313"/>
        <v>5758</v>
      </c>
      <c r="L177" s="160">
        <f t="shared" si="313"/>
        <v>8664</v>
      </c>
      <c r="M177" s="160">
        <f t="shared" si="313"/>
        <v>5662</v>
      </c>
      <c r="N177" s="93">
        <f>J177</f>
        <v>4381</v>
      </c>
      <c r="O177" s="160">
        <f>N178</f>
        <v>4851</v>
      </c>
      <c r="P177" s="160">
        <f>O178</f>
        <v>5382</v>
      </c>
      <c r="Q177" s="160">
        <f>P178</f>
        <v>6586</v>
      </c>
      <c r="R177" s="160">
        <f>Q178</f>
        <v>10638</v>
      </c>
      <c r="S177" s="93">
        <f>O177</f>
        <v>4851</v>
      </c>
      <c r="T177" s="160">
        <f>S178</f>
        <v>7197</v>
      </c>
      <c r="U177" s="160">
        <f>T178</f>
        <v>16020</v>
      </c>
      <c r="V177" s="160">
        <f>U178</f>
        <v>13103</v>
      </c>
      <c r="W177" s="160">
        <f>V178</f>
        <v>16073</v>
      </c>
      <c r="X177" s="93">
        <f>T177</f>
        <v>7197</v>
      </c>
      <c r="Y177" s="160">
        <f>X178</f>
        <v>12221</v>
      </c>
      <c r="Z177" s="160">
        <f>Y178</f>
        <v>19237</v>
      </c>
      <c r="AA177" s="160">
        <f>Z178</f>
        <v>17684</v>
      </c>
      <c r="AB177" s="160">
        <f>AA178</f>
        <v>27887</v>
      </c>
      <c r="AC177" s="93">
        <f>Y177</f>
        <v>12221</v>
      </c>
      <c r="AD177" s="160">
        <f>AC178</f>
        <v>23208</v>
      </c>
      <c r="AE177" s="95">
        <f>AD178</f>
        <v>18190</v>
      </c>
      <c r="AF177" s="95">
        <f>AE178</f>
        <v>15648</v>
      </c>
      <c r="AG177" s="95">
        <f>AF178</f>
        <v>17416</v>
      </c>
      <c r="AH177" s="93">
        <f>AD177</f>
        <v>23208</v>
      </c>
      <c r="AI177" s="160">
        <f>AH178</f>
        <v>22831</v>
      </c>
      <c r="AJ177" s="95">
        <f>AI178</f>
        <v>23345</v>
      </c>
      <c r="AK177" s="95">
        <f>AJ178</f>
        <v>30133</v>
      </c>
      <c r="AL177" s="95">
        <f>AK178</f>
        <v>28200</v>
      </c>
      <c r="AM177" s="93">
        <f>AI177</f>
        <v>22831</v>
      </c>
      <c r="AN177" s="160">
        <f>AM178</f>
        <v>28406</v>
      </c>
      <c r="AO177" s="160">
        <f>AN178</f>
        <v>21179</v>
      </c>
      <c r="AP177" s="160">
        <f>AO178</f>
        <v>27985</v>
      </c>
      <c r="AQ177" s="160">
        <f>AP178</f>
        <v>25511</v>
      </c>
      <c r="AR177" s="93">
        <f>AN177</f>
        <v>28406</v>
      </c>
      <c r="AS177" s="160">
        <f>AR178</f>
        <v>28896</v>
      </c>
      <c r="AT177" s="160">
        <f>AS178</f>
        <v>26867</v>
      </c>
      <c r="AU177" s="160">
        <f>AT178</f>
        <v>32000</v>
      </c>
      <c r="AV177" s="160">
        <f>AU178</f>
        <v>27437</v>
      </c>
      <c r="AW177" s="93">
        <f>AS177</f>
        <v>28896</v>
      </c>
      <c r="AX177" s="160">
        <f>AW178</f>
        <v>35283</v>
      </c>
      <c r="AY177" s="160">
        <f>AX178</f>
        <v>33751</v>
      </c>
      <c r="AZ177" s="160">
        <f>AY178</f>
        <v>30066</v>
      </c>
      <c r="BA177" s="160">
        <f>AZ178</f>
        <v>24894</v>
      </c>
      <c r="BB177" s="93">
        <f>AX177</f>
        <v>35283</v>
      </c>
      <c r="BC177" s="160">
        <f>BB178</f>
        <v>22049</v>
      </c>
      <c r="BD177" s="160">
        <f>BC178</f>
        <v>21093</v>
      </c>
      <c r="BE177" s="160">
        <f>BD178</f>
        <v>24011</v>
      </c>
      <c r="BF177" s="160">
        <f>BE178</f>
        <v>25798</v>
      </c>
      <c r="BG177" s="93">
        <f>BC177</f>
        <v>22049</v>
      </c>
      <c r="BH177" s="160">
        <f>BG178</f>
        <v>20894</v>
      </c>
      <c r="BI177" s="160">
        <f>BH178</f>
        <v>24356</v>
      </c>
      <c r="BJ177" s="160">
        <f>BI178</f>
        <v>18322</v>
      </c>
      <c r="BK177" s="160">
        <f>BJ178</f>
        <v>17992</v>
      </c>
      <c r="BL177" s="93">
        <f>BH177</f>
        <v>20894</v>
      </c>
      <c r="BM177" s="95">
        <f>BL178</f>
        <v>14805</v>
      </c>
      <c r="BN177" s="95">
        <f>BM178</f>
        <v>21318</v>
      </c>
      <c r="BO177" s="95">
        <f>BN178</f>
        <v>17472</v>
      </c>
      <c r="BP177" s="95">
        <f>BO178</f>
        <v>16460</v>
      </c>
      <c r="BQ177" s="93">
        <f>BM177</f>
        <v>14805</v>
      </c>
      <c r="BR177" s="95">
        <f>BQ178</f>
        <v>17148</v>
      </c>
      <c r="BS177" s="95">
        <f>BR178</f>
        <v>15244</v>
      </c>
      <c r="BT177" s="95">
        <f>BS178</f>
        <v>15101</v>
      </c>
      <c r="BU177" s="95">
        <f>BT178</f>
        <v>13539</v>
      </c>
      <c r="BV177" s="93">
        <f>BR177</f>
        <v>17148</v>
      </c>
      <c r="BW177" s="160">
        <f>BV178</f>
        <v>15659</v>
      </c>
      <c r="BX177" s="160">
        <f>BW178</f>
        <v>13820</v>
      </c>
      <c r="BY177" s="160">
        <f>BX178</f>
        <v>13362</v>
      </c>
      <c r="BZ177" s="160">
        <f>BY178</f>
        <v>14752</v>
      </c>
      <c r="CA177" s="245">
        <f>BW177</f>
        <v>15659</v>
      </c>
      <c r="CB177" s="160">
        <f>CA178</f>
        <v>14468</v>
      </c>
      <c r="CC177" s="160">
        <f>CB178</f>
        <v>12983</v>
      </c>
      <c r="CD177" s="160">
        <f>CC178</f>
        <v>11573</v>
      </c>
      <c r="CE177" s="160">
        <f>CD178</f>
        <v>13320</v>
      </c>
      <c r="CF177" s="245">
        <f>CB177</f>
        <v>14468</v>
      </c>
      <c r="CG177" s="160">
        <f>CF178</f>
        <v>10757</v>
      </c>
      <c r="CH177" s="160">
        <f>CG178</f>
        <v>12368</v>
      </c>
      <c r="CI177" s="160">
        <f>CH178</f>
        <v>12897</v>
      </c>
      <c r="CJ177" s="160">
        <f>CI178</f>
        <v>14686</v>
      </c>
      <c r="CK177" s="245">
        <f>CG177</f>
        <v>10757</v>
      </c>
      <c r="CL177" s="155">
        <f>CK178</f>
        <v>14272</v>
      </c>
      <c r="CM177" s="155">
        <f>CL178</f>
        <v>15917</v>
      </c>
      <c r="CN177" s="155">
        <f>CM178</f>
        <v>17063</v>
      </c>
      <c r="CO177" s="155">
        <f>CN178</f>
        <v>13340</v>
      </c>
      <c r="CP177" s="245">
        <f>CL177</f>
        <v>14272</v>
      </c>
      <c r="CQ177" s="155">
        <f>CP178</f>
        <v>15905</v>
      </c>
      <c r="CR177" s="49">
        <f>CQ178</f>
        <v>17823</v>
      </c>
      <c r="CS177" s="49">
        <f>CR178</f>
        <v>16223</v>
      </c>
      <c r="CT177" s="49">
        <f>CS178</f>
        <v>17589</v>
      </c>
      <c r="CU177" s="245">
        <f>CQ177</f>
        <v>15905</v>
      </c>
      <c r="CV177" s="49">
        <f t="shared" ref="CV177:DC177" si="314">CU178</f>
        <v>18492</v>
      </c>
      <c r="CW177" s="49">
        <f t="shared" si="314"/>
        <v>17158.59278186216</v>
      </c>
      <c r="CX177" s="49">
        <f t="shared" si="314"/>
        <v>17629.230747731064</v>
      </c>
      <c r="CY177" s="49">
        <f t="shared" si="314"/>
        <v>17458.631374383382</v>
      </c>
      <c r="CZ177" s="245">
        <f>CV177</f>
        <v>18492</v>
      </c>
      <c r="DA177" s="96">
        <f t="shared" si="314"/>
        <v>17398.277321241592</v>
      </c>
      <c r="DB177" s="96">
        <f t="shared" si="314"/>
        <v>16941.281010430022</v>
      </c>
      <c r="DC177" s="96">
        <f t="shared" si="314"/>
        <v>16213.86323488505</v>
      </c>
      <c r="DD177" s="2"/>
      <c r="DE177" s="2"/>
      <c r="DF177" s="245">
        <f>CT177</f>
        <v>17589</v>
      </c>
      <c r="DG177" s="245">
        <v>17589</v>
      </c>
      <c r="DH177" s="245">
        <f>CO177</f>
        <v>13340</v>
      </c>
      <c r="DI177" s="459">
        <f>IF(ISERROR(DF177/DG177-1),"NM",DF177/DG177-1)</f>
        <v>0</v>
      </c>
      <c r="DJ177" s="459">
        <f>IF(ISERROR(DF177/DH177-1),"NM",DF177/DH177-1)</f>
        <v>0.31851574212893552</v>
      </c>
      <c r="DK177" s="2"/>
      <c r="DL177" s="2"/>
      <c r="DM177" s="2"/>
    </row>
    <row r="178" spans="1:117" ht="12" customHeight="1">
      <c r="A178" s="1109">
        <f t="shared" si="249"/>
        <v>169</v>
      </c>
      <c r="B178" s="10"/>
      <c r="C178" s="2" t="s">
        <v>318</v>
      </c>
      <c r="D178" s="2"/>
      <c r="E178" s="60">
        <f t="shared" ref="E178:AJ178" si="315">E175+E177</f>
        <v>8440</v>
      </c>
      <c r="F178" s="60">
        <f t="shared" si="315"/>
        <v>7267</v>
      </c>
      <c r="G178" s="60">
        <f t="shared" si="315"/>
        <v>7934</v>
      </c>
      <c r="H178" s="60">
        <f t="shared" si="315"/>
        <v>4836</v>
      </c>
      <c r="I178" s="60">
        <f t="shared" si="315"/>
        <v>4381</v>
      </c>
      <c r="J178" s="155">
        <f t="shared" si="315"/>
        <v>5758</v>
      </c>
      <c r="K178" s="155">
        <f t="shared" si="315"/>
        <v>8664</v>
      </c>
      <c r="L178" s="155">
        <f t="shared" si="315"/>
        <v>5662</v>
      </c>
      <c r="M178" s="155">
        <f t="shared" si="315"/>
        <v>4851</v>
      </c>
      <c r="N178" s="60">
        <f t="shared" si="315"/>
        <v>4851</v>
      </c>
      <c r="O178" s="155">
        <f t="shared" si="315"/>
        <v>5382</v>
      </c>
      <c r="P178" s="155">
        <f t="shared" si="315"/>
        <v>6586</v>
      </c>
      <c r="Q178" s="155">
        <f t="shared" si="315"/>
        <v>10638</v>
      </c>
      <c r="R178" s="155">
        <f t="shared" si="315"/>
        <v>7197</v>
      </c>
      <c r="S178" s="60">
        <f t="shared" si="315"/>
        <v>7197</v>
      </c>
      <c r="T178" s="155">
        <f t="shared" si="315"/>
        <v>16020</v>
      </c>
      <c r="U178" s="155">
        <f t="shared" si="315"/>
        <v>13103</v>
      </c>
      <c r="V178" s="155">
        <f t="shared" si="315"/>
        <v>16073</v>
      </c>
      <c r="W178" s="155">
        <f t="shared" si="315"/>
        <v>12221</v>
      </c>
      <c r="X178" s="60">
        <f t="shared" si="315"/>
        <v>12221</v>
      </c>
      <c r="Y178" s="155">
        <f t="shared" si="315"/>
        <v>19237</v>
      </c>
      <c r="Z178" s="155">
        <f t="shared" si="315"/>
        <v>17684</v>
      </c>
      <c r="AA178" s="155">
        <f t="shared" si="315"/>
        <v>27887</v>
      </c>
      <c r="AB178" s="155">
        <f t="shared" si="315"/>
        <v>23208</v>
      </c>
      <c r="AC178" s="60">
        <f t="shared" si="315"/>
        <v>23208</v>
      </c>
      <c r="AD178" s="49">
        <f t="shared" si="315"/>
        <v>18190</v>
      </c>
      <c r="AE178" s="49">
        <f t="shared" si="315"/>
        <v>15648</v>
      </c>
      <c r="AF178" s="49">
        <f t="shared" si="315"/>
        <v>17416</v>
      </c>
      <c r="AG178" s="49">
        <f t="shared" si="315"/>
        <v>22831</v>
      </c>
      <c r="AH178" s="60">
        <f t="shared" si="315"/>
        <v>22831</v>
      </c>
      <c r="AI178" s="49">
        <f t="shared" si="315"/>
        <v>23345</v>
      </c>
      <c r="AJ178" s="49">
        <f t="shared" si="315"/>
        <v>30133</v>
      </c>
      <c r="AK178" s="49">
        <f t="shared" ref="AK178:BP178" si="316">AK175+AK177</f>
        <v>28200</v>
      </c>
      <c r="AL178" s="49">
        <f t="shared" si="316"/>
        <v>28406</v>
      </c>
      <c r="AM178" s="60">
        <f t="shared" si="316"/>
        <v>28406</v>
      </c>
      <c r="AN178" s="155">
        <f t="shared" si="316"/>
        <v>21179</v>
      </c>
      <c r="AO178" s="155">
        <f t="shared" si="316"/>
        <v>27985</v>
      </c>
      <c r="AP178" s="155">
        <f t="shared" si="316"/>
        <v>25511</v>
      </c>
      <c r="AQ178" s="155">
        <f t="shared" si="316"/>
        <v>28896</v>
      </c>
      <c r="AR178" s="60">
        <f t="shared" si="316"/>
        <v>28896</v>
      </c>
      <c r="AS178" s="155">
        <f t="shared" si="316"/>
        <v>26867</v>
      </c>
      <c r="AT178" s="155">
        <f t="shared" si="316"/>
        <v>32000</v>
      </c>
      <c r="AU178" s="155">
        <f t="shared" si="316"/>
        <v>27437</v>
      </c>
      <c r="AV178" s="155">
        <f t="shared" si="316"/>
        <v>35283</v>
      </c>
      <c r="AW178" s="60">
        <f t="shared" si="316"/>
        <v>35283</v>
      </c>
      <c r="AX178" s="155">
        <f t="shared" si="316"/>
        <v>33751</v>
      </c>
      <c r="AY178" s="155">
        <f t="shared" si="316"/>
        <v>30066</v>
      </c>
      <c r="AZ178" s="155">
        <f t="shared" si="316"/>
        <v>24894</v>
      </c>
      <c r="BA178" s="155">
        <f t="shared" si="316"/>
        <v>22049</v>
      </c>
      <c r="BB178" s="60">
        <f t="shared" si="316"/>
        <v>22049</v>
      </c>
      <c r="BC178" s="155">
        <f t="shared" si="316"/>
        <v>21093</v>
      </c>
      <c r="BD178" s="155">
        <f t="shared" si="316"/>
        <v>24011</v>
      </c>
      <c r="BE178" s="155">
        <f t="shared" si="316"/>
        <v>25798</v>
      </c>
      <c r="BF178" s="155">
        <f t="shared" si="316"/>
        <v>20894</v>
      </c>
      <c r="BG178" s="60">
        <f t="shared" si="316"/>
        <v>20894</v>
      </c>
      <c r="BH178" s="155">
        <f t="shared" si="316"/>
        <v>24356</v>
      </c>
      <c r="BI178" s="155">
        <f t="shared" si="316"/>
        <v>18322</v>
      </c>
      <c r="BJ178" s="155">
        <f t="shared" si="316"/>
        <v>17992</v>
      </c>
      <c r="BK178" s="155">
        <f t="shared" si="316"/>
        <v>14805</v>
      </c>
      <c r="BL178" s="60">
        <f t="shared" si="316"/>
        <v>14805</v>
      </c>
      <c r="BM178" s="49">
        <f t="shared" si="316"/>
        <v>21318</v>
      </c>
      <c r="BN178" s="49">
        <f t="shared" si="316"/>
        <v>17472</v>
      </c>
      <c r="BO178" s="49">
        <f t="shared" si="316"/>
        <v>16460</v>
      </c>
      <c r="BP178" s="49">
        <f t="shared" si="316"/>
        <v>17148</v>
      </c>
      <c r="BQ178" s="60">
        <f t="shared" ref="BQ178:CP178" si="317">BQ175+BQ177</f>
        <v>17148</v>
      </c>
      <c r="BR178" s="49">
        <f t="shared" si="317"/>
        <v>15244</v>
      </c>
      <c r="BS178" s="49">
        <f t="shared" si="317"/>
        <v>15101</v>
      </c>
      <c r="BT178" s="49">
        <f t="shared" si="317"/>
        <v>13539</v>
      </c>
      <c r="BU178" s="49">
        <f t="shared" si="317"/>
        <v>15659</v>
      </c>
      <c r="BV178" s="60">
        <f t="shared" si="317"/>
        <v>15659</v>
      </c>
      <c r="BW178" s="155">
        <f t="shared" si="317"/>
        <v>13820</v>
      </c>
      <c r="BX178" s="155">
        <f t="shared" si="317"/>
        <v>13362</v>
      </c>
      <c r="BY178" s="155">
        <f t="shared" si="317"/>
        <v>14752</v>
      </c>
      <c r="BZ178" s="155">
        <f t="shared" si="317"/>
        <v>14468</v>
      </c>
      <c r="CA178" s="235">
        <f t="shared" si="317"/>
        <v>14468</v>
      </c>
      <c r="CB178" s="155">
        <f t="shared" si="317"/>
        <v>12983</v>
      </c>
      <c r="CC178" s="155">
        <f t="shared" si="317"/>
        <v>11573</v>
      </c>
      <c r="CD178" s="155">
        <f t="shared" si="317"/>
        <v>13320</v>
      </c>
      <c r="CE178" s="155">
        <f t="shared" si="317"/>
        <v>10757</v>
      </c>
      <c r="CF178" s="235">
        <f t="shared" si="317"/>
        <v>10757</v>
      </c>
      <c r="CG178" s="155">
        <f t="shared" si="317"/>
        <v>12368</v>
      </c>
      <c r="CH178" s="155">
        <f t="shared" si="317"/>
        <v>12897</v>
      </c>
      <c r="CI178" s="155">
        <f t="shared" si="317"/>
        <v>14686</v>
      </c>
      <c r="CJ178" s="155">
        <f t="shared" si="317"/>
        <v>14272</v>
      </c>
      <c r="CK178" s="235">
        <f t="shared" si="317"/>
        <v>14272</v>
      </c>
      <c r="CL178" s="238">
        <f t="shared" si="317"/>
        <v>15917</v>
      </c>
      <c r="CM178" s="238">
        <f t="shared" si="317"/>
        <v>17063</v>
      </c>
      <c r="CN178" s="238">
        <f t="shared" si="317"/>
        <v>13340</v>
      </c>
      <c r="CO178" s="238">
        <f t="shared" si="317"/>
        <v>15905</v>
      </c>
      <c r="CP178" s="235">
        <f t="shared" si="317"/>
        <v>15905</v>
      </c>
      <c r="CQ178" s="238">
        <f t="shared" ref="CQ178:DC178" si="318">CQ175+CQ177</f>
        <v>17823</v>
      </c>
      <c r="CR178" s="114">
        <f t="shared" si="318"/>
        <v>16223</v>
      </c>
      <c r="CS178" s="114">
        <f t="shared" si="318"/>
        <v>17589</v>
      </c>
      <c r="CT178" s="114">
        <f t="shared" si="318"/>
        <v>18492</v>
      </c>
      <c r="CU178" s="235">
        <f t="shared" si="318"/>
        <v>18492</v>
      </c>
      <c r="CV178" s="114">
        <f t="shared" si="318"/>
        <v>17158.59278186216</v>
      </c>
      <c r="CW178" s="114">
        <f t="shared" si="318"/>
        <v>17629.230747731064</v>
      </c>
      <c r="CX178" s="114">
        <f t="shared" si="318"/>
        <v>17458.631374383382</v>
      </c>
      <c r="CY178" s="114">
        <f t="shared" si="318"/>
        <v>17398.277321241592</v>
      </c>
      <c r="CZ178" s="235">
        <f t="shared" si="318"/>
        <v>17398.277321241592</v>
      </c>
      <c r="DA178" s="61">
        <f t="shared" si="318"/>
        <v>16941.281010430022</v>
      </c>
      <c r="DB178" s="61">
        <f t="shared" si="318"/>
        <v>16213.86323488505</v>
      </c>
      <c r="DC178" s="61">
        <f t="shared" si="318"/>
        <v>16274.516421965986</v>
      </c>
      <c r="DD178" s="2"/>
      <c r="DE178" s="2"/>
      <c r="DF178" s="235">
        <f>CT178</f>
        <v>18492</v>
      </c>
      <c r="DG178" s="235">
        <v>19535.11479695213</v>
      </c>
      <c r="DH178" s="235">
        <f>CO178</f>
        <v>15905</v>
      </c>
      <c r="DI178" s="454">
        <f>IF(ISERROR(DF178/DG178-1),"NM",DF178/DG178-1)</f>
        <v>-5.3396911551033099E-2</v>
      </c>
      <c r="DJ178" s="454">
        <f>IF(ISERROR(DF178/DH178-1),"NM",DF178/DH178-1)</f>
        <v>0.16265325369380701</v>
      </c>
      <c r="DK178" s="2"/>
      <c r="DL178" s="2"/>
      <c r="DM178" s="2"/>
    </row>
    <row r="179" spans="1:117" ht="12" customHeight="1">
      <c r="A179" s="1109">
        <f t="shared" si="249"/>
        <v>170</v>
      </c>
      <c r="B179" s="10"/>
      <c r="C179" s="24"/>
      <c r="D179" s="24"/>
      <c r="E179" s="63"/>
      <c r="F179" s="63"/>
      <c r="G179" s="63"/>
      <c r="H179" s="63"/>
      <c r="I179" s="63"/>
      <c r="J179" s="149"/>
      <c r="K179" s="149"/>
      <c r="L179" s="149"/>
      <c r="M179" s="149"/>
      <c r="N179" s="63"/>
      <c r="O179" s="149"/>
      <c r="P179" s="149"/>
      <c r="Q179" s="149"/>
      <c r="R179" s="149"/>
      <c r="S179" s="63"/>
      <c r="T179" s="149"/>
      <c r="U179" s="149"/>
      <c r="V179" s="149"/>
      <c r="W179" s="149"/>
      <c r="X179" s="63"/>
      <c r="Y179" s="149"/>
      <c r="Z179" s="149"/>
      <c r="AA179" s="149"/>
      <c r="AB179" s="149"/>
      <c r="AC179" s="63"/>
      <c r="AD179" s="17"/>
      <c r="AE179" s="17"/>
      <c r="AF179" s="17"/>
      <c r="AG179" s="17"/>
      <c r="AH179" s="63"/>
      <c r="AI179" s="17"/>
      <c r="AJ179" s="17"/>
      <c r="AK179" s="17"/>
      <c r="AL179" s="17"/>
      <c r="AM179" s="63"/>
      <c r="AN179" s="149"/>
      <c r="AO179" s="149"/>
      <c r="AP179" s="149"/>
      <c r="AQ179" s="149"/>
      <c r="AR179" s="63"/>
      <c r="AS179" s="149"/>
      <c r="AT179" s="149"/>
      <c r="AU179" s="149"/>
      <c r="AV179" s="149"/>
      <c r="AW179" s="63"/>
      <c r="AX179" s="149"/>
      <c r="AY179" s="149"/>
      <c r="AZ179" s="149"/>
      <c r="BA179" s="149"/>
      <c r="BB179" s="63"/>
      <c r="BC179" s="149"/>
      <c r="BD179" s="149"/>
      <c r="BE179" s="149"/>
      <c r="BF179" s="149"/>
      <c r="BG179" s="63"/>
      <c r="BH179" s="149"/>
      <c r="BI179" s="149"/>
      <c r="BJ179" s="149"/>
      <c r="BK179" s="149"/>
      <c r="BL179" s="63"/>
      <c r="BM179" s="17"/>
      <c r="BN179" s="17"/>
      <c r="BO179" s="17"/>
      <c r="BP179" s="17"/>
      <c r="BQ179" s="63"/>
      <c r="BR179" s="17"/>
      <c r="BS179" s="17"/>
      <c r="BT179" s="17"/>
      <c r="BU179" s="17"/>
      <c r="BV179" s="63"/>
      <c r="BW179" s="149"/>
      <c r="BX179" s="149"/>
      <c r="BY179" s="149"/>
      <c r="BZ179" s="149"/>
      <c r="CA179" s="240"/>
      <c r="CB179" s="149"/>
      <c r="CC179" s="149"/>
      <c r="CD179" s="149"/>
      <c r="CE179" s="149"/>
      <c r="CF179" s="240"/>
      <c r="CG179" s="149"/>
      <c r="CH179" s="149"/>
      <c r="CI179" s="149"/>
      <c r="CJ179" s="149"/>
      <c r="CK179" s="240"/>
      <c r="CL179" s="149"/>
      <c r="CM179" s="149"/>
      <c r="CN179" s="149"/>
      <c r="CO179" s="149"/>
      <c r="CP179" s="240"/>
      <c r="CQ179" s="149"/>
      <c r="CR179" s="17"/>
      <c r="CS179" s="17"/>
      <c r="CT179" s="17"/>
      <c r="CU179" s="240"/>
      <c r="CV179" s="17"/>
      <c r="CW179" s="17"/>
      <c r="CX179" s="17"/>
      <c r="CY179" s="17"/>
      <c r="CZ179" s="240"/>
      <c r="DA179" s="63"/>
      <c r="DB179" s="63"/>
      <c r="DC179" s="63"/>
      <c r="DD179" s="2"/>
      <c r="DE179" s="2"/>
      <c r="DF179" s="240"/>
      <c r="DG179" s="240"/>
      <c r="DH179" s="240"/>
      <c r="DI179" s="451"/>
      <c r="DJ179" s="451"/>
      <c r="DK179" s="2"/>
      <c r="DL179" s="2"/>
      <c r="DM179" s="2"/>
    </row>
    <row r="180" spans="1:117" ht="12" customHeight="1">
      <c r="A180" s="1109">
        <f t="shared" si="249"/>
        <v>171</v>
      </c>
      <c r="B180" s="50"/>
      <c r="C180" s="38" t="s">
        <v>31</v>
      </c>
      <c r="D180" s="38"/>
      <c r="E180" s="76">
        <f t="shared" ref="E180:AJ180" si="319">ROUND(E178-E68,2)</f>
        <v>0</v>
      </c>
      <c r="F180" s="76">
        <f t="shared" si="319"/>
        <v>0</v>
      </c>
      <c r="G180" s="76">
        <f t="shared" si="319"/>
        <v>0</v>
      </c>
      <c r="H180" s="76">
        <f t="shared" si="319"/>
        <v>0</v>
      </c>
      <c r="I180" s="76">
        <f t="shared" si="319"/>
        <v>0</v>
      </c>
      <c r="J180" s="156">
        <f t="shared" si="319"/>
        <v>0</v>
      </c>
      <c r="K180" s="156">
        <f t="shared" si="319"/>
        <v>0</v>
      </c>
      <c r="L180" s="156">
        <f t="shared" si="319"/>
        <v>0</v>
      </c>
      <c r="M180" s="157">
        <f t="shared" si="319"/>
        <v>0</v>
      </c>
      <c r="N180" s="76">
        <f t="shared" si="319"/>
        <v>0</v>
      </c>
      <c r="O180" s="156">
        <f t="shared" si="319"/>
        <v>0</v>
      </c>
      <c r="P180" s="156">
        <f t="shared" si="319"/>
        <v>0</v>
      </c>
      <c r="Q180" s="156">
        <f t="shared" si="319"/>
        <v>0</v>
      </c>
      <c r="R180" s="157">
        <f t="shared" si="319"/>
        <v>0</v>
      </c>
      <c r="S180" s="76">
        <f t="shared" si="319"/>
        <v>0</v>
      </c>
      <c r="T180" s="156">
        <f t="shared" si="319"/>
        <v>0</v>
      </c>
      <c r="U180" s="156">
        <f t="shared" si="319"/>
        <v>0</v>
      </c>
      <c r="V180" s="156">
        <f t="shared" si="319"/>
        <v>0</v>
      </c>
      <c r="W180" s="157">
        <f t="shared" si="319"/>
        <v>0</v>
      </c>
      <c r="X180" s="76">
        <f t="shared" si="319"/>
        <v>0</v>
      </c>
      <c r="Y180" s="156">
        <f t="shared" si="319"/>
        <v>0</v>
      </c>
      <c r="Z180" s="156">
        <f t="shared" si="319"/>
        <v>0</v>
      </c>
      <c r="AA180" s="156">
        <f t="shared" si="319"/>
        <v>0</v>
      </c>
      <c r="AB180" s="328">
        <f t="shared" si="319"/>
        <v>0</v>
      </c>
      <c r="AC180" s="76">
        <f t="shared" si="319"/>
        <v>0</v>
      </c>
      <c r="AD180" s="51">
        <f t="shared" si="319"/>
        <v>0</v>
      </c>
      <c r="AE180" s="51">
        <f t="shared" si="319"/>
        <v>0</v>
      </c>
      <c r="AF180" s="51">
        <f t="shared" si="319"/>
        <v>0</v>
      </c>
      <c r="AG180" s="51">
        <f t="shared" si="319"/>
        <v>0</v>
      </c>
      <c r="AH180" s="76">
        <f t="shared" si="319"/>
        <v>0</v>
      </c>
      <c r="AI180" s="51">
        <f t="shared" si="319"/>
        <v>0</v>
      </c>
      <c r="AJ180" s="51">
        <f t="shared" si="319"/>
        <v>0</v>
      </c>
      <c r="AK180" s="51">
        <f t="shared" ref="AK180:BP180" si="320">ROUND(AK178-AK68,2)</f>
        <v>0</v>
      </c>
      <c r="AL180" s="51">
        <f t="shared" si="320"/>
        <v>0</v>
      </c>
      <c r="AM180" s="76">
        <f t="shared" si="320"/>
        <v>0</v>
      </c>
      <c r="AN180" s="156">
        <f t="shared" si="320"/>
        <v>0</v>
      </c>
      <c r="AO180" s="156">
        <f t="shared" si="320"/>
        <v>0</v>
      </c>
      <c r="AP180" s="156">
        <f t="shared" si="320"/>
        <v>0</v>
      </c>
      <c r="AQ180" s="157">
        <f t="shared" si="320"/>
        <v>0</v>
      </c>
      <c r="AR180" s="76">
        <f t="shared" si="320"/>
        <v>0</v>
      </c>
      <c r="AS180" s="156">
        <f t="shared" si="320"/>
        <v>0</v>
      </c>
      <c r="AT180" s="156">
        <f t="shared" si="320"/>
        <v>0</v>
      </c>
      <c r="AU180" s="156">
        <f t="shared" si="320"/>
        <v>0</v>
      </c>
      <c r="AV180" s="157">
        <f t="shared" si="320"/>
        <v>0</v>
      </c>
      <c r="AW180" s="76">
        <f t="shared" si="320"/>
        <v>0</v>
      </c>
      <c r="AX180" s="156">
        <f t="shared" si="320"/>
        <v>0</v>
      </c>
      <c r="AY180" s="156">
        <f t="shared" si="320"/>
        <v>0</v>
      </c>
      <c r="AZ180" s="156">
        <f t="shared" si="320"/>
        <v>0</v>
      </c>
      <c r="BA180" s="157">
        <f t="shared" si="320"/>
        <v>0</v>
      </c>
      <c r="BB180" s="76">
        <f t="shared" si="320"/>
        <v>0</v>
      </c>
      <c r="BC180" s="156">
        <f t="shared" si="320"/>
        <v>0</v>
      </c>
      <c r="BD180" s="156">
        <f t="shared" si="320"/>
        <v>0</v>
      </c>
      <c r="BE180" s="156">
        <f t="shared" si="320"/>
        <v>0</v>
      </c>
      <c r="BF180" s="157">
        <f t="shared" si="320"/>
        <v>0</v>
      </c>
      <c r="BG180" s="76">
        <f t="shared" si="320"/>
        <v>0</v>
      </c>
      <c r="BH180" s="156">
        <f t="shared" si="320"/>
        <v>0</v>
      </c>
      <c r="BI180" s="156">
        <f t="shared" si="320"/>
        <v>0</v>
      </c>
      <c r="BJ180" s="156">
        <f t="shared" si="320"/>
        <v>0</v>
      </c>
      <c r="BK180" s="157">
        <f t="shared" si="320"/>
        <v>0</v>
      </c>
      <c r="BL180" s="76">
        <f t="shared" si="320"/>
        <v>0</v>
      </c>
      <c r="BM180" s="51">
        <f t="shared" si="320"/>
        <v>0</v>
      </c>
      <c r="BN180" s="51">
        <f t="shared" si="320"/>
        <v>0</v>
      </c>
      <c r="BO180" s="51">
        <f t="shared" si="320"/>
        <v>0</v>
      </c>
      <c r="BP180" s="51">
        <f t="shared" si="320"/>
        <v>0</v>
      </c>
      <c r="BQ180" s="76">
        <f t="shared" ref="BQ180:CV180" si="321">ROUND(BQ178-BQ68,2)</f>
        <v>0</v>
      </c>
      <c r="BR180" s="51">
        <f t="shared" si="321"/>
        <v>0</v>
      </c>
      <c r="BS180" s="51">
        <f t="shared" si="321"/>
        <v>0</v>
      </c>
      <c r="BT180" s="51">
        <f t="shared" si="321"/>
        <v>0</v>
      </c>
      <c r="BU180" s="51">
        <f t="shared" si="321"/>
        <v>0</v>
      </c>
      <c r="BV180" s="76">
        <f t="shared" si="321"/>
        <v>0</v>
      </c>
      <c r="BW180" s="156">
        <f t="shared" si="321"/>
        <v>0</v>
      </c>
      <c r="BX180" s="156">
        <f t="shared" si="321"/>
        <v>0</v>
      </c>
      <c r="BY180" s="156">
        <f t="shared" si="321"/>
        <v>0</v>
      </c>
      <c r="BZ180" s="156">
        <f t="shared" si="321"/>
        <v>0</v>
      </c>
      <c r="CA180" s="262">
        <f t="shared" si="321"/>
        <v>0</v>
      </c>
      <c r="CB180" s="156">
        <f t="shared" si="321"/>
        <v>0</v>
      </c>
      <c r="CC180" s="156">
        <f t="shared" si="321"/>
        <v>0</v>
      </c>
      <c r="CD180" s="156">
        <f t="shared" si="321"/>
        <v>0</v>
      </c>
      <c r="CE180" s="156">
        <f t="shared" si="321"/>
        <v>0</v>
      </c>
      <c r="CF180" s="262">
        <f t="shared" si="321"/>
        <v>0</v>
      </c>
      <c r="CG180" s="156">
        <f t="shared" si="321"/>
        <v>0</v>
      </c>
      <c r="CH180" s="156">
        <f t="shared" si="321"/>
        <v>0</v>
      </c>
      <c r="CI180" s="156">
        <f t="shared" si="321"/>
        <v>0</v>
      </c>
      <c r="CJ180" s="157">
        <f t="shared" si="321"/>
        <v>0</v>
      </c>
      <c r="CK180" s="262">
        <f t="shared" si="321"/>
        <v>0</v>
      </c>
      <c r="CL180" s="156">
        <f t="shared" si="321"/>
        <v>0</v>
      </c>
      <c r="CM180" s="156">
        <f t="shared" si="321"/>
        <v>0</v>
      </c>
      <c r="CN180" s="156">
        <f t="shared" si="321"/>
        <v>0</v>
      </c>
      <c r="CO180" s="157">
        <f t="shared" si="321"/>
        <v>0</v>
      </c>
      <c r="CP180" s="262">
        <f t="shared" si="321"/>
        <v>0</v>
      </c>
      <c r="CQ180" s="156">
        <f t="shared" si="321"/>
        <v>0</v>
      </c>
      <c r="CR180" s="51">
        <f t="shared" si="321"/>
        <v>0</v>
      </c>
      <c r="CS180" s="51">
        <f t="shared" si="321"/>
        <v>0</v>
      </c>
      <c r="CT180" s="51">
        <f t="shared" si="321"/>
        <v>0</v>
      </c>
      <c r="CU180" s="262">
        <f t="shared" si="321"/>
        <v>0</v>
      </c>
      <c r="CV180" s="51">
        <f t="shared" si="321"/>
        <v>0</v>
      </c>
      <c r="CW180" s="51">
        <f t="shared" ref="CW180:DC180" si="322">ROUND(CW178-CW68,2)</f>
        <v>0</v>
      </c>
      <c r="CX180" s="51">
        <f t="shared" si="322"/>
        <v>0</v>
      </c>
      <c r="CY180" s="51">
        <f t="shared" si="322"/>
        <v>0</v>
      </c>
      <c r="CZ180" s="262">
        <f t="shared" si="322"/>
        <v>0</v>
      </c>
      <c r="DA180" s="76">
        <f t="shared" si="322"/>
        <v>0</v>
      </c>
      <c r="DB180" s="76">
        <f t="shared" si="322"/>
        <v>0</v>
      </c>
      <c r="DC180" s="76">
        <f t="shared" si="322"/>
        <v>0</v>
      </c>
      <c r="DD180" s="38"/>
      <c r="DE180" s="38"/>
      <c r="DF180" s="262"/>
      <c r="DG180" s="262"/>
      <c r="DH180" s="262"/>
      <c r="DI180" s="452"/>
      <c r="DJ180" s="452"/>
      <c r="DK180" s="38"/>
      <c r="DL180" s="38"/>
      <c r="DM180" s="38"/>
    </row>
    <row r="181" spans="1:117" ht="12" customHeight="1">
      <c r="A181" s="1109"/>
      <c r="B181" s="50"/>
      <c r="C181" s="38"/>
      <c r="D181" s="38"/>
      <c r="E181" s="76"/>
      <c r="F181" s="76"/>
      <c r="G181" s="76"/>
      <c r="H181" s="76"/>
      <c r="I181" s="76"/>
      <c r="J181" s="156"/>
      <c r="K181" s="156"/>
      <c r="L181" s="156"/>
      <c r="M181" s="157"/>
      <c r="N181" s="76"/>
      <c r="O181" s="156"/>
      <c r="P181" s="156"/>
      <c r="Q181" s="156"/>
      <c r="R181" s="157"/>
      <c r="S181" s="76"/>
      <c r="T181" s="156"/>
      <c r="U181" s="156"/>
      <c r="V181" s="156"/>
      <c r="W181" s="157"/>
      <c r="X181" s="76"/>
      <c r="Y181" s="156"/>
      <c r="Z181" s="156"/>
      <c r="AA181" s="156"/>
      <c r="AB181" s="328"/>
      <c r="AC181" s="76"/>
      <c r="AD181" s="51"/>
      <c r="AE181" s="51"/>
      <c r="AF181" s="51"/>
      <c r="AG181" s="51"/>
      <c r="AH181" s="76"/>
      <c r="AI181" s="51"/>
      <c r="AJ181" s="51"/>
      <c r="AK181" s="51"/>
      <c r="AL181" s="51"/>
      <c r="AM181" s="76"/>
      <c r="AN181" s="156"/>
      <c r="AO181" s="156"/>
      <c r="AP181" s="156"/>
      <c r="AQ181" s="157"/>
      <c r="AR181" s="76"/>
      <c r="AS181" s="156"/>
      <c r="AT181" s="156"/>
      <c r="AU181" s="156"/>
      <c r="AV181" s="157"/>
      <c r="AW181" s="76"/>
      <c r="AX181" s="156"/>
      <c r="AY181" s="156"/>
      <c r="AZ181" s="156"/>
      <c r="BA181" s="157"/>
      <c r="BB181" s="76"/>
      <c r="BC181" s="156"/>
      <c r="BD181" s="156"/>
      <c r="BE181" s="156"/>
      <c r="BF181" s="157"/>
      <c r="BG181" s="76"/>
      <c r="BH181" s="156"/>
      <c r="BI181" s="156"/>
      <c r="BJ181" s="156"/>
      <c r="BK181" s="157"/>
      <c r="BL181" s="76"/>
      <c r="BM181" s="51"/>
      <c r="BN181" s="51"/>
      <c r="BO181" s="51"/>
      <c r="BP181" s="51"/>
      <c r="BQ181" s="76"/>
      <c r="BR181" s="51"/>
      <c r="BS181" s="51"/>
      <c r="BT181" s="51"/>
      <c r="BU181" s="51"/>
      <c r="BV181" s="76"/>
      <c r="BW181" s="156"/>
      <c r="BX181" s="156"/>
      <c r="BY181" s="156"/>
      <c r="BZ181" s="156"/>
      <c r="CA181" s="262"/>
      <c r="CB181" s="156"/>
      <c r="CC181" s="156"/>
      <c r="CD181" s="156"/>
      <c r="CE181" s="156"/>
      <c r="CF181" s="262"/>
      <c r="CG181" s="156"/>
      <c r="CH181" s="156"/>
      <c r="CI181" s="156"/>
      <c r="CJ181" s="157"/>
      <c r="CK181" s="262"/>
      <c r="CL181" s="156"/>
      <c r="CM181" s="156"/>
      <c r="CN181" s="156"/>
      <c r="CO181" s="157"/>
      <c r="CP181" s="262"/>
      <c r="CQ181" s="156"/>
      <c r="CR181" s="51"/>
      <c r="CS181" s="51"/>
      <c r="CT181" s="51"/>
      <c r="CU181" s="262"/>
      <c r="CV181" s="51"/>
      <c r="CW181" s="51"/>
      <c r="CX181" s="51"/>
      <c r="CY181" s="51"/>
      <c r="CZ181" s="262"/>
      <c r="DA181" s="76"/>
      <c r="DB181" s="76"/>
      <c r="DC181" s="76"/>
      <c r="DD181" s="38"/>
      <c r="DE181" s="38"/>
      <c r="DF181" s="262"/>
      <c r="DG181" s="262"/>
      <c r="DH181" s="262"/>
      <c r="DI181" s="452"/>
      <c r="DJ181" s="452"/>
      <c r="DK181" s="38"/>
      <c r="DL181" s="38"/>
      <c r="DM181" s="38"/>
    </row>
    <row r="182" spans="1:117" ht="12" customHeight="1">
      <c r="A182" s="1109">
        <f>A180+1</f>
        <v>172</v>
      </c>
      <c r="B182" s="10"/>
      <c r="C182" s="6" t="s">
        <v>754</v>
      </c>
      <c r="D182" s="2"/>
      <c r="E182" s="60"/>
      <c r="F182" s="60"/>
      <c r="G182" s="60"/>
      <c r="H182" s="60"/>
      <c r="I182" s="60"/>
      <c r="J182" s="154"/>
      <c r="K182" s="154"/>
      <c r="L182" s="154"/>
      <c r="M182" s="161"/>
      <c r="N182" s="60"/>
      <c r="O182" s="154"/>
      <c r="P182" s="154"/>
      <c r="Q182" s="154"/>
      <c r="R182" s="161"/>
      <c r="S182" s="60"/>
      <c r="T182" s="154"/>
      <c r="U182" s="154"/>
      <c r="V182" s="154"/>
      <c r="W182" s="161"/>
      <c r="X182" s="60"/>
      <c r="Y182" s="154"/>
      <c r="Z182" s="154"/>
      <c r="AA182" s="154"/>
      <c r="AB182" s="161"/>
      <c r="AC182" s="60"/>
      <c r="AD182" s="44"/>
      <c r="AE182" s="44"/>
      <c r="AF182" s="44"/>
      <c r="AG182" s="44"/>
      <c r="AH182" s="60"/>
      <c r="AI182" s="44"/>
      <c r="AJ182" s="44"/>
      <c r="AK182" s="44"/>
      <c r="AL182" s="44"/>
      <c r="AM182" s="60"/>
      <c r="AN182" s="154"/>
      <c r="AO182" s="154"/>
      <c r="AP182" s="154"/>
      <c r="AQ182" s="161"/>
      <c r="AR182" s="60"/>
      <c r="AS182" s="154"/>
      <c r="AT182" s="154"/>
      <c r="AU182" s="154"/>
      <c r="AV182" s="161"/>
      <c r="AW182" s="60"/>
      <c r="AX182" s="154"/>
      <c r="AY182" s="154"/>
      <c r="AZ182" s="154"/>
      <c r="BA182" s="161"/>
      <c r="BB182" s="60"/>
      <c r="BC182" s="154"/>
      <c r="BD182" s="154"/>
      <c r="BE182" s="154"/>
      <c r="BF182" s="161"/>
      <c r="BG182" s="60"/>
      <c r="BH182" s="154"/>
      <c r="BI182" s="154"/>
      <c r="BJ182" s="154"/>
      <c r="BK182" s="161"/>
      <c r="BL182" s="60"/>
      <c r="BM182" s="44"/>
      <c r="BN182" s="44"/>
      <c r="BO182" s="44"/>
      <c r="BP182" s="44"/>
      <c r="BQ182" s="60"/>
      <c r="BR182" s="44"/>
      <c r="BS182" s="44"/>
      <c r="BT182" s="44"/>
      <c r="BU182" s="44"/>
      <c r="BV182" s="60"/>
      <c r="BW182" s="154"/>
      <c r="BX182" s="154"/>
      <c r="BY182" s="154"/>
      <c r="BZ182" s="154"/>
      <c r="CA182" s="235"/>
      <c r="CB182" s="154"/>
      <c r="CC182" s="154"/>
      <c r="CD182" s="154"/>
      <c r="CE182" s="154"/>
      <c r="CF182" s="235"/>
      <c r="CG182" s="154"/>
      <c r="CH182" s="154"/>
      <c r="CI182" s="154"/>
      <c r="CJ182" s="161"/>
      <c r="CK182" s="235"/>
      <c r="CL182" s="154"/>
      <c r="CM182" s="154"/>
      <c r="CN182" s="154"/>
      <c r="CO182" s="161"/>
      <c r="CP182" s="235"/>
      <c r="CQ182" s="154"/>
      <c r="CR182" s="44"/>
      <c r="CS182" s="44"/>
      <c r="CT182" s="44"/>
      <c r="CU182" s="60"/>
      <c r="CV182" s="154"/>
      <c r="CW182" s="44"/>
      <c r="CX182" s="44"/>
      <c r="CY182" s="44"/>
      <c r="CZ182" s="60"/>
      <c r="DA182" s="86"/>
      <c r="DB182" s="86"/>
      <c r="DC182" s="86"/>
      <c r="DD182" s="2"/>
      <c r="DE182" s="2"/>
      <c r="DF182" s="235"/>
      <c r="DG182" s="235"/>
      <c r="DH182" s="235"/>
      <c r="DI182" s="454"/>
      <c r="DJ182" s="454"/>
      <c r="DK182" s="2"/>
      <c r="DL182" s="2"/>
      <c r="DM182" s="2"/>
    </row>
    <row r="183" spans="1:117" ht="12" customHeight="1">
      <c r="A183" s="1109">
        <f>A182+1</f>
        <v>173</v>
      </c>
      <c r="B183" s="10"/>
      <c r="C183" s="2" t="s">
        <v>753</v>
      </c>
      <c r="D183" s="2"/>
      <c r="E183" s="144"/>
      <c r="F183" s="144"/>
      <c r="G183" s="144"/>
      <c r="H183" s="144"/>
      <c r="I183" s="144"/>
      <c r="J183" s="154"/>
      <c r="K183" s="154"/>
      <c r="L183" s="154"/>
      <c r="M183" s="161"/>
      <c r="N183" s="60"/>
      <c r="O183" s="154"/>
      <c r="P183" s="154"/>
      <c r="Q183" s="154"/>
      <c r="R183" s="161"/>
      <c r="S183" s="60"/>
      <c r="T183" s="154"/>
      <c r="U183" s="154"/>
      <c r="V183" s="154"/>
      <c r="W183" s="161"/>
      <c r="X183" s="60"/>
      <c r="Y183" s="154"/>
      <c r="Z183" s="154"/>
      <c r="AA183" s="154"/>
      <c r="AB183" s="161"/>
      <c r="AC183" s="60"/>
      <c r="AD183" s="44"/>
      <c r="AE183" s="44"/>
      <c r="AF183" s="44"/>
      <c r="AG183" s="44"/>
      <c r="AH183" s="60"/>
      <c r="AI183" s="44"/>
      <c r="AJ183" s="44"/>
      <c r="AK183" s="44"/>
      <c r="AL183" s="44"/>
      <c r="AM183" s="60"/>
      <c r="AN183" s="154"/>
      <c r="AO183" s="154"/>
      <c r="AP183" s="154"/>
      <c r="AQ183" s="161"/>
      <c r="AR183" s="60"/>
      <c r="AS183" s="154"/>
      <c r="AT183" s="154"/>
      <c r="AU183" s="154"/>
      <c r="AV183" s="161"/>
      <c r="AW183" s="60"/>
      <c r="AX183" s="154"/>
      <c r="AY183" s="154"/>
      <c r="AZ183" s="154"/>
      <c r="BA183" s="161"/>
      <c r="BB183" s="60"/>
      <c r="BC183" s="154"/>
      <c r="BD183" s="154"/>
      <c r="BE183" s="154"/>
      <c r="BF183" s="161"/>
      <c r="BG183" s="60"/>
      <c r="BH183" s="154"/>
      <c r="BI183" s="154"/>
      <c r="BJ183" s="154"/>
      <c r="BK183" s="161"/>
      <c r="BL183" s="60"/>
      <c r="BM183" s="44"/>
      <c r="BN183" s="44"/>
      <c r="BO183" s="44"/>
      <c r="BP183" s="44"/>
      <c r="BQ183" s="60"/>
      <c r="BR183" s="44"/>
      <c r="BS183" s="44"/>
      <c r="BT183" s="44"/>
      <c r="BU183" s="44"/>
      <c r="BV183" s="60"/>
      <c r="BW183" s="154"/>
      <c r="BX183" s="154"/>
      <c r="BY183" s="154"/>
      <c r="BZ183" s="154"/>
      <c r="CA183" s="235">
        <v>7738</v>
      </c>
      <c r="CB183" s="154"/>
      <c r="CC183" s="154"/>
      <c r="CD183" s="154"/>
      <c r="CE183" s="154"/>
      <c r="CF183" s="235">
        <v>8764</v>
      </c>
      <c r="CG183" s="154"/>
      <c r="CH183" s="154"/>
      <c r="CI183" s="154"/>
      <c r="CJ183" s="161"/>
      <c r="CK183" s="235">
        <v>12294</v>
      </c>
      <c r="CL183" s="154">
        <f>6871-CM183</f>
        <v>2727</v>
      </c>
      <c r="CM183" s="154">
        <f>4144</f>
        <v>4144</v>
      </c>
      <c r="CN183" s="154">
        <f>8223-SUM(CL183:CM183)</f>
        <v>1352</v>
      </c>
      <c r="CO183" s="161">
        <f>11045-SUM(CL183:CN183)</f>
        <v>2822</v>
      </c>
      <c r="CP183" s="235">
        <f>SUM(CL183:CO183)</f>
        <v>11045</v>
      </c>
      <c r="CQ183" s="154">
        <v>3262</v>
      </c>
      <c r="CR183" s="44">
        <f>5748-CQ183</f>
        <v>2486</v>
      </c>
      <c r="CS183" s="44">
        <f>5575-CQ183-CR183</f>
        <v>-173</v>
      </c>
      <c r="CT183" s="44"/>
      <c r="CU183" s="60"/>
      <c r="CV183" s="154"/>
      <c r="CW183" s="44"/>
      <c r="CX183" s="44"/>
      <c r="CY183" s="44"/>
      <c r="CZ183" s="60"/>
      <c r="DA183" s="86"/>
      <c r="DB183" s="86"/>
      <c r="DC183" s="86"/>
      <c r="DD183" s="2"/>
      <c r="DE183" s="2"/>
      <c r="DF183" s="235">
        <f>CT183</f>
        <v>0</v>
      </c>
      <c r="DG183" s="235">
        <v>0</v>
      </c>
      <c r="DH183" s="235">
        <f>CO183</f>
        <v>2822</v>
      </c>
      <c r="DI183" s="454" t="str">
        <f>IF(ISERROR(DF183/DG183-1),"NM",DF183/DG183-1)</f>
        <v>NM</v>
      </c>
      <c r="DJ183" s="454">
        <f>IF(ISERROR(DF183/DH183-1),"NM",DF183/DH183-1)</f>
        <v>-1</v>
      </c>
      <c r="DK183" s="2"/>
      <c r="DL183" s="2"/>
      <c r="DM183" s="2"/>
    </row>
    <row r="184" spans="1:117" ht="12" customHeight="1">
      <c r="A184" s="1109">
        <f>A183+1</f>
        <v>174</v>
      </c>
      <c r="B184" s="10"/>
      <c r="C184" s="2" t="s">
        <v>755</v>
      </c>
      <c r="D184" s="2"/>
      <c r="E184" s="144"/>
      <c r="F184" s="144"/>
      <c r="G184" s="144"/>
      <c r="H184" s="144"/>
      <c r="I184" s="144"/>
      <c r="J184" s="154"/>
      <c r="K184" s="154"/>
      <c r="L184" s="154"/>
      <c r="M184" s="161"/>
      <c r="N184" s="60"/>
      <c r="O184" s="154"/>
      <c r="P184" s="154"/>
      <c r="Q184" s="154"/>
      <c r="R184" s="161"/>
      <c r="S184" s="60"/>
      <c r="T184" s="154"/>
      <c r="U184" s="154"/>
      <c r="V184" s="154"/>
      <c r="W184" s="161"/>
      <c r="X184" s="60"/>
      <c r="Y184" s="154"/>
      <c r="Z184" s="154"/>
      <c r="AA184" s="154"/>
      <c r="AB184" s="161"/>
      <c r="AC184" s="60"/>
      <c r="AD184" s="44"/>
      <c r="AE184" s="44"/>
      <c r="AF184" s="44"/>
      <c r="AG184" s="44"/>
      <c r="AH184" s="60"/>
      <c r="AI184" s="44"/>
      <c r="AJ184" s="44"/>
      <c r="AK184" s="44"/>
      <c r="AL184" s="44"/>
      <c r="AM184" s="60"/>
      <c r="AN184" s="154"/>
      <c r="AO184" s="154"/>
      <c r="AP184" s="154"/>
      <c r="AQ184" s="161"/>
      <c r="AR184" s="60"/>
      <c r="AS184" s="154"/>
      <c r="AT184" s="154"/>
      <c r="AU184" s="154"/>
      <c r="AV184" s="161"/>
      <c r="AW184" s="60"/>
      <c r="AX184" s="154"/>
      <c r="AY184" s="154"/>
      <c r="AZ184" s="154"/>
      <c r="BA184" s="161"/>
      <c r="BB184" s="60"/>
      <c r="BC184" s="154"/>
      <c r="BD184" s="154"/>
      <c r="BE184" s="154"/>
      <c r="BF184" s="161"/>
      <c r="BG184" s="60"/>
      <c r="BH184" s="154"/>
      <c r="BI184" s="154"/>
      <c r="BJ184" s="154"/>
      <c r="BK184" s="161"/>
      <c r="BL184" s="60"/>
      <c r="BM184" s="44"/>
      <c r="BN184" s="44"/>
      <c r="BO184" s="44"/>
      <c r="BP184" s="44"/>
      <c r="BQ184" s="60"/>
      <c r="BR184" s="44"/>
      <c r="BS184" s="44"/>
      <c r="BT184" s="44"/>
      <c r="BU184" s="44"/>
      <c r="BV184" s="60"/>
      <c r="BW184" s="154"/>
      <c r="BX184" s="154"/>
      <c r="BY184" s="154"/>
      <c r="BZ184" s="154"/>
      <c r="CA184" s="235">
        <v>-6566</v>
      </c>
      <c r="CB184" s="154"/>
      <c r="CC184" s="154"/>
      <c r="CD184" s="154"/>
      <c r="CE184" s="154"/>
      <c r="CF184" s="235">
        <v>-7360</v>
      </c>
      <c r="CG184" s="154"/>
      <c r="CH184" s="154"/>
      <c r="CI184" s="154"/>
      <c r="CJ184" s="161"/>
      <c r="CK184" s="235">
        <v>-7147</v>
      </c>
      <c r="CL184" s="875">
        <f>-3183-CM184</f>
        <v>-1497</v>
      </c>
      <c r="CM184" s="161">
        <v>-1686</v>
      </c>
      <c r="CN184" s="161">
        <v>-1696</v>
      </c>
      <c r="CO184" s="161">
        <f>-6948-SUM(CL184:CN184)</f>
        <v>-2069</v>
      </c>
      <c r="CP184" s="235">
        <f>SUM(CL184:CO184)</f>
        <v>-6948</v>
      </c>
      <c r="CQ184" s="154">
        <f>-1696</f>
        <v>-1696</v>
      </c>
      <c r="CR184" s="44">
        <f>-3242-CQ184</f>
        <v>-1546</v>
      </c>
      <c r="CS184" s="44">
        <f>-4901-CQ184-CR184</f>
        <v>-1659</v>
      </c>
      <c r="CT184" s="155">
        <f t="shared" ref="CT184:DC184" si="323">CT144</f>
        <v>-2113</v>
      </c>
      <c r="CU184" s="60">
        <f>SUM(CQ184:CT184)</f>
        <v>-7014</v>
      </c>
      <c r="CV184" s="154">
        <f t="shared" si="323"/>
        <v>-1883.9587200000001</v>
      </c>
      <c r="CW184" s="44">
        <f t="shared" si="323"/>
        <v>-1886.3986800000002</v>
      </c>
      <c r="CX184" s="44">
        <f t="shared" si="323"/>
        <v>-1891.3825200000003</v>
      </c>
      <c r="CY184" s="44">
        <f t="shared" si="323"/>
        <v>-1896.3851820000002</v>
      </c>
      <c r="CZ184" s="60">
        <f t="shared" si="323"/>
        <v>-7558.1251020000009</v>
      </c>
      <c r="DA184" s="60">
        <f t="shared" si="323"/>
        <v>-7946.4640931750009</v>
      </c>
      <c r="DB184" s="60">
        <f t="shared" si="323"/>
        <v>-8176.9691586955078</v>
      </c>
      <c r="DC184" s="60">
        <f t="shared" si="323"/>
        <v>-8055.6880913827972</v>
      </c>
      <c r="DD184" s="2"/>
      <c r="DE184" s="2"/>
      <c r="DF184" s="235">
        <f>CT184</f>
        <v>-2113</v>
      </c>
      <c r="DG184" s="235">
        <v>-1730.3704312500001</v>
      </c>
      <c r="DH184" s="235">
        <f>CO184</f>
        <v>-2069</v>
      </c>
      <c r="DI184" s="454">
        <f>IF(ISERROR(DF184/DG184-1),"NM",DF184/DG184-1)</f>
        <v>0.2211258132015077</v>
      </c>
      <c r="DJ184" s="454">
        <f>IF(ISERROR(DF184/DH184-1),"NM",DF184/DH184-1)</f>
        <v>2.126631222812958E-2</v>
      </c>
      <c r="DK184" s="2"/>
      <c r="DL184" s="2"/>
      <c r="DM184" s="2"/>
    </row>
    <row r="185" spans="1:117" ht="12" customHeight="1" thickBot="1">
      <c r="A185" s="1109">
        <f t="shared" ref="A185:A207" si="324">A184+1</f>
        <v>175</v>
      </c>
      <c r="B185" s="10"/>
      <c r="C185" s="2"/>
      <c r="D185" s="2"/>
      <c r="E185" s="77"/>
      <c r="F185" s="77"/>
      <c r="G185" s="77"/>
      <c r="H185" s="77"/>
      <c r="I185" s="77"/>
      <c r="J185" s="2"/>
      <c r="K185" s="2"/>
      <c r="L185" s="2"/>
      <c r="M185" s="2"/>
      <c r="N185" s="77"/>
      <c r="O185" s="2"/>
      <c r="P185" s="2"/>
      <c r="Q185" s="2"/>
      <c r="R185" s="2"/>
      <c r="S185" s="77"/>
      <c r="T185" s="2"/>
      <c r="U185" s="2"/>
      <c r="V185" s="2"/>
      <c r="W185" s="2"/>
      <c r="X185" s="77"/>
      <c r="Y185" s="9"/>
      <c r="Z185" s="9"/>
      <c r="AA185" s="9"/>
      <c r="AB185" s="9"/>
      <c r="AC185" s="77"/>
      <c r="AD185" s="9"/>
      <c r="AE185" s="32"/>
      <c r="AF185" s="32"/>
      <c r="AG185" s="32"/>
      <c r="AH185" s="77"/>
      <c r="AI185" s="9"/>
      <c r="AJ185" s="9"/>
      <c r="AK185" s="9"/>
      <c r="AL185" s="9"/>
      <c r="AM185" s="77"/>
      <c r="AN185" s="9"/>
      <c r="AO185" s="9"/>
      <c r="AP185" s="9"/>
      <c r="AQ185" s="9"/>
      <c r="AR185" s="77"/>
      <c r="AS185" s="9"/>
      <c r="AT185" s="9"/>
      <c r="AU185" s="9"/>
      <c r="AV185" s="9"/>
      <c r="AW185" s="77"/>
      <c r="AX185" s="9"/>
      <c r="AY185" s="9"/>
      <c r="AZ185" s="9"/>
      <c r="BA185" s="9"/>
      <c r="BB185" s="77"/>
      <c r="BC185" s="9"/>
      <c r="BD185" s="9"/>
      <c r="BE185" s="9"/>
      <c r="BF185" s="9"/>
      <c r="BG185" s="77"/>
      <c r="BH185" s="26"/>
      <c r="BI185" s="9"/>
      <c r="BJ185" s="9"/>
      <c r="BK185" s="9"/>
      <c r="BL185" s="77"/>
      <c r="BM185" s="26"/>
      <c r="BN185" s="26"/>
      <c r="BO185" s="9"/>
      <c r="BP185" s="9"/>
      <c r="BQ185" s="77"/>
      <c r="BR185" s="9"/>
      <c r="BS185" s="9"/>
      <c r="BT185" s="9"/>
      <c r="BU185" s="9"/>
      <c r="BV185" s="77"/>
      <c r="BW185" s="33"/>
      <c r="BX185" s="253"/>
      <c r="BY185" s="253"/>
      <c r="BZ185" s="253"/>
      <c r="CA185" s="77"/>
      <c r="CB185" s="33"/>
      <c r="CC185" s="33"/>
      <c r="CD185" s="33"/>
      <c r="CE185" s="247"/>
      <c r="CF185" s="77"/>
      <c r="CG185" s="33"/>
      <c r="CH185" s="33"/>
      <c r="CI185" s="33"/>
      <c r="CJ185" s="247"/>
      <c r="CK185" s="149"/>
      <c r="CL185" s="149"/>
      <c r="CM185" s="149"/>
      <c r="CN185" s="149"/>
      <c r="CO185" s="149"/>
      <c r="CP185" s="240"/>
      <c r="CQ185" s="329"/>
      <c r="CR185" s="329"/>
      <c r="CS185" s="329"/>
      <c r="CT185" s="329"/>
      <c r="CU185" s="331"/>
      <c r="CV185" s="1013"/>
      <c r="CW185" s="1"/>
      <c r="CX185" s="1"/>
      <c r="CY185" s="1017"/>
      <c r="CZ185" s="331"/>
      <c r="DA185" s="331"/>
      <c r="DB185" s="331"/>
      <c r="DC185" s="331"/>
      <c r="DD185" s="2"/>
      <c r="DE185" s="2"/>
      <c r="DF185" s="331"/>
      <c r="DG185" s="331"/>
      <c r="DH185" s="331"/>
      <c r="DI185" s="464"/>
      <c r="DJ185" s="464"/>
      <c r="DK185" s="2"/>
      <c r="DL185" s="2"/>
      <c r="DM185" s="2"/>
    </row>
    <row r="186" spans="1:117" ht="12" customHeight="1" thickBot="1">
      <c r="A186" s="1109">
        <f t="shared" si="324"/>
        <v>176</v>
      </c>
      <c r="B186" s="10"/>
      <c r="C186" s="52" t="s">
        <v>355</v>
      </c>
      <c r="D186" s="53"/>
      <c r="E186" s="71">
        <f t="shared" ref="E186:AJ186" si="325">E141+E144</f>
        <v>12174</v>
      </c>
      <c r="F186" s="71">
        <f t="shared" si="325"/>
        <v>10606</v>
      </c>
      <c r="G186" s="71">
        <f t="shared" si="325"/>
        <v>18917</v>
      </c>
      <c r="H186" s="71">
        <f t="shared" si="325"/>
        <v>14483</v>
      </c>
      <c r="I186" s="71">
        <f t="shared" si="325"/>
        <v>19732</v>
      </c>
      <c r="J186" s="54">
        <f t="shared" si="325"/>
        <v>7074</v>
      </c>
      <c r="K186" s="54">
        <f t="shared" si="325"/>
        <v>9123</v>
      </c>
      <c r="L186" s="54">
        <f t="shared" si="325"/>
        <v>6526</v>
      </c>
      <c r="M186" s="54">
        <f t="shared" si="325"/>
        <v>3267</v>
      </c>
      <c r="N186" s="71">
        <f t="shared" si="325"/>
        <v>25990</v>
      </c>
      <c r="O186" s="54">
        <f t="shared" si="325"/>
        <v>3650</v>
      </c>
      <c r="P186" s="54">
        <f t="shared" si="325"/>
        <v>7199</v>
      </c>
      <c r="Q186" s="54">
        <f t="shared" si="325"/>
        <v>6716</v>
      </c>
      <c r="R186" s="54">
        <f t="shared" si="325"/>
        <v>-2626</v>
      </c>
      <c r="S186" s="71">
        <f t="shared" si="325"/>
        <v>14939</v>
      </c>
      <c r="T186" s="54">
        <f t="shared" si="325"/>
        <v>3900</v>
      </c>
      <c r="U186" s="54">
        <f t="shared" si="325"/>
        <v>5216</v>
      </c>
      <c r="V186" s="54">
        <f t="shared" si="325"/>
        <v>3383</v>
      </c>
      <c r="W186" s="54">
        <f t="shared" si="325"/>
        <v>-1264</v>
      </c>
      <c r="X186" s="71">
        <f t="shared" si="325"/>
        <v>11235</v>
      </c>
      <c r="Y186" s="54">
        <f t="shared" si="325"/>
        <v>6279</v>
      </c>
      <c r="Z186" s="54">
        <f t="shared" si="325"/>
        <v>3962</v>
      </c>
      <c r="AA186" s="54">
        <f t="shared" si="325"/>
        <v>3389</v>
      </c>
      <c r="AB186" s="54">
        <f t="shared" si="325"/>
        <v>-4086</v>
      </c>
      <c r="AC186" s="71">
        <f t="shared" si="325"/>
        <v>9544</v>
      </c>
      <c r="AD186" s="54">
        <f t="shared" si="325"/>
        <v>3593</v>
      </c>
      <c r="AE186" s="54">
        <f t="shared" si="325"/>
        <v>6139</v>
      </c>
      <c r="AF186" s="54">
        <f t="shared" si="325"/>
        <v>5259</v>
      </c>
      <c r="AG186" s="54">
        <f t="shared" si="325"/>
        <v>-46</v>
      </c>
      <c r="AH186" s="71">
        <f t="shared" si="325"/>
        <v>14945</v>
      </c>
      <c r="AI186" s="54">
        <f t="shared" si="325"/>
        <v>3604</v>
      </c>
      <c r="AJ186" s="54">
        <f t="shared" si="325"/>
        <v>5573</v>
      </c>
      <c r="AK186" s="193">
        <f t="shared" ref="AK186:BP186" si="326">AK141+AK144</f>
        <v>4643</v>
      </c>
      <c r="AL186" s="54">
        <f t="shared" si="326"/>
        <v>-950</v>
      </c>
      <c r="AM186" s="71">
        <f t="shared" si="326"/>
        <v>12870</v>
      </c>
      <c r="AN186" s="54">
        <f t="shared" si="326"/>
        <v>-1855</v>
      </c>
      <c r="AO186" s="54">
        <f t="shared" si="326"/>
        <v>8165</v>
      </c>
      <c r="AP186" s="54">
        <f t="shared" si="326"/>
        <v>5427</v>
      </c>
      <c r="AQ186" s="54">
        <f t="shared" si="326"/>
        <v>-8963</v>
      </c>
      <c r="AR186" s="71">
        <f t="shared" si="326"/>
        <v>2774</v>
      </c>
      <c r="AS186" s="193">
        <f t="shared" si="326"/>
        <v>-317</v>
      </c>
      <c r="AT186" s="54">
        <f t="shared" si="326"/>
        <v>2907</v>
      </c>
      <c r="AU186" s="54">
        <f t="shared" si="326"/>
        <v>6437</v>
      </c>
      <c r="AV186" s="54">
        <f t="shared" si="326"/>
        <v>2025</v>
      </c>
      <c r="AW186" s="71">
        <f t="shared" si="326"/>
        <v>11052</v>
      </c>
      <c r="AX186" s="54">
        <f t="shared" si="326"/>
        <v>-463</v>
      </c>
      <c r="AY186" s="54">
        <f t="shared" si="326"/>
        <v>-504</v>
      </c>
      <c r="AZ186" s="54">
        <f t="shared" si="326"/>
        <v>-639</v>
      </c>
      <c r="BA186" s="54">
        <f t="shared" si="326"/>
        <v>-5269</v>
      </c>
      <c r="BB186" s="71">
        <f t="shared" si="326"/>
        <v>-6875</v>
      </c>
      <c r="BC186" s="54">
        <f t="shared" si="326"/>
        <v>2947</v>
      </c>
      <c r="BD186" s="54">
        <f t="shared" si="326"/>
        <v>4374</v>
      </c>
      <c r="BE186" s="54">
        <f t="shared" si="326"/>
        <v>4770</v>
      </c>
      <c r="BF186" s="193">
        <f t="shared" si="326"/>
        <v>-673</v>
      </c>
      <c r="BG186" s="194">
        <f t="shared" si="326"/>
        <v>11418</v>
      </c>
      <c r="BH186" s="54">
        <f t="shared" si="326"/>
        <v>1615</v>
      </c>
      <c r="BI186" s="54">
        <f t="shared" si="326"/>
        <v>2815</v>
      </c>
      <c r="BJ186" s="54">
        <f t="shared" si="326"/>
        <v>2862</v>
      </c>
      <c r="BK186" s="54">
        <f t="shared" si="326"/>
        <v>93</v>
      </c>
      <c r="BL186" s="71">
        <f t="shared" si="326"/>
        <v>7385</v>
      </c>
      <c r="BM186" s="54">
        <f t="shared" si="326"/>
        <v>1568</v>
      </c>
      <c r="BN186" s="54">
        <f t="shared" si="326"/>
        <v>2636</v>
      </c>
      <c r="BO186" s="54">
        <f t="shared" si="326"/>
        <v>2680</v>
      </c>
      <c r="BP186" s="54">
        <f t="shared" si="326"/>
        <v>-1393</v>
      </c>
      <c r="BQ186" s="71">
        <f t="shared" ref="BQ186:CV186" si="327">BQ141+BQ144</f>
        <v>5491</v>
      </c>
      <c r="BR186" s="54">
        <f t="shared" si="327"/>
        <v>982</v>
      </c>
      <c r="BS186" s="54">
        <f t="shared" si="327"/>
        <v>2713</v>
      </c>
      <c r="BT186" s="54">
        <f t="shared" si="327"/>
        <v>2108</v>
      </c>
      <c r="BU186" s="54">
        <f t="shared" si="327"/>
        <v>-2246</v>
      </c>
      <c r="BV186" s="71">
        <f t="shared" si="327"/>
        <v>3557</v>
      </c>
      <c r="BW186" s="256">
        <f t="shared" si="327"/>
        <v>-1272</v>
      </c>
      <c r="BX186" s="256">
        <f t="shared" si="327"/>
        <v>4484</v>
      </c>
      <c r="BY186" s="256">
        <f t="shared" si="327"/>
        <v>2258</v>
      </c>
      <c r="BZ186" s="256">
        <f t="shared" si="327"/>
        <v>-1623</v>
      </c>
      <c r="CA186" s="257">
        <f t="shared" si="327"/>
        <v>3847</v>
      </c>
      <c r="CB186" s="256">
        <f t="shared" si="327"/>
        <v>704</v>
      </c>
      <c r="CC186" s="256">
        <f t="shared" si="327"/>
        <v>2838</v>
      </c>
      <c r="CD186" s="256">
        <f t="shared" si="327"/>
        <v>3488</v>
      </c>
      <c r="CE186" s="256">
        <f t="shared" si="327"/>
        <v>14</v>
      </c>
      <c r="CF186" s="257">
        <f t="shared" si="327"/>
        <v>7044</v>
      </c>
      <c r="CG186" s="256">
        <f t="shared" si="327"/>
        <v>613</v>
      </c>
      <c r="CH186" s="256">
        <f t="shared" si="327"/>
        <v>3477</v>
      </c>
      <c r="CI186" s="256">
        <f t="shared" si="327"/>
        <v>4630</v>
      </c>
      <c r="CJ186" s="256">
        <f t="shared" si="327"/>
        <v>254</v>
      </c>
      <c r="CK186" s="258">
        <f t="shared" si="327"/>
        <v>8974</v>
      </c>
      <c r="CL186" s="256">
        <f t="shared" si="327"/>
        <v>2638</v>
      </c>
      <c r="CM186" s="256">
        <f t="shared" si="327"/>
        <v>5990</v>
      </c>
      <c r="CN186" s="256">
        <f t="shared" si="327"/>
        <v>3454</v>
      </c>
      <c r="CO186" s="256">
        <f t="shared" si="327"/>
        <v>718</v>
      </c>
      <c r="CP186" s="258">
        <f t="shared" si="327"/>
        <v>12800</v>
      </c>
      <c r="CQ186" s="256">
        <f t="shared" si="327"/>
        <v>2630</v>
      </c>
      <c r="CR186" s="54">
        <f t="shared" si="327"/>
        <v>4057</v>
      </c>
      <c r="CS186" s="54">
        <f t="shared" si="327"/>
        <v>3326</v>
      </c>
      <c r="CT186" s="54">
        <f t="shared" si="327"/>
        <v>1034</v>
      </c>
      <c r="CU186" s="78">
        <f t="shared" si="327"/>
        <v>11047</v>
      </c>
      <c r="CV186" s="1014">
        <f t="shared" si="327"/>
        <v>-139.41151857575232</v>
      </c>
      <c r="CW186" s="1022">
        <f t="shared" ref="CW186:DC186" si="328">CW141+CW144</f>
        <v>1240.8009299063579</v>
      </c>
      <c r="CX186" s="1022">
        <f t="shared" si="328"/>
        <v>575.53199261352415</v>
      </c>
      <c r="CY186" s="1018">
        <f t="shared" si="328"/>
        <v>686.3393980046601</v>
      </c>
      <c r="CZ186" s="78">
        <f>CZ141+CZ144</f>
        <v>2363.2608019487898</v>
      </c>
      <c r="DA186" s="78">
        <f t="shared" si="328"/>
        <v>1059.112795863085</v>
      </c>
      <c r="DB186" s="78">
        <f>DB141+DB144</f>
        <v>2119.246748370243</v>
      </c>
      <c r="DC186" s="78">
        <f t="shared" si="328"/>
        <v>2791.6936358507701</v>
      </c>
      <c r="DD186" s="2"/>
      <c r="DE186" s="2"/>
      <c r="DF186" s="876">
        <f>CT186</f>
        <v>1034</v>
      </c>
      <c r="DG186" s="876">
        <v>2440.0237051770282</v>
      </c>
      <c r="DH186" s="876">
        <f>CO186</f>
        <v>718</v>
      </c>
      <c r="DI186" s="877">
        <f>IF(ISERROR(DF186/DG186-1),"NM",DF186/DG186-1)</f>
        <v>-0.57623362518726784</v>
      </c>
      <c r="DJ186" s="877">
        <f>IF(ISERROR(DF186/DH186-1),"NM",DF186/DH186-1)</f>
        <v>0.44011142061281339</v>
      </c>
      <c r="DK186" s="2"/>
      <c r="DL186" s="2"/>
      <c r="DM186" s="2"/>
    </row>
    <row r="187" spans="1:117" ht="12" customHeight="1">
      <c r="A187" s="1109">
        <f t="shared" si="324"/>
        <v>177</v>
      </c>
      <c r="B187" s="10"/>
      <c r="C187" s="2"/>
      <c r="D187" s="2"/>
      <c r="E187" s="66"/>
      <c r="F187" s="66"/>
      <c r="G187" s="66"/>
      <c r="H187" s="66"/>
      <c r="I187" s="66"/>
      <c r="J187" s="2"/>
      <c r="K187" s="2"/>
      <c r="L187" s="2"/>
      <c r="M187" s="2"/>
      <c r="N187" s="66"/>
      <c r="O187" s="2"/>
      <c r="P187" s="2"/>
      <c r="Q187" s="2"/>
      <c r="R187" s="2"/>
      <c r="S187" s="66"/>
      <c r="T187" s="2"/>
      <c r="U187" s="2"/>
      <c r="V187" s="2"/>
      <c r="W187" s="2"/>
      <c r="X187" s="66"/>
      <c r="Y187" s="9"/>
      <c r="Z187" s="9"/>
      <c r="AA187" s="9"/>
      <c r="AB187" s="9"/>
      <c r="AC187" s="66"/>
      <c r="AD187" s="9"/>
      <c r="AE187" s="9"/>
      <c r="AF187" s="9"/>
      <c r="AG187" s="9"/>
      <c r="AH187" s="66"/>
      <c r="AI187" s="9"/>
      <c r="AJ187" s="9"/>
      <c r="AK187" s="9"/>
      <c r="AL187" s="9"/>
      <c r="AM187" s="66"/>
      <c r="AN187" s="9"/>
      <c r="AO187" s="9"/>
      <c r="AP187" s="9"/>
      <c r="AQ187" s="9"/>
      <c r="AR187" s="66"/>
      <c r="AS187" s="9"/>
      <c r="AT187" s="9"/>
      <c r="AU187" s="9"/>
      <c r="AV187" s="9"/>
      <c r="AW187" s="66"/>
      <c r="AX187" s="9"/>
      <c r="AY187" s="9"/>
      <c r="AZ187" s="9"/>
      <c r="BA187" s="9"/>
      <c r="BB187" s="66"/>
      <c r="BC187" s="9"/>
      <c r="BD187" s="9"/>
      <c r="BE187" s="9"/>
      <c r="BF187" s="9"/>
      <c r="BG187" s="66"/>
      <c r="BH187" s="9"/>
      <c r="BI187" s="9"/>
      <c r="BJ187" s="9"/>
      <c r="BK187" s="9"/>
      <c r="BL187" s="66"/>
      <c r="BM187" s="2"/>
      <c r="BN187" s="2"/>
      <c r="BO187" s="2"/>
      <c r="BP187" s="2"/>
      <c r="BQ187" s="66"/>
      <c r="BR187" s="2"/>
      <c r="BS187" s="2"/>
      <c r="BT187" s="2"/>
      <c r="BU187" s="2"/>
      <c r="BV187" s="66"/>
      <c r="BW187" s="33"/>
      <c r="BX187" s="2"/>
      <c r="BY187" s="2"/>
      <c r="BZ187" s="2"/>
      <c r="CA187" s="77"/>
      <c r="CB187" s="33"/>
      <c r="CC187" s="2"/>
      <c r="CD187" s="2"/>
      <c r="CE187" s="2"/>
      <c r="CF187" s="77"/>
      <c r="CG187" s="33"/>
      <c r="CH187" s="33"/>
      <c r="CI187" s="33"/>
      <c r="CJ187" s="33"/>
      <c r="CK187" s="79"/>
      <c r="CL187" s="247"/>
      <c r="CM187" s="247"/>
      <c r="CN187" s="247"/>
      <c r="CO187" s="33"/>
      <c r="CP187" s="79"/>
      <c r="CQ187" s="247"/>
      <c r="CR187" s="26"/>
      <c r="CS187" s="26"/>
      <c r="CT187" s="26"/>
      <c r="CU187" s="119"/>
      <c r="CV187" s="1015"/>
      <c r="CW187" s="1021"/>
      <c r="CX187" s="1021"/>
      <c r="CY187" s="1019"/>
      <c r="CZ187" s="119"/>
      <c r="DA187" s="119"/>
      <c r="DB187" s="119"/>
      <c r="DC187" s="119"/>
      <c r="DD187" s="2"/>
      <c r="DE187" s="2"/>
      <c r="DF187" s="79"/>
      <c r="DG187" s="79"/>
      <c r="DH187" s="79"/>
      <c r="DI187" s="454"/>
      <c r="DJ187" s="454"/>
      <c r="DK187" s="2"/>
      <c r="DL187" s="2"/>
      <c r="DM187" s="2"/>
    </row>
    <row r="188" spans="1:117" ht="15" customHeight="1">
      <c r="A188" s="1109">
        <f t="shared" si="324"/>
        <v>178</v>
      </c>
      <c r="B188" s="47" t="s">
        <v>319</v>
      </c>
      <c r="C188" s="47"/>
      <c r="D188" s="47"/>
      <c r="E188" s="58" t="str">
        <f t="shared" ref="E188:AJ188" si="329">E5</f>
        <v>FY 1995</v>
      </c>
      <c r="F188" s="58" t="str">
        <f t="shared" si="329"/>
        <v>FY 1996</v>
      </c>
      <c r="G188" s="58" t="str">
        <f t="shared" si="329"/>
        <v>FY 1997</v>
      </c>
      <c r="H188" s="58" t="str">
        <f t="shared" si="329"/>
        <v>FY 1998</v>
      </c>
      <c r="I188" s="58" t="str">
        <f t="shared" si="329"/>
        <v>FY 1999</v>
      </c>
      <c r="J188" s="48" t="str">
        <f t="shared" si="329"/>
        <v>1Q00</v>
      </c>
      <c r="K188" s="48" t="str">
        <f t="shared" si="329"/>
        <v>2Q00</v>
      </c>
      <c r="L188" s="48" t="str">
        <f t="shared" si="329"/>
        <v>3Q00</v>
      </c>
      <c r="M188" s="48" t="str">
        <f t="shared" si="329"/>
        <v>4Q00</v>
      </c>
      <c r="N188" s="58" t="str">
        <f t="shared" si="329"/>
        <v>FY 2000</v>
      </c>
      <c r="O188" s="48" t="str">
        <f t="shared" si="329"/>
        <v>1Q01</v>
      </c>
      <c r="P188" s="48" t="str">
        <f t="shared" si="329"/>
        <v>2Q01</v>
      </c>
      <c r="Q188" s="48" t="str">
        <f t="shared" si="329"/>
        <v>3Q01</v>
      </c>
      <c r="R188" s="48" t="str">
        <f t="shared" si="329"/>
        <v>4Q01</v>
      </c>
      <c r="S188" s="58" t="str">
        <f t="shared" si="329"/>
        <v>FY 2001</v>
      </c>
      <c r="T188" s="48" t="str">
        <f t="shared" si="329"/>
        <v>1Q02</v>
      </c>
      <c r="U188" s="48" t="str">
        <f t="shared" si="329"/>
        <v>2Q02</v>
      </c>
      <c r="V188" s="48" t="str">
        <f t="shared" si="329"/>
        <v>3Q02</v>
      </c>
      <c r="W188" s="48" t="str">
        <f t="shared" si="329"/>
        <v>4Q02</v>
      </c>
      <c r="X188" s="58" t="str">
        <f t="shared" si="329"/>
        <v>FY 2002</v>
      </c>
      <c r="Y188" s="48" t="str">
        <f t="shared" si="329"/>
        <v>1Q03</v>
      </c>
      <c r="Z188" s="48" t="str">
        <f t="shared" si="329"/>
        <v>2Q03</v>
      </c>
      <c r="AA188" s="48" t="str">
        <f t="shared" si="329"/>
        <v>3Q03</v>
      </c>
      <c r="AB188" s="48" t="str">
        <f t="shared" si="329"/>
        <v>4Q03</v>
      </c>
      <c r="AC188" s="58" t="str">
        <f t="shared" si="329"/>
        <v>FY 2003</v>
      </c>
      <c r="AD188" s="48" t="str">
        <f t="shared" si="329"/>
        <v>1Q04</v>
      </c>
      <c r="AE188" s="48" t="str">
        <f t="shared" si="329"/>
        <v>2Q04</v>
      </c>
      <c r="AF188" s="48" t="str">
        <f t="shared" si="329"/>
        <v>3Q04</v>
      </c>
      <c r="AG188" s="48" t="str">
        <f t="shared" si="329"/>
        <v>4Q04</v>
      </c>
      <c r="AH188" s="58" t="str">
        <f t="shared" si="329"/>
        <v>FY 2004</v>
      </c>
      <c r="AI188" s="48" t="str">
        <f t="shared" si="329"/>
        <v>1Q05</v>
      </c>
      <c r="AJ188" s="48" t="str">
        <f t="shared" si="329"/>
        <v>2Q05</v>
      </c>
      <c r="AK188" s="48" t="str">
        <f t="shared" ref="AK188:BP188" si="330">AK5</f>
        <v>3Q05</v>
      </c>
      <c r="AL188" s="48" t="str">
        <f t="shared" si="330"/>
        <v>4Q05</v>
      </c>
      <c r="AM188" s="58" t="str">
        <f t="shared" si="330"/>
        <v>FY 2005</v>
      </c>
      <c r="AN188" s="48" t="str">
        <f t="shared" si="330"/>
        <v>1Q06</v>
      </c>
      <c r="AO188" s="48" t="str">
        <f t="shared" si="330"/>
        <v>2Q06</v>
      </c>
      <c r="AP188" s="48" t="str">
        <f t="shared" si="330"/>
        <v>3Q06</v>
      </c>
      <c r="AQ188" s="48" t="str">
        <f t="shared" si="330"/>
        <v>4Q06</v>
      </c>
      <c r="AR188" s="58" t="str">
        <f t="shared" si="330"/>
        <v>FY 2006</v>
      </c>
      <c r="AS188" s="48" t="str">
        <f t="shared" si="330"/>
        <v>1Q07</v>
      </c>
      <c r="AT188" s="48" t="str">
        <f t="shared" si="330"/>
        <v>2Q07</v>
      </c>
      <c r="AU188" s="48" t="str">
        <f t="shared" si="330"/>
        <v>3Q07</v>
      </c>
      <c r="AV188" s="48" t="str">
        <f t="shared" si="330"/>
        <v>4Q07</v>
      </c>
      <c r="AW188" s="58" t="str">
        <f t="shared" si="330"/>
        <v>FY 2007</v>
      </c>
      <c r="AX188" s="48" t="str">
        <f t="shared" si="330"/>
        <v>1Q08</v>
      </c>
      <c r="AY188" s="48" t="str">
        <f t="shared" si="330"/>
        <v>2Q08</v>
      </c>
      <c r="AZ188" s="48" t="str">
        <f t="shared" si="330"/>
        <v>3Q08</v>
      </c>
      <c r="BA188" s="48" t="str">
        <f t="shared" si="330"/>
        <v>4Q08</v>
      </c>
      <c r="BB188" s="58" t="str">
        <f t="shared" si="330"/>
        <v>FY 2008</v>
      </c>
      <c r="BC188" s="48" t="str">
        <f t="shared" si="330"/>
        <v>1Q09</v>
      </c>
      <c r="BD188" s="48" t="str">
        <f t="shared" si="330"/>
        <v>2Q09</v>
      </c>
      <c r="BE188" s="48" t="str">
        <f t="shared" si="330"/>
        <v>3Q09</v>
      </c>
      <c r="BF188" s="48" t="str">
        <f t="shared" si="330"/>
        <v>4Q09</v>
      </c>
      <c r="BG188" s="58" t="str">
        <f t="shared" si="330"/>
        <v>FY 2009</v>
      </c>
      <c r="BH188" s="48" t="str">
        <f t="shared" si="330"/>
        <v>1Q10</v>
      </c>
      <c r="BI188" s="48" t="str">
        <f t="shared" si="330"/>
        <v>2Q10</v>
      </c>
      <c r="BJ188" s="48" t="str">
        <f t="shared" si="330"/>
        <v>3Q10</v>
      </c>
      <c r="BK188" s="48" t="str">
        <f t="shared" si="330"/>
        <v>4Q10</v>
      </c>
      <c r="BL188" s="58" t="str">
        <f t="shared" si="330"/>
        <v>FY 2010</v>
      </c>
      <c r="BM188" s="48" t="str">
        <f t="shared" si="330"/>
        <v>1Q11</v>
      </c>
      <c r="BN188" s="48" t="str">
        <f t="shared" si="330"/>
        <v>2Q11</v>
      </c>
      <c r="BO188" s="48" t="str">
        <f t="shared" si="330"/>
        <v>3Q11</v>
      </c>
      <c r="BP188" s="48" t="str">
        <f t="shared" si="330"/>
        <v>4Q11</v>
      </c>
      <c r="BQ188" s="58" t="str">
        <f t="shared" ref="BQ188:CV188" si="331">BQ5</f>
        <v>FY 2011</v>
      </c>
      <c r="BR188" s="48" t="str">
        <f t="shared" si="331"/>
        <v>1Q12</v>
      </c>
      <c r="BS188" s="48" t="str">
        <f t="shared" si="331"/>
        <v>2Q12</v>
      </c>
      <c r="BT188" s="48" t="str">
        <f t="shared" si="331"/>
        <v>3Q12</v>
      </c>
      <c r="BU188" s="48" t="str">
        <f t="shared" si="331"/>
        <v>4Q12</v>
      </c>
      <c r="BV188" s="58" t="str">
        <f t="shared" si="331"/>
        <v>FY 2012</v>
      </c>
      <c r="BW188" s="48" t="str">
        <f t="shared" si="331"/>
        <v>1Q13</v>
      </c>
      <c r="BX188" s="48" t="str">
        <f t="shared" si="331"/>
        <v>2Q13</v>
      </c>
      <c r="BY188" s="48" t="str">
        <f t="shared" si="331"/>
        <v>3Q13</v>
      </c>
      <c r="BZ188" s="48" t="str">
        <f t="shared" si="331"/>
        <v>4Q13</v>
      </c>
      <c r="CA188" s="58" t="str">
        <f t="shared" si="331"/>
        <v>FY 2013</v>
      </c>
      <c r="CB188" s="48" t="str">
        <f t="shared" si="331"/>
        <v>1Q14</v>
      </c>
      <c r="CC188" s="48" t="str">
        <f t="shared" si="331"/>
        <v>2Q14</v>
      </c>
      <c r="CD188" s="48" t="str">
        <f t="shared" si="331"/>
        <v>3Q14</v>
      </c>
      <c r="CE188" s="48" t="str">
        <f t="shared" si="331"/>
        <v>4Q14</v>
      </c>
      <c r="CF188" s="58" t="str">
        <f t="shared" si="331"/>
        <v>FY 2014</v>
      </c>
      <c r="CG188" s="48" t="str">
        <f t="shared" si="331"/>
        <v>1Q15</v>
      </c>
      <c r="CH188" s="48" t="str">
        <f t="shared" si="331"/>
        <v>2Q15</v>
      </c>
      <c r="CI188" s="48" t="str">
        <f t="shared" si="331"/>
        <v>3Q15</v>
      </c>
      <c r="CJ188" s="48" t="str">
        <f t="shared" si="331"/>
        <v>4Q15</v>
      </c>
      <c r="CK188" s="58" t="str">
        <f t="shared" si="331"/>
        <v>FY 2015</v>
      </c>
      <c r="CL188" s="48" t="str">
        <f t="shared" si="331"/>
        <v>1Q16</v>
      </c>
      <c r="CM188" s="48" t="str">
        <f t="shared" si="331"/>
        <v>2Q16</v>
      </c>
      <c r="CN188" s="48" t="str">
        <f t="shared" si="331"/>
        <v>3Q16</v>
      </c>
      <c r="CO188" s="48" t="str">
        <f t="shared" si="331"/>
        <v>4Q16</v>
      </c>
      <c r="CP188" s="58" t="str">
        <f t="shared" si="331"/>
        <v>FY 2016</v>
      </c>
      <c r="CQ188" s="48" t="str">
        <f t="shared" si="331"/>
        <v>1Q17</v>
      </c>
      <c r="CR188" s="48" t="str">
        <f t="shared" si="331"/>
        <v>2Q17</v>
      </c>
      <c r="CS188" s="48" t="str">
        <f t="shared" si="331"/>
        <v>3Q17</v>
      </c>
      <c r="CT188" s="48" t="str">
        <f t="shared" si="331"/>
        <v>4Q17</v>
      </c>
      <c r="CU188" s="58" t="str">
        <f t="shared" si="331"/>
        <v>FY 2017</v>
      </c>
      <c r="CV188" s="1016" t="str">
        <f t="shared" si="331"/>
        <v>1Q18E</v>
      </c>
      <c r="CW188" s="48" t="str">
        <f t="shared" ref="CW188:DC188" si="332">CW5</f>
        <v>2Q18E</v>
      </c>
      <c r="CX188" s="48" t="str">
        <f t="shared" si="332"/>
        <v>3Q18E</v>
      </c>
      <c r="CY188" s="1020" t="str">
        <f t="shared" si="332"/>
        <v>4Q18E</v>
      </c>
      <c r="CZ188" s="58" t="str">
        <f t="shared" si="332"/>
        <v>FY 2018E</v>
      </c>
      <c r="DA188" s="58" t="str">
        <f t="shared" si="332"/>
        <v>FY 2019E</v>
      </c>
      <c r="DB188" s="58" t="str">
        <f t="shared" si="332"/>
        <v>FY 2020E</v>
      </c>
      <c r="DC188" s="58" t="str">
        <f t="shared" si="332"/>
        <v>FY 2021E</v>
      </c>
      <c r="DD188" s="2"/>
      <c r="DE188" s="2"/>
      <c r="DF188" s="58"/>
      <c r="DG188" s="58"/>
      <c r="DH188" s="58"/>
      <c r="DI188" s="457"/>
      <c r="DJ188" s="457"/>
      <c r="DK188" s="2"/>
      <c r="DL188" s="2"/>
      <c r="DM188" s="2"/>
    </row>
    <row r="189" spans="1:117" ht="12" customHeight="1">
      <c r="A189" s="1109">
        <f t="shared" si="324"/>
        <v>179</v>
      </c>
      <c r="B189" s="10"/>
      <c r="C189" s="2"/>
      <c r="D189" s="2"/>
      <c r="E189" s="79"/>
      <c r="F189" s="79"/>
      <c r="G189" s="79"/>
      <c r="H189" s="79"/>
      <c r="I189" s="79"/>
      <c r="J189" s="2"/>
      <c r="K189" s="2"/>
      <c r="L189" s="2"/>
      <c r="M189" s="2"/>
      <c r="N189" s="79"/>
      <c r="O189" s="2"/>
      <c r="P189" s="2"/>
      <c r="Q189" s="2"/>
      <c r="R189" s="2"/>
      <c r="S189" s="79"/>
      <c r="T189" s="2"/>
      <c r="U189" s="2"/>
      <c r="V189" s="2"/>
      <c r="W189" s="2"/>
      <c r="X189" s="79"/>
      <c r="Y189" s="9"/>
      <c r="Z189" s="9"/>
      <c r="AA189" s="9"/>
      <c r="AB189" s="9"/>
      <c r="AC189" s="79"/>
      <c r="AD189" s="9"/>
      <c r="AE189" s="9"/>
      <c r="AF189" s="9"/>
      <c r="AG189" s="9"/>
      <c r="AH189" s="79"/>
      <c r="AI189" s="9"/>
      <c r="AJ189" s="9"/>
      <c r="AK189" s="9"/>
      <c r="AL189" s="9"/>
      <c r="AM189" s="79"/>
      <c r="AN189" s="9"/>
      <c r="AO189" s="9"/>
      <c r="AP189" s="9"/>
      <c r="AQ189" s="9"/>
      <c r="AR189" s="79"/>
      <c r="AS189" s="9"/>
      <c r="AT189" s="9"/>
      <c r="AU189" s="9"/>
      <c r="AV189" s="9"/>
      <c r="AW189" s="79"/>
      <c r="AX189" s="9"/>
      <c r="AY189" s="9"/>
      <c r="AZ189" s="9"/>
      <c r="BA189" s="9"/>
      <c r="BB189" s="79"/>
      <c r="BC189" s="9"/>
      <c r="BD189" s="9"/>
      <c r="BE189" s="9"/>
      <c r="BF189" s="9"/>
      <c r="BG189" s="79"/>
      <c r="BH189" s="9"/>
      <c r="BI189" s="9"/>
      <c r="BJ189" s="9"/>
      <c r="BK189" s="9"/>
      <c r="BL189" s="79"/>
      <c r="BM189" s="2"/>
      <c r="BN189" s="2"/>
      <c r="BO189" s="2"/>
      <c r="BP189" s="2"/>
      <c r="BQ189" s="79"/>
      <c r="BR189" s="2"/>
      <c r="BS189" s="2"/>
      <c r="BT189" s="2"/>
      <c r="BU189" s="2"/>
      <c r="BV189" s="79"/>
      <c r="BW189" s="33"/>
      <c r="BX189" s="2"/>
      <c r="BY189" s="2"/>
      <c r="BZ189" s="2"/>
      <c r="CA189" s="79"/>
      <c r="CB189" s="33"/>
      <c r="CC189" s="2"/>
      <c r="CD189" s="2"/>
      <c r="CE189" s="2"/>
      <c r="CF189" s="79"/>
      <c r="CG189" s="33"/>
      <c r="CH189" s="33"/>
      <c r="CI189" s="33"/>
      <c r="CJ189" s="247"/>
      <c r="CK189" s="79"/>
      <c r="CL189" s="247"/>
      <c r="CM189" s="247"/>
      <c r="CN189" s="247"/>
      <c r="CO189" s="247"/>
      <c r="CP189" s="79"/>
      <c r="CQ189" s="247"/>
      <c r="CR189" s="26"/>
      <c r="CS189" s="26"/>
      <c r="CT189" s="26"/>
      <c r="CU189" s="62"/>
      <c r="CV189" s="317"/>
      <c r="CY189" s="142"/>
      <c r="CZ189" s="62"/>
      <c r="DA189" s="62"/>
      <c r="DB189" s="62"/>
      <c r="DC189" s="62"/>
      <c r="DD189" s="2"/>
      <c r="DE189" s="2"/>
      <c r="DF189" s="79"/>
      <c r="DG189" s="79"/>
      <c r="DH189" s="79"/>
      <c r="DI189" s="454"/>
      <c r="DJ189" s="454"/>
      <c r="DK189" s="2"/>
      <c r="DL189" s="2"/>
      <c r="DM189" s="2"/>
    </row>
    <row r="190" spans="1:117" ht="12" customHeight="1">
      <c r="A190" s="1109">
        <f t="shared" si="324"/>
        <v>180</v>
      </c>
      <c r="B190" s="10"/>
      <c r="C190" s="6" t="s">
        <v>39</v>
      </c>
      <c r="D190" s="2"/>
      <c r="E190" s="79"/>
      <c r="F190" s="79"/>
      <c r="G190" s="79"/>
      <c r="H190" s="79"/>
      <c r="I190" s="79"/>
      <c r="J190" s="2"/>
      <c r="K190" s="2"/>
      <c r="L190" s="2"/>
      <c r="M190" s="2"/>
      <c r="N190" s="79"/>
      <c r="O190" s="2"/>
      <c r="P190" s="2"/>
      <c r="Q190" s="2"/>
      <c r="R190" s="2"/>
      <c r="S190" s="79"/>
      <c r="T190" s="2"/>
      <c r="U190" s="2"/>
      <c r="V190" s="2"/>
      <c r="W190" s="2"/>
      <c r="X190" s="79"/>
      <c r="Y190" s="9"/>
      <c r="Z190" s="9"/>
      <c r="AA190" s="9"/>
      <c r="AB190" s="9"/>
      <c r="AC190" s="79"/>
      <c r="AD190" s="9"/>
      <c r="AE190" s="9"/>
      <c r="AF190" s="9"/>
      <c r="AG190" s="9"/>
      <c r="AH190" s="79"/>
      <c r="AI190" s="9"/>
      <c r="AJ190" s="9"/>
      <c r="AK190" s="9"/>
      <c r="AL190" s="9"/>
      <c r="AM190" s="79"/>
      <c r="AN190" s="9"/>
      <c r="AO190" s="9"/>
      <c r="AP190" s="9"/>
      <c r="AQ190" s="9"/>
      <c r="AR190" s="79"/>
      <c r="AS190" s="9"/>
      <c r="AT190" s="9"/>
      <c r="AU190" s="9"/>
      <c r="AV190" s="9"/>
      <c r="AW190" s="79"/>
      <c r="AX190" s="9"/>
      <c r="AY190" s="9"/>
      <c r="AZ190" s="9"/>
      <c r="BA190" s="9"/>
      <c r="BB190" s="79"/>
      <c r="BC190" s="9"/>
      <c r="BD190" s="9"/>
      <c r="BE190" s="9"/>
      <c r="BF190" s="9"/>
      <c r="BG190" s="79"/>
      <c r="BH190" s="9"/>
      <c r="BI190" s="9"/>
      <c r="BJ190" s="9"/>
      <c r="BK190" s="9"/>
      <c r="BL190" s="79"/>
      <c r="BM190" s="3"/>
      <c r="BN190" s="3"/>
      <c r="BO190" s="3"/>
      <c r="BP190" s="3"/>
      <c r="BQ190" s="79"/>
      <c r="BR190" s="3"/>
      <c r="BS190" s="3"/>
      <c r="BT190" s="3"/>
      <c r="BU190" s="3"/>
      <c r="BV190" s="79"/>
      <c r="BW190" s="33"/>
      <c r="BX190" s="3"/>
      <c r="BY190" s="3"/>
      <c r="BZ190" s="3"/>
      <c r="CA190" s="79"/>
      <c r="CB190" s="33"/>
      <c r="CC190" s="3"/>
      <c r="CD190" s="3"/>
      <c r="CE190" s="3"/>
      <c r="CF190" s="79"/>
      <c r="CG190" s="33"/>
      <c r="CH190" s="33"/>
      <c r="CI190" s="33"/>
      <c r="CJ190" s="247"/>
      <c r="CK190" s="79"/>
      <c r="CL190" s="247"/>
      <c r="CM190" s="247"/>
      <c r="CN190" s="247"/>
      <c r="CO190" s="247"/>
      <c r="CP190" s="79"/>
      <c r="CQ190" s="247"/>
      <c r="CR190" s="26"/>
      <c r="CS190" s="26"/>
      <c r="CT190" s="26"/>
      <c r="CU190" s="62"/>
      <c r="CV190" s="247"/>
      <c r="CW190" s="26"/>
      <c r="CX190" s="26"/>
      <c r="CY190" s="26"/>
      <c r="CZ190" s="62"/>
      <c r="DA190" s="62"/>
      <c r="DB190" s="62"/>
      <c r="DC190" s="62"/>
      <c r="DD190" s="2"/>
      <c r="DE190" s="2"/>
      <c r="DF190" s="79"/>
      <c r="DG190" s="79"/>
      <c r="DH190" s="79"/>
      <c r="DI190" s="454"/>
      <c r="DJ190" s="454"/>
      <c r="DK190" s="2"/>
      <c r="DL190" s="2"/>
      <c r="DM190" s="2"/>
    </row>
    <row r="191" spans="1:117" ht="12" customHeight="1">
      <c r="A191" s="1109">
        <f t="shared" si="324"/>
        <v>181</v>
      </c>
      <c r="B191" s="10"/>
      <c r="C191" s="2"/>
      <c r="D191" s="2"/>
      <c r="E191" s="79"/>
      <c r="F191" s="79"/>
      <c r="G191" s="79"/>
      <c r="H191" s="79"/>
      <c r="I191" s="79"/>
      <c r="J191" s="2"/>
      <c r="K191" s="2"/>
      <c r="L191" s="2"/>
      <c r="M191" s="2"/>
      <c r="N191" s="79"/>
      <c r="O191" s="2"/>
      <c r="P191" s="2"/>
      <c r="Q191" s="2"/>
      <c r="R191" s="2"/>
      <c r="S191" s="79"/>
      <c r="T191" s="2"/>
      <c r="U191" s="2"/>
      <c r="V191" s="2"/>
      <c r="W191" s="2"/>
      <c r="X191" s="79"/>
      <c r="Y191" s="9"/>
      <c r="Z191" s="9"/>
      <c r="AA191" s="9"/>
      <c r="AB191" s="9"/>
      <c r="AC191" s="79"/>
      <c r="AD191" s="9"/>
      <c r="AE191" s="9"/>
      <c r="AF191" s="9"/>
      <c r="AG191" s="9"/>
      <c r="AH191" s="79"/>
      <c r="AI191" s="9"/>
      <c r="AJ191" s="9"/>
      <c r="AK191" s="9"/>
      <c r="AL191" s="9"/>
      <c r="AM191" s="79"/>
      <c r="AN191" s="9"/>
      <c r="AO191" s="9"/>
      <c r="AP191" s="9"/>
      <c r="AQ191" s="9"/>
      <c r="AR191" s="79"/>
      <c r="AS191" s="9"/>
      <c r="AT191" s="9"/>
      <c r="AU191" s="9"/>
      <c r="AV191" s="9"/>
      <c r="AW191" s="79"/>
      <c r="AX191" s="9"/>
      <c r="AY191" s="9"/>
      <c r="AZ191" s="9"/>
      <c r="BA191" s="9"/>
      <c r="BB191" s="79"/>
      <c r="BC191" s="9"/>
      <c r="BD191" s="9"/>
      <c r="BE191" s="9"/>
      <c r="BF191" s="9"/>
      <c r="BG191" s="79"/>
      <c r="BH191" s="9"/>
      <c r="BI191" s="9"/>
      <c r="BJ191" s="9"/>
      <c r="BK191" s="9"/>
      <c r="BL191" s="79"/>
      <c r="BM191" s="3"/>
      <c r="BN191" s="3"/>
      <c r="BO191" s="3"/>
      <c r="BP191" s="3"/>
      <c r="BQ191" s="79"/>
      <c r="BR191" s="3"/>
      <c r="BS191" s="3"/>
      <c r="BT191" s="3"/>
      <c r="BU191" s="3"/>
      <c r="BV191" s="79"/>
      <c r="BW191" s="33"/>
      <c r="BX191" s="3"/>
      <c r="BY191" s="3"/>
      <c r="BZ191" s="3"/>
      <c r="CA191" s="79"/>
      <c r="CB191" s="33"/>
      <c r="CC191" s="3"/>
      <c r="CD191" s="3"/>
      <c r="CE191" s="3"/>
      <c r="CF191" s="79"/>
      <c r="CG191" s="33"/>
      <c r="CH191" s="33"/>
      <c r="CI191" s="33"/>
      <c r="CJ191" s="247"/>
      <c r="CK191" s="79"/>
      <c r="CL191" s="247"/>
      <c r="CM191" s="247"/>
      <c r="CN191" s="247"/>
      <c r="CO191" s="247"/>
      <c r="CP191" s="79"/>
      <c r="CQ191" s="247"/>
      <c r="CR191" s="26"/>
      <c r="CS191" s="26"/>
      <c r="CT191" s="26"/>
      <c r="CU191" s="62"/>
      <c r="CV191" s="247"/>
      <c r="CW191" s="26"/>
      <c r="CX191" s="26"/>
      <c r="CY191" s="26"/>
      <c r="CZ191" s="62"/>
      <c r="DA191" s="62"/>
      <c r="DB191" s="62"/>
      <c r="DC191" s="62"/>
      <c r="DD191" s="2"/>
      <c r="DE191" s="2"/>
      <c r="DF191" s="79"/>
      <c r="DG191" s="79"/>
      <c r="DH191" s="79"/>
      <c r="DI191" s="454"/>
      <c r="DJ191" s="454"/>
      <c r="DK191" s="2"/>
      <c r="DL191" s="2"/>
      <c r="DM191" s="2"/>
    </row>
    <row r="192" spans="1:117" ht="12" customHeight="1">
      <c r="A192" s="1109">
        <f t="shared" si="324"/>
        <v>182</v>
      </c>
      <c r="B192" s="10"/>
      <c r="C192" s="2" t="s">
        <v>209</v>
      </c>
      <c r="D192" s="2"/>
      <c r="E192" s="68">
        <f>E15</f>
        <v>137137</v>
      </c>
      <c r="F192" s="68">
        <f>F15</f>
        <v>146991</v>
      </c>
      <c r="G192" s="68">
        <f>G15</f>
        <v>153627</v>
      </c>
      <c r="H192" s="68">
        <f>H15</f>
        <v>144416</v>
      </c>
      <c r="I192" s="68">
        <f>I15</f>
        <v>160658</v>
      </c>
      <c r="J192" s="21"/>
      <c r="K192" s="21"/>
      <c r="L192" s="21"/>
      <c r="M192" s="21">
        <f>M15+L15+K15+J15</f>
        <v>170058</v>
      </c>
      <c r="N192" s="68">
        <f>N15</f>
        <v>170058</v>
      </c>
      <c r="O192" s="21">
        <f>O15+M15+L15+K15</f>
        <v>169610</v>
      </c>
      <c r="P192" s="21">
        <f>P15+O15+M15+L15</f>
        <v>167425</v>
      </c>
      <c r="Q192" s="21">
        <f>Q15+P15+O15+M15</f>
        <v>163694</v>
      </c>
      <c r="R192" s="21">
        <f>R15+Q15+P15+O15</f>
        <v>160754</v>
      </c>
      <c r="S192" s="68">
        <f>S15</f>
        <v>160754</v>
      </c>
      <c r="T192" s="21">
        <f>T15+R15+Q15+P15</f>
        <v>157881</v>
      </c>
      <c r="U192" s="21">
        <f>U15+T15+R15+Q15</f>
        <v>157774</v>
      </c>
      <c r="V192" s="21">
        <f>V15+U15+T15+R15</f>
        <v>160788</v>
      </c>
      <c r="W192" s="21">
        <f>W15+V15+U15+T15</f>
        <v>162256</v>
      </c>
      <c r="X192" s="68">
        <f>X15</f>
        <v>162256</v>
      </c>
      <c r="Y192" s="21">
        <f>Y15+W15+V15+U15</f>
        <v>163498</v>
      </c>
      <c r="Z192" s="21">
        <f>Z15+Y15+W15+V15</f>
        <v>161873</v>
      </c>
      <c r="AA192" s="21">
        <f>AA15+Z15+Y15+W15</f>
        <v>159277</v>
      </c>
      <c r="AB192" s="21">
        <f>AB15+AA15+Z15+Y15</f>
        <v>164338</v>
      </c>
      <c r="AC192" s="68">
        <f>AC15</f>
        <v>164338</v>
      </c>
      <c r="AD192" s="21">
        <f>AD15+AB15+AA15+Z15</f>
        <v>168246</v>
      </c>
      <c r="AE192" s="21">
        <f>AE15+AD15+AB15+AA15</f>
        <v>170537</v>
      </c>
      <c r="AF192" s="21">
        <f>AF15+AE15+AD15+AB15</f>
        <v>172916</v>
      </c>
      <c r="AG192" s="21">
        <f>AG15+AF15+AE15+AD15</f>
        <v>172316</v>
      </c>
      <c r="AH192" s="68">
        <f>AH15</f>
        <v>172316</v>
      </c>
      <c r="AI192" s="21">
        <f>AI15+AG15+AF15+AE15</f>
        <v>172729</v>
      </c>
      <c r="AJ192" s="21">
        <f>AJ15+AI15+AG15+AF15</f>
        <v>175022</v>
      </c>
      <c r="AK192" s="21">
        <f>AK15+AJ15+AI15+AG15</f>
        <v>176411</v>
      </c>
      <c r="AL192" s="21">
        <f>AL15+AK15+AJ15+AI15</f>
        <v>176896</v>
      </c>
      <c r="AM192" s="68">
        <f>AM15</f>
        <v>176896</v>
      </c>
      <c r="AN192" s="21">
        <f>AN15+AL15+AK15+AJ15</f>
        <v>172549</v>
      </c>
      <c r="AO192" s="21">
        <f>AO15+AN15+AL15+AK15</f>
        <v>169261</v>
      </c>
      <c r="AP192" s="21">
        <f>AP15+AO15+AN15+AL15</f>
        <v>165846</v>
      </c>
      <c r="AQ192" s="21">
        <f>AQ15+AP15+AO15+AN15</f>
        <v>160065</v>
      </c>
      <c r="AR192" s="68">
        <f>AR15</f>
        <v>160065</v>
      </c>
      <c r="AS192" s="21">
        <f>AS15+AQ15+AP15+AO15</f>
        <v>162281</v>
      </c>
      <c r="AT192" s="21">
        <f>AT15+AS15+AQ15+AP15</f>
        <v>164645</v>
      </c>
      <c r="AU192" s="21">
        <f>AU15+AT15+AS15+AQ15</f>
        <v>168628</v>
      </c>
      <c r="AV192" s="21">
        <f>AV15+AU15+AT15+AS15</f>
        <v>172455</v>
      </c>
      <c r="AW192" s="68">
        <f>AW15</f>
        <v>172455</v>
      </c>
      <c r="AX192" s="21">
        <f>AX15+AV15+AU15+AT15</f>
        <v>172742</v>
      </c>
      <c r="AY192" s="21">
        <f>AY15+AX15+AV15+AU15</f>
        <v>169602</v>
      </c>
      <c r="AZ192" s="21">
        <f>AZ15+AY15+AX15+AV15</f>
        <v>160270</v>
      </c>
      <c r="BA192" s="21">
        <f>BA15+AZ15+AY15+AX15</f>
        <v>145114</v>
      </c>
      <c r="BB192" s="68">
        <f>BB15</f>
        <v>145114</v>
      </c>
      <c r="BC192" s="21">
        <f>BC15+BA15+AZ15+AY15</f>
        <v>126212</v>
      </c>
      <c r="BD192" s="21">
        <f>BD15+BC15+BA15+AZ15</f>
        <v>111920</v>
      </c>
      <c r="BE192" s="21">
        <f>BE15+BD15+BC15+BA15</f>
        <v>110446</v>
      </c>
      <c r="BF192" s="21">
        <f>BF15+BE15+BD15+BC15</f>
        <v>116283</v>
      </c>
      <c r="BG192" s="68">
        <f>BG15</f>
        <v>116283</v>
      </c>
      <c r="BH192" s="21">
        <f>BH15+BF15+BE15+BD15</f>
        <v>123459</v>
      </c>
      <c r="BI192" s="21">
        <f>BI15+BH15+BF15+BE15</f>
        <v>131716</v>
      </c>
      <c r="BJ192" s="21">
        <f>BJ15+BI15+BH15+BF15</f>
        <v>131337</v>
      </c>
      <c r="BK192" s="21">
        <f>BK15+BJ15+BI15+BH15</f>
        <v>128954</v>
      </c>
      <c r="BL192" s="68">
        <f>BL15</f>
        <v>128954</v>
      </c>
      <c r="BM192" s="21">
        <f>BM15+BK15+BJ15+BI15</f>
        <v>130502</v>
      </c>
      <c r="BN192" s="21">
        <f>BN15+BM15+BK15+BJ15</f>
        <v>130962</v>
      </c>
      <c r="BO192" s="21">
        <f>BO15+BN15+BM15+BK15</f>
        <v>134116</v>
      </c>
      <c r="BP192" s="21">
        <f>BP15+BO15+BN15+BM15</f>
        <v>136264</v>
      </c>
      <c r="BQ192" s="68">
        <f>BQ15</f>
        <v>136264</v>
      </c>
      <c r="BR192" s="21">
        <f>BR15+BP15+BO15+BN15</f>
        <v>135595</v>
      </c>
      <c r="BS192" s="21">
        <f>BS15+BR15+BP15+BO15</f>
        <v>133279</v>
      </c>
      <c r="BT192" s="21">
        <f>BT15+BS15+BR15+BP15</f>
        <v>132404</v>
      </c>
      <c r="BU192" s="21">
        <f>BU15+BT15+BS15+BR15</f>
        <v>133559</v>
      </c>
      <c r="BV192" s="68">
        <f>BV15</f>
        <v>133559</v>
      </c>
      <c r="BW192" s="165">
        <f>BW15+BU15+BT15+BS15</f>
        <v>136763</v>
      </c>
      <c r="BX192" s="165">
        <f>BX15+BW15+BU15+BT15</f>
        <v>141475</v>
      </c>
      <c r="BY192" s="165">
        <f>BY15+BX15+BW15+BU15</f>
        <v>145078</v>
      </c>
      <c r="BZ192" s="165">
        <f>BZ15+BY15+BX15+BW15</f>
        <v>146917</v>
      </c>
      <c r="CA192" s="68">
        <f>CA15</f>
        <v>146917</v>
      </c>
      <c r="CB192" s="165">
        <f>CB15+BZ15+BY15+BX15</f>
        <v>147144</v>
      </c>
      <c r="CC192" s="165">
        <f>CC15+CB15+BZ15+BY15</f>
        <v>146632</v>
      </c>
      <c r="CD192" s="165">
        <f>CD15+CC15+CB15+BZ15</f>
        <v>145777</v>
      </c>
      <c r="CE192" s="165">
        <f>CE15+CD15+CC15+CB15</f>
        <v>144077</v>
      </c>
      <c r="CF192" s="68">
        <f>CF15</f>
        <v>144077</v>
      </c>
      <c r="CG192" s="165">
        <f>CG15+CE15+CD15+CC15</f>
        <v>142101</v>
      </c>
      <c r="CH192" s="165">
        <f>CH15+CG15+CE15+CD15</f>
        <v>141953</v>
      </c>
      <c r="CI192" s="165">
        <f>CI15+CH15+CG15+CE15</f>
        <v>145177</v>
      </c>
      <c r="CJ192" s="165">
        <f>CJ15+CI15+CH15+CG15</f>
        <v>149558</v>
      </c>
      <c r="CK192" s="68">
        <f>CK15</f>
        <v>149558</v>
      </c>
      <c r="CL192" s="165">
        <f>CL15+CJ15+CI15+CH15</f>
        <v>153376</v>
      </c>
      <c r="CM192" s="165">
        <f>CM15+CL15+CJ15+CI15</f>
        <v>155598</v>
      </c>
      <c r="CN192" s="165">
        <f>CN15+CM15+CL15+CJ15</f>
        <v>153397</v>
      </c>
      <c r="CO192" s="165">
        <f>CO15+CN15+CM15+CL15</f>
        <v>151800</v>
      </c>
      <c r="CP192" s="68">
        <f>CP15</f>
        <v>151800</v>
      </c>
      <c r="CQ192" s="165">
        <f>CQ15+CO15+CN15+CM15</f>
        <v>153228</v>
      </c>
      <c r="CR192" s="165">
        <f>CR15+CQ15+CO15+CN15</f>
        <v>153596</v>
      </c>
      <c r="CS192" s="165">
        <f>CS15+CR15+CQ15+CO15</f>
        <v>154104</v>
      </c>
      <c r="CT192" s="165">
        <f>CT15+CS15+CR15+CQ15</f>
        <v>156776</v>
      </c>
      <c r="CU192" s="68">
        <f>CU15</f>
        <v>156776</v>
      </c>
      <c r="CV192" s="165">
        <f>CV15+CT15+CS15+CR15</f>
        <v>156996.56</v>
      </c>
      <c r="CW192" s="165">
        <f>CW15+CV15+CT15+CS15</f>
        <v>157199.89000000001</v>
      </c>
      <c r="CX192" s="165">
        <f>CX15+CW15+CV15+CT15</f>
        <v>157615.21000000002</v>
      </c>
      <c r="CY192" s="165">
        <f>CY15+CX15+CW15+CV15</f>
        <v>158032.09850000002</v>
      </c>
      <c r="CZ192" s="68">
        <f>CZ15</f>
        <v>158032.09850000002</v>
      </c>
      <c r="DA192" s="68">
        <f>DA15</f>
        <v>158929.28186350001</v>
      </c>
      <c r="DB192" s="68">
        <f>DB15</f>
        <v>163539.38317391014</v>
      </c>
      <c r="DC192" s="68">
        <f>DC15</f>
        <v>167826.83523714161</v>
      </c>
      <c r="DD192" s="2"/>
      <c r="DE192" s="2"/>
      <c r="DF192" s="68">
        <f>CT192</f>
        <v>156776</v>
      </c>
      <c r="DG192" s="68">
        <v>153810.70500000002</v>
      </c>
      <c r="DH192" s="68">
        <f>CO192</f>
        <v>151800</v>
      </c>
      <c r="DI192" s="454">
        <f>IF(ISERROR(DF192/DG192-1),"NM",DF192/DG192-1)</f>
        <v>1.9278859686651773E-2</v>
      </c>
      <c r="DJ192" s="454">
        <f>IF(ISERROR(DF192/DH192-1),"NM",DF192/DH192-1)</f>
        <v>3.2779973649538885E-2</v>
      </c>
      <c r="DK192" s="2"/>
      <c r="DL192" s="2"/>
      <c r="DM192" s="2"/>
    </row>
    <row r="193" spans="1:117" ht="12" customHeight="1">
      <c r="A193" s="1109">
        <f t="shared" si="324"/>
        <v>183</v>
      </c>
      <c r="B193" s="10"/>
      <c r="C193" s="2" t="s">
        <v>190</v>
      </c>
      <c r="D193" s="2"/>
      <c r="E193" s="68">
        <f>E18</f>
        <v>-101171</v>
      </c>
      <c r="F193" s="68">
        <f>F18</f>
        <v>-108882</v>
      </c>
      <c r="G193" s="68">
        <f>G18</f>
        <v>-108907</v>
      </c>
      <c r="H193" s="68">
        <f>H18</f>
        <v>-103905</v>
      </c>
      <c r="I193" s="68">
        <f>I18</f>
        <v>-118985</v>
      </c>
      <c r="J193" s="21"/>
      <c r="K193" s="21"/>
      <c r="L193" s="21"/>
      <c r="M193" s="21">
        <f>M18+L18+K18+J18</f>
        <v>-126114</v>
      </c>
      <c r="N193" s="68">
        <f>N18</f>
        <v>-126114</v>
      </c>
      <c r="O193" s="21">
        <f>O18+M18+L18+K18</f>
        <v>-125351</v>
      </c>
      <c r="P193" s="21">
        <f>P18+O18+M18+L18</f>
        <v>-125504</v>
      </c>
      <c r="Q193" s="21">
        <f>Q18+P18+O18+M18</f>
        <v>-123027</v>
      </c>
      <c r="R193" s="21">
        <f>R18+Q18+P18+O18</f>
        <v>-128417</v>
      </c>
      <c r="S193" s="68">
        <f>S18</f>
        <v>-128417</v>
      </c>
      <c r="T193" s="21">
        <f>T18+R18+Q18+P18</f>
        <v>-127525</v>
      </c>
      <c r="U193" s="21">
        <f>U18+T18+R18+Q18</f>
        <v>-126122</v>
      </c>
      <c r="V193" s="21">
        <f>V18+U18+T18+R18</f>
        <v>-129497</v>
      </c>
      <c r="W193" s="21">
        <f>W18+V18+U18+T18</f>
        <v>-125043</v>
      </c>
      <c r="X193" s="68">
        <f>X18</f>
        <v>-125043</v>
      </c>
      <c r="Y193" s="21">
        <f>Y18+W18+V18+U18</f>
        <v>-126175</v>
      </c>
      <c r="Z193" s="21">
        <f>Z18+Y18+W18+V18</f>
        <v>-125590</v>
      </c>
      <c r="AA193" s="21">
        <f>AA18+Z18+Y18+W18</f>
        <v>-123403</v>
      </c>
      <c r="AB193" s="21">
        <f>AB18+AA18+Z18+Y18</f>
        <v>-129685</v>
      </c>
      <c r="AC193" s="68">
        <f>AC18</f>
        <v>-129685</v>
      </c>
      <c r="AD193" s="21">
        <f>AD18+AB18+AA18+Z18</f>
        <v>-132684</v>
      </c>
      <c r="AE193" s="21">
        <f>AE18+AD18+AB18+AA18</f>
        <v>-134648</v>
      </c>
      <c r="AF193" s="21">
        <f>AF18+AE18+AD18+AB18</f>
        <v>-137223</v>
      </c>
      <c r="AG193" s="21">
        <f>AG18+AF18+AE18+AD18</f>
        <v>-135755</v>
      </c>
      <c r="AH193" s="68">
        <f>AH18</f>
        <v>-135755</v>
      </c>
      <c r="AI193" s="21">
        <f>AI18+AG18+AF18+AE18</f>
        <v>-137259</v>
      </c>
      <c r="AJ193" s="21">
        <f>AJ18+AI18+AG18+AF18</f>
        <v>-140357</v>
      </c>
      <c r="AK193" s="21">
        <f>AK18+AJ18+AI18+AG18</f>
        <v>-142872</v>
      </c>
      <c r="AL193" s="21">
        <f>AL18+AK18+AJ18+AI18</f>
        <v>-144924</v>
      </c>
      <c r="AM193" s="68">
        <f>AM18</f>
        <v>-144924</v>
      </c>
      <c r="AN193" s="21">
        <f>AN18+AL18+AK18+AJ18</f>
        <v>-146021</v>
      </c>
      <c r="AO193" s="21">
        <f>AO18+AN18+AL18+AK18</f>
        <v>-145430</v>
      </c>
      <c r="AP193" s="21">
        <f>AP18+AO18+AN18+AL18</f>
        <v>-149511</v>
      </c>
      <c r="AQ193" s="21">
        <f>AQ18+AP18+AO18+AN18</f>
        <v>-148866</v>
      </c>
      <c r="AR193" s="68">
        <f>AR18</f>
        <v>-148866</v>
      </c>
      <c r="AS193" s="21">
        <f>AS18+AQ18+AP18+AO18</f>
        <v>-146814</v>
      </c>
      <c r="AT193" s="21">
        <f>AT18+AS18+AQ18+AP18</f>
        <v>-147308</v>
      </c>
      <c r="AU193" s="21">
        <f>AU18+AT18+AS18+AQ18</f>
        <v>-142644</v>
      </c>
      <c r="AV193" s="21">
        <f>AV18+AU18+AT18+AS18</f>
        <v>-141115</v>
      </c>
      <c r="AW193" s="68">
        <f>AW18</f>
        <v>-141115</v>
      </c>
      <c r="AX193" s="21">
        <f>AX18+AV18+AU18+AT18</f>
        <v>-141624</v>
      </c>
      <c r="AY193" s="21">
        <f>AY18+AX18+AV18+AU18</f>
        <v>-139224</v>
      </c>
      <c r="AZ193" s="21">
        <f>AZ18+AY18+AX18+AV18</f>
        <v>-133647</v>
      </c>
      <c r="BA193" s="21">
        <f>BA18+AZ18+AY18+AX18</f>
        <v>-122470</v>
      </c>
      <c r="BB193" s="68">
        <f>BB18</f>
        <v>-122470</v>
      </c>
      <c r="BC193" s="21">
        <f>BC18+BA18+AZ18+AY18</f>
        <v>-108622</v>
      </c>
      <c r="BD193" s="21">
        <f>BD18+BC18+BA18+AZ18</f>
        <v>-97385</v>
      </c>
      <c r="BE193" s="21">
        <f>BE18+BD18+BC18+BA18</f>
        <v>-94731</v>
      </c>
      <c r="BF193" s="21">
        <f>BF18+BE18+BD18+BC18</f>
        <v>-97335</v>
      </c>
      <c r="BG193" s="68">
        <f>BG18</f>
        <v>-97335</v>
      </c>
      <c r="BH193" s="21">
        <f>BH18+BF18+BE18+BD18</f>
        <v>-101178.5</v>
      </c>
      <c r="BI193" s="21">
        <f>BI18+BH18+BF18+BE18</f>
        <v>-105904</v>
      </c>
      <c r="BJ193" s="21">
        <f>BJ18+BI18+BH18+BF18</f>
        <v>-105463.5</v>
      </c>
      <c r="BK193" s="21">
        <f>BK18+BJ18+BI18+BH18</f>
        <v>-104389.5</v>
      </c>
      <c r="BL193" s="68">
        <f>BL18</f>
        <v>-104389.5</v>
      </c>
      <c r="BM193" s="21">
        <f>BM18+BK18+BJ18+BI18</f>
        <v>-106034</v>
      </c>
      <c r="BN193" s="21">
        <f>BN18+BM18+BK18+BJ18</f>
        <v>-107438.5</v>
      </c>
      <c r="BO193" s="21">
        <f>BO18+BN18+BM18+BK18</f>
        <v>-110790.5</v>
      </c>
      <c r="BP193" s="21">
        <f>BP18+BO18+BN18+BM18</f>
        <v>-113127</v>
      </c>
      <c r="BQ193" s="68">
        <f>BQ18</f>
        <v>-113127</v>
      </c>
      <c r="BR193" s="21">
        <f>BR18+BP18+BO18+BN18</f>
        <v>-113076</v>
      </c>
      <c r="BS193" s="21">
        <f>BS18+BR18+BP18+BO18</f>
        <v>-111789</v>
      </c>
      <c r="BT193" s="21">
        <f>BT18+BS18+BR18+BP18</f>
        <v>-110852.5</v>
      </c>
      <c r="BU193" s="21">
        <f>BU18+BT18+BS18+BR18</f>
        <v>-112386</v>
      </c>
      <c r="BV193" s="68">
        <f>BV18</f>
        <v>-112386</v>
      </c>
      <c r="BW193" s="165">
        <f>BW18+BU18+BT18+BS18</f>
        <v>-115686</v>
      </c>
      <c r="BX193" s="165">
        <f>BX18+BW18+BU18+BT18</f>
        <v>-120011</v>
      </c>
      <c r="BY193" s="165">
        <f>BY18+BX18+BW18+BU18</f>
        <v>-123211.5</v>
      </c>
      <c r="BZ193" s="165">
        <f>BZ18+BY18+BX18+BW18</f>
        <v>-124470</v>
      </c>
      <c r="CA193" s="68">
        <f>CA18</f>
        <v>-124470</v>
      </c>
      <c r="CB193" s="165">
        <f>CB18+BZ18+BY18+BX18</f>
        <v>-125429</v>
      </c>
      <c r="CC193" s="165">
        <f>CC18+CB18+BZ18+BY18</f>
        <v>-124444</v>
      </c>
      <c r="CD193" s="165">
        <f>CD18+CC18+CB18+BZ18</f>
        <v>-124728.5</v>
      </c>
      <c r="CE193" s="165">
        <f>CE18+CD18+CC18+CB18</f>
        <v>-122623</v>
      </c>
      <c r="CF193" s="68">
        <f>CF18</f>
        <v>-122623</v>
      </c>
      <c r="CG193" s="165">
        <f>CG18+CE18+CD18+CC18</f>
        <v>-120135</v>
      </c>
      <c r="CH193" s="165">
        <f>CH18+CG18+CE18+CD18</f>
        <v>-119290</v>
      </c>
      <c r="CI193" s="165">
        <f>CI18+CH18+CG18+CE18</f>
        <v>-120386</v>
      </c>
      <c r="CJ193" s="165">
        <f>CJ18+CI18+CH18+CG18</f>
        <v>-123343</v>
      </c>
      <c r="CK193" s="68">
        <f>CK18</f>
        <v>-123343</v>
      </c>
      <c r="CL193" s="165">
        <f>CL18+CJ18+CI18+CH18</f>
        <v>-125202</v>
      </c>
      <c r="CM193" s="165">
        <f>CM18+CL18+CJ18+CI18</f>
        <v>-127106</v>
      </c>
      <c r="CN193" s="165">
        <f>CN18+CM18+CL18+CJ18</f>
        <v>-126313</v>
      </c>
      <c r="CO193" s="165">
        <f>CO18+CN18+CM18+CL18</f>
        <v>-123005</v>
      </c>
      <c r="CP193" s="68">
        <f>CP18</f>
        <v>-123005</v>
      </c>
      <c r="CQ193" s="165">
        <f>CQ18+CO18+CN18+CM18</f>
        <v>-125406</v>
      </c>
      <c r="CR193" s="165">
        <f>CR18+CQ18+CO18+CN18</f>
        <v>-126284</v>
      </c>
      <c r="CS193" s="165">
        <f>CS18+CR18+CQ18+CO18</f>
        <v>-125935</v>
      </c>
      <c r="CT193" s="165">
        <f>CT18+CS18+CR18+CQ18</f>
        <v>-130943</v>
      </c>
      <c r="CU193" s="68">
        <f>CU18</f>
        <v>-130943</v>
      </c>
      <c r="CV193" s="165">
        <f>CV18+CT18+CS18+CR18</f>
        <v>-131672.576</v>
      </c>
      <c r="CW193" s="165">
        <f>CW18+CV18+CT18+CS18</f>
        <v>-132612.4565</v>
      </c>
      <c r="CX193" s="165">
        <f>CX18+CW18+CV18+CT18</f>
        <v>-133877.8285</v>
      </c>
      <c r="CY193" s="165">
        <f>CY18+CX18+CW18+CV18</f>
        <v>-134327.28372500002</v>
      </c>
      <c r="CZ193" s="68">
        <f>CZ18</f>
        <v>-134327.28372499999</v>
      </c>
      <c r="DA193" s="68">
        <f>DA18</f>
        <v>-136679.18240261002</v>
      </c>
      <c r="DB193" s="68">
        <f>DB18</f>
        <v>-140643.86952956271</v>
      </c>
      <c r="DC193" s="68">
        <f>DC18</f>
        <v>-145170.21248012749</v>
      </c>
      <c r="DD193" s="2"/>
      <c r="DE193" s="2"/>
      <c r="DF193" s="68">
        <f>CT193</f>
        <v>-130943</v>
      </c>
      <c r="DG193" s="68">
        <v>-127780.577725</v>
      </c>
      <c r="DH193" s="68">
        <f>CO193</f>
        <v>-123005</v>
      </c>
      <c r="DI193" s="454">
        <f>IF(ISERROR(DF193/DG193-1),"NM",DF193/DG193-1)</f>
        <v>2.474884940500055E-2</v>
      </c>
      <c r="DJ193" s="454">
        <f>IF(ISERROR(DF193/DH193-1),"NM",DF193/DH193-1)</f>
        <v>6.4533962034063697E-2</v>
      </c>
      <c r="DK193" s="2"/>
      <c r="DL193" s="2"/>
      <c r="DM193" s="2"/>
    </row>
    <row r="194" spans="1:117" ht="12" customHeight="1">
      <c r="A194" s="1109">
        <f t="shared" si="324"/>
        <v>184</v>
      </c>
      <c r="B194" s="10"/>
      <c r="C194" s="2"/>
      <c r="D194" s="2"/>
      <c r="E194" s="80"/>
      <c r="F194" s="80"/>
      <c r="G194" s="80"/>
      <c r="H194" s="80"/>
      <c r="I194" s="80"/>
      <c r="J194" s="2"/>
      <c r="K194" s="2"/>
      <c r="L194" s="2"/>
      <c r="M194" s="2"/>
      <c r="N194" s="80"/>
      <c r="O194" s="2"/>
      <c r="P194" s="2"/>
      <c r="Q194" s="2"/>
      <c r="R194" s="2"/>
      <c r="S194" s="80"/>
      <c r="T194" s="2"/>
      <c r="U194" s="2"/>
      <c r="V194" s="2"/>
      <c r="W194" s="2"/>
      <c r="X194" s="80"/>
      <c r="Y194" s="9"/>
      <c r="Z194" s="9"/>
      <c r="AA194" s="9"/>
      <c r="AB194" s="9"/>
      <c r="AC194" s="80"/>
      <c r="AD194" s="9"/>
      <c r="AE194" s="9"/>
      <c r="AF194" s="9"/>
      <c r="AG194" s="9"/>
      <c r="AH194" s="80"/>
      <c r="AI194" s="9"/>
      <c r="AJ194" s="9"/>
      <c r="AK194" s="9"/>
      <c r="AL194" s="9"/>
      <c r="AM194" s="80"/>
      <c r="AN194" s="9"/>
      <c r="AO194" s="9"/>
      <c r="AP194" s="9"/>
      <c r="AQ194" s="9"/>
      <c r="AR194" s="80"/>
      <c r="AS194" s="9"/>
      <c r="AT194" s="9"/>
      <c r="AU194" s="9"/>
      <c r="AV194" s="9"/>
      <c r="AW194" s="80"/>
      <c r="AX194" s="9"/>
      <c r="AY194" s="9"/>
      <c r="AZ194" s="9"/>
      <c r="BA194" s="9"/>
      <c r="BB194" s="80"/>
      <c r="BC194" s="9"/>
      <c r="BD194" s="9"/>
      <c r="BE194" s="9"/>
      <c r="BF194" s="9"/>
      <c r="BG194" s="80"/>
      <c r="BH194" s="9"/>
      <c r="BI194" s="9"/>
      <c r="BJ194" s="9"/>
      <c r="BK194" s="9"/>
      <c r="BL194" s="80"/>
      <c r="BM194" s="9"/>
      <c r="BN194" s="2"/>
      <c r="BO194" s="2"/>
      <c r="BP194" s="2"/>
      <c r="BQ194" s="80"/>
      <c r="BR194" s="2"/>
      <c r="BS194" s="2"/>
      <c r="BT194" s="2"/>
      <c r="BU194" s="2"/>
      <c r="BV194" s="80"/>
      <c r="BW194" s="263"/>
      <c r="BX194" s="2"/>
      <c r="BY194" s="2"/>
      <c r="BZ194" s="2"/>
      <c r="CA194" s="80"/>
      <c r="CB194" s="263"/>
      <c r="CC194" s="2"/>
      <c r="CD194" s="2"/>
      <c r="CE194" s="2"/>
      <c r="CF194" s="80"/>
      <c r="CG194" s="263"/>
      <c r="CH194" s="263"/>
      <c r="CI194" s="263"/>
      <c r="CJ194" s="263"/>
      <c r="CK194" s="80"/>
      <c r="CL194" s="263"/>
      <c r="CM194" s="263"/>
      <c r="CN194" s="263"/>
      <c r="CO194" s="263"/>
      <c r="CP194" s="80"/>
      <c r="CQ194" s="263"/>
      <c r="CR194" s="34"/>
      <c r="CS194" s="34"/>
      <c r="CT194" s="34"/>
      <c r="CU194" s="80"/>
      <c r="CV194" s="263"/>
      <c r="CW194" s="34"/>
      <c r="CX194" s="34"/>
      <c r="CY194" s="34"/>
      <c r="CZ194" s="62"/>
      <c r="DA194" s="62"/>
      <c r="DB194" s="62"/>
      <c r="DC194" s="62"/>
      <c r="DD194" s="2"/>
      <c r="DE194" s="2"/>
      <c r="DF194" s="80"/>
      <c r="DG194" s="80"/>
      <c r="DH194" s="80"/>
      <c r="DI194" s="465"/>
      <c r="DJ194" s="465"/>
      <c r="DK194" s="2"/>
      <c r="DL194" s="2"/>
      <c r="DM194" s="2"/>
    </row>
    <row r="195" spans="1:117" ht="12" customHeight="1">
      <c r="A195" s="1109">
        <f t="shared" si="324"/>
        <v>185</v>
      </c>
      <c r="B195" s="10"/>
      <c r="C195" s="6" t="s">
        <v>335</v>
      </c>
      <c r="D195" s="2"/>
      <c r="E195" s="80"/>
      <c r="F195" s="80"/>
      <c r="G195" s="80"/>
      <c r="H195" s="80"/>
      <c r="I195" s="80"/>
      <c r="J195" s="2"/>
      <c r="K195" s="2"/>
      <c r="L195" s="2"/>
      <c r="M195" s="2"/>
      <c r="N195" s="80"/>
      <c r="O195" s="2"/>
      <c r="P195" s="2"/>
      <c r="Q195" s="2"/>
      <c r="R195" s="2"/>
      <c r="S195" s="80"/>
      <c r="T195" s="2"/>
      <c r="U195" s="2"/>
      <c r="V195" s="2"/>
      <c r="W195" s="2"/>
      <c r="X195" s="80"/>
      <c r="Y195" s="9"/>
      <c r="Z195" s="9"/>
      <c r="AA195" s="9"/>
      <c r="AB195" s="9"/>
      <c r="AC195" s="80"/>
      <c r="AD195" s="9"/>
      <c r="AE195" s="9"/>
      <c r="AF195" s="9"/>
      <c r="AG195" s="9"/>
      <c r="AH195" s="80"/>
      <c r="AI195" s="9"/>
      <c r="AJ195" s="9"/>
      <c r="AK195" s="9"/>
      <c r="AL195" s="9"/>
      <c r="AM195" s="80"/>
      <c r="AN195" s="9"/>
      <c r="AO195" s="9"/>
      <c r="AP195" s="9"/>
      <c r="AQ195" s="9"/>
      <c r="AR195" s="80"/>
      <c r="AS195" s="9"/>
      <c r="AT195" s="9"/>
      <c r="AU195" s="9"/>
      <c r="AV195" s="9"/>
      <c r="AW195" s="80"/>
      <c r="AX195" s="9"/>
      <c r="AY195" s="9"/>
      <c r="AZ195" s="9"/>
      <c r="BA195" s="9"/>
      <c r="BB195" s="80"/>
      <c r="BC195" s="9"/>
      <c r="BD195" s="9"/>
      <c r="BE195" s="9"/>
      <c r="BF195" s="9"/>
      <c r="BG195" s="80"/>
      <c r="BH195" s="9"/>
      <c r="BI195" s="9"/>
      <c r="BJ195" s="9"/>
      <c r="BK195" s="9"/>
      <c r="BL195" s="80"/>
      <c r="BM195" s="9"/>
      <c r="BN195" s="2"/>
      <c r="BO195" s="2"/>
      <c r="BP195" s="2"/>
      <c r="BQ195" s="80"/>
      <c r="BR195" s="2"/>
      <c r="BS195" s="2"/>
      <c r="BT195" s="2"/>
      <c r="BU195" s="2"/>
      <c r="BV195" s="80"/>
      <c r="BW195" s="263"/>
      <c r="BX195" s="2"/>
      <c r="BY195" s="2"/>
      <c r="BZ195" s="2"/>
      <c r="CA195" s="80"/>
      <c r="CB195" s="263"/>
      <c r="CC195" s="2"/>
      <c r="CD195" s="2"/>
      <c r="CE195" s="2"/>
      <c r="CF195" s="80"/>
      <c r="CG195" s="263"/>
      <c r="CH195" s="263"/>
      <c r="CI195" s="263"/>
      <c r="CJ195" s="263"/>
      <c r="CK195" s="80"/>
      <c r="CL195" s="263"/>
      <c r="CM195" s="263"/>
      <c r="CN195" s="263"/>
      <c r="CO195" s="263"/>
      <c r="CP195" s="80"/>
      <c r="CQ195" s="263"/>
      <c r="CR195" s="34"/>
      <c r="CS195" s="34"/>
      <c r="CT195" s="34"/>
      <c r="CU195" s="80"/>
      <c r="CV195" s="263"/>
      <c r="CW195" s="34"/>
      <c r="CX195" s="34"/>
      <c r="CY195" s="34"/>
      <c r="CZ195" s="62"/>
      <c r="DA195" s="62"/>
      <c r="DB195" s="62"/>
      <c r="DC195" s="62"/>
      <c r="DD195" s="2"/>
      <c r="DE195" s="2"/>
      <c r="DF195" s="80"/>
      <c r="DG195" s="80"/>
      <c r="DH195" s="80"/>
      <c r="DI195" s="465"/>
      <c r="DJ195" s="465"/>
      <c r="DK195" s="2"/>
      <c r="DL195" s="2"/>
      <c r="DM195" s="2"/>
    </row>
    <row r="196" spans="1:117" ht="12" customHeight="1">
      <c r="A196" s="1109">
        <f t="shared" si="324"/>
        <v>186</v>
      </c>
      <c r="B196" s="10"/>
      <c r="C196" s="2"/>
      <c r="D196" s="2"/>
      <c r="E196" s="80"/>
      <c r="F196" s="80"/>
      <c r="G196" s="80"/>
      <c r="H196" s="80"/>
      <c r="I196" s="80"/>
      <c r="J196" s="2"/>
      <c r="K196" s="2"/>
      <c r="L196" s="2"/>
      <c r="M196" s="2"/>
      <c r="N196" s="80"/>
      <c r="O196" s="2"/>
      <c r="P196" s="2"/>
      <c r="Q196" s="2"/>
      <c r="R196" s="2"/>
      <c r="S196" s="80"/>
      <c r="T196" s="2"/>
      <c r="U196" s="2"/>
      <c r="V196" s="2"/>
      <c r="W196" s="2"/>
      <c r="X196" s="80"/>
      <c r="Y196" s="9"/>
      <c r="Z196" s="9"/>
      <c r="AA196" s="9"/>
      <c r="AB196" s="9"/>
      <c r="AC196" s="80"/>
      <c r="AD196" s="9"/>
      <c r="AE196" s="9"/>
      <c r="AF196" s="9"/>
      <c r="AG196" s="9"/>
      <c r="AH196" s="80"/>
      <c r="AI196" s="9"/>
      <c r="AJ196" s="9"/>
      <c r="AK196" s="9"/>
      <c r="AL196" s="9"/>
      <c r="AM196" s="80"/>
      <c r="AN196" s="9"/>
      <c r="AO196" s="9"/>
      <c r="AP196" s="9"/>
      <c r="AQ196" s="9"/>
      <c r="AR196" s="80"/>
      <c r="AS196" s="9"/>
      <c r="AT196" s="9"/>
      <c r="AU196" s="9"/>
      <c r="AV196" s="9"/>
      <c r="AW196" s="80"/>
      <c r="AX196" s="9"/>
      <c r="AY196" s="9"/>
      <c r="AZ196" s="9"/>
      <c r="BA196" s="9"/>
      <c r="BB196" s="80"/>
      <c r="BC196" s="9"/>
      <c r="BD196" s="9"/>
      <c r="BE196" s="9"/>
      <c r="BF196" s="9"/>
      <c r="BG196" s="80"/>
      <c r="BH196" s="9"/>
      <c r="BI196" s="9"/>
      <c r="BJ196" s="9"/>
      <c r="BK196" s="9"/>
      <c r="BL196" s="80"/>
      <c r="BM196" s="9"/>
      <c r="BN196" s="2"/>
      <c r="BO196" s="2"/>
      <c r="BP196" s="2"/>
      <c r="BQ196" s="80"/>
      <c r="BR196" s="2"/>
      <c r="BS196" s="2"/>
      <c r="BT196" s="2"/>
      <c r="BU196" s="2"/>
      <c r="BV196" s="80"/>
      <c r="BW196" s="263"/>
      <c r="BX196" s="2"/>
      <c r="BY196" s="2"/>
      <c r="BZ196" s="2"/>
      <c r="CA196" s="80"/>
      <c r="CB196" s="263"/>
      <c r="CC196" s="2"/>
      <c r="CD196" s="2"/>
      <c r="CE196" s="2"/>
      <c r="CF196" s="80"/>
      <c r="CG196" s="263"/>
      <c r="CH196" s="263"/>
      <c r="CI196" s="263"/>
      <c r="CJ196" s="263"/>
      <c r="CK196" s="80"/>
      <c r="CL196" s="263"/>
      <c r="CM196" s="263"/>
      <c r="CN196" s="263"/>
      <c r="CO196" s="263"/>
      <c r="CP196" s="80"/>
      <c r="CQ196" s="263"/>
      <c r="CR196" s="34"/>
      <c r="CS196" s="34"/>
      <c r="CT196" s="34"/>
      <c r="CU196" s="80"/>
      <c r="CV196" s="263"/>
      <c r="CW196" s="34"/>
      <c r="CX196" s="34"/>
      <c r="CY196" s="34"/>
      <c r="CZ196" s="62"/>
      <c r="DA196" s="62"/>
      <c r="DB196" s="62"/>
      <c r="DC196" s="62"/>
      <c r="DD196" s="2"/>
      <c r="DE196" s="2"/>
      <c r="DF196" s="80"/>
      <c r="DG196" s="80"/>
      <c r="DH196" s="80"/>
      <c r="DI196" s="465"/>
      <c r="DJ196" s="465"/>
      <c r="DK196" s="2"/>
      <c r="DL196" s="2"/>
      <c r="DM196" s="2"/>
    </row>
    <row r="197" spans="1:117" ht="12" customHeight="1">
      <c r="A197" s="1109">
        <f t="shared" si="324"/>
        <v>187</v>
      </c>
      <c r="B197" s="10"/>
      <c r="C197" s="2" t="s">
        <v>343</v>
      </c>
      <c r="D197" s="2"/>
      <c r="E197" s="74">
        <f>E71/E192*365</f>
        <v>8.8390806274017955</v>
      </c>
      <c r="F197" s="74">
        <f>F71/F192*365</f>
        <v>8.9542216870420646</v>
      </c>
      <c r="G197" s="74">
        <f>G71/G192*365</f>
        <v>7.3581141335832889</v>
      </c>
      <c r="H197" s="74">
        <f>H71/H192*365</f>
        <v>8.8257533791269669</v>
      </c>
      <c r="I197" s="74">
        <f>I71/I192*365</f>
        <v>16.135081975376263</v>
      </c>
      <c r="J197" s="2"/>
      <c r="K197" s="2"/>
      <c r="L197" s="2"/>
      <c r="M197" s="15">
        <f t="shared" ref="M197:AR197" si="333">M71/M192*365</f>
        <v>13.461760105375813</v>
      </c>
      <c r="N197" s="74">
        <f t="shared" si="333"/>
        <v>13.461760105375813</v>
      </c>
      <c r="O197" s="15">
        <f t="shared" si="333"/>
        <v>14.431283532810566</v>
      </c>
      <c r="P197" s="15">
        <f t="shared" si="333"/>
        <v>13.106644766313275</v>
      </c>
      <c r="Q197" s="15">
        <f t="shared" si="333"/>
        <v>11.015064693880046</v>
      </c>
      <c r="R197" s="15">
        <f t="shared" si="333"/>
        <v>4.9520696219067641</v>
      </c>
      <c r="S197" s="74">
        <f t="shared" si="333"/>
        <v>4.9520696219067641</v>
      </c>
      <c r="T197" s="15">
        <f t="shared" si="333"/>
        <v>13.947498432363615</v>
      </c>
      <c r="U197" s="15">
        <f t="shared" si="333"/>
        <v>14.037927668690658</v>
      </c>
      <c r="V197" s="15">
        <f t="shared" si="333"/>
        <v>13.12554419484041</v>
      </c>
      <c r="W197" s="15">
        <f t="shared" si="333"/>
        <v>4.6047911941623108</v>
      </c>
      <c r="X197" s="74">
        <f t="shared" si="333"/>
        <v>4.6047911941623108</v>
      </c>
      <c r="Y197" s="15">
        <f t="shared" si="333"/>
        <v>5.1256896108820902</v>
      </c>
      <c r="Z197" s="15">
        <f t="shared" si="333"/>
        <v>5.4973343299994442</v>
      </c>
      <c r="AA197" s="15">
        <f t="shared" si="333"/>
        <v>6.31337230108553</v>
      </c>
      <c r="AB197" s="15">
        <f t="shared" si="333"/>
        <v>12.995259769499448</v>
      </c>
      <c r="AC197" s="74">
        <f t="shared" si="333"/>
        <v>12.995259769499448</v>
      </c>
      <c r="AD197" s="15">
        <f t="shared" si="333"/>
        <v>6.5517159397548825</v>
      </c>
      <c r="AE197" s="15">
        <f t="shared" si="333"/>
        <v>6.4551387675401815</v>
      </c>
      <c r="AF197" s="15">
        <f t="shared" si="333"/>
        <v>7.050244049133684</v>
      </c>
      <c r="AG197" s="15">
        <f t="shared" si="333"/>
        <v>12.48679751154855</v>
      </c>
      <c r="AH197" s="74">
        <f t="shared" si="333"/>
        <v>12.48679751154855</v>
      </c>
      <c r="AI197" s="15">
        <f t="shared" si="333"/>
        <v>13.798783064800931</v>
      </c>
      <c r="AJ197" s="15">
        <f t="shared" si="333"/>
        <v>13.603404143479105</v>
      </c>
      <c r="AK197" s="15">
        <f t="shared" si="333"/>
        <v>10.899660452012629</v>
      </c>
      <c r="AL197" s="15">
        <f t="shared" si="333"/>
        <v>17.612834659913169</v>
      </c>
      <c r="AM197" s="74">
        <f t="shared" si="333"/>
        <v>17.612834659913169</v>
      </c>
      <c r="AN197" s="15">
        <f t="shared" si="333"/>
        <v>18.665770302928443</v>
      </c>
      <c r="AO197" s="15">
        <f t="shared" si="333"/>
        <v>19.871529767636964</v>
      </c>
      <c r="AP197" s="15">
        <f t="shared" si="333"/>
        <v>17.61549871567599</v>
      </c>
      <c r="AQ197" s="15">
        <f t="shared" si="333"/>
        <v>16.115047012151315</v>
      </c>
      <c r="AR197" s="74">
        <f t="shared" si="333"/>
        <v>16.115047012151315</v>
      </c>
      <c r="AS197" s="15">
        <f t="shared" ref="AS197:BX197" si="334">AS71/AS192*365</f>
        <v>24.127008090904052</v>
      </c>
      <c r="AT197" s="15">
        <f t="shared" si="334"/>
        <v>25.261471651128186</v>
      </c>
      <c r="AU197" s="15">
        <f t="shared" si="334"/>
        <v>24.262192518442962</v>
      </c>
      <c r="AV197" s="15">
        <f t="shared" si="334"/>
        <v>17.376417036328316</v>
      </c>
      <c r="AW197" s="74">
        <f t="shared" si="334"/>
        <v>17.376417036328316</v>
      </c>
      <c r="AX197" s="15">
        <f t="shared" si="334"/>
        <v>17.091876903127208</v>
      </c>
      <c r="AY197" s="15">
        <f t="shared" si="334"/>
        <v>19.291399865567623</v>
      </c>
      <c r="AZ197" s="15">
        <f t="shared" si="334"/>
        <v>17.146596368627939</v>
      </c>
      <c r="BA197" s="15">
        <f t="shared" si="334"/>
        <v>14.2716071502405</v>
      </c>
      <c r="BB197" s="74">
        <f t="shared" si="334"/>
        <v>14.2716071502405</v>
      </c>
      <c r="BC197" s="15">
        <f t="shared" si="334"/>
        <v>15.587662028967134</v>
      </c>
      <c r="BD197" s="15">
        <f t="shared" si="334"/>
        <v>21.664537169406721</v>
      </c>
      <c r="BE197" s="15">
        <f t="shared" si="334"/>
        <v>24.111692591854844</v>
      </c>
      <c r="BF197" s="15">
        <f t="shared" si="334"/>
        <v>22.581202755346869</v>
      </c>
      <c r="BG197" s="74">
        <f t="shared" si="334"/>
        <v>22.581202755346869</v>
      </c>
      <c r="BH197" s="15">
        <f t="shared" si="334"/>
        <v>20.47339602621113</v>
      </c>
      <c r="BI197" s="15">
        <f t="shared" si="334"/>
        <v>22.127342160405721</v>
      </c>
      <c r="BJ197" s="15">
        <f t="shared" si="334"/>
        <v>23.255594386958741</v>
      </c>
      <c r="BK197" s="15">
        <f t="shared" si="334"/>
        <v>23.722141228655179</v>
      </c>
      <c r="BL197" s="74">
        <f t="shared" si="334"/>
        <v>23.722141228655179</v>
      </c>
      <c r="BM197" s="15">
        <f t="shared" si="334"/>
        <v>25.169231122894669</v>
      </c>
      <c r="BN197" s="15">
        <f t="shared" si="334"/>
        <v>26.401895206243033</v>
      </c>
      <c r="BO197" s="15">
        <f t="shared" si="334"/>
        <v>24.591696740135404</v>
      </c>
      <c r="BP197" s="15">
        <f t="shared" si="334"/>
        <v>22.942413256619503</v>
      </c>
      <c r="BQ197" s="74">
        <f t="shared" si="334"/>
        <v>22.942413256619503</v>
      </c>
      <c r="BR197" s="15">
        <f t="shared" si="334"/>
        <v>26.659980087761348</v>
      </c>
      <c r="BS197" s="15">
        <f t="shared" si="334"/>
        <v>27.824338417905299</v>
      </c>
      <c r="BT197" s="15">
        <f t="shared" si="334"/>
        <v>29.59884142473037</v>
      </c>
      <c r="BU197" s="15">
        <f t="shared" si="334"/>
        <v>29.728210004567266</v>
      </c>
      <c r="BV197" s="74">
        <f t="shared" si="334"/>
        <v>29.728210004567266</v>
      </c>
      <c r="BW197" s="148">
        <f t="shared" si="334"/>
        <v>30.382194014462975</v>
      </c>
      <c r="BX197" s="148">
        <f t="shared" si="334"/>
        <v>29.290298639335575</v>
      </c>
      <c r="BY197" s="148">
        <f t="shared" ref="BY197:CU197" si="335">BY71/BY192*365</f>
        <v>29.418278443320144</v>
      </c>
      <c r="BZ197" s="148">
        <f t="shared" si="335"/>
        <v>24.416643410905476</v>
      </c>
      <c r="CA197" s="259">
        <f t="shared" si="335"/>
        <v>24.416643410905476</v>
      </c>
      <c r="CB197" s="148">
        <f t="shared" si="335"/>
        <v>29.985048659816233</v>
      </c>
      <c r="CC197" s="148">
        <f t="shared" si="335"/>
        <v>31.994005401276663</v>
      </c>
      <c r="CD197" s="148">
        <f t="shared" si="335"/>
        <v>27.900114558538043</v>
      </c>
      <c r="CE197" s="148">
        <f t="shared" si="335"/>
        <v>29.660667559707658</v>
      </c>
      <c r="CF197" s="259">
        <f t="shared" si="335"/>
        <v>29.660667559707658</v>
      </c>
      <c r="CG197" s="148">
        <f t="shared" si="335"/>
        <v>33.404585470897459</v>
      </c>
      <c r="CH197" s="148">
        <f t="shared" si="335"/>
        <v>32.567751297964818</v>
      </c>
      <c r="CI197" s="148">
        <f t="shared" si="335"/>
        <v>33.622026905088276</v>
      </c>
      <c r="CJ197" s="148">
        <f t="shared" si="335"/>
        <v>26.948274248117787</v>
      </c>
      <c r="CK197" s="259">
        <f t="shared" si="335"/>
        <v>26.948274248117787</v>
      </c>
      <c r="CL197" s="148">
        <f t="shared" si="335"/>
        <v>26.777201126643018</v>
      </c>
      <c r="CM197" s="148">
        <f t="shared" si="335"/>
        <v>25.165619095361123</v>
      </c>
      <c r="CN197" s="148">
        <f t="shared" si="335"/>
        <v>23.863471906230238</v>
      </c>
      <c r="CO197" s="148">
        <f t="shared" si="335"/>
        <v>26.694532279314888</v>
      </c>
      <c r="CP197" s="259">
        <f t="shared" si="335"/>
        <v>26.694532279314888</v>
      </c>
      <c r="CQ197" s="148">
        <f t="shared" si="335"/>
        <v>25.452430365207402</v>
      </c>
      <c r="CR197" s="148">
        <f t="shared" si="335"/>
        <v>24.141481548998669</v>
      </c>
      <c r="CS197" s="148">
        <f t="shared" si="335"/>
        <v>24.34138633650003</v>
      </c>
      <c r="CT197" s="148">
        <f t="shared" si="335"/>
        <v>24.676194060315353</v>
      </c>
      <c r="CU197" s="74">
        <f t="shared" si="335"/>
        <v>24.676194060315353</v>
      </c>
      <c r="CV197" s="55">
        <f t="shared" ref="CV197:CY202" si="336">CU197</f>
        <v>24.676194060315353</v>
      </c>
      <c r="CW197" s="55">
        <f t="shared" si="336"/>
        <v>24.676194060315353</v>
      </c>
      <c r="CX197" s="55">
        <f t="shared" si="336"/>
        <v>24.676194060315353</v>
      </c>
      <c r="CY197" s="55">
        <f t="shared" si="336"/>
        <v>24.676194060315353</v>
      </c>
      <c r="CZ197" s="88">
        <f>CZ71/CZ192*365</f>
        <v>24.67619406031535</v>
      </c>
      <c r="DA197" s="88">
        <v>24.5</v>
      </c>
      <c r="DB197" s="88">
        <v>24</v>
      </c>
      <c r="DC197" s="88">
        <v>24</v>
      </c>
      <c r="DD197" s="2"/>
      <c r="DE197" s="2"/>
      <c r="DF197" s="259">
        <f t="shared" ref="DF197:DF202" si="337">CT197</f>
        <v>24.676194060315353</v>
      </c>
      <c r="DG197" s="259">
        <v>24.34138633650003</v>
      </c>
      <c r="DH197" s="259">
        <f t="shared" ref="DH197:DH202" si="338">CO197</f>
        <v>26.694532279314888</v>
      </c>
      <c r="DI197" s="454">
        <f t="shared" ref="DI197:DI202" si="339">IF(ISERROR(DF197/DG197-1),"NM",DF197/DG197-1)</f>
        <v>1.37546694829489E-2</v>
      </c>
      <c r="DJ197" s="454">
        <f t="shared" ref="DJ197:DJ202" si="340">IF(ISERROR(DF197/DH197-1),"NM",DF197/DH197-1)</f>
        <v>-7.560867513545122E-2</v>
      </c>
      <c r="DK197" s="2"/>
      <c r="DL197" s="2"/>
      <c r="DM197" s="2"/>
    </row>
    <row r="198" spans="1:117" ht="12" customHeight="1">
      <c r="A198" s="1109">
        <f t="shared" si="324"/>
        <v>188</v>
      </c>
      <c r="B198" s="10"/>
      <c r="C198" s="2" t="s">
        <v>344</v>
      </c>
      <c r="D198" s="2"/>
      <c r="E198" s="74">
        <f>-E86/E193*365</f>
        <v>69.369878720186605</v>
      </c>
      <c r="F198" s="74">
        <f>-F86/F193*365</f>
        <v>65.761145092852814</v>
      </c>
      <c r="G198" s="74">
        <f>-G86/G193*365</f>
        <v>69.935403601237752</v>
      </c>
      <c r="H198" s="74">
        <f>-H86/H193*365</f>
        <v>74.303257783552283</v>
      </c>
      <c r="I198" s="74">
        <f>-I86/I193*365</f>
        <v>78.632138504853557</v>
      </c>
      <c r="J198" s="15"/>
      <c r="K198" s="15"/>
      <c r="L198" s="15"/>
      <c r="M198" s="15">
        <f t="shared" ref="M198:AR198" si="341">-M86/M193*365</f>
        <v>76.462050208541484</v>
      </c>
      <c r="N198" s="74">
        <f t="shared" si="341"/>
        <v>76.462050208541484</v>
      </c>
      <c r="O198" s="15">
        <f t="shared" si="341"/>
        <v>82.742379398648595</v>
      </c>
      <c r="P198" s="15">
        <f t="shared" si="341"/>
        <v>83.223164201937792</v>
      </c>
      <c r="Q198" s="15">
        <f t="shared" si="341"/>
        <v>77.093036487925417</v>
      </c>
      <c r="R198" s="15">
        <f t="shared" si="341"/>
        <v>60.620634339690227</v>
      </c>
      <c r="S198" s="74">
        <f t="shared" si="341"/>
        <v>60.620634339690227</v>
      </c>
      <c r="T198" s="15">
        <f t="shared" si="341"/>
        <v>76.989884336404629</v>
      </c>
      <c r="U198" s="15">
        <f t="shared" si="341"/>
        <v>77.924469957660037</v>
      </c>
      <c r="V198" s="15">
        <f t="shared" si="341"/>
        <v>70.115446689884706</v>
      </c>
      <c r="W198" s="15">
        <f t="shared" si="341"/>
        <v>55.274105707636579</v>
      </c>
      <c r="X198" s="74">
        <f t="shared" si="341"/>
        <v>55.274105707636579</v>
      </c>
      <c r="Y198" s="15">
        <f t="shared" si="341"/>
        <v>59.244699821676249</v>
      </c>
      <c r="Z198" s="15">
        <f t="shared" si="341"/>
        <v>63.44995620670435</v>
      </c>
      <c r="AA198" s="15">
        <f t="shared" si="341"/>
        <v>61.35045339254313</v>
      </c>
      <c r="AB198" s="15">
        <f t="shared" si="341"/>
        <v>57.435748159000653</v>
      </c>
      <c r="AC198" s="74">
        <f t="shared" si="341"/>
        <v>57.435748159000653</v>
      </c>
      <c r="AD198" s="15">
        <f t="shared" si="341"/>
        <v>73.022557354315524</v>
      </c>
      <c r="AE198" s="15">
        <f t="shared" si="341"/>
        <v>59.308975996672807</v>
      </c>
      <c r="AF198" s="15">
        <f t="shared" si="341"/>
        <v>59.579188619983526</v>
      </c>
      <c r="AG198" s="15">
        <f t="shared" si="341"/>
        <v>59.231335862399177</v>
      </c>
      <c r="AH198" s="74">
        <f t="shared" si="341"/>
        <v>59.231335862399177</v>
      </c>
      <c r="AI198" s="15">
        <f t="shared" si="341"/>
        <v>64.270357499326096</v>
      </c>
      <c r="AJ198" s="15">
        <f t="shared" si="341"/>
        <v>62.030002066159859</v>
      </c>
      <c r="AK198" s="15">
        <f t="shared" si="341"/>
        <v>58.735896466767457</v>
      </c>
      <c r="AL198" s="15">
        <f t="shared" si="341"/>
        <v>57.700242885926421</v>
      </c>
      <c r="AM198" s="74">
        <f t="shared" si="341"/>
        <v>57.700242885926421</v>
      </c>
      <c r="AN198" s="15">
        <f t="shared" si="341"/>
        <v>60.003869306469618</v>
      </c>
      <c r="AO198" s="15">
        <f t="shared" si="341"/>
        <v>59.416970363748881</v>
      </c>
      <c r="AP198" s="15">
        <f t="shared" si="341"/>
        <v>55.510096247098872</v>
      </c>
      <c r="AQ198" s="15">
        <f t="shared" si="341"/>
        <v>52.013958862332565</v>
      </c>
      <c r="AR198" s="74">
        <f t="shared" si="341"/>
        <v>52.013958862332565</v>
      </c>
      <c r="AS198" s="15">
        <f t="shared" ref="AS198:BX198" si="342">-AS86/AS193*365</f>
        <v>60.860680861498224</v>
      </c>
      <c r="AT198" s="15">
        <f t="shared" si="342"/>
        <v>63.171552122084343</v>
      </c>
      <c r="AU198" s="15">
        <f t="shared" si="342"/>
        <v>66.268262247272929</v>
      </c>
      <c r="AV198" s="15">
        <f t="shared" si="342"/>
        <v>53.882861495943025</v>
      </c>
      <c r="AW198" s="74">
        <f t="shared" si="342"/>
        <v>53.882861495943025</v>
      </c>
      <c r="AX198" s="15">
        <f t="shared" si="342"/>
        <v>61.761142179291646</v>
      </c>
      <c r="AY198" s="15">
        <f t="shared" si="342"/>
        <v>63.486467850370623</v>
      </c>
      <c r="AZ198" s="15">
        <f t="shared" si="342"/>
        <v>55.599227816561537</v>
      </c>
      <c r="BA198" s="15">
        <f t="shared" si="342"/>
        <v>39.176328896872704</v>
      </c>
      <c r="BB198" s="74">
        <f t="shared" si="342"/>
        <v>39.176328896872704</v>
      </c>
      <c r="BC198" s="15">
        <f t="shared" si="342"/>
        <v>43.287087330375066</v>
      </c>
      <c r="BD198" s="15">
        <f t="shared" si="342"/>
        <v>52.363454330749086</v>
      </c>
      <c r="BE198" s="15">
        <f t="shared" si="342"/>
        <v>58.600510920395642</v>
      </c>
      <c r="BF198" s="15">
        <f t="shared" si="342"/>
        <v>53.627831715210355</v>
      </c>
      <c r="BG198" s="74">
        <f t="shared" si="342"/>
        <v>53.627831715210355</v>
      </c>
      <c r="BH198" s="15">
        <f t="shared" si="342"/>
        <v>56.31646051285599</v>
      </c>
      <c r="BI198" s="15">
        <f t="shared" si="342"/>
        <v>55.061565191116486</v>
      </c>
      <c r="BJ198" s="15">
        <f t="shared" si="342"/>
        <v>60.129902762567148</v>
      </c>
      <c r="BK198" s="15">
        <f t="shared" si="342"/>
        <v>57.210064230597901</v>
      </c>
      <c r="BL198" s="74">
        <f t="shared" si="342"/>
        <v>57.210064230597901</v>
      </c>
      <c r="BM198" s="15">
        <f t="shared" si="342"/>
        <v>68.790765226248183</v>
      </c>
      <c r="BN198" s="15">
        <f t="shared" si="342"/>
        <v>65.989007664850121</v>
      </c>
      <c r="BO198" s="15">
        <f t="shared" si="342"/>
        <v>62.345237181888344</v>
      </c>
      <c r="BP198" s="15">
        <f t="shared" si="342"/>
        <v>57.185817709300167</v>
      </c>
      <c r="BQ198" s="74">
        <f t="shared" si="342"/>
        <v>57.185817709300167</v>
      </c>
      <c r="BR198" s="15">
        <f t="shared" si="342"/>
        <v>63.389843998726519</v>
      </c>
      <c r="BS198" s="15">
        <f t="shared" si="342"/>
        <v>64.194732934367423</v>
      </c>
      <c r="BT198" s="15">
        <f t="shared" si="342"/>
        <v>68.464355788096796</v>
      </c>
      <c r="BU198" s="15">
        <f t="shared" si="342"/>
        <v>62.707276707063151</v>
      </c>
      <c r="BV198" s="74">
        <f t="shared" si="342"/>
        <v>62.707276707063151</v>
      </c>
      <c r="BW198" s="148">
        <f t="shared" si="342"/>
        <v>64.994899987898279</v>
      </c>
      <c r="BX198" s="148">
        <f t="shared" si="342"/>
        <v>63.750531201306551</v>
      </c>
      <c r="BY198" s="148">
        <f t="shared" ref="BY198:CP198" si="343">-BY86/BY193*365</f>
        <v>64.106029063845497</v>
      </c>
      <c r="BZ198" s="148">
        <f t="shared" si="343"/>
        <v>57.273359042339521</v>
      </c>
      <c r="CA198" s="259">
        <f t="shared" si="343"/>
        <v>57.273359042339521</v>
      </c>
      <c r="CB198" s="148">
        <f t="shared" si="343"/>
        <v>64.628475073547591</v>
      </c>
      <c r="CC198" s="148">
        <f t="shared" si="343"/>
        <v>64.708865031660821</v>
      </c>
      <c r="CD198" s="148">
        <f t="shared" si="343"/>
        <v>61.907062138965834</v>
      </c>
      <c r="CE198" s="148">
        <f t="shared" si="343"/>
        <v>59.636242792950753</v>
      </c>
      <c r="CF198" s="259">
        <f t="shared" si="343"/>
        <v>59.636242792950753</v>
      </c>
      <c r="CG198" s="148">
        <f t="shared" si="343"/>
        <v>67.953469014025885</v>
      </c>
      <c r="CH198" s="148">
        <f t="shared" si="343"/>
        <v>66.837622600385615</v>
      </c>
      <c r="CI198" s="148">
        <f t="shared" si="343"/>
        <v>67.872427026398412</v>
      </c>
      <c r="CJ198" s="148">
        <f t="shared" si="343"/>
        <v>59.989460285545185</v>
      </c>
      <c r="CK198" s="259">
        <f t="shared" si="343"/>
        <v>59.989460285545185</v>
      </c>
      <c r="CL198" s="148">
        <f t="shared" si="343"/>
        <v>64.346256449577481</v>
      </c>
      <c r="CM198" s="148">
        <f t="shared" si="343"/>
        <v>66.288452158041324</v>
      </c>
      <c r="CN198" s="148">
        <f t="shared" si="343"/>
        <v>64.681861724446421</v>
      </c>
      <c r="CO198" s="148">
        <f t="shared" si="343"/>
        <v>63.192878338278931</v>
      </c>
      <c r="CP198" s="259">
        <f t="shared" si="343"/>
        <v>63.192878338278931</v>
      </c>
      <c r="CQ198" s="148">
        <f>CQ86/CQ192*365</f>
        <v>55.399829012974131</v>
      </c>
      <c r="CR198" s="148">
        <f>CR86/CR192*365</f>
        <v>56.006145993385246</v>
      </c>
      <c r="CS198" s="148">
        <f>CS86/CS192*365</f>
        <v>55.816786066552453</v>
      </c>
      <c r="CT198" s="148">
        <f>CT86/CT192*365</f>
        <v>54.20427871613002</v>
      </c>
      <c r="CU198" s="74">
        <f>CU86/CU192*365</f>
        <v>54.20427871613002</v>
      </c>
      <c r="CV198" s="55">
        <f t="shared" si="336"/>
        <v>54.20427871613002</v>
      </c>
      <c r="CW198" s="55">
        <f t="shared" si="336"/>
        <v>54.20427871613002</v>
      </c>
      <c r="CX198" s="55">
        <f t="shared" si="336"/>
        <v>54.20427871613002</v>
      </c>
      <c r="CY198" s="55">
        <f t="shared" si="336"/>
        <v>54.20427871613002</v>
      </c>
      <c r="CZ198" s="88">
        <f>CZ86/CZ192*365</f>
        <v>54.204278716130005</v>
      </c>
      <c r="DA198" s="88">
        <v>55.5</v>
      </c>
      <c r="DB198" s="88">
        <f t="shared" ref="DA198:DC202" si="344">DA198</f>
        <v>55.5</v>
      </c>
      <c r="DC198" s="88">
        <f t="shared" si="344"/>
        <v>55.5</v>
      </c>
      <c r="DD198" s="2"/>
      <c r="DE198" s="2"/>
      <c r="DF198" s="259">
        <f t="shared" si="337"/>
        <v>54.20427871613002</v>
      </c>
      <c r="DG198" s="259">
        <v>55.816786066552453</v>
      </c>
      <c r="DH198" s="259">
        <f t="shared" si="338"/>
        <v>63.192878338278931</v>
      </c>
      <c r="DI198" s="454">
        <f t="shared" si="339"/>
        <v>-2.8889290553199887E-2</v>
      </c>
      <c r="DJ198" s="454">
        <f t="shared" si="340"/>
        <v>-0.14224070589144355</v>
      </c>
      <c r="DK198" s="2"/>
      <c r="DL198" s="2"/>
      <c r="DM198" s="2"/>
    </row>
    <row r="199" spans="1:117" ht="12" customHeight="1">
      <c r="A199" s="1109">
        <f t="shared" si="324"/>
        <v>189</v>
      </c>
      <c r="B199" s="10"/>
      <c r="C199" s="2" t="s">
        <v>345</v>
      </c>
      <c r="D199" s="2"/>
      <c r="E199" s="74">
        <f>-E72/E193*365</f>
        <v>25.838728489389251</v>
      </c>
      <c r="F199" s="74">
        <f>-F72/F193*365</f>
        <v>22.312595286640583</v>
      </c>
      <c r="G199" s="74">
        <f>-G72/G193*365</f>
        <v>18.325911098460157</v>
      </c>
      <c r="H199" s="74">
        <f>-H72/H193*365</f>
        <v>19.868533756797074</v>
      </c>
      <c r="I199" s="74">
        <f>-I72/I193*365</f>
        <v>17.436315501954027</v>
      </c>
      <c r="J199" s="15"/>
      <c r="K199" s="15"/>
      <c r="L199" s="15"/>
      <c r="M199" s="15">
        <f t="shared" ref="M199:AR199" si="345">-M72/M193*365</f>
        <v>21.747070111169261</v>
      </c>
      <c r="N199" s="74">
        <f t="shared" si="345"/>
        <v>21.747070111169261</v>
      </c>
      <c r="O199" s="15">
        <f t="shared" si="345"/>
        <v>22.316216065288671</v>
      </c>
      <c r="P199" s="15">
        <f t="shared" si="345"/>
        <v>20.997737123916369</v>
      </c>
      <c r="Q199" s="15">
        <f t="shared" si="345"/>
        <v>21.09415006461996</v>
      </c>
      <c r="R199" s="15">
        <f t="shared" si="345"/>
        <v>17.414789319171138</v>
      </c>
      <c r="S199" s="74">
        <f t="shared" si="345"/>
        <v>17.414789319171138</v>
      </c>
      <c r="T199" s="15">
        <f t="shared" si="345"/>
        <v>20.229915702803371</v>
      </c>
      <c r="U199" s="15">
        <f t="shared" si="345"/>
        <v>21.768842866430916</v>
      </c>
      <c r="V199" s="15">
        <f t="shared" si="345"/>
        <v>21.150760249272185</v>
      </c>
      <c r="W199" s="15">
        <f t="shared" si="345"/>
        <v>20.365834153051349</v>
      </c>
      <c r="X199" s="74">
        <f t="shared" si="345"/>
        <v>20.365834153051349</v>
      </c>
      <c r="Y199" s="15">
        <f t="shared" si="345"/>
        <v>23.006498910243707</v>
      </c>
      <c r="Z199" s="15">
        <f t="shared" si="345"/>
        <v>24.552273270164822</v>
      </c>
      <c r="AA199" s="15">
        <f t="shared" si="345"/>
        <v>29.829299125629035</v>
      </c>
      <c r="AB199" s="15">
        <f t="shared" si="345"/>
        <v>25.755600107953889</v>
      </c>
      <c r="AC199" s="74">
        <f t="shared" si="345"/>
        <v>25.755600107953889</v>
      </c>
      <c r="AD199" s="15">
        <f t="shared" si="345"/>
        <v>28.039891772934187</v>
      </c>
      <c r="AE199" s="15">
        <f t="shared" si="345"/>
        <v>28.772131780642862</v>
      </c>
      <c r="AF199" s="15">
        <f t="shared" si="345"/>
        <v>29.208405296488195</v>
      </c>
      <c r="AG199" s="15">
        <f t="shared" si="345"/>
        <v>28.897793819748813</v>
      </c>
      <c r="AH199" s="74">
        <f t="shared" si="345"/>
        <v>28.897793819748813</v>
      </c>
      <c r="AI199" s="15">
        <f t="shared" si="345"/>
        <v>30.533006943078412</v>
      </c>
      <c r="AJ199" s="15">
        <f t="shared" si="345"/>
        <v>30.03590843349459</v>
      </c>
      <c r="AK199" s="15">
        <f t="shared" si="345"/>
        <v>29.857179853295257</v>
      </c>
      <c r="AL199" s="15">
        <f t="shared" si="345"/>
        <v>25.868144682730257</v>
      </c>
      <c r="AM199" s="74">
        <f t="shared" si="345"/>
        <v>25.868144682730257</v>
      </c>
      <c r="AN199" s="15">
        <f t="shared" si="345"/>
        <v>29.900699214496544</v>
      </c>
      <c r="AO199" s="15">
        <f t="shared" si="345"/>
        <v>30.408718971326412</v>
      </c>
      <c r="AP199" s="15">
        <f t="shared" si="345"/>
        <v>29.288179465056082</v>
      </c>
      <c r="AQ199" s="15">
        <f t="shared" si="345"/>
        <v>24.560376445931237</v>
      </c>
      <c r="AR199" s="74">
        <f t="shared" si="345"/>
        <v>24.560376445931237</v>
      </c>
      <c r="AS199" s="15">
        <f t="shared" ref="AS199:BX199" si="346">-AS72/AS193*365</f>
        <v>31.13889002411214</v>
      </c>
      <c r="AT199" s="15">
        <f t="shared" si="346"/>
        <v>31.254989545713741</v>
      </c>
      <c r="AU199" s="15">
        <f t="shared" si="346"/>
        <v>32.972925605002665</v>
      </c>
      <c r="AV199" s="15">
        <f t="shared" si="346"/>
        <v>26.178400595259184</v>
      </c>
      <c r="AW199" s="74">
        <f t="shared" si="346"/>
        <v>26.178400595259184</v>
      </c>
      <c r="AX199" s="15">
        <f t="shared" si="346"/>
        <v>30.207909676326043</v>
      </c>
      <c r="AY199" s="15">
        <f t="shared" si="346"/>
        <v>34.04768574383727</v>
      </c>
      <c r="AZ199" s="15">
        <f t="shared" si="346"/>
        <v>32.903993355630881</v>
      </c>
      <c r="BA199" s="15">
        <f t="shared" si="346"/>
        <v>20.82648811953948</v>
      </c>
      <c r="BB199" s="74">
        <f t="shared" si="346"/>
        <v>20.82648811953948</v>
      </c>
      <c r="BC199" s="15">
        <f t="shared" si="346"/>
        <v>22.093820772955755</v>
      </c>
      <c r="BD199" s="15">
        <f t="shared" si="346"/>
        <v>24.748113159110748</v>
      </c>
      <c r="BE199" s="15">
        <f t="shared" si="346"/>
        <v>25.275780895377434</v>
      </c>
      <c r="BF199" s="15">
        <f t="shared" si="346"/>
        <v>18.9034263111933</v>
      </c>
      <c r="BG199" s="74">
        <f t="shared" si="346"/>
        <v>18.9034263111933</v>
      </c>
      <c r="BH199" s="15">
        <f t="shared" si="346"/>
        <v>22.698300528274288</v>
      </c>
      <c r="BI199" s="15">
        <f t="shared" si="346"/>
        <v>20.941040942740596</v>
      </c>
      <c r="BJ199" s="15">
        <f t="shared" si="346"/>
        <v>23.724558733590296</v>
      </c>
      <c r="BK199" s="15">
        <f t="shared" si="346"/>
        <v>20.688910283122347</v>
      </c>
      <c r="BL199" s="74">
        <f t="shared" si="346"/>
        <v>20.688910283122347</v>
      </c>
      <c r="BM199" s="15">
        <f t="shared" si="346"/>
        <v>25.521153592243994</v>
      </c>
      <c r="BN199" s="15">
        <f t="shared" si="346"/>
        <v>23.903349358004814</v>
      </c>
      <c r="BO199" s="15">
        <f t="shared" si="346"/>
        <v>23.759979420618194</v>
      </c>
      <c r="BP199" s="15">
        <f t="shared" si="346"/>
        <v>19.039354000371265</v>
      </c>
      <c r="BQ199" s="74">
        <f t="shared" si="346"/>
        <v>19.039354000371265</v>
      </c>
      <c r="BR199" s="15">
        <f t="shared" si="346"/>
        <v>22.695487990378155</v>
      </c>
      <c r="BS199" s="15">
        <f t="shared" si="346"/>
        <v>23.799166286486148</v>
      </c>
      <c r="BT199" s="15">
        <f t="shared" si="346"/>
        <v>27.026183441961166</v>
      </c>
      <c r="BU199" s="15">
        <f t="shared" si="346"/>
        <v>23.909828626341358</v>
      </c>
      <c r="BV199" s="74">
        <f t="shared" si="346"/>
        <v>23.909828626341358</v>
      </c>
      <c r="BW199" s="148">
        <f t="shared" si="346"/>
        <v>26.575341873692583</v>
      </c>
      <c r="BX199" s="148">
        <f t="shared" si="346"/>
        <v>24.915049453800066</v>
      </c>
      <c r="BY199" s="148">
        <f t="shared" ref="BY199:CU199" si="347">-BY72/BY193*365</f>
        <v>26.066032797263244</v>
      </c>
      <c r="BZ199" s="148">
        <f t="shared" si="347"/>
        <v>22.60319755764441</v>
      </c>
      <c r="CA199" s="259">
        <f t="shared" si="347"/>
        <v>22.60319755764441</v>
      </c>
      <c r="CB199" s="148">
        <f t="shared" si="347"/>
        <v>25.82345390619394</v>
      </c>
      <c r="CC199" s="148">
        <f t="shared" si="347"/>
        <v>27.467977564205583</v>
      </c>
      <c r="CD199" s="148">
        <f t="shared" si="347"/>
        <v>27.203405797391934</v>
      </c>
      <c r="CE199" s="148">
        <f t="shared" si="347"/>
        <v>23.425866273048289</v>
      </c>
      <c r="CF199" s="259">
        <f t="shared" si="347"/>
        <v>23.425866273048289</v>
      </c>
      <c r="CG199" s="148">
        <f t="shared" si="347"/>
        <v>28.921088775127981</v>
      </c>
      <c r="CH199" s="148">
        <f t="shared" si="347"/>
        <v>28.878112163634839</v>
      </c>
      <c r="CI199" s="148">
        <f t="shared" si="347"/>
        <v>28.79105543834001</v>
      </c>
      <c r="CJ199" s="148">
        <f t="shared" si="347"/>
        <v>24.617813738923164</v>
      </c>
      <c r="CK199" s="259">
        <f t="shared" si="347"/>
        <v>24.617813738923164</v>
      </c>
      <c r="CL199" s="148">
        <f t="shared" si="347"/>
        <v>28.482372486062523</v>
      </c>
      <c r="CM199" s="148">
        <f t="shared" si="347"/>
        <v>28.225142794203261</v>
      </c>
      <c r="CN199" s="148">
        <f t="shared" si="347"/>
        <v>29.529304188800836</v>
      </c>
      <c r="CO199" s="148">
        <f t="shared" si="347"/>
        <v>26.403560830860535</v>
      </c>
      <c r="CP199" s="259">
        <f t="shared" si="347"/>
        <v>26.403560830860535</v>
      </c>
      <c r="CQ199" s="148">
        <f t="shared" si="347"/>
        <v>30.662607849704163</v>
      </c>
      <c r="CR199" s="148">
        <f t="shared" si="347"/>
        <v>32.059326597193625</v>
      </c>
      <c r="CS199" s="148">
        <f t="shared" si="347"/>
        <v>32.643784491999845</v>
      </c>
      <c r="CT199" s="148">
        <f t="shared" si="347"/>
        <v>28.646853974630183</v>
      </c>
      <c r="CU199" s="74">
        <f t="shared" si="347"/>
        <v>28.646853974630183</v>
      </c>
      <c r="CV199" s="55">
        <f t="shared" si="336"/>
        <v>28.646853974630183</v>
      </c>
      <c r="CW199" s="55">
        <f t="shared" si="336"/>
        <v>28.646853974630183</v>
      </c>
      <c r="CX199" s="55">
        <f t="shared" si="336"/>
        <v>28.646853974630183</v>
      </c>
      <c r="CY199" s="55">
        <f t="shared" si="336"/>
        <v>28.646853974630183</v>
      </c>
      <c r="CZ199" s="88">
        <f>-CZ72/CZ193*365</f>
        <v>28.646853974630194</v>
      </c>
      <c r="DA199" s="88">
        <v>33</v>
      </c>
      <c r="DB199" s="88">
        <f t="shared" si="344"/>
        <v>33</v>
      </c>
      <c r="DC199" s="88">
        <f t="shared" si="344"/>
        <v>33</v>
      </c>
      <c r="DD199" s="2"/>
      <c r="DE199" s="2"/>
      <c r="DF199" s="259">
        <f t="shared" si="337"/>
        <v>28.646853974630183</v>
      </c>
      <c r="DG199" s="259">
        <v>32.643784491999845</v>
      </c>
      <c r="DH199" s="259">
        <f t="shared" si="338"/>
        <v>26.403560830860535</v>
      </c>
      <c r="DI199" s="454">
        <f t="shared" si="339"/>
        <v>-0.12244078251249357</v>
      </c>
      <c r="DJ199" s="454">
        <f t="shared" si="340"/>
        <v>8.4961765503525744E-2</v>
      </c>
      <c r="DK199" s="2"/>
      <c r="DL199" s="2"/>
      <c r="DM199" s="2"/>
    </row>
    <row r="200" spans="1:117" ht="12" customHeight="1">
      <c r="A200" s="1109">
        <f t="shared" si="324"/>
        <v>190</v>
      </c>
      <c r="B200" s="10"/>
      <c r="C200" s="2" t="s">
        <v>304</v>
      </c>
      <c r="D200" s="2"/>
      <c r="E200" s="81">
        <f>E82/E192</f>
        <v>0.15125020964437022</v>
      </c>
      <c r="F200" s="81">
        <f>F82/F192</f>
        <v>0.1444782333612262</v>
      </c>
      <c r="G200" s="81">
        <f>G82/G192</f>
        <v>0.14809245770600221</v>
      </c>
      <c r="H200" s="81">
        <f>H82/H192</f>
        <v>0.10098604032794151</v>
      </c>
      <c r="I200" s="81">
        <f>I82/I192</f>
        <v>0.16319759987053242</v>
      </c>
      <c r="J200" s="35"/>
      <c r="K200" s="35"/>
      <c r="L200" s="35"/>
      <c r="M200" s="35">
        <f t="shared" ref="M200:AR200" si="348">M82/M192</f>
        <v>0.14742029190041045</v>
      </c>
      <c r="N200" s="81">
        <f t="shared" si="348"/>
        <v>0.14742029190041045</v>
      </c>
      <c r="O200" s="35">
        <f t="shared" si="348"/>
        <v>0.14880608454690172</v>
      </c>
      <c r="P200" s="35">
        <f t="shared" si="348"/>
        <v>0.17029714797670598</v>
      </c>
      <c r="Q200" s="35">
        <f t="shared" si="348"/>
        <v>0.2063850843647293</v>
      </c>
      <c r="R200" s="35">
        <f t="shared" si="348"/>
        <v>0.1773392886024609</v>
      </c>
      <c r="S200" s="81">
        <f t="shared" si="348"/>
        <v>0.1773392886024609</v>
      </c>
      <c r="T200" s="35">
        <f t="shared" si="348"/>
        <v>0.1503980846333631</v>
      </c>
      <c r="U200" s="35">
        <f t="shared" si="348"/>
        <v>0.19262996437942881</v>
      </c>
      <c r="V200" s="35">
        <f t="shared" si="348"/>
        <v>0.18937980446301964</v>
      </c>
      <c r="W200" s="35">
        <f t="shared" si="348"/>
        <v>0.27935484666206489</v>
      </c>
      <c r="X200" s="81">
        <f t="shared" si="348"/>
        <v>0.27935484666206489</v>
      </c>
      <c r="Y200" s="35">
        <f t="shared" si="348"/>
        <v>0.29700057493058019</v>
      </c>
      <c r="Z200" s="35">
        <f t="shared" si="348"/>
        <v>0.28266604066150625</v>
      </c>
      <c r="AA200" s="35">
        <f t="shared" si="348"/>
        <v>0.25259767574728303</v>
      </c>
      <c r="AB200" s="35">
        <f t="shared" si="348"/>
        <v>0.23542333483430491</v>
      </c>
      <c r="AC200" s="81">
        <f t="shared" si="348"/>
        <v>0.23542333483430491</v>
      </c>
      <c r="AD200" s="35">
        <f t="shared" si="348"/>
        <v>0.24320340453859229</v>
      </c>
      <c r="AE200" s="35">
        <f t="shared" si="348"/>
        <v>0.24433407413054059</v>
      </c>
      <c r="AF200" s="35">
        <f t="shared" si="348"/>
        <v>0.20341090471674109</v>
      </c>
      <c r="AG200" s="35">
        <f t="shared" si="348"/>
        <v>0.24848534088535018</v>
      </c>
      <c r="AH200" s="81">
        <f t="shared" si="348"/>
        <v>0.24848534088535018</v>
      </c>
      <c r="AI200" s="35">
        <f t="shared" si="348"/>
        <v>0.21433575137932831</v>
      </c>
      <c r="AJ200" s="35">
        <f t="shared" si="348"/>
        <v>0.17979454011495696</v>
      </c>
      <c r="AK200" s="35">
        <f t="shared" si="348"/>
        <v>0.24942889048868835</v>
      </c>
      <c r="AL200" s="35">
        <f t="shared" si="348"/>
        <v>6.660410636758321E-2</v>
      </c>
      <c r="AM200" s="81">
        <f t="shared" si="348"/>
        <v>6.660410636758321E-2</v>
      </c>
      <c r="AN200" s="35">
        <f t="shared" si="348"/>
        <v>6.3141484447895954E-2</v>
      </c>
      <c r="AO200" s="35">
        <f t="shared" si="348"/>
        <v>5.6350842781266799E-2</v>
      </c>
      <c r="AP200" s="35">
        <f t="shared" si="348"/>
        <v>6.0616475525487504E-2</v>
      </c>
      <c r="AQ200" s="35">
        <f t="shared" si="348"/>
        <v>9.2737325461531253E-2</v>
      </c>
      <c r="AR200" s="81">
        <f t="shared" si="348"/>
        <v>9.2737325461531253E-2</v>
      </c>
      <c r="AS200" s="35">
        <f t="shared" ref="AS200:BX200" si="349">AS82/AS192</f>
        <v>3.5432367313487097E-2</v>
      </c>
      <c r="AT200" s="35">
        <f t="shared" si="349"/>
        <v>1.8737283245771206E-2</v>
      </c>
      <c r="AU200" s="35">
        <f t="shared" si="349"/>
        <v>2.5992124676803379E-2</v>
      </c>
      <c r="AV200" s="35">
        <f t="shared" si="349"/>
        <v>0.102357136644342</v>
      </c>
      <c r="AW200" s="81">
        <f t="shared" si="349"/>
        <v>0.102357136644342</v>
      </c>
      <c r="AX200" s="35">
        <f t="shared" si="349"/>
        <v>0.12118650936078082</v>
      </c>
      <c r="AY200" s="35">
        <f t="shared" si="349"/>
        <v>4.5624461975684247E-2</v>
      </c>
      <c r="AZ200" s="35">
        <f t="shared" si="349"/>
        <v>4.8131278467585949E-2</v>
      </c>
      <c r="BA200" s="35">
        <f t="shared" si="349"/>
        <v>0.10265033008531224</v>
      </c>
      <c r="BB200" s="81">
        <f t="shared" si="349"/>
        <v>0.10265033008531224</v>
      </c>
      <c r="BC200" s="35">
        <f t="shared" si="349"/>
        <v>0.1040630051025259</v>
      </c>
      <c r="BD200" s="35">
        <f t="shared" si="349"/>
        <v>0.10784488920657613</v>
      </c>
      <c r="BE200" s="35">
        <f t="shared" si="349"/>
        <v>0.12157072234395089</v>
      </c>
      <c r="BF200" s="35">
        <f t="shared" si="349"/>
        <v>0.12921923238994523</v>
      </c>
      <c r="BG200" s="81">
        <f t="shared" si="349"/>
        <v>0.12921923238994523</v>
      </c>
      <c r="BH200" s="35">
        <f t="shared" si="349"/>
        <v>9.4258012781571213E-2</v>
      </c>
      <c r="BI200" s="35">
        <f t="shared" si="349"/>
        <v>9.5250387196695915E-2</v>
      </c>
      <c r="BJ200" s="35">
        <f t="shared" si="349"/>
        <v>4.1404935395204699E-2</v>
      </c>
      <c r="BK200" s="35">
        <f t="shared" si="349"/>
        <v>3.5756936582037005E-2</v>
      </c>
      <c r="BL200" s="81">
        <f t="shared" si="349"/>
        <v>3.5756936582037005E-2</v>
      </c>
      <c r="BM200" s="35">
        <f t="shared" si="349"/>
        <v>4.1233084550428345E-2</v>
      </c>
      <c r="BN200" s="35">
        <f t="shared" si="349"/>
        <v>4.0049785433942671E-2</v>
      </c>
      <c r="BO200" s="35">
        <f t="shared" si="349"/>
        <v>4.1344805988845476E-2</v>
      </c>
      <c r="BP200" s="35">
        <f t="shared" si="349"/>
        <v>2.7277931074972114E-2</v>
      </c>
      <c r="BQ200" s="81">
        <f t="shared" si="349"/>
        <v>2.7277931074972114E-2</v>
      </c>
      <c r="BR200" s="35">
        <f t="shared" si="349"/>
        <v>2.8968619786865296E-2</v>
      </c>
      <c r="BS200" s="35">
        <f t="shared" si="349"/>
        <v>2.9877174948791631E-2</v>
      </c>
      <c r="BT200" s="35">
        <f t="shared" si="349"/>
        <v>3.1902359445333976E-2</v>
      </c>
      <c r="BU200" s="35">
        <f t="shared" si="349"/>
        <v>3.3183836356965833E-2</v>
      </c>
      <c r="BV200" s="81">
        <f t="shared" si="349"/>
        <v>3.3183836356965833E-2</v>
      </c>
      <c r="BW200" s="264">
        <f t="shared" si="349"/>
        <v>3.6033137617630502E-2</v>
      </c>
      <c r="BX200" s="264">
        <f t="shared" si="349"/>
        <v>3.0846439300229723E-2</v>
      </c>
      <c r="BY200" s="264">
        <f t="shared" ref="BY200:CU200" si="350">BY82/BY192</f>
        <v>2.9287693516591076E-2</v>
      </c>
      <c r="BZ200" s="264">
        <f t="shared" si="350"/>
        <v>3.2759993737960888E-2</v>
      </c>
      <c r="CA200" s="265">
        <f t="shared" si="350"/>
        <v>3.2759993737960888E-2</v>
      </c>
      <c r="CB200" s="264">
        <f t="shared" si="350"/>
        <v>3.2410427880171802E-2</v>
      </c>
      <c r="CC200" s="264">
        <f t="shared" si="350"/>
        <v>3.1016422063396804E-2</v>
      </c>
      <c r="CD200" s="264">
        <f t="shared" si="350"/>
        <v>3.2741790543089788E-2</v>
      </c>
      <c r="CE200" s="264">
        <f t="shared" si="350"/>
        <v>3.2656149142472425E-2</v>
      </c>
      <c r="CF200" s="265">
        <f t="shared" si="350"/>
        <v>3.2656149142472425E-2</v>
      </c>
      <c r="CG200" s="264">
        <f t="shared" si="350"/>
        <v>3.91622859796905E-2</v>
      </c>
      <c r="CH200" s="264">
        <f t="shared" si="350"/>
        <v>3.9322874472536684E-2</v>
      </c>
      <c r="CI200" s="264">
        <f t="shared" si="350"/>
        <v>4.0888019452117071E-2</v>
      </c>
      <c r="CJ200" s="264">
        <f t="shared" si="350"/>
        <v>3.2061140159670494E-2</v>
      </c>
      <c r="CK200" s="265">
        <f t="shared" si="350"/>
        <v>3.2061140159670494E-2</v>
      </c>
      <c r="CL200" s="264">
        <f t="shared" si="350"/>
        <v>4.5150479866471936E-2</v>
      </c>
      <c r="CM200" s="264">
        <f t="shared" si="350"/>
        <v>4.4377177084538359E-2</v>
      </c>
      <c r="CN200" s="264">
        <f t="shared" si="350"/>
        <v>4.6356838790849883E-2</v>
      </c>
      <c r="CO200" s="264">
        <f t="shared" si="350"/>
        <v>3.7259552042160735E-2</v>
      </c>
      <c r="CP200" s="265">
        <f t="shared" si="350"/>
        <v>3.7259552042160735E-2</v>
      </c>
      <c r="CQ200" s="267">
        <f t="shared" si="350"/>
        <v>3.845902837601483E-2</v>
      </c>
      <c r="CR200" s="267">
        <f t="shared" si="350"/>
        <v>4.2982890179431757E-2</v>
      </c>
      <c r="CS200" s="267">
        <f t="shared" si="350"/>
        <v>4.5689923687899078E-2</v>
      </c>
      <c r="CT200" s="267">
        <f t="shared" si="350"/>
        <v>5.1691585446752057E-2</v>
      </c>
      <c r="CU200" s="81">
        <f t="shared" si="350"/>
        <v>5.1691585446752057E-2</v>
      </c>
      <c r="CV200" s="56">
        <f t="shared" si="336"/>
        <v>5.1691585446752057E-2</v>
      </c>
      <c r="CW200" s="56">
        <f t="shared" si="336"/>
        <v>5.1691585446752057E-2</v>
      </c>
      <c r="CX200" s="56">
        <f t="shared" si="336"/>
        <v>5.1691585446752057E-2</v>
      </c>
      <c r="CY200" s="56">
        <f t="shared" si="336"/>
        <v>5.1691585446752057E-2</v>
      </c>
      <c r="CZ200" s="89">
        <f>CZ82/CZ192</f>
        <v>5.1691585446752057E-2</v>
      </c>
      <c r="DA200" s="89">
        <f t="shared" si="344"/>
        <v>5.1691585446752057E-2</v>
      </c>
      <c r="DB200" s="89">
        <f t="shared" si="344"/>
        <v>5.1691585446752057E-2</v>
      </c>
      <c r="DC200" s="89">
        <f t="shared" si="344"/>
        <v>5.1691585446752057E-2</v>
      </c>
      <c r="DD200" s="2"/>
      <c r="DE200" s="2"/>
      <c r="DF200" s="265">
        <f t="shared" si="337"/>
        <v>5.1691585446752057E-2</v>
      </c>
      <c r="DG200" s="265">
        <v>4.5689923687899078E-2</v>
      </c>
      <c r="DH200" s="265">
        <f t="shared" si="338"/>
        <v>3.7259552042160735E-2</v>
      </c>
      <c r="DI200" s="454">
        <f t="shared" si="339"/>
        <v>0.13135635331434159</v>
      </c>
      <c r="DJ200" s="454">
        <f t="shared" si="340"/>
        <v>0.38733781308645021</v>
      </c>
      <c r="DK200" s="2"/>
      <c r="DL200" s="2"/>
      <c r="DM200" s="2"/>
    </row>
    <row r="201" spans="1:117" ht="12" customHeight="1">
      <c r="A201" s="1109">
        <f t="shared" si="324"/>
        <v>191</v>
      </c>
      <c r="B201" s="10"/>
      <c r="C201" s="1" t="s">
        <v>832</v>
      </c>
      <c r="D201" s="2"/>
      <c r="E201" s="81">
        <f>E70/E192</f>
        <v>1.0930237645566112</v>
      </c>
      <c r="F201" s="81">
        <f>F70/F192</f>
        <v>1.1091155240797055</v>
      </c>
      <c r="G201" s="81">
        <f>G70/G192</f>
        <v>1.1445449042160558</v>
      </c>
      <c r="H201" s="81">
        <f>H70/H192</f>
        <v>0.67288943053401284</v>
      </c>
      <c r="I201" s="81">
        <f>I70/I192</f>
        <v>0.71955333690199053</v>
      </c>
      <c r="J201" s="35"/>
      <c r="K201" s="35"/>
      <c r="L201" s="35"/>
      <c r="M201" s="35">
        <f t="shared" ref="M201:AR201" si="351">M70/M192</f>
        <v>0.75151418927659974</v>
      </c>
      <c r="N201" s="81">
        <f t="shared" si="351"/>
        <v>0.75151418927659974</v>
      </c>
      <c r="O201" s="35">
        <f t="shared" si="351"/>
        <v>0.75948941689758853</v>
      </c>
      <c r="P201" s="35">
        <f t="shared" si="351"/>
        <v>0.77497386889652087</v>
      </c>
      <c r="Q201" s="35">
        <f t="shared" si="351"/>
        <v>0.69973853653768614</v>
      </c>
      <c r="R201" s="35">
        <f t="shared" si="351"/>
        <v>0.68545728255595506</v>
      </c>
      <c r="S201" s="81">
        <f t="shared" si="351"/>
        <v>0.68545728255595506</v>
      </c>
      <c r="T201" s="35">
        <f t="shared" si="351"/>
        <v>0.66666666666666663</v>
      </c>
      <c r="U201" s="35">
        <f t="shared" si="351"/>
        <v>0.70034352935211119</v>
      </c>
      <c r="V201" s="35">
        <f t="shared" si="351"/>
        <v>0.66208299126800507</v>
      </c>
      <c r="W201" s="35">
        <f t="shared" si="351"/>
        <v>0.59786386944088354</v>
      </c>
      <c r="X201" s="81">
        <f t="shared" si="351"/>
        <v>0.59786386944088354</v>
      </c>
      <c r="Y201" s="35">
        <f t="shared" si="351"/>
        <v>0.56737697097212203</v>
      </c>
      <c r="Z201" s="35">
        <f t="shared" si="351"/>
        <v>0.67533807367504151</v>
      </c>
      <c r="AA201" s="35">
        <f t="shared" si="351"/>
        <v>0.68542853017070893</v>
      </c>
      <c r="AB201" s="35">
        <f t="shared" si="351"/>
        <v>0.65018437610290991</v>
      </c>
      <c r="AC201" s="81">
        <f t="shared" si="351"/>
        <v>0.65018437610290991</v>
      </c>
      <c r="AD201" s="35">
        <f t="shared" si="351"/>
        <v>0.65301403896675103</v>
      </c>
      <c r="AE201" s="35">
        <f t="shared" si="351"/>
        <v>0.63598515278209422</v>
      </c>
      <c r="AF201" s="35">
        <f t="shared" si="351"/>
        <v>0.64777695528464685</v>
      </c>
      <c r="AG201" s="35">
        <f t="shared" si="351"/>
        <v>0.63582604053018876</v>
      </c>
      <c r="AH201" s="81">
        <f t="shared" si="351"/>
        <v>0.63582604053018876</v>
      </c>
      <c r="AI201" s="35">
        <f t="shared" si="351"/>
        <v>0.59371616810147687</v>
      </c>
      <c r="AJ201" s="35">
        <f t="shared" si="351"/>
        <v>0.55744420701397535</v>
      </c>
      <c r="AK201" s="35">
        <f t="shared" si="351"/>
        <v>0.5202283304329095</v>
      </c>
      <c r="AL201" s="35">
        <f t="shared" si="351"/>
        <v>0.59908081584659911</v>
      </c>
      <c r="AM201" s="81">
        <f t="shared" si="351"/>
        <v>0.59908081584659911</v>
      </c>
      <c r="AN201" s="267">
        <f t="shared" si="351"/>
        <v>0.60264620484615961</v>
      </c>
      <c r="AO201" s="267">
        <f t="shared" si="351"/>
        <v>0.62952481670319804</v>
      </c>
      <c r="AP201" s="267">
        <f t="shared" si="351"/>
        <v>0.64327749840213211</v>
      </c>
      <c r="AQ201" s="267">
        <f t="shared" si="351"/>
        <v>0.66762252834785873</v>
      </c>
      <c r="AR201" s="268">
        <f t="shared" si="351"/>
        <v>0.66762252834785873</v>
      </c>
      <c r="AS201" s="267">
        <f t="shared" ref="AS201:BX201" si="352">AS70/AS192</f>
        <v>0.65348377197577046</v>
      </c>
      <c r="AT201" s="267">
        <f t="shared" si="352"/>
        <v>0.65704394302894109</v>
      </c>
      <c r="AU201" s="267">
        <f t="shared" si="352"/>
        <v>0.64334511469032429</v>
      </c>
      <c r="AV201" s="267">
        <f t="shared" si="352"/>
        <v>0.63235626685222235</v>
      </c>
      <c r="AW201" s="268">
        <f t="shared" si="352"/>
        <v>0.63235626685222235</v>
      </c>
      <c r="AX201" s="267">
        <f t="shared" si="352"/>
        <v>0.6301767954521772</v>
      </c>
      <c r="AY201" s="267">
        <f t="shared" si="352"/>
        <v>0.63046426339312034</v>
      </c>
      <c r="AZ201" s="267">
        <f t="shared" si="352"/>
        <v>0.62945654208523116</v>
      </c>
      <c r="BA201" s="267">
        <f t="shared" si="352"/>
        <v>0.64421075843819342</v>
      </c>
      <c r="BB201" s="268">
        <f t="shared" si="352"/>
        <v>0.64421075843819342</v>
      </c>
      <c r="BC201" s="267">
        <f t="shared" si="352"/>
        <v>0.6656102430830666</v>
      </c>
      <c r="BD201" s="267">
        <f t="shared" si="352"/>
        <v>0.71744102930664766</v>
      </c>
      <c r="BE201" s="267">
        <f t="shared" si="352"/>
        <v>0.68461510602466369</v>
      </c>
      <c r="BF201" s="267">
        <f t="shared" si="352"/>
        <v>0.65264914045905253</v>
      </c>
      <c r="BG201" s="268">
        <f t="shared" si="352"/>
        <v>0.65264914045905253</v>
      </c>
      <c r="BH201" s="267">
        <f t="shared" si="352"/>
        <v>0.59806899456499729</v>
      </c>
      <c r="BI201" s="267">
        <f t="shared" si="352"/>
        <v>0.53884873515746001</v>
      </c>
      <c r="BJ201" s="267">
        <f t="shared" si="352"/>
        <v>0.53668044800779668</v>
      </c>
      <c r="BK201" s="267">
        <f t="shared" si="352"/>
        <v>0.54337205515144937</v>
      </c>
      <c r="BL201" s="268">
        <f t="shared" si="352"/>
        <v>0.54337205515144937</v>
      </c>
      <c r="BM201" s="267">
        <f t="shared" si="352"/>
        <v>0.54178480023294662</v>
      </c>
      <c r="BN201" s="267">
        <f t="shared" si="352"/>
        <v>0.54231761885126983</v>
      </c>
      <c r="BO201" s="267">
        <f t="shared" si="352"/>
        <v>0.50545050553252413</v>
      </c>
      <c r="BP201" s="267">
        <f t="shared" si="352"/>
        <v>0.5135325544531204</v>
      </c>
      <c r="BQ201" s="268">
        <f t="shared" si="352"/>
        <v>0.5135325544531204</v>
      </c>
      <c r="BR201" s="267">
        <f t="shared" si="352"/>
        <v>0.51548360927762826</v>
      </c>
      <c r="BS201" s="267">
        <f t="shared" si="352"/>
        <v>0.51091319712782957</v>
      </c>
      <c r="BT201" s="267">
        <f t="shared" si="352"/>
        <v>0.51608712727712158</v>
      </c>
      <c r="BU201" s="267">
        <f t="shared" si="352"/>
        <v>0.53153288059958526</v>
      </c>
      <c r="BV201" s="268">
        <f t="shared" si="352"/>
        <v>0.53153288059958526</v>
      </c>
      <c r="BW201" s="267">
        <f t="shared" si="352"/>
        <v>0.52516396978715008</v>
      </c>
      <c r="BX201" s="267">
        <f t="shared" si="352"/>
        <v>0.50895211168050891</v>
      </c>
      <c r="BY201" s="267">
        <f t="shared" ref="BY201:CU201" si="353">BY70/BY192</f>
        <v>0.50605880974372408</v>
      </c>
      <c r="BZ201" s="267">
        <f t="shared" si="353"/>
        <v>0.52737940469789069</v>
      </c>
      <c r="CA201" s="268">
        <f t="shared" si="353"/>
        <v>0.52737940469789069</v>
      </c>
      <c r="CB201" s="267">
        <f t="shared" si="353"/>
        <v>0.52855026368727231</v>
      </c>
      <c r="CC201" s="267">
        <f t="shared" si="353"/>
        <v>0.54576081619291827</v>
      </c>
      <c r="CD201" s="267">
        <f t="shared" si="353"/>
        <v>0.54797396022692191</v>
      </c>
      <c r="CE201" s="267">
        <f t="shared" si="353"/>
        <v>0.56296980087036796</v>
      </c>
      <c r="CF201" s="268">
        <f t="shared" si="353"/>
        <v>0.56296980087036796</v>
      </c>
      <c r="CG201" s="267">
        <f t="shared" si="353"/>
        <v>0.55711782464585047</v>
      </c>
      <c r="CH201" s="267">
        <f t="shared" si="353"/>
        <v>0.58343958915979233</v>
      </c>
      <c r="CI201" s="267">
        <f t="shared" si="353"/>
        <v>0.58692492612466163</v>
      </c>
      <c r="CJ201" s="267">
        <f t="shared" si="353"/>
        <v>0.30180264512764277</v>
      </c>
      <c r="CK201" s="268">
        <f t="shared" si="353"/>
        <v>0.30180264512764277</v>
      </c>
      <c r="CL201" s="267">
        <f t="shared" si="353"/>
        <v>0.61469851867306491</v>
      </c>
      <c r="CM201" s="267">
        <f t="shared" si="353"/>
        <v>0.30758750112469313</v>
      </c>
      <c r="CN201" s="267">
        <f t="shared" si="353"/>
        <v>0.29694192194110708</v>
      </c>
      <c r="CO201" s="267">
        <f t="shared" si="353"/>
        <v>0.30478260869565216</v>
      </c>
      <c r="CP201" s="268">
        <f t="shared" si="353"/>
        <v>0.30478260869565216</v>
      </c>
      <c r="CQ201" s="267">
        <f t="shared" si="353"/>
        <v>0.3172070378781946</v>
      </c>
      <c r="CR201" s="267">
        <f t="shared" si="353"/>
        <v>0.32480012500325528</v>
      </c>
      <c r="CS201" s="267">
        <f t="shared" si="353"/>
        <v>0.32147770336915332</v>
      </c>
      <c r="CT201" s="267">
        <f t="shared" si="353"/>
        <v>0.33302291167015358</v>
      </c>
      <c r="CU201" s="268">
        <f t="shared" si="353"/>
        <v>0.33302291167015358</v>
      </c>
      <c r="CV201" s="56">
        <v>0.34</v>
      </c>
      <c r="CW201" s="56">
        <f t="shared" si="336"/>
        <v>0.34</v>
      </c>
      <c r="CX201" s="56">
        <f t="shared" si="336"/>
        <v>0.34</v>
      </c>
      <c r="CY201" s="56">
        <f t="shared" si="336"/>
        <v>0.34</v>
      </c>
      <c r="CZ201" s="89">
        <f>CZ70/CZ192</f>
        <v>0.34</v>
      </c>
      <c r="DA201" s="89">
        <v>0.34499999999999997</v>
      </c>
      <c r="DB201" s="89">
        <f t="shared" si="344"/>
        <v>0.34499999999999997</v>
      </c>
      <c r="DC201" s="89">
        <f t="shared" si="344"/>
        <v>0.34499999999999997</v>
      </c>
      <c r="DD201" s="2"/>
      <c r="DE201" s="2"/>
      <c r="DF201" s="268">
        <f t="shared" si="337"/>
        <v>0.33302291167015358</v>
      </c>
      <c r="DG201" s="268">
        <v>0.32147770336915332</v>
      </c>
      <c r="DH201" s="268">
        <f t="shared" si="338"/>
        <v>0.30478260869565216</v>
      </c>
      <c r="DI201" s="454">
        <f t="shared" si="339"/>
        <v>3.5912936356095715E-2</v>
      </c>
      <c r="DJ201" s="454">
        <f t="shared" si="340"/>
        <v>9.2657199488378472E-2</v>
      </c>
      <c r="DK201" s="2"/>
      <c r="DL201" s="2"/>
      <c r="DM201" s="2"/>
    </row>
    <row r="202" spans="1:117" ht="12" customHeight="1">
      <c r="A202" s="1109">
        <f t="shared" si="324"/>
        <v>192</v>
      </c>
      <c r="B202" s="10"/>
      <c r="C202" s="1" t="s">
        <v>833</v>
      </c>
      <c r="D202" s="2"/>
      <c r="E202" s="81"/>
      <c r="F202" s="81"/>
      <c r="G202" s="81"/>
      <c r="H202" s="81"/>
      <c r="I202" s="81"/>
      <c r="J202" s="35"/>
      <c r="K202" s="35"/>
      <c r="L202" s="35"/>
      <c r="M202" s="35"/>
      <c r="N202" s="81"/>
      <c r="O202" s="35"/>
      <c r="P202" s="35"/>
      <c r="Q202" s="35"/>
      <c r="R202" s="35"/>
      <c r="S202" s="81"/>
      <c r="T202" s="35"/>
      <c r="U202" s="35"/>
      <c r="V202" s="35"/>
      <c r="W202" s="35"/>
      <c r="X202" s="81"/>
      <c r="Y202" s="35"/>
      <c r="Z202" s="35"/>
      <c r="AA202" s="35"/>
      <c r="AB202" s="35"/>
      <c r="AC202" s="81"/>
      <c r="AD202" s="35"/>
      <c r="AE202" s="35"/>
      <c r="AF202" s="35"/>
      <c r="AG202" s="35"/>
      <c r="AH202" s="81"/>
      <c r="AI202" s="35"/>
      <c r="AJ202" s="35"/>
      <c r="AK202" s="35"/>
      <c r="AL202" s="35"/>
      <c r="AM202" s="81"/>
      <c r="AN202" s="267">
        <f t="shared" ref="AN202:BS202" si="354">AN76/AN192</f>
        <v>0</v>
      </c>
      <c r="AO202" s="267">
        <f t="shared" si="354"/>
        <v>0</v>
      </c>
      <c r="AP202" s="267">
        <f t="shared" si="354"/>
        <v>0</v>
      </c>
      <c r="AQ202" s="267">
        <f t="shared" si="354"/>
        <v>0</v>
      </c>
      <c r="AR202" s="268">
        <f t="shared" si="354"/>
        <v>0</v>
      </c>
      <c r="AS202" s="267">
        <f t="shared" si="354"/>
        <v>0</v>
      </c>
      <c r="AT202" s="267">
        <f t="shared" si="354"/>
        <v>0</v>
      </c>
      <c r="AU202" s="267">
        <f t="shared" si="354"/>
        <v>0</v>
      </c>
      <c r="AV202" s="267">
        <f t="shared" si="354"/>
        <v>0</v>
      </c>
      <c r="AW202" s="268">
        <f t="shared" si="354"/>
        <v>0</v>
      </c>
      <c r="AX202" s="267">
        <f t="shared" si="354"/>
        <v>0</v>
      </c>
      <c r="AY202" s="267">
        <f t="shared" si="354"/>
        <v>0</v>
      </c>
      <c r="AZ202" s="267">
        <f t="shared" si="354"/>
        <v>0</v>
      </c>
      <c r="BA202" s="267">
        <f t="shared" si="354"/>
        <v>0</v>
      </c>
      <c r="BB202" s="268">
        <f t="shared" si="354"/>
        <v>0</v>
      </c>
      <c r="BC202" s="267">
        <f t="shared" si="354"/>
        <v>0</v>
      </c>
      <c r="BD202" s="267">
        <f t="shared" si="354"/>
        <v>0</v>
      </c>
      <c r="BE202" s="267">
        <f t="shared" si="354"/>
        <v>0</v>
      </c>
      <c r="BF202" s="267">
        <f t="shared" si="354"/>
        <v>0</v>
      </c>
      <c r="BG202" s="268">
        <f t="shared" si="354"/>
        <v>0</v>
      </c>
      <c r="BH202" s="267">
        <f t="shared" si="354"/>
        <v>0</v>
      </c>
      <c r="BI202" s="267">
        <f t="shared" si="354"/>
        <v>0</v>
      </c>
      <c r="BJ202" s="267">
        <f t="shared" si="354"/>
        <v>0</v>
      </c>
      <c r="BK202" s="267">
        <f t="shared" si="354"/>
        <v>0</v>
      </c>
      <c r="BL202" s="268">
        <f t="shared" si="354"/>
        <v>0</v>
      </c>
      <c r="BM202" s="267">
        <f t="shared" si="354"/>
        <v>0</v>
      </c>
      <c r="BN202" s="267">
        <f t="shared" si="354"/>
        <v>0</v>
      </c>
      <c r="BO202" s="267">
        <f t="shared" si="354"/>
        <v>0</v>
      </c>
      <c r="BP202" s="267">
        <f t="shared" si="354"/>
        <v>0</v>
      </c>
      <c r="BQ202" s="268">
        <f t="shared" si="354"/>
        <v>0</v>
      </c>
      <c r="BR202" s="267">
        <f t="shared" si="354"/>
        <v>0</v>
      </c>
      <c r="BS202" s="267">
        <f t="shared" si="354"/>
        <v>0</v>
      </c>
      <c r="BT202" s="267">
        <f t="shared" ref="BT202:CU202" si="355">BT76/BT192</f>
        <v>0</v>
      </c>
      <c r="BU202" s="267">
        <f t="shared" si="355"/>
        <v>0</v>
      </c>
      <c r="BV202" s="268">
        <f t="shared" si="355"/>
        <v>0</v>
      </c>
      <c r="BW202" s="267">
        <f t="shared" si="355"/>
        <v>0</v>
      </c>
      <c r="BX202" s="267">
        <f t="shared" si="355"/>
        <v>0</v>
      </c>
      <c r="BY202" s="267">
        <f t="shared" si="355"/>
        <v>0</v>
      </c>
      <c r="BZ202" s="267">
        <f t="shared" si="355"/>
        <v>0</v>
      </c>
      <c r="CA202" s="268">
        <f t="shared" si="355"/>
        <v>0</v>
      </c>
      <c r="CB202" s="267">
        <f t="shared" si="355"/>
        <v>0</v>
      </c>
      <c r="CC202" s="267">
        <f t="shared" si="355"/>
        <v>0</v>
      </c>
      <c r="CD202" s="267">
        <f t="shared" si="355"/>
        <v>0</v>
      </c>
      <c r="CE202" s="267">
        <f t="shared" si="355"/>
        <v>0</v>
      </c>
      <c r="CF202" s="268">
        <f t="shared" si="355"/>
        <v>0</v>
      </c>
      <c r="CG202" s="267">
        <f t="shared" si="355"/>
        <v>0</v>
      </c>
      <c r="CH202" s="267">
        <f t="shared" si="355"/>
        <v>0</v>
      </c>
      <c r="CI202" s="267">
        <f t="shared" si="355"/>
        <v>0</v>
      </c>
      <c r="CJ202" s="267">
        <f t="shared" si="355"/>
        <v>0.30459086107062144</v>
      </c>
      <c r="CK202" s="268">
        <f t="shared" si="355"/>
        <v>0.30459086107062144</v>
      </c>
      <c r="CL202" s="267">
        <f t="shared" si="355"/>
        <v>0</v>
      </c>
      <c r="CM202" s="267">
        <f t="shared" si="355"/>
        <v>0.30480468900628543</v>
      </c>
      <c r="CN202" s="267">
        <f t="shared" si="355"/>
        <v>0.32343526926862975</v>
      </c>
      <c r="CO202" s="267">
        <f t="shared" si="355"/>
        <v>0.32888010540184454</v>
      </c>
      <c r="CP202" s="268">
        <f t="shared" si="355"/>
        <v>0.32888010540184454</v>
      </c>
      <c r="CQ202" s="267">
        <f t="shared" si="355"/>
        <v>0.3308403163912601</v>
      </c>
      <c r="CR202" s="267">
        <f t="shared" si="355"/>
        <v>0.33562722987577803</v>
      </c>
      <c r="CS202" s="267">
        <f t="shared" si="355"/>
        <v>0.35250869542646524</v>
      </c>
      <c r="CT202" s="267">
        <f t="shared" si="355"/>
        <v>0.35835842220748076</v>
      </c>
      <c r="CU202" s="268">
        <f t="shared" si="355"/>
        <v>0.35835842220748076</v>
      </c>
      <c r="CV202" s="56">
        <f t="shared" si="336"/>
        <v>0.35835842220748076</v>
      </c>
      <c r="CW202" s="56">
        <f t="shared" si="336"/>
        <v>0.35835842220748076</v>
      </c>
      <c r="CX202" s="56">
        <f t="shared" si="336"/>
        <v>0.35835842220748076</v>
      </c>
      <c r="CY202" s="56">
        <f t="shared" si="336"/>
        <v>0.35835842220748076</v>
      </c>
      <c r="CZ202" s="89">
        <f>CZ76/CZ192</f>
        <v>0.35835842220748076</v>
      </c>
      <c r="DA202" s="89">
        <f t="shared" si="344"/>
        <v>0.35835842220748076</v>
      </c>
      <c r="DB202" s="89">
        <f t="shared" si="344"/>
        <v>0.35835842220748076</v>
      </c>
      <c r="DC202" s="89">
        <f t="shared" si="344"/>
        <v>0.35835842220748076</v>
      </c>
      <c r="DD202" s="2"/>
      <c r="DE202" s="2"/>
      <c r="DF202" s="268">
        <f t="shared" si="337"/>
        <v>0.35835842220748076</v>
      </c>
      <c r="DG202" s="268">
        <v>0.35250869542646524</v>
      </c>
      <c r="DH202" s="268">
        <f t="shared" si="338"/>
        <v>0.32888010540184454</v>
      </c>
      <c r="DI202" s="454">
        <f t="shared" si="339"/>
        <v>1.659456023897099E-2</v>
      </c>
      <c r="DJ202" s="454">
        <f t="shared" si="340"/>
        <v>8.9632411086763453E-2</v>
      </c>
      <c r="DK202" s="2"/>
      <c r="DL202" s="2"/>
      <c r="DM202" s="2"/>
    </row>
    <row r="203" spans="1:117" ht="12" customHeight="1">
      <c r="A203" s="1109">
        <f t="shared" si="324"/>
        <v>193</v>
      </c>
      <c r="B203" s="10"/>
      <c r="C203" s="2"/>
      <c r="D203" s="2"/>
      <c r="E203" s="82"/>
      <c r="F203" s="82"/>
      <c r="G203" s="82"/>
      <c r="H203" s="82"/>
      <c r="I203" s="82"/>
      <c r="J203" s="2"/>
      <c r="K203" s="2"/>
      <c r="L203" s="2"/>
      <c r="M203" s="2"/>
      <c r="N203" s="82"/>
      <c r="O203" s="2"/>
      <c r="P203" s="2"/>
      <c r="Q203" s="2"/>
      <c r="R203" s="2"/>
      <c r="S203" s="82"/>
      <c r="T203" s="2"/>
      <c r="U203" s="2"/>
      <c r="V203" s="2"/>
      <c r="W203" s="2"/>
      <c r="X203" s="82"/>
      <c r="Y203" s="9"/>
      <c r="Z203" s="9"/>
      <c r="AA203" s="9"/>
      <c r="AB203" s="9"/>
      <c r="AC203" s="82"/>
      <c r="AD203" s="9"/>
      <c r="AE203" s="9"/>
      <c r="AF203" s="9"/>
      <c r="AG203" s="9"/>
      <c r="AH203" s="82"/>
      <c r="AI203" s="9"/>
      <c r="AJ203" s="9"/>
      <c r="AK203" s="9"/>
      <c r="AL203" s="9"/>
      <c r="AM203" s="82"/>
      <c r="AN203" s="9"/>
      <c r="AO203" s="9"/>
      <c r="AP203" s="9"/>
      <c r="AQ203" s="9"/>
      <c r="AR203" s="82"/>
      <c r="AS203" s="9"/>
      <c r="AT203" s="9"/>
      <c r="AU203" s="9"/>
      <c r="AV203" s="9"/>
      <c r="AW203" s="82"/>
      <c r="AX203" s="9"/>
      <c r="AY203" s="9"/>
      <c r="AZ203" s="9"/>
      <c r="BA203" s="9"/>
      <c r="BB203" s="82"/>
      <c r="BC203" s="9"/>
      <c r="BD203" s="9"/>
      <c r="BE203" s="9"/>
      <c r="BF203" s="9"/>
      <c r="BG203" s="82"/>
      <c r="BH203" s="9"/>
      <c r="BI203" s="9"/>
      <c r="BJ203" s="9"/>
      <c r="BK203" s="9"/>
      <c r="BL203" s="82"/>
      <c r="BM203" s="9"/>
      <c r="BN203" s="9"/>
      <c r="BO203" s="9"/>
      <c r="BP203" s="9"/>
      <c r="BQ203" s="82"/>
      <c r="BR203" s="9"/>
      <c r="BS203" s="9"/>
      <c r="BT203" s="9"/>
      <c r="BU203" s="9"/>
      <c r="BV203" s="82"/>
      <c r="BW203" s="253"/>
      <c r="BX203" s="253"/>
      <c r="BY203" s="253"/>
      <c r="BZ203" s="253"/>
      <c r="CA203" s="82"/>
      <c r="CB203" s="253"/>
      <c r="CC203" s="253"/>
      <c r="CD203" s="253"/>
      <c r="CE203" s="253"/>
      <c r="CF203" s="82"/>
      <c r="CG203" s="253"/>
      <c r="CH203" s="253"/>
      <c r="CI203" s="253"/>
      <c r="CJ203" s="266"/>
      <c r="CK203" s="82"/>
      <c r="CL203" s="253"/>
      <c r="CM203" s="253"/>
      <c r="CN203" s="253"/>
      <c r="CO203" s="266"/>
      <c r="CP203" s="82"/>
      <c r="CQ203" s="253"/>
      <c r="CR203" s="9"/>
      <c r="CS203" s="9"/>
      <c r="CT203" s="9"/>
      <c r="CU203" s="82"/>
      <c r="CV203" s="253"/>
      <c r="CW203" s="9"/>
      <c r="CX203" s="9"/>
      <c r="CY203" s="9"/>
      <c r="CZ203" s="70"/>
      <c r="DA203" s="70"/>
      <c r="DB203" s="70"/>
      <c r="DC203" s="70"/>
      <c r="DD203" s="2"/>
      <c r="DE203" s="2"/>
      <c r="DF203" s="82"/>
      <c r="DG203" s="82"/>
      <c r="DH203" s="82"/>
      <c r="DI203" s="458"/>
      <c r="DJ203" s="458"/>
      <c r="DK203" s="2"/>
      <c r="DL203" s="2"/>
      <c r="DM203" s="2"/>
    </row>
    <row r="204" spans="1:117" ht="12" customHeight="1">
      <c r="A204" s="1109">
        <f t="shared" si="324"/>
        <v>194</v>
      </c>
      <c r="B204" s="10"/>
      <c r="C204" s="6" t="s">
        <v>326</v>
      </c>
      <c r="D204" s="2"/>
      <c r="E204" s="82"/>
      <c r="F204" s="82"/>
      <c r="G204" s="82"/>
      <c r="H204" s="82"/>
      <c r="I204" s="82"/>
      <c r="J204" s="2"/>
      <c r="K204" s="2"/>
      <c r="L204" s="2"/>
      <c r="M204" s="2"/>
      <c r="N204" s="82"/>
      <c r="O204" s="2"/>
      <c r="P204" s="2"/>
      <c r="Q204" s="2"/>
      <c r="R204" s="2"/>
      <c r="S204" s="82"/>
      <c r="T204" s="2"/>
      <c r="U204" s="2"/>
      <c r="V204" s="2"/>
      <c r="W204" s="2"/>
      <c r="X204" s="82"/>
      <c r="Y204" s="9"/>
      <c r="Z204" s="9"/>
      <c r="AA204" s="9"/>
      <c r="AB204" s="9"/>
      <c r="AC204" s="82"/>
      <c r="AD204" s="9"/>
      <c r="AE204" s="9"/>
      <c r="AF204" s="9"/>
      <c r="AG204" s="9"/>
      <c r="AH204" s="82"/>
      <c r="AI204" s="9"/>
      <c r="AJ204" s="9"/>
      <c r="AK204" s="9"/>
      <c r="AL204" s="9"/>
      <c r="AM204" s="82"/>
      <c r="AN204" s="9"/>
      <c r="AO204" s="9"/>
      <c r="AP204" s="9"/>
      <c r="AQ204" s="9"/>
      <c r="AR204" s="82"/>
      <c r="AS204" s="9"/>
      <c r="AT204" s="9"/>
      <c r="AU204" s="9"/>
      <c r="AV204" s="9"/>
      <c r="AW204" s="82"/>
      <c r="AX204" s="9"/>
      <c r="AY204" s="9"/>
      <c r="AZ204" s="9"/>
      <c r="BA204" s="9"/>
      <c r="BB204" s="82"/>
      <c r="BC204" s="9"/>
      <c r="BD204" s="9"/>
      <c r="BE204" s="9"/>
      <c r="BF204" s="9"/>
      <c r="BG204" s="82"/>
      <c r="BH204" s="9"/>
      <c r="BI204" s="9"/>
      <c r="BJ204" s="9"/>
      <c r="BK204" s="9"/>
      <c r="BL204" s="82"/>
      <c r="BM204" s="9"/>
      <c r="BN204" s="9"/>
      <c r="BO204" s="9"/>
      <c r="BP204" s="9"/>
      <c r="BQ204" s="82"/>
      <c r="BR204" s="9"/>
      <c r="BS204" s="9"/>
      <c r="BT204" s="9"/>
      <c r="BU204" s="9"/>
      <c r="BV204" s="82"/>
      <c r="BW204" s="253"/>
      <c r="BX204" s="253"/>
      <c r="BY204" s="253"/>
      <c r="BZ204" s="253"/>
      <c r="CA204" s="82"/>
      <c r="CB204" s="253"/>
      <c r="CC204" s="253"/>
      <c r="CD204" s="253"/>
      <c r="CE204" s="253"/>
      <c r="CF204" s="82"/>
      <c r="CG204" s="253"/>
      <c r="CH204" s="253"/>
      <c r="CI204" s="253"/>
      <c r="CJ204" s="266"/>
      <c r="CK204" s="82"/>
      <c r="CL204" s="253"/>
      <c r="CM204" s="253"/>
      <c r="CN204" s="253"/>
      <c r="CO204" s="266"/>
      <c r="CP204" s="82"/>
      <c r="CQ204" s="253"/>
      <c r="CR204" s="9"/>
      <c r="CS204" s="9"/>
      <c r="CT204" s="9"/>
      <c r="CU204" s="82"/>
      <c r="CV204" s="253"/>
      <c r="CW204" s="9"/>
      <c r="CX204" s="9"/>
      <c r="CY204" s="9"/>
      <c r="CZ204" s="62"/>
      <c r="DA204" s="62"/>
      <c r="DB204" s="62"/>
      <c r="DC204" s="62"/>
      <c r="DD204" s="2"/>
      <c r="DE204" s="2"/>
      <c r="DF204" s="82"/>
      <c r="DG204" s="82"/>
      <c r="DH204" s="82"/>
      <c r="DI204" s="458"/>
      <c r="DJ204" s="458"/>
      <c r="DK204" s="2"/>
      <c r="DL204" s="2"/>
      <c r="DM204" s="2"/>
    </row>
    <row r="205" spans="1:117" ht="12" customHeight="1">
      <c r="A205" s="1109">
        <f t="shared" si="324"/>
        <v>195</v>
      </c>
      <c r="B205" s="10"/>
      <c r="C205" s="2"/>
      <c r="D205" s="2"/>
      <c r="E205" s="82"/>
      <c r="F205" s="82"/>
      <c r="G205" s="82"/>
      <c r="H205" s="82"/>
      <c r="I205" s="82"/>
      <c r="J205" s="2"/>
      <c r="K205" s="2"/>
      <c r="L205" s="2"/>
      <c r="M205" s="2"/>
      <c r="N205" s="82"/>
      <c r="O205" s="2"/>
      <c r="P205" s="2"/>
      <c r="Q205" s="2"/>
      <c r="R205" s="2"/>
      <c r="S205" s="82"/>
      <c r="T205" s="2"/>
      <c r="U205" s="2"/>
      <c r="V205" s="2"/>
      <c r="W205" s="2"/>
      <c r="X205" s="82"/>
      <c r="Y205" s="9"/>
      <c r="Z205" s="9"/>
      <c r="AA205" s="9"/>
      <c r="AB205" s="9"/>
      <c r="AC205" s="82"/>
      <c r="AD205" s="9"/>
      <c r="AE205" s="9"/>
      <c r="AF205" s="9"/>
      <c r="AG205" s="9"/>
      <c r="AH205" s="82"/>
      <c r="AI205" s="9"/>
      <c r="AJ205" s="9"/>
      <c r="AK205" s="9"/>
      <c r="AL205" s="9"/>
      <c r="AM205" s="82"/>
      <c r="AN205" s="9"/>
      <c r="AO205" s="9"/>
      <c r="AP205" s="9"/>
      <c r="AQ205" s="9"/>
      <c r="AR205" s="82"/>
      <c r="AS205" s="9"/>
      <c r="AT205" s="9"/>
      <c r="AU205" s="9"/>
      <c r="AV205" s="9"/>
      <c r="AW205" s="82"/>
      <c r="AX205" s="9"/>
      <c r="AY205" s="9"/>
      <c r="AZ205" s="9"/>
      <c r="BA205" s="9"/>
      <c r="BB205" s="82"/>
      <c r="BC205" s="9"/>
      <c r="BD205" s="9"/>
      <c r="BE205" s="9"/>
      <c r="BF205" s="9"/>
      <c r="BG205" s="82"/>
      <c r="BH205" s="9"/>
      <c r="BI205" s="9"/>
      <c r="BJ205" s="9"/>
      <c r="BK205" s="9"/>
      <c r="BL205" s="82"/>
      <c r="BM205" s="9"/>
      <c r="BN205" s="9"/>
      <c r="BO205" s="9"/>
      <c r="BP205" s="9"/>
      <c r="BQ205" s="82"/>
      <c r="BR205" s="9"/>
      <c r="BS205" s="9"/>
      <c r="BT205" s="9"/>
      <c r="BU205" s="9"/>
      <c r="BV205" s="82"/>
      <c r="BW205" s="253"/>
      <c r="BX205" s="253"/>
      <c r="BY205" s="253"/>
      <c r="BZ205" s="253"/>
      <c r="CA205" s="82"/>
      <c r="CB205" s="253"/>
      <c r="CC205" s="253"/>
      <c r="CD205" s="253"/>
      <c r="CE205" s="253"/>
      <c r="CF205" s="82"/>
      <c r="CG205" s="253"/>
      <c r="CH205" s="253"/>
      <c r="CI205" s="253"/>
      <c r="CJ205" s="266"/>
      <c r="CK205" s="82"/>
      <c r="CL205" s="253"/>
      <c r="CM205" s="253"/>
      <c r="CN205" s="253"/>
      <c r="CO205" s="266"/>
      <c r="CP205" s="82"/>
      <c r="CQ205" s="253"/>
      <c r="CR205" s="9"/>
      <c r="CS205" s="9"/>
      <c r="CT205" s="9"/>
      <c r="CU205" s="82"/>
      <c r="CV205" s="253"/>
      <c r="CW205" s="9"/>
      <c r="CX205" s="9"/>
      <c r="CY205" s="9"/>
      <c r="CZ205" s="62"/>
      <c r="DA205" s="62"/>
      <c r="DB205" s="62"/>
      <c r="DC205" s="62"/>
      <c r="DD205" s="2"/>
      <c r="DE205" s="2"/>
      <c r="DF205" s="82"/>
      <c r="DG205" s="82"/>
      <c r="DH205" s="82"/>
      <c r="DI205" s="458"/>
      <c r="DJ205" s="458"/>
      <c r="DK205" s="2"/>
      <c r="DL205" s="2"/>
      <c r="DM205" s="2"/>
    </row>
    <row r="206" spans="1:117" ht="12" customHeight="1">
      <c r="A206" s="1109">
        <f t="shared" si="324"/>
        <v>196</v>
      </c>
      <c r="B206" s="10"/>
      <c r="C206" s="2" t="s">
        <v>248</v>
      </c>
      <c r="D206" s="2"/>
      <c r="E206" s="83">
        <f>-E144/E192</f>
        <v>6.5605926919795526E-2</v>
      </c>
      <c r="F206" s="83">
        <f>-F144/F192</f>
        <v>5.8853943438713932E-2</v>
      </c>
      <c r="G206" s="83">
        <f>-G144/G192</f>
        <v>5.6741328021767005E-2</v>
      </c>
      <c r="H206" s="83">
        <f>-H144/H192</f>
        <v>5.9667903833370263E-2</v>
      </c>
      <c r="I206" s="83">
        <f>-I144/I192</f>
        <v>4.7672696037545592E-2</v>
      </c>
      <c r="J206" s="267"/>
      <c r="K206" s="267"/>
      <c r="L206" s="267"/>
      <c r="M206" s="267">
        <v>0.04</v>
      </c>
      <c r="N206" s="268">
        <f>-N144/N192</f>
        <v>4.9089134295358057E-2</v>
      </c>
      <c r="O206" s="267">
        <f>-O144*4/O192</f>
        <v>3.5092270502918459E-2</v>
      </c>
      <c r="P206" s="267">
        <f>-P144*4/P192</f>
        <v>3.1727639241451396E-2</v>
      </c>
      <c r="Q206" s="267">
        <f>-Q144*4/Q192</f>
        <v>3.9243955184673843E-2</v>
      </c>
      <c r="R206" s="267">
        <v>0.04</v>
      </c>
      <c r="S206" s="268">
        <f>-S144/S192</f>
        <v>4.3246202271794168E-2</v>
      </c>
      <c r="T206" s="267">
        <f>-T144*4/T192</f>
        <v>4.3501117930593296E-2</v>
      </c>
      <c r="U206" s="267">
        <f>-U144*4/U192</f>
        <v>3.8510781244057955E-2</v>
      </c>
      <c r="V206" s="267">
        <f>-V144*4/V192</f>
        <v>4.5973580117919251E-2</v>
      </c>
      <c r="W206" s="267">
        <v>0.04</v>
      </c>
      <c r="X206" s="268">
        <f>-X144/X192</f>
        <v>4.4855043881274037E-2</v>
      </c>
      <c r="Y206" s="267">
        <f>-Y144*4/Y192</f>
        <v>3.6599836083621821E-2</v>
      </c>
      <c r="Z206" s="267">
        <f>-Z144*4/Z192</f>
        <v>5.0335757044102473E-2</v>
      </c>
      <c r="AA206" s="267">
        <f>-AA144*4/AA192</f>
        <v>5.7660553626700653E-2</v>
      </c>
      <c r="AB206" s="267">
        <v>0.04</v>
      </c>
      <c r="AC206" s="268">
        <f>-AC144/AC192</f>
        <v>4.7073713931044557E-2</v>
      </c>
      <c r="AD206" s="267">
        <f>-AD144*4/AD192</f>
        <v>3.0312756321101246E-2</v>
      </c>
      <c r="AE206" s="267">
        <f>-AE144*4/AE192</f>
        <v>3.5300257422142996E-2</v>
      </c>
      <c r="AF206" s="267">
        <f>-AF144*4/AF192</f>
        <v>4.8948622452520296E-2</v>
      </c>
      <c r="AG206" s="267">
        <v>0.04</v>
      </c>
      <c r="AH206" s="268">
        <f>-AH144/AH192</f>
        <v>3.9102578982799042E-2</v>
      </c>
      <c r="AI206" s="267">
        <f>-AI144*4/AI192</f>
        <v>3.6149112193088598E-2</v>
      </c>
      <c r="AJ206" s="267">
        <f>-AJ144*4/AJ192</f>
        <v>4.5959936465130101E-2</v>
      </c>
      <c r="AK206" s="267">
        <f>-AK144*4/AK192</f>
        <v>4.2854470526214349E-2</v>
      </c>
      <c r="AL206" s="267">
        <v>0.04</v>
      </c>
      <c r="AM206" s="268">
        <f>-AM144/AM192</f>
        <v>4.2493894717800289E-2</v>
      </c>
      <c r="AN206" s="267">
        <f>-AN144*4/AN192</f>
        <v>4.2608186660021211E-2</v>
      </c>
      <c r="AO206" s="267">
        <f>-AO144*4/AO192</f>
        <v>3.6984302349625728E-2</v>
      </c>
      <c r="AP206" s="267">
        <f>-AP144*4/AP192</f>
        <v>4.4354401070872976E-2</v>
      </c>
      <c r="AQ206" s="267">
        <v>0.04</v>
      </c>
      <c r="AR206" s="268">
        <f>-AR144/AR192</f>
        <v>4.2782619560803425E-2</v>
      </c>
      <c r="AS206" s="267">
        <f>-AS144*4/AS192</f>
        <v>3.1944589939672544E-2</v>
      </c>
      <c r="AT206" s="267">
        <f>-AT144*4/AT192</f>
        <v>3.2579185520361993E-2</v>
      </c>
      <c r="AU206" s="267">
        <f>-AU144*4/AU192</f>
        <v>3.7431506036957087E-2</v>
      </c>
      <c r="AV206" s="267">
        <v>0.04</v>
      </c>
      <c r="AW206" s="268">
        <f>-AW144/AW192</f>
        <v>3.4919254298222728E-2</v>
      </c>
      <c r="AX206" s="267">
        <f>-AX144*4/AX192</f>
        <v>3.4502321381019094E-2</v>
      </c>
      <c r="AY206" s="267">
        <f>-AY144*4/AY192</f>
        <v>3.8631619910142571E-2</v>
      </c>
      <c r="AZ206" s="267">
        <f>-AZ144*4/AZ192</f>
        <v>4.3601422599363573E-2</v>
      </c>
      <c r="BA206" s="267">
        <v>0.04</v>
      </c>
      <c r="BB206" s="268">
        <f>-BB144/BB192</f>
        <v>4.6143032374546908E-2</v>
      </c>
      <c r="BC206" s="267">
        <f>-BC144*4/BC192</f>
        <v>3.3879504326054577E-2</v>
      </c>
      <c r="BD206" s="267">
        <f>-BD144*4/BD192</f>
        <v>3.4917798427448174E-2</v>
      </c>
      <c r="BE206" s="267">
        <f>-BE144*4/BE192</f>
        <v>3.4188653278525251E-2</v>
      </c>
      <c r="BF206" s="267">
        <v>0.04</v>
      </c>
      <c r="BG206" s="268">
        <f>-BG144/BG192</f>
        <v>3.4906220169758265E-2</v>
      </c>
      <c r="BH206" s="267">
        <f>-BH144*4/BH192</f>
        <v>3.4602580613807013E-2</v>
      </c>
      <c r="BI206" s="267">
        <f>-BI144*4/BI192</f>
        <v>2.912326520696043E-2</v>
      </c>
      <c r="BJ206" s="267">
        <f>-BJ144*4/BJ192</f>
        <v>2.7989066295103435E-2</v>
      </c>
      <c r="BK206" s="267">
        <v>0.04</v>
      </c>
      <c r="BL206" s="268">
        <f>-BL144/BL192</f>
        <v>3.173224560696062E-2</v>
      </c>
      <c r="BM206" s="267">
        <f>-BM144*4/BM192</f>
        <v>2.8474659392193222E-2</v>
      </c>
      <c r="BN206" s="267">
        <f>-BN144*4/BN192</f>
        <v>3.3383729631496162E-2</v>
      </c>
      <c r="BO206" s="267">
        <f>-BO144*4/BO192</f>
        <v>3.3195144501774583E-2</v>
      </c>
      <c r="BP206" s="267">
        <v>0.04</v>
      </c>
      <c r="BQ206" s="268">
        <f>-BQ144/BQ192</f>
        <v>3.1505019667703867E-2</v>
      </c>
      <c r="BR206" s="267">
        <f>-BR144*4/BR192</f>
        <v>3.2243076809616876E-2</v>
      </c>
      <c r="BS206" s="267">
        <f>-BS144*4/BS192</f>
        <v>3.5744565910608574E-2</v>
      </c>
      <c r="BT206" s="267">
        <f>-BT144*4/BT192</f>
        <v>3.9847738739010909E-2</v>
      </c>
      <c r="BU206" s="267">
        <v>0.04</v>
      </c>
      <c r="BV206" s="268">
        <f>-BV144/BV192</f>
        <v>4.1090454405917985E-2</v>
      </c>
      <c r="BW206" s="267">
        <f>-BW144*4/BW192</f>
        <v>4.3374304453689963E-2</v>
      </c>
      <c r="BX206" s="267">
        <f>-BX144*4/BX192</f>
        <v>4.5068033221417211E-2</v>
      </c>
      <c r="BY206" s="267">
        <f>-BY144*4/BY192</f>
        <v>4.3617915879733661E-2</v>
      </c>
      <c r="BZ206" s="267">
        <v>0.04</v>
      </c>
      <c r="CA206" s="268">
        <f>-CA144/CA192</f>
        <v>4.4902904360965716E-2</v>
      </c>
      <c r="CB206" s="267">
        <f>-CB144*4/CB192</f>
        <v>4.1211330397433805E-2</v>
      </c>
      <c r="CC206" s="267">
        <f>-CC144*4/CC192</f>
        <v>5.2157782748649684E-2</v>
      </c>
      <c r="CD206" s="267">
        <f>-CD144*4/CD192</f>
        <v>5.1613080252714764E-2</v>
      </c>
      <c r="CE206" s="267">
        <v>0.04</v>
      </c>
      <c r="CF206" s="268">
        <f>-CF144/CF192</f>
        <v>5.179869097774107E-2</v>
      </c>
      <c r="CG206" s="267">
        <f>-CG144*4/CG192</f>
        <v>5.0668186712268033E-2</v>
      </c>
      <c r="CH206" s="267">
        <f>-CH144*4/CH192</f>
        <v>4.8833064464998979E-2</v>
      </c>
      <c r="CI206" s="267">
        <f>-CI144*4/CI192</f>
        <v>5.028344710250246E-2</v>
      </c>
      <c r="CJ206" s="267">
        <v>0.04</v>
      </c>
      <c r="CK206" s="268">
        <f>-CK144/CK192</f>
        <v>4.8115112531593097E-2</v>
      </c>
      <c r="CL206" s="267">
        <f>-CL144*4/CL192</f>
        <v>3.9406426037972044E-2</v>
      </c>
      <c r="CM206" s="267">
        <f>-CM144*4/CM192</f>
        <v>4.3573824856360618E-2</v>
      </c>
      <c r="CN206" s="267">
        <f>-CN144*4/CN192</f>
        <v>4.4485876516489893E-2</v>
      </c>
      <c r="CO206" s="267">
        <v>0.04</v>
      </c>
      <c r="CP206" s="268">
        <f>-CP144/CP192</f>
        <v>4.6060606060606059E-2</v>
      </c>
      <c r="CQ206" s="267">
        <f>-CQ144*4/CQ192</f>
        <v>4.4534941394523193E-2</v>
      </c>
      <c r="CR206" s="267">
        <f>-CR144*4/CR192</f>
        <v>4.0573973280554183E-2</v>
      </c>
      <c r="CS206" s="267">
        <f>-CS144*4/CS192</f>
        <v>4.3399262835487722E-2</v>
      </c>
      <c r="CT206" s="267">
        <f>-CT144*4/CT192</f>
        <v>5.3911312956064703E-2</v>
      </c>
      <c r="CU206" s="268">
        <f>-CU144/CU192</f>
        <v>4.4962239118232383E-2</v>
      </c>
      <c r="CV206" s="1078">
        <v>4.8000000000000001E-2</v>
      </c>
      <c r="CW206" s="1078">
        <v>4.8000000000000001E-2</v>
      </c>
      <c r="CX206" s="1078">
        <v>4.8000000000000001E-2</v>
      </c>
      <c r="CY206" s="1078">
        <v>4.8000000000000001E-2</v>
      </c>
      <c r="CZ206" s="268">
        <f>-CZ144/CZ192</f>
        <v>4.7826518623366884E-2</v>
      </c>
      <c r="DA206" s="881">
        <v>0.05</v>
      </c>
      <c r="DB206" s="881">
        <v>0.05</v>
      </c>
      <c r="DC206" s="881">
        <v>4.8000000000000001E-2</v>
      </c>
      <c r="DD206" s="2"/>
      <c r="DE206" s="2"/>
      <c r="DF206" s="268">
        <f>CT206</f>
        <v>5.3911312956064703E-2</v>
      </c>
      <c r="DG206" s="268">
        <v>4.4999999999999998E-2</v>
      </c>
      <c r="DH206" s="268">
        <f>CO206</f>
        <v>0.04</v>
      </c>
      <c r="DI206" s="454">
        <f>IF(ISERROR(DF206/DG206-1),"NM",DF206/DG206-1)</f>
        <v>0.19802917680143794</v>
      </c>
      <c r="DJ206" s="454">
        <f>IF(ISERROR(DF206/DH206-1),"NM",DF206/DH206-1)</f>
        <v>0.34778282390161763</v>
      </c>
      <c r="DK206" s="2"/>
      <c r="DL206" s="2"/>
      <c r="DM206" s="2"/>
    </row>
    <row r="207" spans="1:117" ht="12" customHeight="1">
      <c r="A207" s="1109">
        <f t="shared" si="324"/>
        <v>197</v>
      </c>
      <c r="B207" s="10"/>
      <c r="C207" s="1059" t="s">
        <v>1051</v>
      </c>
      <c r="D207" s="2"/>
      <c r="E207" s="65"/>
      <c r="F207" s="268">
        <f>F133/F192</f>
        <v>8.7018933131960463E-2</v>
      </c>
      <c r="G207" s="268">
        <f>G133/G192</f>
        <v>8.8415447805398797E-2</v>
      </c>
      <c r="H207" s="268">
        <f>H133/H192</f>
        <v>0.10018280522933747</v>
      </c>
      <c r="I207" s="268">
        <f>I133/I192</f>
        <v>9.0515256009660275E-2</v>
      </c>
      <c r="J207" s="267"/>
      <c r="K207" s="267"/>
      <c r="L207" s="267"/>
      <c r="M207" s="267">
        <f>M133*4/M192</f>
        <v>8.5265027226005249E-2</v>
      </c>
      <c r="N207" s="268">
        <f>N133/N192</f>
        <v>8.5265027226005249E-2</v>
      </c>
      <c r="O207" s="267">
        <f>O133*4/O192</f>
        <v>8.9399209952243389E-2</v>
      </c>
      <c r="P207" s="267">
        <f>P133*4/P192</f>
        <v>9.0565925041063158E-2</v>
      </c>
      <c r="Q207" s="267">
        <f>Q133*4/Q192</f>
        <v>9.2630151380013931E-2</v>
      </c>
      <c r="R207" s="267">
        <f>R133*4/R192</f>
        <v>9.4324246986078109E-2</v>
      </c>
      <c r="S207" s="268">
        <f>S133/S192</f>
        <v>9.4324246986078109E-2</v>
      </c>
      <c r="T207" s="267">
        <f>T133*4/T192</f>
        <v>9.5495974816475704E-2</v>
      </c>
      <c r="U207" s="267">
        <f>U133*4/U192</f>
        <v>9.5560738778252441E-2</v>
      </c>
      <c r="V207" s="267">
        <f>V133*4/V192</f>
        <v>9.3769435530014683E-2</v>
      </c>
      <c r="W207" s="267">
        <f>W133*4/W192</f>
        <v>9.2921063011537325E-2</v>
      </c>
      <c r="X207" s="268">
        <f>X133/X192</f>
        <v>9.2921063011537325E-2</v>
      </c>
      <c r="Y207" s="267">
        <f>Y133*4/Y192</f>
        <v>8.7040820071193528E-2</v>
      </c>
      <c r="Z207" s="267">
        <f>Z133*4/Z192</f>
        <v>8.7914599717062142E-2</v>
      </c>
      <c r="AA207" s="267">
        <f>AA133*4/AA192</f>
        <v>8.9347488965764041E-2</v>
      </c>
      <c r="AB207" s="267">
        <f>AB133*4/AB192</f>
        <v>8.6595918168652405E-2</v>
      </c>
      <c r="AC207" s="268">
        <f>AC133/AC192</f>
        <v>8.6595918168652405E-2</v>
      </c>
      <c r="AD207" s="267">
        <f>AD133*4/AD192</f>
        <v>7.7493669983238825E-2</v>
      </c>
      <c r="AE207" s="267">
        <f>AE133*4/AE192</f>
        <v>7.6452617320581451E-2</v>
      </c>
      <c r="AF207" s="267">
        <f>AF133*4/AF192</f>
        <v>7.540077262948483E-2</v>
      </c>
      <c r="AG207" s="267">
        <f>AG133*4/AG192</f>
        <v>7.5663316232967334E-2</v>
      </c>
      <c r="AH207" s="268">
        <f>AH133/AH192</f>
        <v>7.5663316232967334E-2</v>
      </c>
      <c r="AI207" s="267">
        <f>AI133*4/AI192</f>
        <v>8.1115504634427335E-2</v>
      </c>
      <c r="AJ207" s="267">
        <f>AJ133*4/AJ192</f>
        <v>8.0052793363120059E-2</v>
      </c>
      <c r="AK207" s="267">
        <f>AK133*4/AK192</f>
        <v>7.9422484992432443E-2</v>
      </c>
      <c r="AL207" s="267">
        <f>AL133*4/AL192</f>
        <v>7.9204730463096965E-2</v>
      </c>
      <c r="AM207" s="268">
        <f>AM133/AM192</f>
        <v>7.9204730463096965E-2</v>
      </c>
      <c r="AN207" s="267">
        <f>AN133*4/AN192</f>
        <v>9.535262447188915E-2</v>
      </c>
      <c r="AO207" s="267">
        <f>AO133*4/AO192</f>
        <v>9.720490839590927E-2</v>
      </c>
      <c r="AP207" s="267">
        <f>AP133*4/AP192</f>
        <v>9.9206492770401458E-2</v>
      </c>
      <c r="AQ207" s="267">
        <f>AQ133*4/AQ192</f>
        <v>0.10278949176896886</v>
      </c>
      <c r="AR207" s="268">
        <f>AR133/AR192</f>
        <v>0.10278949176896886</v>
      </c>
      <c r="AS207" s="267">
        <f>AS133*4/AS192</f>
        <v>8.0428392726197145E-2</v>
      </c>
      <c r="AT207" s="267">
        <f>AT133*4/AT192</f>
        <v>7.9273588630082908E-2</v>
      </c>
      <c r="AU207" s="267">
        <f>AU133*4/AU192</f>
        <v>7.7401143345114692E-2</v>
      </c>
      <c r="AV207" s="267">
        <f>AV133*4/AV192</f>
        <v>7.5683511640717863E-2</v>
      </c>
      <c r="AW207" s="268">
        <f>AW133/AW192</f>
        <v>7.5683511640717863E-2</v>
      </c>
      <c r="AX207" s="267">
        <f>AX133*4/AX192</f>
        <v>7.4249458730360887E-2</v>
      </c>
      <c r="AY207" s="267">
        <f>AY133*4/AY192</f>
        <v>7.5624108206271148E-2</v>
      </c>
      <c r="AZ207" s="267">
        <f>AZ133*4/AZ192</f>
        <v>8.0027453671928622E-2</v>
      </c>
      <c r="BA207" s="267">
        <f>BA133*4/BA192</f>
        <v>8.8385682980277575E-2</v>
      </c>
      <c r="BB207" s="268">
        <f>BB133/BB192</f>
        <v>8.8385682980277575E-2</v>
      </c>
      <c r="BC207" s="267">
        <f>BC133*4/BC192</f>
        <v>6.0746997115963618E-2</v>
      </c>
      <c r="BD207" s="267">
        <f>BD133*4/BD192</f>
        <v>6.8504288777698361E-2</v>
      </c>
      <c r="BE207" s="267">
        <f>BE133*4/BE192</f>
        <v>6.9418539376708985E-2</v>
      </c>
      <c r="BF207" s="267">
        <f>BF133*4/BF192</f>
        <v>6.5933971431765603E-2</v>
      </c>
      <c r="BG207" s="268">
        <f>BG133/BG192</f>
        <v>6.5933971431765603E-2</v>
      </c>
      <c r="BH207" s="267">
        <f>BH133*4/BH192</f>
        <v>4.7789144574312117E-2</v>
      </c>
      <c r="BI207" s="267">
        <f>BI133*4/BI192</f>
        <v>4.4793343253666983E-2</v>
      </c>
      <c r="BJ207" s="267">
        <f>BJ133*4/BJ192</f>
        <v>4.49226036836535E-2</v>
      </c>
      <c r="BK207" s="267">
        <f>BK133*4/BK192</f>
        <v>4.575274904229415E-2</v>
      </c>
      <c r="BL207" s="268">
        <f>BL133/BL192</f>
        <v>4.575274904229415E-2</v>
      </c>
      <c r="BM207" s="267">
        <f>BM133*4/BM192</f>
        <v>4.1194770961364577E-2</v>
      </c>
      <c r="BN207" s="267">
        <f>BN133*4/BN192</f>
        <v>4.1050075594447247E-2</v>
      </c>
      <c r="BO207" s="267">
        <f>BO133*4/BO192</f>
        <v>4.0084702794595722E-2</v>
      </c>
      <c r="BP207" s="267">
        <f>BP133*4/BP192</f>
        <v>3.9452826865496386E-2</v>
      </c>
      <c r="BQ207" s="268">
        <f>BQ133/BQ192</f>
        <v>3.9452826865496386E-2</v>
      </c>
      <c r="BR207" s="267">
        <f>BR133*4/BR192</f>
        <v>4.0458718979313399E-2</v>
      </c>
      <c r="BS207" s="267">
        <f>BS133*4/BS192</f>
        <v>4.1161773422669738E-2</v>
      </c>
      <c r="BT207" s="267">
        <f>BT133*4/BT192</f>
        <v>4.1433793540980632E-2</v>
      </c>
      <c r="BU207" s="267">
        <f>BU133*4/BU192</f>
        <v>4.107547975052224E-2</v>
      </c>
      <c r="BV207" s="268">
        <f>BV133/BV192</f>
        <v>4.107547975052224E-2</v>
      </c>
      <c r="BW207" s="267">
        <f>BW133*4/BW192</f>
        <v>4.7556722212879217E-2</v>
      </c>
      <c r="BX207" s="267">
        <f>BX133*4/BX192</f>
        <v>4.5972786711433115E-2</v>
      </c>
      <c r="BY207" s="267">
        <f>BY133*4/BY192</f>
        <v>4.4831056397248374E-2</v>
      </c>
      <c r="BZ207" s="267">
        <f>BZ133*4/BZ192</f>
        <v>4.4269893885663332E-2</v>
      </c>
      <c r="CA207" s="268">
        <f>CA133/CA192</f>
        <v>4.4269893885663332E-2</v>
      </c>
      <c r="CB207" s="267">
        <f>CB133*4/CB192</f>
        <v>5.0188930571413035E-2</v>
      </c>
      <c r="CC207" s="267">
        <f>CC133*4/CC192</f>
        <v>5.0364176987287908E-2</v>
      </c>
      <c r="CD207" s="267">
        <f>CD133*4/CD192</f>
        <v>5.065956906782277E-2</v>
      </c>
      <c r="CE207" s="267">
        <f>CE133*4/CE192</f>
        <v>5.1257313797483293E-2</v>
      </c>
      <c r="CF207" s="268">
        <f>CF133/CF192</f>
        <v>5.1257313797483293E-2</v>
      </c>
      <c r="CG207" s="267">
        <f>CG133*4/CG192</f>
        <v>5.6248724498772003E-2</v>
      </c>
      <c r="CH207" s="267">
        <f>CH133*4/CH192</f>
        <v>5.6307369340556385E-2</v>
      </c>
      <c r="CI207" s="267">
        <f>CI133*4/CI192</f>
        <v>5.5056930505520844E-2</v>
      </c>
      <c r="CJ207" s="267">
        <f>CJ133*4/CJ192</f>
        <v>5.3444148758341248E-2</v>
      </c>
      <c r="CK207" s="268">
        <f>CK133/CK192</f>
        <v>5.3444148758341248E-2</v>
      </c>
      <c r="CL207" s="267">
        <f>CL133*4/CL192</f>
        <v>5.8829282286668061E-2</v>
      </c>
      <c r="CM207" s="267">
        <f>CM133*4/CM192</f>
        <v>5.798917723878199E-2</v>
      </c>
      <c r="CN207" s="267">
        <f>CN133*4/CN192</f>
        <v>5.8821228576830052E-2</v>
      </c>
      <c r="CO207" s="267">
        <f>CO133*4/CO192</f>
        <v>5.9440052700922265E-2</v>
      </c>
      <c r="CP207" s="268">
        <f>CP133/CP192</f>
        <v>5.9440052700922265E-2</v>
      </c>
      <c r="CQ207" s="1085">
        <f>CQ133/CQ12</f>
        <v>3.2899246058944481E-2</v>
      </c>
      <c r="CR207" s="1085">
        <f>CR133/CR12</f>
        <v>3.233368361490583E-2</v>
      </c>
      <c r="CS207" s="1085">
        <f>CS133/CS12</f>
        <v>3.8637579504250133E-2</v>
      </c>
      <c r="CT207" s="267">
        <f>CT133/CT12</f>
        <v>3.3837424191155416E-2</v>
      </c>
      <c r="CU207" s="268">
        <f>CU133/CU12</f>
        <v>3.4328163511908441E-2</v>
      </c>
      <c r="CV207" s="1078">
        <v>0.04</v>
      </c>
      <c r="CW207" s="1078">
        <v>0.04</v>
      </c>
      <c r="CX207" s="1078">
        <v>0.04</v>
      </c>
      <c r="CY207" s="1078">
        <v>0.04</v>
      </c>
      <c r="CZ207" s="268">
        <f>CZ133/CZ12</f>
        <v>0.04</v>
      </c>
      <c r="DA207" s="881">
        <v>4.2000000000000003E-2</v>
      </c>
      <c r="DB207" s="881">
        <v>4.2999999999999997E-2</v>
      </c>
      <c r="DC207" s="881">
        <v>4.3999999999999997E-2</v>
      </c>
      <c r="DD207" s="2"/>
      <c r="DE207" s="2"/>
      <c r="DF207" s="269"/>
      <c r="DG207" s="269"/>
      <c r="DH207" s="269"/>
      <c r="DI207" s="450"/>
      <c r="DJ207" s="450"/>
      <c r="DK207" s="2"/>
      <c r="DL207" s="2"/>
      <c r="DM207" s="2"/>
    </row>
    <row r="208" spans="1:117" ht="12" customHeight="1">
      <c r="A208" s="1109"/>
      <c r="B208" s="10"/>
      <c r="C208" s="2" t="s">
        <v>1055</v>
      </c>
      <c r="D208" s="2"/>
      <c r="E208" s="65"/>
      <c r="F208" s="268"/>
      <c r="G208" s="268"/>
      <c r="H208" s="268"/>
      <c r="I208" s="268"/>
      <c r="J208" s="267"/>
      <c r="K208" s="267"/>
      <c r="L208" s="267"/>
      <c r="M208" s="267"/>
      <c r="N208" s="268"/>
      <c r="O208" s="267"/>
      <c r="P208" s="267"/>
      <c r="Q208" s="267"/>
      <c r="R208" s="267"/>
      <c r="S208" s="268"/>
      <c r="T208" s="267"/>
      <c r="U208" s="267"/>
      <c r="V208" s="267"/>
      <c r="W208" s="267"/>
      <c r="X208" s="268"/>
      <c r="Y208" s="267"/>
      <c r="Z208" s="267"/>
      <c r="AA208" s="267"/>
      <c r="AB208" s="267"/>
      <c r="AC208" s="268"/>
      <c r="AD208" s="267"/>
      <c r="AE208" s="267"/>
      <c r="AF208" s="267"/>
      <c r="AG208" s="267"/>
      <c r="AH208" s="268"/>
      <c r="AI208" s="267"/>
      <c r="AJ208" s="267"/>
      <c r="AK208" s="267"/>
      <c r="AL208" s="267"/>
      <c r="AM208" s="268"/>
      <c r="AN208" s="267"/>
      <c r="AO208" s="267"/>
      <c r="AP208" s="267"/>
      <c r="AQ208" s="267"/>
      <c r="AR208" s="268"/>
      <c r="AS208" s="267"/>
      <c r="AT208" s="267"/>
      <c r="AU208" s="267"/>
      <c r="AV208" s="267"/>
      <c r="AW208" s="268"/>
      <c r="AX208" s="267"/>
      <c r="AY208" s="267"/>
      <c r="AZ208" s="267"/>
      <c r="BA208" s="267"/>
      <c r="BB208" s="268"/>
      <c r="BC208" s="267"/>
      <c r="BD208" s="267"/>
      <c r="BE208" s="267"/>
      <c r="BF208" s="267"/>
      <c r="BG208" s="268"/>
      <c r="BH208" s="267"/>
      <c r="BI208" s="267"/>
      <c r="BJ208" s="267"/>
      <c r="BK208" s="267"/>
      <c r="BL208" s="268"/>
      <c r="BM208" s="267"/>
      <c r="BN208" s="267"/>
      <c r="BO208" s="267"/>
      <c r="BP208" s="267"/>
      <c r="BQ208" s="268"/>
      <c r="BR208" s="267"/>
      <c r="BS208" s="267"/>
      <c r="BT208" s="267"/>
      <c r="BU208" s="267"/>
      <c r="BV208" s="268"/>
      <c r="BW208" s="267"/>
      <c r="BX208" s="267"/>
      <c r="BY208" s="267"/>
      <c r="BZ208" s="267"/>
      <c r="CA208" s="268"/>
      <c r="CB208" s="267"/>
      <c r="CC208" s="267"/>
      <c r="CD208" s="267"/>
      <c r="CE208" s="267"/>
      <c r="CF208" s="268"/>
      <c r="CG208" s="267"/>
      <c r="CH208" s="267"/>
      <c r="CI208" s="267"/>
      <c r="CJ208" s="267"/>
      <c r="CK208" s="268"/>
      <c r="CL208" s="267"/>
      <c r="CM208" s="267"/>
      <c r="CN208" s="267"/>
      <c r="CO208" s="267"/>
      <c r="CP208" s="268">
        <f>CP259/Drivers!CP43</f>
        <v>3.0744603060626222E-2</v>
      </c>
      <c r="CQ208" s="267">
        <f>CQ259/Drivers!CQ43</f>
        <v>3.0636472720774081E-2</v>
      </c>
      <c r="CR208" s="267">
        <f>CR259/Drivers!CR43</f>
        <v>3.0112167825148677E-2</v>
      </c>
      <c r="CS208" s="267">
        <f>CS259/Drivers!CS43</f>
        <v>3.2923617208077259E-2</v>
      </c>
      <c r="CT208" s="1028">
        <f>CT259/Drivers!CT43</f>
        <v>3.3088407101505304E-2</v>
      </c>
      <c r="CU208" s="268">
        <v>3.2000000000000001E-2</v>
      </c>
      <c r="CV208" s="151"/>
      <c r="CW208" s="151"/>
      <c r="CX208" s="151"/>
      <c r="CY208" s="151"/>
      <c r="CZ208" s="881"/>
      <c r="DA208" s="881"/>
      <c r="DB208" s="881"/>
      <c r="DC208" s="881"/>
      <c r="DD208" s="2"/>
      <c r="DE208" s="2"/>
      <c r="DF208" s="269"/>
      <c r="DG208" s="269"/>
      <c r="DH208" s="269"/>
      <c r="DI208" s="450"/>
      <c r="DJ208" s="450"/>
      <c r="DK208" s="2"/>
      <c r="DL208" s="2"/>
      <c r="DM208" s="2"/>
    </row>
    <row r="209" spans="1:117" ht="12" customHeight="1">
      <c r="A209" s="1109"/>
      <c r="B209" s="10"/>
      <c r="C209" s="2" t="s">
        <v>1052</v>
      </c>
      <c r="D209" s="2"/>
      <c r="E209" s="335">
        <f t="shared" ref="E209:AJ209" si="356">-E144/E133</f>
        <v>0.76772762181073473</v>
      </c>
      <c r="F209" s="335">
        <f t="shared" si="356"/>
        <v>0.67633492299272924</v>
      </c>
      <c r="G209" s="335">
        <f t="shared" si="356"/>
        <v>0.64175807995288225</v>
      </c>
      <c r="H209" s="335">
        <f t="shared" si="356"/>
        <v>0.59559026817804805</v>
      </c>
      <c r="I209" s="335">
        <f t="shared" si="356"/>
        <v>0.52668133681749418</v>
      </c>
      <c r="J209" s="333">
        <f t="shared" si="356"/>
        <v>0.49820689655172412</v>
      </c>
      <c r="K209" s="333">
        <f t="shared" si="356"/>
        <v>0.44413793103448274</v>
      </c>
      <c r="L209" s="333">
        <f t="shared" si="356"/>
        <v>0.56082758620689654</v>
      </c>
      <c r="M209" s="333">
        <f t="shared" si="356"/>
        <v>0.79972413793103447</v>
      </c>
      <c r="N209" s="335">
        <f t="shared" si="356"/>
        <v>0.5757241379310345</v>
      </c>
      <c r="O209" s="333">
        <f t="shared" si="356"/>
        <v>0.39253445888016886</v>
      </c>
      <c r="P209" s="333">
        <f t="shared" si="356"/>
        <v>0.35032645254896788</v>
      </c>
      <c r="Q209" s="333">
        <f t="shared" si="356"/>
        <v>0.42366286354942956</v>
      </c>
      <c r="R209" s="333">
        <f t="shared" si="356"/>
        <v>0.66741410011211499</v>
      </c>
      <c r="S209" s="335">
        <f t="shared" si="356"/>
        <v>0.45848446877267029</v>
      </c>
      <c r="T209" s="333">
        <f t="shared" si="356"/>
        <v>0.45552828812097895</v>
      </c>
      <c r="U209" s="333">
        <f t="shared" si="356"/>
        <v>0.40299794388804139</v>
      </c>
      <c r="V209" s="333">
        <f t="shared" si="356"/>
        <v>0.49028321284075083</v>
      </c>
      <c r="W209" s="333">
        <f t="shared" si="356"/>
        <v>0.58207866286396504</v>
      </c>
      <c r="X209" s="335">
        <f t="shared" si="356"/>
        <v>0.48272202692843402</v>
      </c>
      <c r="Y209" s="333">
        <f t="shared" si="356"/>
        <v>0.42049047853278054</v>
      </c>
      <c r="Z209" s="333">
        <f t="shared" si="356"/>
        <v>0.57255287752090511</v>
      </c>
      <c r="AA209" s="333">
        <f t="shared" si="356"/>
        <v>0.64535169699950812</v>
      </c>
      <c r="AB209" s="333">
        <f t="shared" si="356"/>
        <v>0.53601292952006185</v>
      </c>
      <c r="AC209" s="335">
        <f t="shared" si="356"/>
        <v>0.54360199564331391</v>
      </c>
      <c r="AD209" s="333">
        <f t="shared" si="356"/>
        <v>0.39116428900138056</v>
      </c>
      <c r="AE209" s="333">
        <f t="shared" si="356"/>
        <v>0.46172725878202181</v>
      </c>
      <c r="AF209" s="333">
        <f t="shared" si="356"/>
        <v>0.64917932198189909</v>
      </c>
      <c r="AG209" s="333">
        <f t="shared" si="356"/>
        <v>0.56511734928670043</v>
      </c>
      <c r="AH209" s="335">
        <f t="shared" si="356"/>
        <v>0.51679705476300042</v>
      </c>
      <c r="AI209" s="333">
        <f t="shared" si="356"/>
        <v>0.44564984654913997</v>
      </c>
      <c r="AJ209" s="333">
        <f t="shared" si="356"/>
        <v>0.57412033402326745</v>
      </c>
      <c r="AK209" s="333">
        <f t="shared" ref="AK209:BP209" si="357">-AK144/AK133</f>
        <v>0.53957604739133536</v>
      </c>
      <c r="AL209" s="333">
        <f t="shared" si="357"/>
        <v>0.58668189279851546</v>
      </c>
      <c r="AM209" s="335">
        <f t="shared" si="357"/>
        <v>0.53650703019056456</v>
      </c>
      <c r="AN209" s="333">
        <f t="shared" si="357"/>
        <v>0.44684859903968882</v>
      </c>
      <c r="AO209" s="333">
        <f t="shared" si="357"/>
        <v>0.38047772442715616</v>
      </c>
      <c r="AP209" s="333">
        <f t="shared" si="357"/>
        <v>0.4470917157965113</v>
      </c>
      <c r="AQ209" s="333">
        <f t="shared" si="357"/>
        <v>0.39044551145687717</v>
      </c>
      <c r="AR209" s="335">
        <f t="shared" si="357"/>
        <v>0.41621588768005835</v>
      </c>
      <c r="AS209" s="333">
        <f t="shared" si="357"/>
        <v>0.39718050873429361</v>
      </c>
      <c r="AT209" s="333">
        <f t="shared" si="357"/>
        <v>0.41097149862090099</v>
      </c>
      <c r="AU209" s="333">
        <f t="shared" si="357"/>
        <v>0.48360404535703339</v>
      </c>
      <c r="AV209" s="333">
        <f t="shared" si="357"/>
        <v>0.55378486055776888</v>
      </c>
      <c r="AW209" s="335">
        <f t="shared" si="357"/>
        <v>0.46138522831749923</v>
      </c>
      <c r="AX209" s="333">
        <f t="shared" si="357"/>
        <v>0.46468111648214566</v>
      </c>
      <c r="AY209" s="333">
        <f t="shared" si="357"/>
        <v>0.51083736160923121</v>
      </c>
      <c r="AZ209" s="333">
        <f t="shared" si="357"/>
        <v>0.54483081241228759</v>
      </c>
      <c r="BA209" s="333">
        <f t="shared" si="357"/>
        <v>0.56790893497583039</v>
      </c>
      <c r="BB209" s="335">
        <f t="shared" si="357"/>
        <v>0.5220645563698737</v>
      </c>
      <c r="BC209" s="333">
        <f t="shared" si="357"/>
        <v>0.55771488196165386</v>
      </c>
      <c r="BD209" s="333">
        <f t="shared" si="357"/>
        <v>0.50971696882744233</v>
      </c>
      <c r="BE209" s="333">
        <f t="shared" si="357"/>
        <v>0.49250032607277944</v>
      </c>
      <c r="BF209" s="333">
        <f t="shared" si="357"/>
        <v>0.55771488196165386</v>
      </c>
      <c r="BG209" s="335">
        <f t="shared" si="357"/>
        <v>0.52941176470588236</v>
      </c>
      <c r="BH209" s="333">
        <f t="shared" si="357"/>
        <v>0.72406779661016951</v>
      </c>
      <c r="BI209" s="333">
        <f t="shared" si="357"/>
        <v>0.65016949152542369</v>
      </c>
      <c r="BJ209" s="333">
        <f t="shared" si="357"/>
        <v>0.62305084745762707</v>
      </c>
      <c r="BK209" s="333">
        <f t="shared" si="357"/>
        <v>0.77694915254237285</v>
      </c>
      <c r="BL209" s="335">
        <f t="shared" si="357"/>
        <v>0.69355932203389825</v>
      </c>
      <c r="BM209" s="333">
        <f t="shared" si="357"/>
        <v>0.69122023809523814</v>
      </c>
      <c r="BN209" s="333">
        <f t="shared" si="357"/>
        <v>0.81324404761904767</v>
      </c>
      <c r="BO209" s="333">
        <f t="shared" si="357"/>
        <v>0.828125</v>
      </c>
      <c r="BP209" s="333">
        <f t="shared" si="357"/>
        <v>0.8616071428571429</v>
      </c>
      <c r="BQ209" s="335">
        <f t="shared" ref="BQ209:CV209" si="358">-BQ144/BQ133</f>
        <v>0.7985491071428571</v>
      </c>
      <c r="BR209" s="333">
        <f t="shared" si="358"/>
        <v>0.79693765949690121</v>
      </c>
      <c r="BS209" s="333">
        <f t="shared" si="358"/>
        <v>0.86839227123587315</v>
      </c>
      <c r="BT209" s="333">
        <f t="shared" si="358"/>
        <v>0.96172074371126504</v>
      </c>
      <c r="BU209" s="333">
        <f t="shared" si="358"/>
        <v>1.3744075829383886</v>
      </c>
      <c r="BV209" s="335">
        <f t="shared" si="358"/>
        <v>1.0003645643456069</v>
      </c>
      <c r="BW209" s="333">
        <f t="shared" si="358"/>
        <v>0.91205412054120538</v>
      </c>
      <c r="BX209" s="333">
        <f t="shared" si="358"/>
        <v>0.98031980319803202</v>
      </c>
      <c r="BY209" s="333">
        <f t="shared" si="358"/>
        <v>0.97293972939729401</v>
      </c>
      <c r="BZ209" s="333">
        <f t="shared" si="358"/>
        <v>1.1918819188191883</v>
      </c>
      <c r="CA209" s="335">
        <f t="shared" si="358"/>
        <v>1.0142988929889298</v>
      </c>
      <c r="CB209" s="333">
        <f t="shared" si="358"/>
        <v>0.8211238997968856</v>
      </c>
      <c r="CC209" s="333">
        <f t="shared" si="358"/>
        <v>1.0356127285037238</v>
      </c>
      <c r="CD209" s="333">
        <f t="shared" si="358"/>
        <v>1.0188219363574813</v>
      </c>
      <c r="CE209" s="333">
        <f t="shared" si="358"/>
        <v>1.1666892349356803</v>
      </c>
      <c r="CF209" s="335">
        <f t="shared" si="358"/>
        <v>1.0105619498984428</v>
      </c>
      <c r="CG209" s="333">
        <f t="shared" si="358"/>
        <v>0.90078818966595775</v>
      </c>
      <c r="CH209" s="333">
        <f t="shared" si="358"/>
        <v>0.86725885149505821</v>
      </c>
      <c r="CI209" s="333">
        <f t="shared" si="358"/>
        <v>0.91329913674465157</v>
      </c>
      <c r="CJ209" s="333">
        <f t="shared" si="358"/>
        <v>0.91980482922557238</v>
      </c>
      <c r="CK209" s="335">
        <f t="shared" si="358"/>
        <v>0.90028775178280995</v>
      </c>
      <c r="CL209" s="333">
        <f t="shared" si="358"/>
        <v>0.66984373268314312</v>
      </c>
      <c r="CM209" s="333">
        <f t="shared" si="358"/>
        <v>0.75141305552477</v>
      </c>
      <c r="CN209" s="333">
        <f t="shared" si="358"/>
        <v>0.75628948243378036</v>
      </c>
      <c r="CO209" s="333">
        <f t="shared" si="358"/>
        <v>0.9220879973401308</v>
      </c>
      <c r="CP209" s="335">
        <f t="shared" si="358"/>
        <v>0.77490856699545607</v>
      </c>
      <c r="CQ209" s="333">
        <f t="shared" si="358"/>
        <v>1.4216666666666666</v>
      </c>
      <c r="CR209" s="333">
        <f t="shared" si="358"/>
        <v>1.2983333333333333</v>
      </c>
      <c r="CS209" s="333">
        <f t="shared" si="358"/>
        <v>1.2861538461538462</v>
      </c>
      <c r="CT209" s="333">
        <f t="shared" si="358"/>
        <v>1.6253846153846154</v>
      </c>
      <c r="CU209" s="335">
        <f t="shared" si="358"/>
        <v>1.4097999999999999</v>
      </c>
      <c r="CV209" s="333">
        <f t="shared" si="358"/>
        <v>1.2853055519321213</v>
      </c>
      <c r="CW209" s="333">
        <f t="shared" ref="CW209:DC209" si="359">-CW144/CW133</f>
        <v>1.26557833830736</v>
      </c>
      <c r="CX209" s="333">
        <f t="shared" si="359"/>
        <v>1.3903838418173458</v>
      </c>
      <c r="CY209" s="333">
        <f t="shared" si="359"/>
        <v>1.2157449964560796</v>
      </c>
      <c r="CZ209" s="335">
        <f t="shared" si="359"/>
        <v>1.2861619605398837</v>
      </c>
      <c r="DA209" s="335">
        <f t="shared" si="359"/>
        <v>1.2809993636708494</v>
      </c>
      <c r="DB209" s="335">
        <f t="shared" si="359"/>
        <v>1.2494537496634022</v>
      </c>
      <c r="DC209" s="335">
        <f t="shared" si="359"/>
        <v>1.1708358356131201</v>
      </c>
      <c r="DD209" s="2"/>
      <c r="DE209" s="2"/>
      <c r="DF209" s="269"/>
      <c r="DG209" s="269"/>
      <c r="DH209" s="269"/>
      <c r="DI209" s="450"/>
      <c r="DJ209" s="450"/>
      <c r="DK209" s="2"/>
      <c r="DL209" s="2"/>
      <c r="DM209" s="2"/>
    </row>
    <row r="210" spans="1:117" ht="12" customHeight="1">
      <c r="A210" s="1109"/>
      <c r="B210" s="10"/>
      <c r="C210" s="2" t="s">
        <v>1056</v>
      </c>
      <c r="D210" s="2"/>
      <c r="E210" s="335"/>
      <c r="F210" s="335"/>
      <c r="G210" s="335"/>
      <c r="H210" s="335"/>
      <c r="I210" s="335"/>
      <c r="J210" s="333"/>
      <c r="K210" s="333"/>
      <c r="L210" s="333"/>
      <c r="M210" s="333"/>
      <c r="N210" s="335"/>
      <c r="O210" s="333"/>
      <c r="P210" s="333"/>
      <c r="Q210" s="333"/>
      <c r="R210" s="333"/>
      <c r="S210" s="335"/>
      <c r="T210" s="333"/>
      <c r="U210" s="333"/>
      <c r="V210" s="333"/>
      <c r="W210" s="333"/>
      <c r="X210" s="335"/>
      <c r="Y210" s="333"/>
      <c r="Z210" s="333"/>
      <c r="AA210" s="333"/>
      <c r="AB210" s="333"/>
      <c r="AC210" s="335"/>
      <c r="AD210" s="333"/>
      <c r="AE210" s="333"/>
      <c r="AF210" s="333"/>
      <c r="AG210" s="333"/>
      <c r="AH210" s="335"/>
      <c r="AI210" s="333"/>
      <c r="AJ210" s="333"/>
      <c r="AK210" s="333"/>
      <c r="AL210" s="333"/>
      <c r="AM210" s="335"/>
      <c r="AN210" s="333"/>
      <c r="AO210" s="333"/>
      <c r="AP210" s="333"/>
      <c r="AQ210" s="333"/>
      <c r="AR210" s="335"/>
      <c r="AS210" s="333"/>
      <c r="AT210" s="333"/>
      <c r="AU210" s="333"/>
      <c r="AV210" s="333"/>
      <c r="AW210" s="335"/>
      <c r="AX210" s="333"/>
      <c r="AY210" s="333"/>
      <c r="AZ210" s="333"/>
      <c r="BA210" s="333"/>
      <c r="BB210" s="335"/>
      <c r="BC210" s="333"/>
      <c r="BD210" s="333"/>
      <c r="BE210" s="333"/>
      <c r="BF210" s="333"/>
      <c r="BG210" s="335"/>
      <c r="BH210" s="333"/>
      <c r="BI210" s="333"/>
      <c r="BJ210" s="333"/>
      <c r="BK210" s="333"/>
      <c r="BL210" s="335"/>
      <c r="BM210" s="333"/>
      <c r="BN210" s="333"/>
      <c r="BO210" s="333"/>
      <c r="BP210" s="333"/>
      <c r="BQ210" s="335"/>
      <c r="BR210" s="333"/>
      <c r="BS210" s="333"/>
      <c r="BT210" s="333"/>
      <c r="BU210" s="333"/>
      <c r="BV210" s="335"/>
      <c r="BW210" s="333"/>
      <c r="BX210" s="333"/>
      <c r="BY210" s="333"/>
      <c r="BZ210" s="333"/>
      <c r="CA210" s="335"/>
      <c r="CB210" s="333"/>
      <c r="CC210" s="333"/>
      <c r="CD210" s="333"/>
      <c r="CE210" s="333"/>
      <c r="CF210" s="335"/>
      <c r="CG210" s="9">
        <v>0.15</v>
      </c>
      <c r="CH210" s="9">
        <v>0.15</v>
      </c>
      <c r="CI210" s="9">
        <v>0.15</v>
      </c>
      <c r="CJ210" s="9">
        <v>0.15</v>
      </c>
      <c r="CK210" s="70">
        <f>SUM(CG210:CJ210)</f>
        <v>0.6</v>
      </c>
      <c r="CL210" s="9">
        <v>0.15</v>
      </c>
      <c r="CM210" s="9">
        <v>0.15</v>
      </c>
      <c r="CN210" s="9">
        <v>0.15</v>
      </c>
      <c r="CO210" s="9">
        <v>0.15</v>
      </c>
      <c r="CP210" s="70">
        <f>SUM(CL210:CO210)</f>
        <v>0.6</v>
      </c>
      <c r="CQ210" s="9">
        <f>CL210</f>
        <v>0.15</v>
      </c>
      <c r="CR210" s="9">
        <f>CM210</f>
        <v>0.15</v>
      </c>
      <c r="CS210" s="9">
        <f>CN210</f>
        <v>0.15</v>
      </c>
      <c r="CT210" s="9">
        <f>CO210</f>
        <v>0.15</v>
      </c>
      <c r="CU210" s="70">
        <f>SUM(CQ210:CT210)</f>
        <v>0.6</v>
      </c>
      <c r="CV210" s="9">
        <f>CQ210</f>
        <v>0.15</v>
      </c>
      <c r="CW210" s="9">
        <f>CR210</f>
        <v>0.15</v>
      </c>
      <c r="CX210" s="9">
        <f>CS210</f>
        <v>0.15</v>
      </c>
      <c r="CY210" s="9">
        <f>CT210</f>
        <v>0.15</v>
      </c>
      <c r="CZ210" s="70">
        <f>SUM(CV210:CY210)</f>
        <v>0.6</v>
      </c>
      <c r="DA210" s="1087">
        <f>CZ210*0.5</f>
        <v>0.3</v>
      </c>
      <c r="DB210" s="70">
        <f>DA210</f>
        <v>0.3</v>
      </c>
      <c r="DC210" s="70">
        <f>DB210</f>
        <v>0.3</v>
      </c>
      <c r="DD210" s="2"/>
      <c r="DE210" s="2"/>
      <c r="DF210" s="269"/>
      <c r="DG210" s="269"/>
      <c r="DH210" s="269"/>
      <c r="DI210" s="450"/>
      <c r="DJ210" s="450"/>
      <c r="DK210" s="2"/>
      <c r="DL210" s="2"/>
      <c r="DM210" s="2"/>
    </row>
    <row r="211" spans="1:117" ht="12" customHeight="1">
      <c r="A211" s="1109">
        <f>A207+1</f>
        <v>198</v>
      </c>
      <c r="B211" s="10"/>
      <c r="C211" s="2"/>
      <c r="D211" s="2"/>
      <c r="E211" s="84"/>
      <c r="F211" s="84"/>
      <c r="G211" s="84"/>
      <c r="H211" s="84"/>
      <c r="I211" s="84"/>
      <c r="J211" s="2"/>
      <c r="K211" s="2"/>
      <c r="L211" s="2"/>
      <c r="M211" s="2"/>
      <c r="N211" s="84"/>
      <c r="O211" s="2"/>
      <c r="P211" s="2"/>
      <c r="Q211" s="2"/>
      <c r="R211" s="2"/>
      <c r="S211" s="84"/>
      <c r="T211" s="2"/>
      <c r="U211" s="2"/>
      <c r="V211" s="2"/>
      <c r="W211" s="2"/>
      <c r="X211" s="84"/>
      <c r="Y211" s="2"/>
      <c r="Z211" s="2"/>
      <c r="AA211" s="2"/>
      <c r="AB211" s="2"/>
      <c r="AC211" s="84"/>
      <c r="AD211" s="2"/>
      <c r="AE211" s="2"/>
      <c r="AF211" s="2"/>
      <c r="AG211" s="2"/>
      <c r="AH211" s="84"/>
      <c r="AI211" s="2"/>
      <c r="AJ211" s="2"/>
      <c r="AK211" s="2"/>
      <c r="AL211" s="2"/>
      <c r="AM211" s="84"/>
      <c r="AN211" s="2"/>
      <c r="AO211" s="2"/>
      <c r="AP211" s="2"/>
      <c r="AQ211" s="2"/>
      <c r="AR211" s="84"/>
      <c r="AS211" s="2"/>
      <c r="AT211" s="2"/>
      <c r="AU211" s="2"/>
      <c r="AV211" s="2"/>
      <c r="AW211" s="84"/>
      <c r="AX211" s="2"/>
      <c r="AY211" s="2"/>
      <c r="AZ211" s="2"/>
      <c r="BA211" s="2"/>
      <c r="BB211" s="84"/>
      <c r="BC211" s="2"/>
      <c r="BD211" s="2"/>
      <c r="BE211" s="2"/>
      <c r="BF211" s="2"/>
      <c r="BG211" s="84"/>
      <c r="BH211" s="2"/>
      <c r="BI211" s="2"/>
      <c r="BJ211" s="2"/>
      <c r="BK211" s="2"/>
      <c r="BL211" s="84"/>
      <c r="BM211" s="2"/>
      <c r="BN211" s="2"/>
      <c r="BO211" s="2"/>
      <c r="BP211" s="2"/>
      <c r="BQ211" s="84"/>
      <c r="BR211" s="2"/>
      <c r="BS211" s="2"/>
      <c r="BT211" s="2"/>
      <c r="BU211" s="2"/>
      <c r="BV211" s="84"/>
      <c r="BW211" s="22"/>
      <c r="BX211" s="2"/>
      <c r="BY211" s="2"/>
      <c r="BZ211" s="2"/>
      <c r="CA211" s="84"/>
      <c r="CB211" s="22"/>
      <c r="CC211" s="2"/>
      <c r="CD211" s="2"/>
      <c r="CE211" s="2"/>
      <c r="CF211" s="84"/>
      <c r="CG211" s="22"/>
      <c r="CH211" s="22"/>
      <c r="CI211" s="22"/>
      <c r="CJ211" s="22"/>
      <c r="CK211" s="84"/>
      <c r="CL211" s="22"/>
      <c r="CM211" s="22"/>
      <c r="CN211" s="22"/>
      <c r="CO211" s="22"/>
      <c r="CP211" s="84"/>
      <c r="CQ211" s="22"/>
      <c r="CR211" s="22"/>
      <c r="CS211" s="22"/>
      <c r="CT211" s="22"/>
      <c r="CU211" s="84"/>
      <c r="CV211" s="22"/>
      <c r="CW211" s="22"/>
      <c r="CX211" s="22"/>
      <c r="CY211" s="22"/>
      <c r="CZ211" s="62"/>
      <c r="DA211" s="62"/>
      <c r="DB211" s="62"/>
      <c r="DC211" s="62"/>
      <c r="DD211" s="2"/>
      <c r="DE211" s="2"/>
      <c r="DF211" s="84"/>
      <c r="DG211" s="84"/>
      <c r="DH211" s="84"/>
      <c r="DI211" s="454"/>
      <c r="DJ211" s="454"/>
      <c r="DK211" s="2"/>
      <c r="DL211" s="2"/>
      <c r="DM211" s="2"/>
    </row>
    <row r="212" spans="1:117" ht="12" customHeight="1" outlineLevel="1">
      <c r="A212" s="1109">
        <f t="shared" ref="A212:A260" si="360">A211+1</f>
        <v>199</v>
      </c>
      <c r="B212" s="10"/>
      <c r="C212" s="6" t="s">
        <v>208</v>
      </c>
      <c r="D212" s="2"/>
      <c r="E212" s="84"/>
      <c r="F212" s="84"/>
      <c r="G212" s="84"/>
      <c r="H212" s="84"/>
      <c r="I212" s="84"/>
      <c r="J212" s="2"/>
      <c r="K212" s="2"/>
      <c r="L212" s="2"/>
      <c r="M212" s="2"/>
      <c r="N212" s="84"/>
      <c r="O212" s="2"/>
      <c r="P212" s="2"/>
      <c r="Q212" s="2"/>
      <c r="R212" s="2"/>
      <c r="S212" s="84"/>
      <c r="T212" s="2"/>
      <c r="U212" s="2"/>
      <c r="V212" s="2"/>
      <c r="W212" s="2"/>
      <c r="X212" s="84"/>
      <c r="Y212" s="2"/>
      <c r="Z212" s="2"/>
      <c r="AA212" s="2"/>
      <c r="AB212" s="2"/>
      <c r="AC212" s="84"/>
      <c r="AD212" s="2"/>
      <c r="AE212" s="2"/>
      <c r="AF212" s="2"/>
      <c r="AG212" s="2"/>
      <c r="AH212" s="84"/>
      <c r="AI212" s="2"/>
      <c r="AJ212" s="2"/>
      <c r="AK212" s="2"/>
      <c r="AL212" s="2"/>
      <c r="AM212" s="84"/>
      <c r="AN212" s="2"/>
      <c r="AO212" s="2"/>
      <c r="AP212" s="2"/>
      <c r="AQ212" s="2"/>
      <c r="AR212" s="84"/>
      <c r="AS212" s="2"/>
      <c r="AT212" s="2"/>
      <c r="AU212" s="2"/>
      <c r="AV212" s="2"/>
      <c r="AW212" s="84"/>
      <c r="AX212" s="2"/>
      <c r="AY212" s="2"/>
      <c r="AZ212" s="2"/>
      <c r="BA212" s="2"/>
      <c r="BB212" s="84"/>
      <c r="BC212" s="2"/>
      <c r="BD212" s="2"/>
      <c r="BE212" s="2"/>
      <c r="BF212" s="2"/>
      <c r="BG212" s="84"/>
      <c r="BH212" s="2"/>
      <c r="BI212" s="2"/>
      <c r="BJ212" s="2"/>
      <c r="BK212" s="2"/>
      <c r="BL212" s="84"/>
      <c r="BM212" s="2"/>
      <c r="BN212" s="2"/>
      <c r="BO212" s="2"/>
      <c r="BP212" s="2"/>
      <c r="BQ212" s="84"/>
      <c r="BR212" s="2"/>
      <c r="BS212" s="2"/>
      <c r="BT212" s="2"/>
      <c r="BU212" s="2"/>
      <c r="BV212" s="84"/>
      <c r="BW212" s="22"/>
      <c r="BX212" s="2"/>
      <c r="BY212" s="2"/>
      <c r="BZ212" s="2"/>
      <c r="CA212" s="84"/>
      <c r="CB212" s="22"/>
      <c r="CC212" s="2"/>
      <c r="CD212" s="2"/>
      <c r="CE212" s="2"/>
      <c r="CF212" s="84"/>
      <c r="CG212" s="22"/>
      <c r="CH212" s="22"/>
      <c r="CI212" s="22"/>
      <c r="CJ212" s="22"/>
      <c r="CK212" s="84"/>
      <c r="CL212" s="22"/>
      <c r="CM212" s="22"/>
      <c r="CN212" s="22"/>
      <c r="CO212" s="22"/>
      <c r="CP212" s="84"/>
      <c r="CQ212" s="22"/>
      <c r="CR212" s="22"/>
      <c r="CS212" s="22"/>
      <c r="CT212" s="22"/>
      <c r="CU212" s="84"/>
      <c r="CV212" s="22"/>
      <c r="CW212" s="22"/>
      <c r="CX212" s="22"/>
      <c r="CY212" s="22"/>
      <c r="CZ212" s="62"/>
      <c r="DA212" s="62"/>
      <c r="DB212" s="62"/>
      <c r="DC212" s="62"/>
      <c r="DD212" s="2"/>
      <c r="DE212" s="2"/>
      <c r="DF212" s="84"/>
      <c r="DG212" s="84"/>
      <c r="DH212" s="84"/>
      <c r="DI212" s="454"/>
      <c r="DJ212" s="454"/>
      <c r="DK212" s="2"/>
      <c r="DL212" s="2"/>
      <c r="DM212" s="2"/>
    </row>
    <row r="213" spans="1:117" ht="12" customHeight="1" outlineLevel="1">
      <c r="A213" s="1109">
        <f t="shared" si="360"/>
        <v>200</v>
      </c>
      <c r="B213" s="10"/>
      <c r="C213" s="2"/>
      <c r="D213" s="2"/>
      <c r="E213" s="84"/>
      <c r="F213" s="84"/>
      <c r="G213" s="84"/>
      <c r="H213" s="84"/>
      <c r="I213" s="84"/>
      <c r="J213" s="2"/>
      <c r="K213" s="2"/>
      <c r="L213" s="2"/>
      <c r="M213" s="2"/>
      <c r="N213" s="84"/>
      <c r="O213" s="2"/>
      <c r="P213" s="2"/>
      <c r="Q213" s="2"/>
      <c r="R213" s="2"/>
      <c r="S213" s="84"/>
      <c r="T213" s="2"/>
      <c r="U213" s="2"/>
      <c r="V213" s="2"/>
      <c r="W213" s="2"/>
      <c r="X213" s="84"/>
      <c r="Y213" s="2"/>
      <c r="Z213" s="2"/>
      <c r="AA213" s="2"/>
      <c r="AB213" s="2"/>
      <c r="AC213" s="84"/>
      <c r="AD213" s="2"/>
      <c r="AE213" s="2"/>
      <c r="AF213" s="2"/>
      <c r="AG213" s="2"/>
      <c r="AH213" s="84"/>
      <c r="AI213" s="2"/>
      <c r="AJ213" s="2"/>
      <c r="AK213" s="2"/>
      <c r="AL213" s="2"/>
      <c r="AM213" s="84"/>
      <c r="AN213" s="2"/>
      <c r="AO213" s="2"/>
      <c r="AP213" s="2"/>
      <c r="AQ213" s="2"/>
      <c r="AR213" s="84"/>
      <c r="AS213" s="2"/>
      <c r="AT213" s="2"/>
      <c r="AU213" s="2"/>
      <c r="AV213" s="2"/>
      <c r="AW213" s="84"/>
      <c r="AX213" s="2"/>
      <c r="AY213" s="2"/>
      <c r="AZ213" s="2"/>
      <c r="BA213" s="2"/>
      <c r="BB213" s="84"/>
      <c r="BC213" s="2"/>
      <c r="BD213" s="2"/>
      <c r="BE213" s="2"/>
      <c r="BF213" s="2"/>
      <c r="BG213" s="84"/>
      <c r="BH213" s="2"/>
      <c r="BI213" s="2"/>
      <c r="BJ213" s="2"/>
      <c r="BK213" s="2"/>
      <c r="BL213" s="84"/>
      <c r="BM213" s="2"/>
      <c r="BN213" s="2"/>
      <c r="BO213" s="2"/>
      <c r="BP213" s="2"/>
      <c r="BQ213" s="84"/>
      <c r="BR213" s="2"/>
      <c r="BS213" s="2"/>
      <c r="BT213" s="2"/>
      <c r="BU213" s="2"/>
      <c r="BV213" s="84"/>
      <c r="BW213" s="22"/>
      <c r="BX213" s="2"/>
      <c r="BY213" s="2"/>
      <c r="BZ213" s="2"/>
      <c r="CA213" s="84"/>
      <c r="CB213" s="22"/>
      <c r="CC213" s="2"/>
      <c r="CD213" s="2"/>
      <c r="CE213" s="2"/>
      <c r="CF213" s="84"/>
      <c r="CG213" s="22"/>
      <c r="CH213" s="22"/>
      <c r="CI213" s="22"/>
      <c r="CJ213" s="22"/>
      <c r="CK213" s="84"/>
      <c r="CL213" s="22"/>
      <c r="CM213" s="22"/>
      <c r="CN213" s="22"/>
      <c r="CO213" s="22"/>
      <c r="CP213" s="84"/>
      <c r="CQ213" s="22"/>
      <c r="CR213" s="22"/>
      <c r="CS213" s="22"/>
      <c r="CT213" s="22"/>
      <c r="CU213" s="84"/>
      <c r="CV213" s="22"/>
      <c r="CW213" s="22"/>
      <c r="CX213" s="22"/>
      <c r="CY213" s="22"/>
      <c r="CZ213" s="62"/>
      <c r="DA213" s="62"/>
      <c r="DB213" s="62"/>
      <c r="DC213" s="62"/>
      <c r="DD213" s="2"/>
      <c r="DE213" s="2"/>
      <c r="DF213" s="84"/>
      <c r="DG213" s="84"/>
      <c r="DH213" s="84"/>
      <c r="DI213" s="454"/>
      <c r="DJ213" s="454"/>
      <c r="DK213" s="2"/>
      <c r="DL213" s="2"/>
      <c r="DM213" s="2"/>
    </row>
    <row r="214" spans="1:117" ht="12" customHeight="1" outlineLevel="1">
      <c r="A214" s="1109">
        <f t="shared" si="360"/>
        <v>201</v>
      </c>
      <c r="B214" s="10"/>
      <c r="C214" s="2" t="s">
        <v>14</v>
      </c>
      <c r="D214" s="2"/>
      <c r="E214" s="158">
        <f>SUM(E215:E217)</f>
        <v>0.35</v>
      </c>
      <c r="F214" s="158">
        <f>SUM(F215:F217)</f>
        <v>0.35</v>
      </c>
      <c r="G214" s="158">
        <f>SUM(G215:G217)</f>
        <v>0.36</v>
      </c>
      <c r="H214" s="158">
        <f>SUM(H215:H217)</f>
        <v>0.36</v>
      </c>
      <c r="I214" s="158">
        <f>SUM(I215:I217)</f>
        <v>0.35</v>
      </c>
      <c r="J214" s="151">
        <f>K214</f>
        <v>0.36</v>
      </c>
      <c r="K214" s="151">
        <f>L214</f>
        <v>0.36</v>
      </c>
      <c r="L214" s="151">
        <f>M214</f>
        <v>0.36</v>
      </c>
      <c r="M214" s="151">
        <f>N214</f>
        <v>0.36</v>
      </c>
      <c r="N214" s="158">
        <f>SUM(N215:N217)</f>
        <v>0.36</v>
      </c>
      <c r="O214" s="151">
        <f>P214</f>
        <v>0.33999999999999997</v>
      </c>
      <c r="P214" s="151">
        <f>Q214</f>
        <v>0.33999999999999997</v>
      </c>
      <c r="Q214" s="151">
        <f>R214</f>
        <v>0.33999999999999997</v>
      </c>
      <c r="R214" s="151">
        <f>S214</f>
        <v>0.33999999999999997</v>
      </c>
      <c r="S214" s="158">
        <f>SUM(S215:S217)</f>
        <v>0.33999999999999997</v>
      </c>
      <c r="T214" s="151">
        <f>U214</f>
        <v>0.36999999999999994</v>
      </c>
      <c r="U214" s="151">
        <f>V214</f>
        <v>0.36999999999999994</v>
      </c>
      <c r="V214" s="151">
        <f>W214</f>
        <v>0.36999999999999994</v>
      </c>
      <c r="W214" s="151">
        <f>X214</f>
        <v>0.36999999999999994</v>
      </c>
      <c r="X214" s="158">
        <f>SUM(X215:X217)</f>
        <v>0.36999999999999994</v>
      </c>
      <c r="Y214" s="151">
        <f>Z214</f>
        <v>0.30999999999999994</v>
      </c>
      <c r="Z214" s="151">
        <f>AA214</f>
        <v>0.30999999999999994</v>
      </c>
      <c r="AA214" s="151">
        <f>AB214</f>
        <v>0.30999999999999994</v>
      </c>
      <c r="AB214" s="151">
        <f>AC214</f>
        <v>0.30999999999999994</v>
      </c>
      <c r="AC214" s="158">
        <f>SUM(AC215:AC217)</f>
        <v>0.30999999999999994</v>
      </c>
      <c r="AD214" s="151">
        <f>AE214</f>
        <v>0.33999999999999997</v>
      </c>
      <c r="AE214" s="151">
        <f>AF214</f>
        <v>0.33999999999999997</v>
      </c>
      <c r="AF214" s="151">
        <f>AG214</f>
        <v>0.33999999999999997</v>
      </c>
      <c r="AG214" s="151">
        <f>AH214</f>
        <v>0.33999999999999997</v>
      </c>
      <c r="AH214" s="158">
        <f>SUM(AH215:AH217)</f>
        <v>0.33999999999999997</v>
      </c>
      <c r="AI214" s="151">
        <f>AJ214</f>
        <v>0.19999999999999998</v>
      </c>
      <c r="AJ214" s="151">
        <f>AK214</f>
        <v>0.19999999999999998</v>
      </c>
      <c r="AK214" s="151">
        <f>AL214</f>
        <v>0.19999999999999998</v>
      </c>
      <c r="AL214" s="151">
        <f>AM214</f>
        <v>0.19999999999999998</v>
      </c>
      <c r="AM214" s="158">
        <f>SUM(AM215:AM217)</f>
        <v>0.19999999999999998</v>
      </c>
      <c r="AN214" s="151">
        <f>AO214</f>
        <v>0.38</v>
      </c>
      <c r="AO214" s="151">
        <f>AP214</f>
        <v>0.38</v>
      </c>
      <c r="AP214" s="151">
        <f>AQ214</f>
        <v>0.38</v>
      </c>
      <c r="AQ214" s="151">
        <f>AR214</f>
        <v>0.38</v>
      </c>
      <c r="AR214" s="158">
        <f>SUM(AR215:AR217)</f>
        <v>0.38</v>
      </c>
      <c r="AS214" s="151">
        <f>AT214</f>
        <v>0.40499999999999997</v>
      </c>
      <c r="AT214" s="151">
        <f>AU214</f>
        <v>0.40499999999999997</v>
      </c>
      <c r="AU214" s="151">
        <f>AV214</f>
        <v>0.40499999999999997</v>
      </c>
      <c r="AV214" s="151">
        <f>AW214</f>
        <v>0.40499999999999997</v>
      </c>
      <c r="AW214" s="158">
        <f>SUM(AW215:AW217)</f>
        <v>0.40499999999999997</v>
      </c>
      <c r="AX214" s="151">
        <f>AY214</f>
        <v>0.36399999999999999</v>
      </c>
      <c r="AY214" s="151">
        <f>AZ214</f>
        <v>0.36399999999999999</v>
      </c>
      <c r="AZ214" s="151">
        <f>BA214</f>
        <v>0.36399999999999999</v>
      </c>
      <c r="BA214" s="151">
        <f>BB214</f>
        <v>0.36399999999999999</v>
      </c>
      <c r="BB214" s="158">
        <f>SUM(BB215:BB217)</f>
        <v>0.36399999999999999</v>
      </c>
      <c r="BC214" s="151">
        <f>BD214</f>
        <v>0.32299999999999995</v>
      </c>
      <c r="BD214" s="151">
        <f>BE214</f>
        <v>0.32299999999999995</v>
      </c>
      <c r="BE214" s="151">
        <f>BF214</f>
        <v>0.32299999999999995</v>
      </c>
      <c r="BF214" s="151">
        <f>BG214</f>
        <v>0.32299999999999995</v>
      </c>
      <c r="BG214" s="158">
        <f>SUM(BG215:BG217)</f>
        <v>0.32299999999999995</v>
      </c>
      <c r="BH214" s="151">
        <f>BI214</f>
        <v>0.36399999999999999</v>
      </c>
      <c r="BI214" s="151">
        <f>BJ214</f>
        <v>0.36399999999999999</v>
      </c>
      <c r="BJ214" s="151">
        <f>BK214</f>
        <v>0.36399999999999999</v>
      </c>
      <c r="BK214" s="151">
        <f>BL214</f>
        <v>0.36399999999999999</v>
      </c>
      <c r="BL214" s="158">
        <f>SUM(BL215:BL217)</f>
        <v>0.36399999999999999</v>
      </c>
      <c r="BM214" s="151">
        <f>BN214</f>
        <v>0.34599999999999997</v>
      </c>
      <c r="BN214" s="151">
        <f>BO214</f>
        <v>0.34599999999999997</v>
      </c>
      <c r="BO214" s="151">
        <f>BP214</f>
        <v>0.34599999999999997</v>
      </c>
      <c r="BP214" s="151">
        <f>BQ214</f>
        <v>0.34599999999999997</v>
      </c>
      <c r="BQ214" s="158">
        <f>SUM(BQ215:BQ217)</f>
        <v>0.34599999999999997</v>
      </c>
      <c r="BR214" s="151">
        <f>BS214</f>
        <v>0.33599999999999997</v>
      </c>
      <c r="BS214" s="151">
        <f>BT214</f>
        <v>0.33599999999999997</v>
      </c>
      <c r="BT214" s="151">
        <f>BU214</f>
        <v>0.33599999999999997</v>
      </c>
      <c r="BU214" s="151">
        <f>BV214</f>
        <v>0.33599999999999997</v>
      </c>
      <c r="BV214" s="158">
        <f>SUM(BV215:BV217)</f>
        <v>0.33599999999999997</v>
      </c>
      <c r="BW214" s="151">
        <f>BX214</f>
        <v>0.37899999999999995</v>
      </c>
      <c r="BX214" s="151">
        <f>BY214</f>
        <v>0.37899999999999995</v>
      </c>
      <c r="BY214" s="151">
        <f>BZ214</f>
        <v>0.37899999999999995</v>
      </c>
      <c r="BZ214" s="151">
        <f>CA214</f>
        <v>0.37899999999999995</v>
      </c>
      <c r="CA214" s="158">
        <f>SUM(CA215:CA217)</f>
        <v>0.37899999999999995</v>
      </c>
      <c r="CB214" s="151">
        <f>CC214</f>
        <v>0.38100000000000001</v>
      </c>
      <c r="CC214" s="151">
        <f>CD214</f>
        <v>0.38100000000000001</v>
      </c>
      <c r="CD214" s="151">
        <f>CE214</f>
        <v>0.38100000000000001</v>
      </c>
      <c r="CE214" s="151">
        <f>CF214</f>
        <v>0.38100000000000001</v>
      </c>
      <c r="CF214" s="158">
        <f>SUM(CF215:CF217)</f>
        <v>0.38100000000000001</v>
      </c>
      <c r="CG214" s="151">
        <f>CH214</f>
        <v>0.33999999999999997</v>
      </c>
      <c r="CH214" s="151">
        <f>CI214</f>
        <v>0.33999999999999997</v>
      </c>
      <c r="CI214" s="151">
        <f>CJ214</f>
        <v>0.33999999999999997</v>
      </c>
      <c r="CJ214" s="151">
        <f>CK214</f>
        <v>0.33999999999999997</v>
      </c>
      <c r="CK214" s="158">
        <f>SUM(CK215:CK217)</f>
        <v>0.33999999999999997</v>
      </c>
      <c r="CL214" s="151">
        <f>CM214</f>
        <v>0.36299999999999999</v>
      </c>
      <c r="CM214" s="151">
        <f>CN214</f>
        <v>0.36299999999999999</v>
      </c>
      <c r="CN214" s="151">
        <f>CO214</f>
        <v>0.36299999999999999</v>
      </c>
      <c r="CO214" s="151">
        <f>CP214</f>
        <v>0.36299999999999999</v>
      </c>
      <c r="CP214" s="158">
        <f>SUM(CP215:CP217)</f>
        <v>0.36299999999999999</v>
      </c>
      <c r="CQ214" s="333">
        <f>CU214</f>
        <v>0.36299999999999999</v>
      </c>
      <c r="CR214" s="333">
        <f>CU214</f>
        <v>0.36299999999999999</v>
      </c>
      <c r="CS214" s="333">
        <f>CU214</f>
        <v>0.36299999999999999</v>
      </c>
      <c r="CT214" s="333">
        <f>CU214</f>
        <v>0.36299999999999999</v>
      </c>
      <c r="CU214" s="335">
        <f>CP214</f>
        <v>0.36299999999999999</v>
      </c>
      <c r="CV214" s="333">
        <f>CZ214</f>
        <v>0.36299999999999999</v>
      </c>
      <c r="CW214" s="333">
        <f>CZ214</f>
        <v>0.36299999999999999</v>
      </c>
      <c r="CX214" s="333">
        <f>CZ214</f>
        <v>0.36299999999999999</v>
      </c>
      <c r="CY214" s="333">
        <f>CZ214</f>
        <v>0.36299999999999999</v>
      </c>
      <c r="CZ214" s="335">
        <f>CU214</f>
        <v>0.36299999999999999</v>
      </c>
      <c r="DA214" s="335">
        <f>CZ214</f>
        <v>0.36299999999999999</v>
      </c>
      <c r="DB214" s="335">
        <f>DA214</f>
        <v>0.36299999999999999</v>
      </c>
      <c r="DC214" s="335">
        <f>DB214</f>
        <v>0.36299999999999999</v>
      </c>
      <c r="DD214" s="2"/>
      <c r="DE214" s="2"/>
      <c r="DF214" s="158">
        <f t="shared" ref="DF214:DF220" si="361">CT214</f>
        <v>0.36299999999999999</v>
      </c>
      <c r="DG214" s="158">
        <v>0.36299999999999999</v>
      </c>
      <c r="DH214" s="158">
        <f t="shared" ref="DH214:DH220" si="362">CO214</f>
        <v>0.36299999999999999</v>
      </c>
      <c r="DI214" s="458">
        <f t="shared" ref="DI214:DI220" si="363">IF(ISERROR(DF214/DG214-1),"NM",DF214/DG214-1)</f>
        <v>0</v>
      </c>
      <c r="DJ214" s="458">
        <f t="shared" ref="DJ214:DJ220" si="364">IF(ISERROR(DF214/DH214-1),"NM",DF214/DH214-1)</f>
        <v>0</v>
      </c>
      <c r="DK214" s="2"/>
      <c r="DL214" s="2"/>
      <c r="DM214" s="2"/>
    </row>
    <row r="215" spans="1:117" ht="12" customHeight="1" outlineLevel="1">
      <c r="A215" s="1109">
        <f t="shared" si="360"/>
        <v>202</v>
      </c>
      <c r="B215" s="10"/>
      <c r="C215" s="334" t="s">
        <v>766</v>
      </c>
      <c r="D215" s="2"/>
      <c r="E215" s="158">
        <v>0.35</v>
      </c>
      <c r="F215" s="158">
        <v>0.35</v>
      </c>
      <c r="G215" s="158">
        <v>0.35</v>
      </c>
      <c r="H215" s="158">
        <v>0.35</v>
      </c>
      <c r="I215" s="158">
        <v>0.35</v>
      </c>
      <c r="J215" s="333">
        <f>N215</f>
        <v>0.35</v>
      </c>
      <c r="K215" s="333">
        <f>N215</f>
        <v>0.35</v>
      </c>
      <c r="L215" s="333">
        <f>N215</f>
        <v>0.35</v>
      </c>
      <c r="M215" s="333">
        <f>N215</f>
        <v>0.35</v>
      </c>
      <c r="N215" s="158">
        <v>0.35</v>
      </c>
      <c r="O215" s="333">
        <f>S215</f>
        <v>0.35</v>
      </c>
      <c r="P215" s="333">
        <f>S215</f>
        <v>0.35</v>
      </c>
      <c r="Q215" s="333">
        <f>S215</f>
        <v>0.35</v>
      </c>
      <c r="R215" s="333">
        <f>S215</f>
        <v>0.35</v>
      </c>
      <c r="S215" s="158">
        <v>0.35</v>
      </c>
      <c r="T215" s="333">
        <f>X215</f>
        <v>0.35</v>
      </c>
      <c r="U215" s="333">
        <f>X215</f>
        <v>0.35</v>
      </c>
      <c r="V215" s="333">
        <f>X215</f>
        <v>0.35</v>
      </c>
      <c r="W215" s="333">
        <f>X215</f>
        <v>0.35</v>
      </c>
      <c r="X215" s="158">
        <v>0.35</v>
      </c>
      <c r="Y215" s="333">
        <f>AC215</f>
        <v>0.35</v>
      </c>
      <c r="Z215" s="333">
        <f>AC215</f>
        <v>0.35</v>
      </c>
      <c r="AA215" s="333">
        <f>AC215</f>
        <v>0.35</v>
      </c>
      <c r="AB215" s="333">
        <f>AC215</f>
        <v>0.35</v>
      </c>
      <c r="AC215" s="158">
        <v>0.35</v>
      </c>
      <c r="AD215" s="333">
        <f>AH215</f>
        <v>0.35</v>
      </c>
      <c r="AE215" s="333">
        <f>AH215</f>
        <v>0.35</v>
      </c>
      <c r="AF215" s="333">
        <f>AH215</f>
        <v>0.35</v>
      </c>
      <c r="AG215" s="333">
        <f>AH215</f>
        <v>0.35</v>
      </c>
      <c r="AH215" s="158">
        <v>0.35</v>
      </c>
      <c r="AI215" s="333">
        <f>AM215</f>
        <v>0.35</v>
      </c>
      <c r="AJ215" s="333">
        <f>AM215</f>
        <v>0.35</v>
      </c>
      <c r="AK215" s="333">
        <f>AM215</f>
        <v>0.35</v>
      </c>
      <c r="AL215" s="333">
        <f>AM215</f>
        <v>0.35</v>
      </c>
      <c r="AM215" s="158">
        <v>0.35</v>
      </c>
      <c r="AN215" s="333">
        <f>AR215</f>
        <v>0.35</v>
      </c>
      <c r="AO215" s="333">
        <f>AR215</f>
        <v>0.35</v>
      </c>
      <c r="AP215" s="333">
        <f>AR215</f>
        <v>0.35</v>
      </c>
      <c r="AQ215" s="333">
        <f>AR215</f>
        <v>0.35</v>
      </c>
      <c r="AR215" s="158">
        <v>0.35</v>
      </c>
      <c r="AS215" s="333">
        <f>AW215</f>
        <v>0.35</v>
      </c>
      <c r="AT215" s="333">
        <f>AW215</f>
        <v>0.35</v>
      </c>
      <c r="AU215" s="333">
        <f>AW215</f>
        <v>0.35</v>
      </c>
      <c r="AV215" s="333">
        <f>AW215</f>
        <v>0.35</v>
      </c>
      <c r="AW215" s="158">
        <v>0.35</v>
      </c>
      <c r="AX215" s="333">
        <f>BB215</f>
        <v>0.35</v>
      </c>
      <c r="AY215" s="333">
        <f>BB215</f>
        <v>0.35</v>
      </c>
      <c r="AZ215" s="333">
        <f>BB215</f>
        <v>0.35</v>
      </c>
      <c r="BA215" s="333">
        <f>BB215</f>
        <v>0.35</v>
      </c>
      <c r="BB215" s="158">
        <v>0.35</v>
      </c>
      <c r="BC215" s="333">
        <f>BG215</f>
        <v>0.35</v>
      </c>
      <c r="BD215" s="333">
        <f>BG215</f>
        <v>0.35</v>
      </c>
      <c r="BE215" s="333">
        <f>BG215</f>
        <v>0.35</v>
      </c>
      <c r="BF215" s="333">
        <f>BG215</f>
        <v>0.35</v>
      </c>
      <c r="BG215" s="158">
        <v>0.35</v>
      </c>
      <c r="BH215" s="333">
        <f>BL215</f>
        <v>0.35</v>
      </c>
      <c r="BI215" s="333">
        <f>BL215</f>
        <v>0.35</v>
      </c>
      <c r="BJ215" s="333">
        <f>BL215</f>
        <v>0.35</v>
      </c>
      <c r="BK215" s="333">
        <f>BL215</f>
        <v>0.35</v>
      </c>
      <c r="BL215" s="158">
        <v>0.35</v>
      </c>
      <c r="BM215" s="333">
        <f>BQ215</f>
        <v>0.35</v>
      </c>
      <c r="BN215" s="333">
        <f>BQ215</f>
        <v>0.35</v>
      </c>
      <c r="BO215" s="333">
        <f>BQ215</f>
        <v>0.35</v>
      </c>
      <c r="BP215" s="333">
        <f>BQ215</f>
        <v>0.35</v>
      </c>
      <c r="BQ215" s="158">
        <v>0.35</v>
      </c>
      <c r="BR215" s="333">
        <f>BV215</f>
        <v>0.35</v>
      </c>
      <c r="BS215" s="333">
        <f>BV215</f>
        <v>0.35</v>
      </c>
      <c r="BT215" s="333">
        <f>BV215</f>
        <v>0.35</v>
      </c>
      <c r="BU215" s="333">
        <f>BV215</f>
        <v>0.35</v>
      </c>
      <c r="BV215" s="158">
        <v>0.35</v>
      </c>
      <c r="BW215" s="333">
        <f>CA215</f>
        <v>0.35</v>
      </c>
      <c r="BX215" s="333">
        <f>CA215</f>
        <v>0.35</v>
      </c>
      <c r="BY215" s="333">
        <f>CA215</f>
        <v>0.35</v>
      </c>
      <c r="BZ215" s="333">
        <f>CA215</f>
        <v>0.35</v>
      </c>
      <c r="CA215" s="158">
        <v>0.35</v>
      </c>
      <c r="CB215" s="333">
        <f>CF215</f>
        <v>0.35</v>
      </c>
      <c r="CC215" s="333">
        <f>CF215</f>
        <v>0.35</v>
      </c>
      <c r="CD215" s="333">
        <f>CF215</f>
        <v>0.35</v>
      </c>
      <c r="CE215" s="333">
        <f>CF215</f>
        <v>0.35</v>
      </c>
      <c r="CF215" s="158">
        <v>0.35</v>
      </c>
      <c r="CG215" s="333">
        <f>CK215</f>
        <v>0.35</v>
      </c>
      <c r="CH215" s="333">
        <f>CK215</f>
        <v>0.35</v>
      </c>
      <c r="CI215" s="333">
        <f>CK215</f>
        <v>0.35</v>
      </c>
      <c r="CJ215" s="333">
        <f>CK215</f>
        <v>0.35</v>
      </c>
      <c r="CK215" s="158">
        <v>0.35</v>
      </c>
      <c r="CL215" s="333">
        <f>CP215</f>
        <v>0.35</v>
      </c>
      <c r="CM215" s="333">
        <f>CP215</f>
        <v>0.35</v>
      </c>
      <c r="CN215" s="333">
        <f>CP215</f>
        <v>0.35</v>
      </c>
      <c r="CO215" s="333">
        <f>CP215</f>
        <v>0.35</v>
      </c>
      <c r="CP215" s="158">
        <v>0.35</v>
      </c>
      <c r="CQ215" s="333">
        <f>CU215</f>
        <v>0.35</v>
      </c>
      <c r="CR215" s="333">
        <f>CU215</f>
        <v>0.35</v>
      </c>
      <c r="CS215" s="333">
        <f>CU215</f>
        <v>0.35</v>
      </c>
      <c r="CT215" s="333">
        <f>CU215</f>
        <v>0.35</v>
      </c>
      <c r="CU215" s="335">
        <f>CP215</f>
        <v>0.35</v>
      </c>
      <c r="CV215" s="333">
        <f>CZ215</f>
        <v>0.35</v>
      </c>
      <c r="CW215" s="333">
        <f>CZ215</f>
        <v>0.35</v>
      </c>
      <c r="CX215" s="333">
        <f>CZ215</f>
        <v>0.35</v>
      </c>
      <c r="CY215" s="333">
        <f>CZ215</f>
        <v>0.35</v>
      </c>
      <c r="CZ215" s="335">
        <f>CU215</f>
        <v>0.35</v>
      </c>
      <c r="DA215" s="335">
        <f t="shared" ref="DA215:DB217" si="365">CZ215</f>
        <v>0.35</v>
      </c>
      <c r="DB215" s="335">
        <f t="shared" si="365"/>
        <v>0.35</v>
      </c>
      <c r="DC215" s="335">
        <f>DB215</f>
        <v>0.35</v>
      </c>
      <c r="DD215" s="2"/>
      <c r="DE215" s="2"/>
      <c r="DF215" s="158">
        <f t="shared" si="361"/>
        <v>0.35</v>
      </c>
      <c r="DG215" s="158">
        <v>0.35</v>
      </c>
      <c r="DH215" s="158">
        <f t="shared" si="362"/>
        <v>0.35</v>
      </c>
      <c r="DI215" s="458">
        <f t="shared" si="363"/>
        <v>0</v>
      </c>
      <c r="DJ215" s="458">
        <f t="shared" si="364"/>
        <v>0</v>
      </c>
      <c r="DK215" s="2"/>
      <c r="DL215" s="2"/>
      <c r="DM215" s="2"/>
    </row>
    <row r="216" spans="1:117" ht="12" customHeight="1" outlineLevel="1">
      <c r="A216" s="1109">
        <f t="shared" si="360"/>
        <v>203</v>
      </c>
      <c r="B216" s="10"/>
      <c r="C216" s="334" t="s">
        <v>767</v>
      </c>
      <c r="D216" s="2"/>
      <c r="E216" s="158">
        <v>0</v>
      </c>
      <c r="F216" s="158">
        <v>0</v>
      </c>
      <c r="G216" s="158">
        <v>0</v>
      </c>
      <c r="H216" s="158">
        <v>0</v>
      </c>
      <c r="I216" s="158">
        <v>-0.02</v>
      </c>
      <c r="J216" s="333">
        <f>N216</f>
        <v>-0.02</v>
      </c>
      <c r="K216" s="333">
        <f>N216</f>
        <v>-0.02</v>
      </c>
      <c r="L216" s="333">
        <f>N216</f>
        <v>-0.02</v>
      </c>
      <c r="M216" s="333">
        <f>N216</f>
        <v>-0.02</v>
      </c>
      <c r="N216" s="158">
        <v>-0.02</v>
      </c>
      <c r="O216" s="333">
        <f>S216</f>
        <v>-0.02</v>
      </c>
      <c r="P216" s="333">
        <f>S216</f>
        <v>-0.02</v>
      </c>
      <c r="Q216" s="333">
        <f>S216</f>
        <v>-0.02</v>
      </c>
      <c r="R216" s="333">
        <f>S216</f>
        <v>-0.02</v>
      </c>
      <c r="S216" s="158">
        <v>-0.02</v>
      </c>
      <c r="T216" s="333">
        <f>X216</f>
        <v>-0.03</v>
      </c>
      <c r="U216" s="333">
        <f>X216</f>
        <v>-0.03</v>
      </c>
      <c r="V216" s="333">
        <f>X216</f>
        <v>-0.03</v>
      </c>
      <c r="W216" s="333">
        <f>X216</f>
        <v>-0.03</v>
      </c>
      <c r="X216" s="158">
        <v>-0.03</v>
      </c>
      <c r="Y216" s="333">
        <f>AC216</f>
        <v>-0.02</v>
      </c>
      <c r="Z216" s="333">
        <f>AC216</f>
        <v>-0.02</v>
      </c>
      <c r="AA216" s="333">
        <f>AC216</f>
        <v>-0.02</v>
      </c>
      <c r="AB216" s="333">
        <f>AC216</f>
        <v>-0.02</v>
      </c>
      <c r="AC216" s="158">
        <v>-0.02</v>
      </c>
      <c r="AD216" s="333">
        <f>AH216</f>
        <v>-0.02</v>
      </c>
      <c r="AE216" s="333">
        <f>AH216</f>
        <v>-0.02</v>
      </c>
      <c r="AF216" s="333">
        <f>AH216</f>
        <v>-0.02</v>
      </c>
      <c r="AG216" s="333">
        <f>AH216</f>
        <v>-0.02</v>
      </c>
      <c r="AH216" s="158">
        <v>-0.02</v>
      </c>
      <c r="AI216" s="333">
        <f>AM216</f>
        <v>-0.11</v>
      </c>
      <c r="AJ216" s="333">
        <f>AM216</f>
        <v>-0.11</v>
      </c>
      <c r="AK216" s="333">
        <f>AM216</f>
        <v>-0.11</v>
      </c>
      <c r="AL216" s="333">
        <f>AM216</f>
        <v>-0.11</v>
      </c>
      <c r="AM216" s="158">
        <v>-0.11</v>
      </c>
      <c r="AN216" s="333">
        <f>AR216</f>
        <v>0.01</v>
      </c>
      <c r="AO216" s="333">
        <f>AR216</f>
        <v>0.01</v>
      </c>
      <c r="AP216" s="333">
        <f>AR216</f>
        <v>0.01</v>
      </c>
      <c r="AQ216" s="333">
        <f>AR216</f>
        <v>0.01</v>
      </c>
      <c r="AR216" s="158">
        <v>0.01</v>
      </c>
      <c r="AS216" s="333">
        <f>AW216</f>
        <v>1.2999999999999999E-2</v>
      </c>
      <c r="AT216" s="333">
        <f>AW216</f>
        <v>1.2999999999999999E-2</v>
      </c>
      <c r="AU216" s="333">
        <f>AW216</f>
        <v>1.2999999999999999E-2</v>
      </c>
      <c r="AV216" s="333">
        <f>AW216</f>
        <v>1.2999999999999999E-2</v>
      </c>
      <c r="AW216" s="158">
        <v>1.2999999999999999E-2</v>
      </c>
      <c r="AX216" s="333">
        <f>BB216</f>
        <v>1.2E-2</v>
      </c>
      <c r="AY216" s="333">
        <f>BB216</f>
        <v>1.2E-2</v>
      </c>
      <c r="AZ216" s="333">
        <f>BB216</f>
        <v>1.2E-2</v>
      </c>
      <c r="BA216" s="333">
        <f>BB216</f>
        <v>1.2E-2</v>
      </c>
      <c r="BB216" s="158">
        <v>1.2E-2</v>
      </c>
      <c r="BC216" s="333">
        <f>BG216</f>
        <v>-8.0000000000000002E-3</v>
      </c>
      <c r="BD216" s="333">
        <f>BG216</f>
        <v>-8.0000000000000002E-3</v>
      </c>
      <c r="BE216" s="333">
        <f>BG216</f>
        <v>-8.0000000000000002E-3</v>
      </c>
      <c r="BF216" s="333">
        <f>BG216</f>
        <v>-8.0000000000000002E-3</v>
      </c>
      <c r="BG216" s="158">
        <v>-8.0000000000000002E-3</v>
      </c>
      <c r="BH216" s="333">
        <f>BL216</f>
        <v>-1E-3</v>
      </c>
      <c r="BI216" s="333">
        <f>BL216</f>
        <v>-1E-3</v>
      </c>
      <c r="BJ216" s="333">
        <f>BL216</f>
        <v>-1E-3</v>
      </c>
      <c r="BK216" s="333">
        <f>BL216</f>
        <v>-1E-3</v>
      </c>
      <c r="BL216" s="158">
        <v>-1E-3</v>
      </c>
      <c r="BM216" s="333">
        <f>BQ216</f>
        <v>-1.4999999999999999E-2</v>
      </c>
      <c r="BN216" s="333">
        <f>BQ216</f>
        <v>-1.4999999999999999E-2</v>
      </c>
      <c r="BO216" s="333">
        <f>BQ216</f>
        <v>-1.4999999999999999E-2</v>
      </c>
      <c r="BP216" s="333">
        <f>BQ216</f>
        <v>-1.4999999999999999E-2</v>
      </c>
      <c r="BQ216" s="158">
        <v>-1.4999999999999999E-2</v>
      </c>
      <c r="BR216" s="333">
        <f>BV216</f>
        <v>-1.6E-2</v>
      </c>
      <c r="BS216" s="333">
        <f>BV216</f>
        <v>-1.6E-2</v>
      </c>
      <c r="BT216" s="333">
        <f>BV216</f>
        <v>-1.6E-2</v>
      </c>
      <c r="BU216" s="333">
        <f>BV216</f>
        <v>-1.6E-2</v>
      </c>
      <c r="BV216" s="158">
        <v>-1.6E-2</v>
      </c>
      <c r="BW216" s="333">
        <f>CA216</f>
        <v>-2.3E-2</v>
      </c>
      <c r="BX216" s="333">
        <f>CA216</f>
        <v>-2.3E-2</v>
      </c>
      <c r="BY216" s="333">
        <f>CA216</f>
        <v>-2.3E-2</v>
      </c>
      <c r="BZ216" s="333">
        <f>CA216</f>
        <v>-2.3E-2</v>
      </c>
      <c r="CA216" s="158">
        <v>-2.3E-2</v>
      </c>
      <c r="CB216" s="333">
        <f>CF216</f>
        <v>-5.1999999999999998E-2</v>
      </c>
      <c r="CC216" s="333">
        <f>CF216</f>
        <v>-5.1999999999999998E-2</v>
      </c>
      <c r="CD216" s="333">
        <f>CF216</f>
        <v>-5.1999999999999998E-2</v>
      </c>
      <c r="CE216" s="333">
        <f>CF216</f>
        <v>-5.1999999999999998E-2</v>
      </c>
      <c r="CF216" s="158">
        <v>-5.1999999999999998E-2</v>
      </c>
      <c r="CG216" s="333">
        <f>CK216</f>
        <v>-2.7E-2</v>
      </c>
      <c r="CH216" s="333">
        <f>CK216</f>
        <v>-2.7E-2</v>
      </c>
      <c r="CI216" s="333">
        <f>CK216</f>
        <v>-2.7E-2</v>
      </c>
      <c r="CJ216" s="333">
        <f>CK216</f>
        <v>-2.7E-2</v>
      </c>
      <c r="CK216" s="158">
        <v>-2.7E-2</v>
      </c>
      <c r="CL216" s="333">
        <f>CP216</f>
        <v>-0.01</v>
      </c>
      <c r="CM216" s="333">
        <f>CP216</f>
        <v>-0.01</v>
      </c>
      <c r="CN216" s="333">
        <f>CP216</f>
        <v>-0.01</v>
      </c>
      <c r="CO216" s="333">
        <f>CP216</f>
        <v>-0.01</v>
      </c>
      <c r="CP216" s="158">
        <v>-0.01</v>
      </c>
      <c r="CQ216" s="333">
        <f>CU216</f>
        <v>-0.01</v>
      </c>
      <c r="CR216" s="333">
        <f>CU216</f>
        <v>-0.01</v>
      </c>
      <c r="CS216" s="333">
        <f>CU216</f>
        <v>-0.01</v>
      </c>
      <c r="CT216" s="333">
        <f>CU216</f>
        <v>-0.01</v>
      </c>
      <c r="CU216" s="335">
        <f>CP216</f>
        <v>-0.01</v>
      </c>
      <c r="CV216" s="333">
        <f>CZ216</f>
        <v>-0.01</v>
      </c>
      <c r="CW216" s="333">
        <f>CZ216</f>
        <v>-0.01</v>
      </c>
      <c r="CX216" s="333">
        <f>CZ216</f>
        <v>-0.01</v>
      </c>
      <c r="CY216" s="333">
        <f>CZ216</f>
        <v>-0.01</v>
      </c>
      <c r="CZ216" s="335">
        <f>CU216</f>
        <v>-0.01</v>
      </c>
      <c r="DA216" s="335">
        <f t="shared" si="365"/>
        <v>-0.01</v>
      </c>
      <c r="DB216" s="335">
        <f t="shared" si="365"/>
        <v>-0.01</v>
      </c>
      <c r="DC216" s="335">
        <f>DB216</f>
        <v>-0.01</v>
      </c>
      <c r="DD216" s="2"/>
      <c r="DE216" s="2"/>
      <c r="DF216" s="158">
        <f t="shared" si="361"/>
        <v>-0.01</v>
      </c>
      <c r="DG216" s="158">
        <v>-0.01</v>
      </c>
      <c r="DH216" s="158">
        <f t="shared" si="362"/>
        <v>-0.01</v>
      </c>
      <c r="DI216" s="458">
        <f t="shared" si="363"/>
        <v>0</v>
      </c>
      <c r="DJ216" s="458">
        <f t="shared" si="364"/>
        <v>0</v>
      </c>
      <c r="DK216" s="2"/>
      <c r="DL216" s="2"/>
      <c r="DM216" s="2"/>
    </row>
    <row r="217" spans="1:117" ht="12" customHeight="1" outlineLevel="1">
      <c r="A217" s="1109">
        <f t="shared" si="360"/>
        <v>204</v>
      </c>
      <c r="B217" s="10"/>
      <c r="C217" s="334" t="s">
        <v>768</v>
      </c>
      <c r="D217" s="2"/>
      <c r="E217" s="158">
        <v>0</v>
      </c>
      <c r="F217" s="158">
        <v>0</v>
      </c>
      <c r="G217" s="158">
        <v>0.01</v>
      </c>
      <c r="H217" s="158">
        <v>0.01</v>
      </c>
      <c r="I217" s="158">
        <v>0.02</v>
      </c>
      <c r="J217" s="333">
        <f>N217</f>
        <v>0.03</v>
      </c>
      <c r="K217" s="333">
        <f>N217</f>
        <v>0.03</v>
      </c>
      <c r="L217" s="333">
        <f>N217</f>
        <v>0.03</v>
      </c>
      <c r="M217" s="333">
        <f>N217</f>
        <v>0.03</v>
      </c>
      <c r="N217" s="158">
        <v>0.03</v>
      </c>
      <c r="O217" s="333">
        <f>S217</f>
        <v>0.01</v>
      </c>
      <c r="P217" s="333">
        <f>S217</f>
        <v>0.01</v>
      </c>
      <c r="Q217" s="333">
        <f>S217</f>
        <v>0.01</v>
      </c>
      <c r="R217" s="333">
        <f>S217</f>
        <v>0.01</v>
      </c>
      <c r="S217" s="158">
        <v>0.01</v>
      </c>
      <c r="T217" s="333">
        <f>X217</f>
        <v>0.05</v>
      </c>
      <c r="U217" s="333">
        <f>X217</f>
        <v>0.05</v>
      </c>
      <c r="V217" s="333">
        <f>X217</f>
        <v>0.05</v>
      </c>
      <c r="W217" s="333">
        <f>X217</f>
        <v>0.05</v>
      </c>
      <c r="X217" s="158">
        <v>0.05</v>
      </c>
      <c r="Y217" s="333">
        <f>AC217</f>
        <v>-0.02</v>
      </c>
      <c r="Z217" s="333">
        <f>AC217</f>
        <v>-0.02</v>
      </c>
      <c r="AA217" s="333">
        <f>AC217</f>
        <v>-0.02</v>
      </c>
      <c r="AB217" s="333">
        <f>AC217</f>
        <v>-0.02</v>
      </c>
      <c r="AC217" s="158">
        <v>-0.02</v>
      </c>
      <c r="AD217" s="333">
        <f>AH217</f>
        <v>0.01</v>
      </c>
      <c r="AE217" s="333">
        <f>AH217</f>
        <v>0.01</v>
      </c>
      <c r="AF217" s="333">
        <f>AH217</f>
        <v>0.01</v>
      </c>
      <c r="AG217" s="333">
        <f>AH217</f>
        <v>0.01</v>
      </c>
      <c r="AH217" s="158">
        <v>0.01</v>
      </c>
      <c r="AI217" s="333">
        <f>AM217</f>
        <v>-0.04</v>
      </c>
      <c r="AJ217" s="333">
        <f>AM217</f>
        <v>-0.04</v>
      </c>
      <c r="AK217" s="333">
        <f>AM217</f>
        <v>-0.04</v>
      </c>
      <c r="AL217" s="333">
        <f>AM217</f>
        <v>-0.04</v>
      </c>
      <c r="AM217" s="158">
        <v>-0.04</v>
      </c>
      <c r="AN217" s="333">
        <f>AR217</f>
        <v>0.02</v>
      </c>
      <c r="AO217" s="333">
        <f>AR217</f>
        <v>0.02</v>
      </c>
      <c r="AP217" s="333">
        <f>AR217</f>
        <v>0.02</v>
      </c>
      <c r="AQ217" s="333">
        <f>AR217</f>
        <v>0.02</v>
      </c>
      <c r="AR217" s="158">
        <v>0.02</v>
      </c>
      <c r="AS217" s="333">
        <f>AW217</f>
        <v>4.2000000000000003E-2</v>
      </c>
      <c r="AT217" s="333">
        <f>AW217</f>
        <v>4.2000000000000003E-2</v>
      </c>
      <c r="AU217" s="333">
        <f>AW217</f>
        <v>4.2000000000000003E-2</v>
      </c>
      <c r="AV217" s="333">
        <f>AW217</f>
        <v>4.2000000000000003E-2</v>
      </c>
      <c r="AW217" s="158">
        <v>4.2000000000000003E-2</v>
      </c>
      <c r="AX217" s="333">
        <f>BB217</f>
        <v>2E-3</v>
      </c>
      <c r="AY217" s="333">
        <f>BB217</f>
        <v>2E-3</v>
      </c>
      <c r="AZ217" s="333">
        <f>BB217</f>
        <v>2E-3</v>
      </c>
      <c r="BA217" s="333">
        <f>BB217</f>
        <v>2E-3</v>
      </c>
      <c r="BB217" s="158">
        <v>2E-3</v>
      </c>
      <c r="BC217" s="333">
        <f>BG217</f>
        <v>-1.9E-2</v>
      </c>
      <c r="BD217" s="333">
        <f>BG217</f>
        <v>-1.9E-2</v>
      </c>
      <c r="BE217" s="333">
        <f>BG217</f>
        <v>-1.9E-2</v>
      </c>
      <c r="BF217" s="333">
        <f>BG217</f>
        <v>-1.9E-2</v>
      </c>
      <c r="BG217" s="158">
        <v>-1.9E-2</v>
      </c>
      <c r="BH217" s="333">
        <f>BL217</f>
        <v>1.4999999999999999E-2</v>
      </c>
      <c r="BI217" s="333">
        <f>BL217</f>
        <v>1.4999999999999999E-2</v>
      </c>
      <c r="BJ217" s="333">
        <f>BL217</f>
        <v>1.4999999999999999E-2</v>
      </c>
      <c r="BK217" s="333">
        <f>BL217</f>
        <v>1.4999999999999999E-2</v>
      </c>
      <c r="BL217" s="158">
        <v>1.4999999999999999E-2</v>
      </c>
      <c r="BM217" s="333">
        <f>BQ217</f>
        <v>1.0999999999999999E-2</v>
      </c>
      <c r="BN217" s="333">
        <f>BQ217</f>
        <v>1.0999999999999999E-2</v>
      </c>
      <c r="BO217" s="333">
        <f>BQ217</f>
        <v>1.0999999999999999E-2</v>
      </c>
      <c r="BP217" s="333">
        <f>BQ217</f>
        <v>1.0999999999999999E-2</v>
      </c>
      <c r="BQ217" s="158">
        <v>1.0999999999999999E-2</v>
      </c>
      <c r="BR217" s="333">
        <f>BV217</f>
        <v>2E-3</v>
      </c>
      <c r="BS217" s="333">
        <f>BV217</f>
        <v>2E-3</v>
      </c>
      <c r="BT217" s="333">
        <f>BV217</f>
        <v>2E-3</v>
      </c>
      <c r="BU217" s="333">
        <f>BV217</f>
        <v>2E-3</v>
      </c>
      <c r="BV217" s="158">
        <v>2E-3</v>
      </c>
      <c r="BW217" s="333">
        <f>CA217</f>
        <v>5.1999999999999998E-2</v>
      </c>
      <c r="BX217" s="333">
        <f>CA217</f>
        <v>5.1999999999999998E-2</v>
      </c>
      <c r="BY217" s="333">
        <f>CA217</f>
        <v>5.1999999999999998E-2</v>
      </c>
      <c r="BZ217" s="333">
        <f>CA217</f>
        <v>5.1999999999999998E-2</v>
      </c>
      <c r="CA217" s="158">
        <v>5.1999999999999998E-2</v>
      </c>
      <c r="CB217" s="333">
        <f>CF217</f>
        <v>8.3000000000000004E-2</v>
      </c>
      <c r="CC217" s="333">
        <f>CF217</f>
        <v>8.3000000000000004E-2</v>
      </c>
      <c r="CD217" s="333">
        <f>CF217</f>
        <v>8.3000000000000004E-2</v>
      </c>
      <c r="CE217" s="333">
        <f>CF217</f>
        <v>8.3000000000000004E-2</v>
      </c>
      <c r="CF217" s="158">
        <v>8.3000000000000004E-2</v>
      </c>
      <c r="CG217" s="333">
        <f>CK217</f>
        <v>1.7000000000000001E-2</v>
      </c>
      <c r="CH217" s="333">
        <f>CK217</f>
        <v>1.7000000000000001E-2</v>
      </c>
      <c r="CI217" s="333">
        <f>CK217</f>
        <v>1.7000000000000001E-2</v>
      </c>
      <c r="CJ217" s="333">
        <f>CK217</f>
        <v>1.7000000000000001E-2</v>
      </c>
      <c r="CK217" s="158">
        <v>1.7000000000000001E-2</v>
      </c>
      <c r="CL217" s="333">
        <f>CP217</f>
        <v>2.3E-2</v>
      </c>
      <c r="CM217" s="333">
        <f>CP217</f>
        <v>2.3E-2</v>
      </c>
      <c r="CN217" s="333">
        <f>CP217</f>
        <v>2.3E-2</v>
      </c>
      <c r="CO217" s="333">
        <f>CP217</f>
        <v>2.3E-2</v>
      </c>
      <c r="CP217" s="158">
        <v>2.3E-2</v>
      </c>
      <c r="CQ217" s="333">
        <f>CU217</f>
        <v>2.3E-2</v>
      </c>
      <c r="CR217" s="333">
        <f>CU217</f>
        <v>2.3E-2</v>
      </c>
      <c r="CS217" s="333">
        <f>CU217</f>
        <v>2.3E-2</v>
      </c>
      <c r="CT217" s="333">
        <f>CU217</f>
        <v>2.3E-2</v>
      </c>
      <c r="CU217" s="335">
        <f>CP217</f>
        <v>2.3E-2</v>
      </c>
      <c r="CV217" s="333">
        <f>CZ217</f>
        <v>2.3E-2</v>
      </c>
      <c r="CW217" s="333">
        <f>CZ217</f>
        <v>2.3E-2</v>
      </c>
      <c r="CX217" s="333">
        <f>CZ217</f>
        <v>2.3E-2</v>
      </c>
      <c r="CY217" s="333">
        <f>CZ217</f>
        <v>2.3E-2</v>
      </c>
      <c r="CZ217" s="335">
        <f>CU217</f>
        <v>2.3E-2</v>
      </c>
      <c r="DA217" s="335">
        <f t="shared" si="365"/>
        <v>2.3E-2</v>
      </c>
      <c r="DB217" s="335">
        <f t="shared" si="365"/>
        <v>2.3E-2</v>
      </c>
      <c r="DC217" s="335">
        <f>DB217</f>
        <v>2.3E-2</v>
      </c>
      <c r="DD217" s="2"/>
      <c r="DE217" s="2"/>
      <c r="DF217" s="158">
        <f t="shared" si="361"/>
        <v>2.3E-2</v>
      </c>
      <c r="DG217" s="158">
        <v>2.3E-2</v>
      </c>
      <c r="DH217" s="158">
        <f t="shared" si="362"/>
        <v>2.3E-2</v>
      </c>
      <c r="DI217" s="458">
        <f t="shared" si="363"/>
        <v>0</v>
      </c>
      <c r="DJ217" s="458">
        <f t="shared" si="364"/>
        <v>0</v>
      </c>
      <c r="DK217" s="2"/>
      <c r="DL217" s="2"/>
      <c r="DM217" s="2"/>
    </row>
    <row r="218" spans="1:117" ht="12" customHeight="1" outlineLevel="1">
      <c r="A218" s="1109">
        <f t="shared" si="360"/>
        <v>205</v>
      </c>
      <c r="B218" s="10"/>
      <c r="C218" s="2" t="s">
        <v>244</v>
      </c>
      <c r="E218" s="144">
        <f>953.486149+70.852076</f>
        <v>1024.338225</v>
      </c>
      <c r="F218" s="144">
        <f>1097.956189+70.852076</f>
        <v>1168.8082649999999</v>
      </c>
      <c r="G218" s="144">
        <f>1118.857214+70.852076</f>
        <v>1189.70929</v>
      </c>
      <c r="H218" s="144">
        <f>1141.127738+70.852076</f>
        <v>1211.9798139999998</v>
      </c>
      <c r="I218" s="144">
        <f>1140.797769+70.852076</f>
        <v>1211.6498449999999</v>
      </c>
      <c r="J218" s="154">
        <f>1134.434434+70.852076</f>
        <v>1205.2865099999999</v>
      </c>
      <c r="K218" s="154">
        <f>1134.011618+70.852076</f>
        <v>1204.8636939999999</v>
      </c>
      <c r="L218" s="154">
        <f>1825.383706+70.852076</f>
        <v>1896.235782</v>
      </c>
      <c r="M218" s="161">
        <v>1206.4203869999999</v>
      </c>
      <c r="N218" s="60">
        <f>M218</f>
        <v>1206.4203869999999</v>
      </c>
      <c r="O218" s="154">
        <f>1758.725872+70.852076</f>
        <v>1829.5779479999999</v>
      </c>
      <c r="P218" s="154">
        <f>1740.944222+70.852076</f>
        <v>1811.796298</v>
      </c>
      <c r="Q218" s="154">
        <f>1740.024339+70.852076</f>
        <v>1810.876415</v>
      </c>
      <c r="R218" s="161">
        <v>1835.0508779999998</v>
      </c>
      <c r="S218" s="60">
        <f>R218</f>
        <v>1835.0508779999998</v>
      </c>
      <c r="T218" s="154">
        <f>1741.87724+70.852076</f>
        <v>1812.7293159999999</v>
      </c>
      <c r="U218" s="154">
        <f>1752.025457+70.852076</f>
        <v>1822.8775329999999</v>
      </c>
      <c r="V218" s="154">
        <f>1764.255216+70.852076</f>
        <v>1835.1072919999999</v>
      </c>
      <c r="W218" s="161">
        <v>1806.6086109999999</v>
      </c>
      <c r="X218" s="60">
        <f>W218</f>
        <v>1806.6086109999999</v>
      </c>
      <c r="Y218" s="154">
        <f>1759.483931+70.852076</f>
        <v>1830.3360069999999</v>
      </c>
      <c r="Z218" s="154">
        <f>1761.117906+70.852076</f>
        <v>1831.9699819999998</v>
      </c>
      <c r="AA218" s="154">
        <f>1760.190834+70.852076</f>
        <v>1831.0429099999999</v>
      </c>
      <c r="AB218" s="161">
        <v>1831.2194059999999</v>
      </c>
      <c r="AC218" s="60">
        <f>AB218</f>
        <v>1831.2194059999999</v>
      </c>
      <c r="AD218" s="44">
        <f>1759.991029+70.852076</f>
        <v>1830.8431049999999</v>
      </c>
      <c r="AE218" s="44">
        <f>1758.935347+70.852076</f>
        <v>1829.787423</v>
      </c>
      <c r="AF218" s="44">
        <f>1758.815803+70.852076</f>
        <v>1829.6678789999999</v>
      </c>
      <c r="AG218" s="44">
        <v>1831.3888319999999</v>
      </c>
      <c r="AH218" s="60">
        <f>AG218</f>
        <v>1831.3888319999999</v>
      </c>
      <c r="AI218" s="44">
        <f>1769.500797+70.852076</f>
        <v>1840.3528729999998</v>
      </c>
      <c r="AJ218" s="44">
        <f>1782.197918+70.852076</f>
        <v>1853.049994</v>
      </c>
      <c r="AK218" s="44">
        <f>1786.759632+70.852076</f>
        <v>1857.6117079999999</v>
      </c>
      <c r="AL218" s="44">
        <v>1830.9004759999998</v>
      </c>
      <c r="AM218" s="60">
        <f>AL218</f>
        <v>1830.9004759999998</v>
      </c>
      <c r="AN218" s="154">
        <f>1805.099381+70.852076</f>
        <v>1875.9514569999999</v>
      </c>
      <c r="AO218" s="154">
        <f>1810.158409+70.852076</f>
        <v>1881.0104849999998</v>
      </c>
      <c r="AP218" s="154">
        <f>1818.041779+70.852076</f>
        <v>1888.8938549999998</v>
      </c>
      <c r="AQ218" s="161">
        <v>1864.138469</v>
      </c>
      <c r="AR218" s="60">
        <f>AQ218</f>
        <v>1864.138469</v>
      </c>
      <c r="AS218" s="154">
        <f>1809.295575+70.852076</f>
        <v>1880.147651</v>
      </c>
      <c r="AT218" s="154">
        <f>2028.742402+70.852076</f>
        <v>2099.594478</v>
      </c>
      <c r="AU218" s="154">
        <f>2039.353485+70.852076</f>
        <v>2110.2055610000002</v>
      </c>
      <c r="AV218" s="161">
        <v>1880.6239109999999</v>
      </c>
      <c r="AW218" s="60">
        <f>AV218</f>
        <v>1880.6239109999999</v>
      </c>
      <c r="AX218" s="154">
        <f>2171.147986+70.852076</f>
        <v>2242.0000620000001</v>
      </c>
      <c r="AY218" s="154">
        <f>2190.498174+70.852076</f>
        <v>2261.35025</v>
      </c>
      <c r="AZ218" s="154">
        <f>2318.003459+70.852076</f>
        <v>2388.8555350000001</v>
      </c>
      <c r="BA218" s="161">
        <v>2207.0021300000003</v>
      </c>
      <c r="BB218" s="60">
        <f>BA218</f>
        <v>2207.0021300000003</v>
      </c>
      <c r="BC218" s="154">
        <f>2802.397653+70.852076</f>
        <v>2873.2497290000001</v>
      </c>
      <c r="BD218" s="154">
        <f>3150.437677+70.852076</f>
        <v>3221.289753</v>
      </c>
      <c r="BE218" s="154">
        <f>3236.2488+70.852076</f>
        <v>3307.100876</v>
      </c>
      <c r="BF218" s="161">
        <v>2396.3208370000002</v>
      </c>
      <c r="BG218" s="60">
        <f>BF218</f>
        <v>2396.3208370000002</v>
      </c>
      <c r="BH218" s="154">
        <f>3335.728639+70.852076</f>
        <v>3406.5807150000001</v>
      </c>
      <c r="BI218" s="154">
        <f>3368.467152+70.852076</f>
        <v>3439.3192280000003</v>
      </c>
      <c r="BJ218" s="154">
        <f>3401.803026+70.852076</f>
        <v>3472.6551020000002</v>
      </c>
      <c r="BK218" s="161">
        <v>3368.2656810000003</v>
      </c>
      <c r="BL218" s="60">
        <f>BK218</f>
        <v>3368.2656810000003</v>
      </c>
      <c r="BM218" s="44">
        <f>3727.332952+70.852076</f>
        <v>3798.1850280000003</v>
      </c>
      <c r="BN218" s="44">
        <f>3728.976657+70.852076</f>
        <v>3799.8287330000003</v>
      </c>
      <c r="BO218" s="44">
        <f>3729.24813+70.852076</f>
        <v>3800.1002060000001</v>
      </c>
      <c r="BP218" s="117">
        <v>3782.7109350000001</v>
      </c>
      <c r="BQ218" s="60">
        <f>BP218</f>
        <v>3782.7109350000001</v>
      </c>
      <c r="BR218" s="44">
        <f>3745.515422+70.852076</f>
        <v>3816.3674980000001</v>
      </c>
      <c r="BS218" s="44">
        <f>3743.134476+70.852076</f>
        <v>3813.9865520000003</v>
      </c>
      <c r="BT218" s="44">
        <f>3741.80992+70.852076</f>
        <v>3812.6619960000003</v>
      </c>
      <c r="BU218" s="117">
        <v>3800.7468410000001</v>
      </c>
      <c r="BV218" s="60">
        <f>BU218</f>
        <v>3800.7468410000001</v>
      </c>
      <c r="BW218" s="154">
        <f>3860.353986+70.852076</f>
        <v>3931.2060620000002</v>
      </c>
      <c r="BX218" s="154">
        <f>3868.815788+70.852076</f>
        <v>3939.667864</v>
      </c>
      <c r="BY218" s="154">
        <f>3873.584594+70.852076</f>
        <v>3944.43667</v>
      </c>
      <c r="BZ218" s="161">
        <v>3922.2476670000001</v>
      </c>
      <c r="CA218" s="235">
        <f>BZ218</f>
        <v>3922.2476670000001</v>
      </c>
      <c r="CB218" s="154">
        <f>3883.406273+70.852076</f>
        <v>3954.2583490000002</v>
      </c>
      <c r="CC218" s="154">
        <f>3807.606113+70.852076</f>
        <v>3878.4581889999999</v>
      </c>
      <c r="CD218" s="154">
        <f>3777.835341+70.852076</f>
        <v>3848.6874170000001</v>
      </c>
      <c r="CE218" s="161">
        <v>3943.822377</v>
      </c>
      <c r="CF218" s="235">
        <f>CE218</f>
        <v>3943.822377</v>
      </c>
      <c r="CG218" s="154">
        <f>3904.504162+70.852076</f>
        <v>3975.3562380000003</v>
      </c>
      <c r="CH218" s="154">
        <f>3896.98591+70.852076</f>
        <v>3967.837986</v>
      </c>
      <c r="CI218" s="154">
        <f>3897.778098+70.852076</f>
        <v>3968.6301740000004</v>
      </c>
      <c r="CJ218" s="161">
        <v>3969.5132550000003</v>
      </c>
      <c r="CK218" s="235">
        <f>CJ218</f>
        <v>3969.5132550000003</v>
      </c>
      <c r="CL218" s="154">
        <f>3901.983082+70.852076</f>
        <v>3972.8351580000003</v>
      </c>
      <c r="CM218" s="154">
        <f>3902.388793+70.852076</f>
        <v>3973.2408690000002</v>
      </c>
      <c r="CN218" s="154">
        <f>3902.862547+70.852076</f>
        <v>3973.7146230000003</v>
      </c>
      <c r="CO218" s="161">
        <v>3974.2971689999999</v>
      </c>
      <c r="CP218" s="235">
        <f>CO218</f>
        <v>3974.2971689999999</v>
      </c>
      <c r="CQ218" s="154">
        <f>3911.134231+70.852076</f>
        <v>3981.9863070000001</v>
      </c>
      <c r="CR218" s="44">
        <f>CQ218</f>
        <v>3981.9863070000001</v>
      </c>
      <c r="CS218" s="44">
        <f>CR218</f>
        <v>3981.9863070000001</v>
      </c>
      <c r="CT218" s="44">
        <f>CS218</f>
        <v>3981.9863070000001</v>
      </c>
      <c r="CU218" s="235">
        <f>CT218</f>
        <v>3981.9863070000001</v>
      </c>
      <c r="CV218" s="44">
        <f t="shared" ref="CV218:DC218" si="366">CU218</f>
        <v>3981.9863070000001</v>
      </c>
      <c r="CW218" s="44">
        <f t="shared" si="366"/>
        <v>3981.9863070000001</v>
      </c>
      <c r="CX218" s="44">
        <f t="shared" si="366"/>
        <v>3981.9863070000001</v>
      </c>
      <c r="CY218" s="44">
        <f t="shared" si="366"/>
        <v>3981.9863070000001</v>
      </c>
      <c r="CZ218" s="235">
        <f t="shared" si="366"/>
        <v>3981.9863070000001</v>
      </c>
      <c r="DA218" s="86">
        <f t="shared" si="366"/>
        <v>3981.9863070000001</v>
      </c>
      <c r="DB218" s="86">
        <f t="shared" si="366"/>
        <v>3981.9863070000001</v>
      </c>
      <c r="DC218" s="86">
        <f t="shared" si="366"/>
        <v>3981.9863070000001</v>
      </c>
      <c r="DD218" s="2"/>
      <c r="DE218" s="2"/>
      <c r="DF218" s="235">
        <f t="shared" si="361"/>
        <v>3981.9863070000001</v>
      </c>
      <c r="DG218" s="235">
        <v>3981.9863070000001</v>
      </c>
      <c r="DH218" s="235">
        <f t="shared" si="362"/>
        <v>3974.2971689999999</v>
      </c>
      <c r="DI218" s="454">
        <f t="shared" si="363"/>
        <v>0</v>
      </c>
      <c r="DJ218" s="454">
        <f t="shared" si="364"/>
        <v>1.9347164223089131E-3</v>
      </c>
      <c r="DK218" s="2"/>
      <c r="DL218" s="2"/>
      <c r="DM218" s="2"/>
    </row>
    <row r="219" spans="1:117" ht="12" customHeight="1" outlineLevel="1">
      <c r="A219" s="1109">
        <f t="shared" si="360"/>
        <v>206</v>
      </c>
      <c r="B219" s="10"/>
      <c r="C219" s="2" t="s">
        <v>266</v>
      </c>
      <c r="D219" s="2"/>
      <c r="E219" s="85">
        <v>0</v>
      </c>
      <c r="F219" s="85">
        <v>0</v>
      </c>
      <c r="G219" s="85">
        <v>0</v>
      </c>
      <c r="H219" s="85">
        <v>0</v>
      </c>
      <c r="I219" s="85">
        <v>0</v>
      </c>
      <c r="J219" s="16">
        <v>0</v>
      </c>
      <c r="K219" s="16">
        <v>0</v>
      </c>
      <c r="L219" s="16">
        <v>0</v>
      </c>
      <c r="M219" s="16">
        <v>0</v>
      </c>
      <c r="N219" s="85">
        <v>0</v>
      </c>
      <c r="O219" s="16">
        <v>0</v>
      </c>
      <c r="P219" s="16">
        <v>0</v>
      </c>
      <c r="Q219" s="16">
        <v>0</v>
      </c>
      <c r="R219" s="16">
        <v>0</v>
      </c>
      <c r="S219" s="85">
        <v>0</v>
      </c>
      <c r="T219" s="16">
        <v>0</v>
      </c>
      <c r="U219" s="16">
        <v>0</v>
      </c>
      <c r="V219" s="16">
        <v>0</v>
      </c>
      <c r="W219" s="16">
        <v>0</v>
      </c>
      <c r="X219" s="85">
        <v>0</v>
      </c>
      <c r="Y219" s="16">
        <v>0</v>
      </c>
      <c r="Z219" s="16">
        <v>0</v>
      </c>
      <c r="AA219" s="16">
        <v>0</v>
      </c>
      <c r="AB219" s="16">
        <v>0</v>
      </c>
      <c r="AC219" s="85">
        <v>0</v>
      </c>
      <c r="AD219" s="16">
        <v>0</v>
      </c>
      <c r="AE219" s="16">
        <v>0</v>
      </c>
      <c r="AF219" s="16">
        <v>0</v>
      </c>
      <c r="AG219" s="16">
        <v>0</v>
      </c>
      <c r="AH219" s="85">
        <v>0</v>
      </c>
      <c r="AI219" s="16">
        <v>0</v>
      </c>
      <c r="AJ219" s="16">
        <v>0</v>
      </c>
      <c r="AK219" s="16">
        <v>0</v>
      </c>
      <c r="AL219" s="16">
        <v>0</v>
      </c>
      <c r="AM219" s="85">
        <v>0</v>
      </c>
      <c r="AN219" s="16">
        <v>0</v>
      </c>
      <c r="AO219" s="16">
        <v>0</v>
      </c>
      <c r="AP219" s="16">
        <v>0</v>
      </c>
      <c r="AQ219" s="16">
        <v>0</v>
      </c>
      <c r="AR219" s="85">
        <v>0</v>
      </c>
      <c r="AS219" s="16">
        <v>0</v>
      </c>
      <c r="AT219" s="16">
        <v>0</v>
      </c>
      <c r="AU219" s="16">
        <v>0</v>
      </c>
      <c r="AV219" s="16">
        <v>0</v>
      </c>
      <c r="AW219" s="85">
        <v>0</v>
      </c>
      <c r="AX219" s="16">
        <v>0</v>
      </c>
      <c r="AY219" s="16">
        <v>0</v>
      </c>
      <c r="AZ219" s="16">
        <v>0</v>
      </c>
      <c r="BA219" s="16">
        <v>0</v>
      </c>
      <c r="BB219" s="85">
        <v>0</v>
      </c>
      <c r="BC219" s="16">
        <v>0</v>
      </c>
      <c r="BD219" s="16">
        <v>0</v>
      </c>
      <c r="BE219" s="16">
        <v>0</v>
      </c>
      <c r="BF219" s="16">
        <v>0</v>
      </c>
      <c r="BG219" s="85">
        <v>0</v>
      </c>
      <c r="BH219" s="16">
        <v>0</v>
      </c>
      <c r="BI219" s="16">
        <v>0</v>
      </c>
      <c r="BJ219" s="16">
        <v>0</v>
      </c>
      <c r="BK219" s="16">
        <v>0</v>
      </c>
      <c r="BL219" s="85">
        <v>0</v>
      </c>
      <c r="BM219" s="16">
        <v>0</v>
      </c>
      <c r="BN219" s="16">
        <v>0</v>
      </c>
      <c r="BO219" s="16">
        <v>0</v>
      </c>
      <c r="BP219" s="16">
        <v>0</v>
      </c>
      <c r="BQ219" s="85">
        <v>0</v>
      </c>
      <c r="BR219" s="16">
        <v>0</v>
      </c>
      <c r="BS219" s="16">
        <v>0</v>
      </c>
      <c r="BT219" s="16">
        <v>0</v>
      </c>
      <c r="BU219" s="16">
        <v>0</v>
      </c>
      <c r="BV219" s="85">
        <v>0</v>
      </c>
      <c r="BW219" s="16">
        <v>0</v>
      </c>
      <c r="BX219" s="16">
        <v>0</v>
      </c>
      <c r="BY219" s="16">
        <v>0</v>
      </c>
      <c r="BZ219" s="16">
        <v>0</v>
      </c>
      <c r="CA219" s="85">
        <v>0</v>
      </c>
      <c r="CB219" s="16">
        <v>0</v>
      </c>
      <c r="CC219" s="16">
        <v>0</v>
      </c>
      <c r="CD219" s="16">
        <v>0</v>
      </c>
      <c r="CE219" s="16">
        <v>0</v>
      </c>
      <c r="CF219" s="85">
        <v>0</v>
      </c>
      <c r="CG219" s="16">
        <v>0</v>
      </c>
      <c r="CH219" s="16">
        <v>0</v>
      </c>
      <c r="CI219" s="16">
        <v>0</v>
      </c>
      <c r="CJ219" s="16">
        <v>0</v>
      </c>
      <c r="CK219" s="85">
        <v>0</v>
      </c>
      <c r="CL219" s="16">
        <v>0</v>
      </c>
      <c r="CM219" s="16">
        <v>0</v>
      </c>
      <c r="CN219" s="16">
        <v>0</v>
      </c>
      <c r="CO219" s="16">
        <v>0</v>
      </c>
      <c r="CP219" s="85">
        <v>0</v>
      </c>
      <c r="CQ219" s="16">
        <v>0</v>
      </c>
      <c r="CR219" s="16">
        <v>0</v>
      </c>
      <c r="CS219" s="16">
        <v>0</v>
      </c>
      <c r="CT219" s="16">
        <v>0</v>
      </c>
      <c r="CU219" s="85">
        <v>0</v>
      </c>
      <c r="CV219" s="16">
        <v>0</v>
      </c>
      <c r="CW219" s="16">
        <v>0</v>
      </c>
      <c r="CX219" s="16">
        <v>0</v>
      </c>
      <c r="CY219" s="16">
        <v>0</v>
      </c>
      <c r="CZ219" s="85">
        <v>0</v>
      </c>
      <c r="DA219" s="85">
        <v>0</v>
      </c>
      <c r="DB219" s="85">
        <v>0</v>
      </c>
      <c r="DC219" s="85">
        <v>0</v>
      </c>
      <c r="DD219" s="2"/>
      <c r="DE219" s="2"/>
      <c r="DF219" s="85">
        <f t="shared" si="361"/>
        <v>0</v>
      </c>
      <c r="DG219" s="85">
        <v>0</v>
      </c>
      <c r="DH219" s="85">
        <f t="shared" si="362"/>
        <v>0</v>
      </c>
      <c r="DI219" s="442" t="str">
        <f t="shared" si="363"/>
        <v>NM</v>
      </c>
      <c r="DJ219" s="442" t="str">
        <f t="shared" si="364"/>
        <v>NM</v>
      </c>
      <c r="DK219" s="2"/>
      <c r="DL219" s="2"/>
      <c r="DM219" s="2"/>
    </row>
    <row r="220" spans="1:117" ht="12" customHeight="1" outlineLevel="1">
      <c r="A220" s="1109">
        <f t="shared" si="360"/>
        <v>207</v>
      </c>
      <c r="B220" s="10"/>
      <c r="C220" s="2" t="s">
        <v>61</v>
      </c>
      <c r="D220" s="2"/>
      <c r="E220" s="85">
        <f>E42-E36</f>
        <v>4326</v>
      </c>
      <c r="F220" s="85">
        <f>F42-F36</f>
        <v>4627</v>
      </c>
      <c r="G220" s="85">
        <f>G42-G36</f>
        <v>7198</v>
      </c>
      <c r="H220" s="85">
        <f>H42-H36</f>
        <v>22220</v>
      </c>
      <c r="I220" s="85">
        <f>I42-I36</f>
        <v>6606</v>
      </c>
      <c r="J220" s="16"/>
      <c r="K220" s="16">
        <f t="shared" ref="K220:AP220" si="367">K42-K36</f>
        <v>1540</v>
      </c>
      <c r="L220" s="16">
        <f t="shared" si="367"/>
        <v>935</v>
      </c>
      <c r="M220" s="16">
        <f t="shared" si="367"/>
        <v>1093</v>
      </c>
      <c r="N220" s="85">
        <f t="shared" si="367"/>
        <v>5529</v>
      </c>
      <c r="O220" s="16">
        <f t="shared" si="367"/>
        <v>1062</v>
      </c>
      <c r="P220" s="16">
        <f t="shared" si="367"/>
        <v>-732</v>
      </c>
      <c r="Q220" s="16">
        <f t="shared" si="367"/>
        <v>-683</v>
      </c>
      <c r="R220" s="16">
        <f t="shared" si="367"/>
        <v>-4972</v>
      </c>
      <c r="S220" s="85">
        <f t="shared" si="367"/>
        <v>-5325</v>
      </c>
      <c r="T220" s="16">
        <f t="shared" si="367"/>
        <v>-7</v>
      </c>
      <c r="U220" s="16">
        <f t="shared" si="367"/>
        <v>714</v>
      </c>
      <c r="V220" s="16">
        <f t="shared" si="367"/>
        <v>-127</v>
      </c>
      <c r="W220" s="16">
        <f t="shared" si="367"/>
        <v>70</v>
      </c>
      <c r="X220" s="85">
        <f t="shared" si="367"/>
        <v>650</v>
      </c>
      <c r="Y220" s="16">
        <f t="shared" si="367"/>
        <v>1003</v>
      </c>
      <c r="Z220" s="16">
        <f t="shared" si="367"/>
        <v>524</v>
      </c>
      <c r="AA220" s="16">
        <f t="shared" si="367"/>
        <v>287</v>
      </c>
      <c r="AB220" s="16">
        <f t="shared" si="367"/>
        <v>-598</v>
      </c>
      <c r="AC220" s="85">
        <f t="shared" si="367"/>
        <v>1216</v>
      </c>
      <c r="AD220" s="16">
        <f t="shared" si="367"/>
        <v>2044</v>
      </c>
      <c r="AE220" s="16">
        <f t="shared" si="367"/>
        <v>1224</v>
      </c>
      <c r="AF220" s="16">
        <f t="shared" si="367"/>
        <v>521</v>
      </c>
      <c r="AG220" s="16">
        <f t="shared" si="367"/>
        <v>-323</v>
      </c>
      <c r="AH220" s="85">
        <f t="shared" si="367"/>
        <v>3466</v>
      </c>
      <c r="AI220" s="16">
        <f t="shared" si="367"/>
        <v>1235</v>
      </c>
      <c r="AJ220" s="16">
        <f t="shared" si="367"/>
        <v>1296</v>
      </c>
      <c r="AK220" s="16">
        <f t="shared" si="367"/>
        <v>-529</v>
      </c>
      <c r="AL220" s="16">
        <f t="shared" si="367"/>
        <v>-78</v>
      </c>
      <c r="AM220" s="85">
        <f t="shared" si="367"/>
        <v>1924</v>
      </c>
      <c r="AN220" s="16">
        <f t="shared" si="367"/>
        <v>-1366</v>
      </c>
      <c r="AO220" s="16">
        <f t="shared" si="367"/>
        <v>-304</v>
      </c>
      <c r="AP220" s="16">
        <f t="shared" si="367"/>
        <v>-5204</v>
      </c>
      <c r="AQ220" s="16">
        <f t="shared" ref="AQ220:BV220" si="368">AQ42-AQ36</f>
        <v>-5545</v>
      </c>
      <c r="AR220" s="85">
        <f t="shared" si="368"/>
        <v>-12419</v>
      </c>
      <c r="AS220" s="16">
        <f t="shared" si="368"/>
        <v>-114</v>
      </c>
      <c r="AT220" s="16">
        <f t="shared" si="368"/>
        <v>343</v>
      </c>
      <c r="AU220" s="16">
        <f t="shared" si="368"/>
        <v>38</v>
      </c>
      <c r="AV220" s="16">
        <f t="shared" si="368"/>
        <v>-379</v>
      </c>
      <c r="AW220" s="85">
        <f t="shared" si="368"/>
        <v>-112</v>
      </c>
      <c r="AX220" s="16">
        <f t="shared" si="368"/>
        <v>599</v>
      </c>
      <c r="AY220" s="16">
        <f t="shared" si="368"/>
        <v>-1317</v>
      </c>
      <c r="AZ220" s="16">
        <f t="shared" si="368"/>
        <v>-2958</v>
      </c>
      <c r="BA220" s="16">
        <f t="shared" si="368"/>
        <v>-3381</v>
      </c>
      <c r="BB220" s="85">
        <f t="shared" si="368"/>
        <v>-7057</v>
      </c>
      <c r="BC220" s="16">
        <f t="shared" si="368"/>
        <v>-1801</v>
      </c>
      <c r="BD220" s="16">
        <f t="shared" si="368"/>
        <v>-638</v>
      </c>
      <c r="BE220" s="16">
        <f t="shared" si="368"/>
        <v>887</v>
      </c>
      <c r="BF220" s="16">
        <f t="shared" si="368"/>
        <v>1571</v>
      </c>
      <c r="BG220" s="85">
        <f t="shared" si="368"/>
        <v>19</v>
      </c>
      <c r="BH220" s="16">
        <f t="shared" si="368"/>
        <v>1761</v>
      </c>
      <c r="BI220" s="16">
        <f t="shared" si="368"/>
        <v>2701</v>
      </c>
      <c r="BJ220" s="16">
        <f t="shared" si="368"/>
        <v>1913</v>
      </c>
      <c r="BK220" s="16">
        <f t="shared" si="368"/>
        <v>1199</v>
      </c>
      <c r="BL220" s="85">
        <f t="shared" si="368"/>
        <v>7574</v>
      </c>
      <c r="BM220" s="16">
        <f t="shared" si="368"/>
        <v>1656</v>
      </c>
      <c r="BN220" s="16">
        <f t="shared" si="368"/>
        <v>1593</v>
      </c>
      <c r="BO220" s="16">
        <f t="shared" si="368"/>
        <v>983</v>
      </c>
      <c r="BP220" s="16">
        <f t="shared" si="368"/>
        <v>512</v>
      </c>
      <c r="BQ220" s="85">
        <f t="shared" si="368"/>
        <v>4744</v>
      </c>
      <c r="BR220" s="16">
        <f t="shared" si="368"/>
        <v>1174</v>
      </c>
      <c r="BS220" s="16">
        <f t="shared" si="368"/>
        <v>819</v>
      </c>
      <c r="BT220" s="16">
        <f t="shared" si="368"/>
        <v>1035</v>
      </c>
      <c r="BU220" s="16">
        <f t="shared" si="368"/>
        <v>571</v>
      </c>
      <c r="BV220" s="85">
        <f t="shared" si="368"/>
        <v>3599</v>
      </c>
      <c r="BW220" s="16">
        <f t="shared" ref="BW220:DC220" si="369">BW42-BW36</f>
        <v>1073</v>
      </c>
      <c r="BX220" s="16">
        <f t="shared" si="369"/>
        <v>1246</v>
      </c>
      <c r="BY220" s="16">
        <f t="shared" si="369"/>
        <v>1126</v>
      </c>
      <c r="BZ220" s="16">
        <f t="shared" si="369"/>
        <v>632</v>
      </c>
      <c r="CA220" s="85">
        <f t="shared" si="369"/>
        <v>4077</v>
      </c>
      <c r="CB220" s="16">
        <f t="shared" si="369"/>
        <v>318</v>
      </c>
      <c r="CC220" s="16">
        <f t="shared" si="369"/>
        <v>881</v>
      </c>
      <c r="CD220" s="16">
        <f t="shared" si="369"/>
        <v>201</v>
      </c>
      <c r="CE220" s="16">
        <f t="shared" si="369"/>
        <v>1030</v>
      </c>
      <c r="CF220" s="85">
        <f t="shared" si="369"/>
        <v>2430</v>
      </c>
      <c r="CG220" s="16">
        <f t="shared" si="369"/>
        <v>453</v>
      </c>
      <c r="CH220" s="16">
        <f t="shared" si="369"/>
        <v>1333</v>
      </c>
      <c r="CI220" s="16">
        <f t="shared" si="369"/>
        <v>1393</v>
      </c>
      <c r="CJ220" s="16">
        <f t="shared" si="369"/>
        <v>1307</v>
      </c>
      <c r="CK220" s="85">
        <f t="shared" si="369"/>
        <v>5588.1087595212175</v>
      </c>
      <c r="CL220" s="16">
        <f t="shared" si="369"/>
        <v>2455</v>
      </c>
      <c r="CM220" s="16">
        <f t="shared" si="369"/>
        <v>1972</v>
      </c>
      <c r="CN220" s="16">
        <f t="shared" si="369"/>
        <v>961</v>
      </c>
      <c r="CO220" s="16">
        <f t="shared" si="369"/>
        <v>-781</v>
      </c>
      <c r="CP220" s="85">
        <f t="shared" si="369"/>
        <v>4607</v>
      </c>
      <c r="CQ220" s="16">
        <f t="shared" si="369"/>
        <v>1594</v>
      </c>
      <c r="CR220" s="16">
        <f t="shared" si="369"/>
        <v>2050</v>
      </c>
      <c r="CS220" s="16">
        <f t="shared" si="369"/>
        <v>1571</v>
      </c>
      <c r="CT220" s="16">
        <f t="shared" si="369"/>
        <v>2413</v>
      </c>
      <c r="CU220" s="85">
        <f t="shared" si="369"/>
        <v>7628</v>
      </c>
      <c r="CV220" s="16">
        <f t="shared" si="369"/>
        <v>1498.4288749999996</v>
      </c>
      <c r="CW220" s="16">
        <f t="shared" si="369"/>
        <v>1773.6163750000001</v>
      </c>
      <c r="CX220" s="16">
        <f t="shared" si="369"/>
        <v>1334.9738749999999</v>
      </c>
      <c r="CY220" s="16">
        <f t="shared" si="369"/>
        <v>1187.7113749999999</v>
      </c>
      <c r="CZ220" s="85">
        <f t="shared" si="369"/>
        <v>5794.7304999999997</v>
      </c>
      <c r="DA220" s="85">
        <f t="shared" si="369"/>
        <v>5049.5062377385293</v>
      </c>
      <c r="DB220" s="85">
        <f t="shared" si="369"/>
        <v>5323.4508196293145</v>
      </c>
      <c r="DC220" s="85">
        <f t="shared" si="369"/>
        <v>5707.1076121394872</v>
      </c>
      <c r="DD220" s="2"/>
      <c r="DE220" s="2"/>
      <c r="DF220" s="85">
        <f t="shared" si="361"/>
        <v>2413</v>
      </c>
      <c r="DG220" s="85">
        <v>1753.6330356074541</v>
      </c>
      <c r="DH220" s="85">
        <f t="shared" si="362"/>
        <v>-781</v>
      </c>
      <c r="DI220" s="442">
        <f t="shared" si="363"/>
        <v>0.37600053774314479</v>
      </c>
      <c r="DJ220" s="442">
        <f t="shared" si="364"/>
        <v>-4.0896286811779774</v>
      </c>
      <c r="DK220" s="2"/>
      <c r="DL220" s="2"/>
      <c r="DM220" s="2"/>
    </row>
    <row r="221" spans="1:117" ht="12" customHeight="1" outlineLevel="1">
      <c r="A221" s="1109"/>
      <c r="B221" s="10"/>
      <c r="C221" s="2" t="s">
        <v>1035</v>
      </c>
      <c r="D221" s="2"/>
      <c r="E221" s="85"/>
      <c r="F221" s="85"/>
      <c r="G221" s="85"/>
      <c r="H221" s="85"/>
      <c r="I221" s="85"/>
      <c r="J221" s="16"/>
      <c r="K221" s="16"/>
      <c r="L221" s="16"/>
      <c r="M221" s="16"/>
      <c r="N221" s="85"/>
      <c r="O221" s="16"/>
      <c r="P221" s="16"/>
      <c r="Q221" s="16"/>
      <c r="R221" s="16"/>
      <c r="S221" s="85"/>
      <c r="T221" s="16"/>
      <c r="U221" s="16"/>
      <c r="V221" s="16"/>
      <c r="W221" s="16"/>
      <c r="X221" s="85"/>
      <c r="Y221" s="16"/>
      <c r="Z221" s="16"/>
      <c r="AA221" s="16"/>
      <c r="AB221" s="16"/>
      <c r="AC221" s="85"/>
      <c r="AD221" s="16"/>
      <c r="AE221" s="16"/>
      <c r="AF221" s="16"/>
      <c r="AG221" s="16"/>
      <c r="AH221" s="85"/>
      <c r="AI221" s="16"/>
      <c r="AJ221" s="16"/>
      <c r="AK221" s="16"/>
      <c r="AL221" s="16"/>
      <c r="AM221" s="85"/>
      <c r="AN221" s="16"/>
      <c r="AO221" s="16"/>
      <c r="AP221" s="16"/>
      <c r="AQ221" s="16"/>
      <c r="AR221" s="85"/>
      <c r="AS221" s="16"/>
      <c r="AT221" s="16"/>
      <c r="AU221" s="16"/>
      <c r="AV221" s="16"/>
      <c r="AW221" s="85"/>
      <c r="AX221" s="16"/>
      <c r="AY221" s="16"/>
      <c r="AZ221" s="16"/>
      <c r="BA221" s="16"/>
      <c r="BB221" s="85"/>
      <c r="BC221" s="16"/>
      <c r="BD221" s="16"/>
      <c r="BE221" s="16"/>
      <c r="BF221" s="16"/>
      <c r="BG221" s="85"/>
      <c r="BH221" s="16"/>
      <c r="BI221" s="16"/>
      <c r="BJ221" s="16"/>
      <c r="BK221" s="16"/>
      <c r="BL221" s="85"/>
      <c r="BM221" s="16">
        <f t="shared" ref="BM221:DC221" si="370">BM162</f>
        <v>0</v>
      </c>
      <c r="BN221" s="16">
        <f t="shared" si="370"/>
        <v>0</v>
      </c>
      <c r="BO221" s="16">
        <f t="shared" si="370"/>
        <v>0</v>
      </c>
      <c r="BP221" s="16">
        <f t="shared" si="370"/>
        <v>0</v>
      </c>
      <c r="BQ221" s="85">
        <f t="shared" si="370"/>
        <v>0</v>
      </c>
      <c r="BR221" s="16">
        <f t="shared" si="370"/>
        <v>-27</v>
      </c>
      <c r="BS221" s="16">
        <f t="shared" si="370"/>
        <v>-32</v>
      </c>
      <c r="BT221" s="16">
        <f t="shared" si="370"/>
        <v>-33</v>
      </c>
      <c r="BU221" s="16">
        <f t="shared" si="370"/>
        <v>-33</v>
      </c>
      <c r="BV221" s="85">
        <f t="shared" si="370"/>
        <v>-125</v>
      </c>
      <c r="BW221" s="16">
        <f t="shared" si="370"/>
        <v>-10</v>
      </c>
      <c r="BX221" s="16">
        <f t="shared" si="370"/>
        <v>-77</v>
      </c>
      <c r="BY221" s="16">
        <f t="shared" si="370"/>
        <v>-77</v>
      </c>
      <c r="BZ221" s="16">
        <f t="shared" si="370"/>
        <v>-49</v>
      </c>
      <c r="CA221" s="85">
        <f t="shared" si="370"/>
        <v>-213</v>
      </c>
      <c r="CB221" s="16">
        <f t="shared" si="370"/>
        <v>0</v>
      </c>
      <c r="CC221" s="16">
        <f t="shared" si="370"/>
        <v>-862</v>
      </c>
      <c r="CD221" s="16">
        <f t="shared" si="370"/>
        <v>-1102</v>
      </c>
      <c r="CE221" s="16">
        <f t="shared" si="370"/>
        <v>0</v>
      </c>
      <c r="CF221" s="85">
        <f t="shared" si="370"/>
        <v>-1964</v>
      </c>
      <c r="CG221" s="16">
        <f t="shared" si="370"/>
        <v>0</v>
      </c>
      <c r="CH221" s="16">
        <f t="shared" si="370"/>
        <v>-91</v>
      </c>
      <c r="CI221" s="16">
        <f t="shared" si="370"/>
        <v>-38</v>
      </c>
      <c r="CJ221" s="16">
        <f t="shared" si="370"/>
        <v>0</v>
      </c>
      <c r="CK221" s="85">
        <f t="shared" si="370"/>
        <v>-129</v>
      </c>
      <c r="CL221" s="16">
        <f t="shared" si="370"/>
        <v>-145</v>
      </c>
      <c r="CM221" s="16">
        <f t="shared" si="370"/>
        <v>0</v>
      </c>
      <c r="CN221" s="16">
        <f t="shared" si="370"/>
        <v>0</v>
      </c>
      <c r="CO221" s="16">
        <f t="shared" si="370"/>
        <v>0</v>
      </c>
      <c r="CP221" s="85">
        <f t="shared" si="370"/>
        <v>-145</v>
      </c>
      <c r="CQ221" s="16">
        <f t="shared" si="370"/>
        <v>0</v>
      </c>
      <c r="CR221" s="16">
        <f t="shared" si="370"/>
        <v>-131</v>
      </c>
      <c r="CS221" s="16">
        <f t="shared" si="370"/>
        <v>0</v>
      </c>
      <c r="CT221" s="16">
        <f t="shared" si="370"/>
        <v>0</v>
      </c>
      <c r="CU221" s="85">
        <f t="shared" si="370"/>
        <v>-131</v>
      </c>
      <c r="CV221" s="16">
        <f t="shared" si="370"/>
        <v>0</v>
      </c>
      <c r="CW221" s="16">
        <f t="shared" si="370"/>
        <v>-100</v>
      </c>
      <c r="CX221" s="16">
        <f t="shared" si="370"/>
        <v>0</v>
      </c>
      <c r="CY221" s="16">
        <f t="shared" si="370"/>
        <v>0</v>
      </c>
      <c r="CZ221" s="85">
        <f t="shared" si="370"/>
        <v>-100</v>
      </c>
      <c r="DA221" s="85">
        <f t="shared" si="370"/>
        <v>0</v>
      </c>
      <c r="DB221" s="85">
        <f t="shared" si="370"/>
        <v>0</v>
      </c>
      <c r="DC221" s="85">
        <f t="shared" si="370"/>
        <v>0</v>
      </c>
      <c r="DD221" s="2"/>
      <c r="DE221" s="2"/>
      <c r="DF221" s="85"/>
      <c r="DG221" s="85"/>
      <c r="DH221" s="85"/>
      <c r="DI221" s="442"/>
      <c r="DJ221" s="442"/>
      <c r="DK221" s="2"/>
      <c r="DL221" s="2"/>
      <c r="DM221" s="2"/>
    </row>
    <row r="222" spans="1:117">
      <c r="A222" s="1111">
        <f>A220+1</f>
        <v>208</v>
      </c>
      <c r="B222" s="443"/>
      <c r="C222" s="97"/>
      <c r="D222" s="97"/>
      <c r="E222" s="404"/>
      <c r="F222" s="404"/>
      <c r="G222" s="404"/>
      <c r="H222" s="404"/>
      <c r="I222" s="404"/>
      <c r="J222" s="97"/>
      <c r="K222" s="97"/>
      <c r="L222" s="97"/>
      <c r="M222" s="97"/>
      <c r="N222" s="404"/>
      <c r="O222" s="97"/>
      <c r="P222" s="97"/>
      <c r="Q222" s="97"/>
      <c r="R222" s="97"/>
      <c r="S222" s="404"/>
      <c r="T222" s="97"/>
      <c r="U222" s="97"/>
      <c r="V222" s="97"/>
      <c r="W222" s="97"/>
      <c r="X222" s="404"/>
      <c r="Y222" s="97"/>
      <c r="Z222" s="97"/>
      <c r="AA222" s="97"/>
      <c r="AB222" s="97"/>
      <c r="AC222" s="404"/>
      <c r="AD222" s="97"/>
      <c r="AE222" s="97"/>
      <c r="AF222" s="97"/>
      <c r="AG222" s="97"/>
      <c r="AH222" s="404"/>
      <c r="AI222" s="97"/>
      <c r="AJ222" s="97"/>
      <c r="AK222" s="97"/>
      <c r="AL222" s="97"/>
      <c r="AM222" s="404"/>
      <c r="AN222" s="97"/>
      <c r="AO222" s="97"/>
      <c r="AP222" s="97"/>
      <c r="AQ222" s="97"/>
      <c r="AR222" s="404"/>
      <c r="AS222" s="97"/>
      <c r="AT222" s="97"/>
      <c r="AU222" s="97"/>
      <c r="AV222" s="97"/>
      <c r="AW222" s="404"/>
      <c r="AX222" s="97"/>
      <c r="AY222" s="97"/>
      <c r="AZ222" s="97"/>
      <c r="BA222" s="97"/>
      <c r="BB222" s="404"/>
      <c r="BC222" s="97"/>
      <c r="BD222" s="97"/>
      <c r="BE222" s="97"/>
      <c r="BF222" s="97"/>
      <c r="BG222" s="404"/>
      <c r="BH222" s="97"/>
      <c r="BI222" s="97"/>
      <c r="BJ222" s="97"/>
      <c r="BK222" s="97"/>
      <c r="BL222" s="404"/>
      <c r="BM222" s="97"/>
      <c r="BN222" s="97"/>
      <c r="BO222" s="97"/>
      <c r="BP222" s="97"/>
      <c r="BQ222" s="404"/>
      <c r="BR222" s="97"/>
      <c r="BS222" s="97"/>
      <c r="BT222" s="97"/>
      <c r="BU222" s="97"/>
      <c r="BV222" s="404"/>
      <c r="BW222" s="97"/>
      <c r="BX222" s="97"/>
      <c r="BY222" s="97"/>
      <c r="BZ222" s="97"/>
      <c r="CA222" s="404"/>
      <c r="CB222" s="97"/>
      <c r="CC222" s="97"/>
      <c r="CD222" s="97"/>
      <c r="CE222" s="97"/>
      <c r="CF222" s="404"/>
      <c r="CG222" s="97"/>
      <c r="CH222" s="97"/>
      <c r="CI222" s="97"/>
      <c r="CJ222" s="97"/>
      <c r="CK222" s="404"/>
      <c r="CL222" s="97"/>
      <c r="CM222" s="97"/>
      <c r="CN222" s="97"/>
      <c r="CO222" s="97"/>
      <c r="CP222" s="404"/>
      <c r="CQ222" s="97"/>
      <c r="CR222" s="97"/>
      <c r="CS222" s="97"/>
      <c r="CT222" s="97"/>
      <c r="CU222" s="444"/>
      <c r="CV222" s="97"/>
      <c r="CW222" s="97"/>
      <c r="CX222" s="97"/>
      <c r="CY222" s="97"/>
      <c r="CZ222" s="404"/>
      <c r="DA222" s="404"/>
      <c r="DB222" s="404"/>
      <c r="DC222" s="404"/>
      <c r="DD222" s="2"/>
      <c r="DE222" s="2"/>
      <c r="DF222" s="404"/>
      <c r="DG222" s="404"/>
      <c r="DH222" s="404"/>
      <c r="DI222" s="445"/>
      <c r="DJ222" s="445"/>
      <c r="DK222" s="2"/>
      <c r="DL222" s="2"/>
      <c r="DM222" s="2"/>
    </row>
    <row r="223" spans="1:117">
      <c r="A223" s="1109">
        <f t="shared" si="360"/>
        <v>209</v>
      </c>
      <c r="B223" s="10"/>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K223" s="2"/>
      <c r="CL223" s="2"/>
      <c r="CM223" s="2"/>
      <c r="CN223" s="2"/>
      <c r="CP223" s="2"/>
      <c r="CQ223" s="2"/>
      <c r="CR223" s="2"/>
      <c r="CS223" s="2"/>
      <c r="CT223" s="2"/>
      <c r="CU223" s="2"/>
      <c r="CZ223" s="2"/>
      <c r="DA223" s="2"/>
      <c r="DB223" s="2"/>
      <c r="DC223" s="2"/>
      <c r="DD223" s="2"/>
      <c r="DE223" s="2"/>
      <c r="DF223" s="2"/>
      <c r="DG223" s="2"/>
      <c r="DH223" s="2"/>
      <c r="DI223" s="446"/>
      <c r="DJ223" s="446"/>
      <c r="DK223" s="2"/>
      <c r="DL223" s="2"/>
      <c r="DM223" s="2"/>
    </row>
    <row r="224" spans="1:117" ht="15" customHeight="1">
      <c r="A224" s="1109">
        <f t="shared" si="360"/>
        <v>210</v>
      </c>
      <c r="B224" s="5"/>
      <c r="C224" s="825" t="s">
        <v>838</v>
      </c>
      <c r="D224" s="821"/>
      <c r="E224" s="822" t="s">
        <v>66</v>
      </c>
      <c r="F224" s="822" t="s">
        <v>65</v>
      </c>
      <c r="G224" s="822" t="s">
        <v>64</v>
      </c>
      <c r="H224" s="822" t="s">
        <v>63</v>
      </c>
      <c r="I224" s="822" t="s">
        <v>317</v>
      </c>
      <c r="J224" s="823" t="s">
        <v>312</v>
      </c>
      <c r="K224" s="823" t="s">
        <v>313</v>
      </c>
      <c r="L224" s="823" t="s">
        <v>314</v>
      </c>
      <c r="M224" s="823" t="s">
        <v>315</v>
      </c>
      <c r="N224" s="822" t="s">
        <v>316</v>
      </c>
      <c r="O224" s="823" t="s">
        <v>307</v>
      </c>
      <c r="P224" s="823" t="s">
        <v>308</v>
      </c>
      <c r="Q224" s="823" t="s">
        <v>309</v>
      </c>
      <c r="R224" s="823" t="s">
        <v>310</v>
      </c>
      <c r="S224" s="822" t="s">
        <v>311</v>
      </c>
      <c r="T224" s="823" t="s">
        <v>222</v>
      </c>
      <c r="U224" s="823" t="s">
        <v>223</v>
      </c>
      <c r="V224" s="823" t="s">
        <v>224</v>
      </c>
      <c r="W224" s="824" t="s">
        <v>225</v>
      </c>
      <c r="X224" s="822" t="s">
        <v>226</v>
      </c>
      <c r="Y224" s="823" t="s">
        <v>227</v>
      </c>
      <c r="Z224" s="823" t="s">
        <v>228</v>
      </c>
      <c r="AA224" s="823" t="s">
        <v>229</v>
      </c>
      <c r="AB224" s="824" t="s">
        <v>230</v>
      </c>
      <c r="AC224" s="822" t="s">
        <v>231</v>
      </c>
      <c r="AD224" s="823" t="s">
        <v>7</v>
      </c>
      <c r="AE224" s="823" t="s">
        <v>8</v>
      </c>
      <c r="AF224" s="823" t="s">
        <v>9</v>
      </c>
      <c r="AG224" s="824" t="s">
        <v>6</v>
      </c>
      <c r="AH224" s="822" t="s">
        <v>232</v>
      </c>
      <c r="AI224" s="823" t="s">
        <v>233</v>
      </c>
      <c r="AJ224" s="823" t="s">
        <v>10</v>
      </c>
      <c r="AK224" s="823" t="s">
        <v>234</v>
      </c>
      <c r="AL224" s="824" t="s">
        <v>11</v>
      </c>
      <c r="AM224" s="822" t="s">
        <v>235</v>
      </c>
      <c r="AN224" s="823" t="s">
        <v>236</v>
      </c>
      <c r="AO224" s="823" t="s">
        <v>237</v>
      </c>
      <c r="AP224" s="823" t="s">
        <v>238</v>
      </c>
      <c r="AQ224" s="824" t="s">
        <v>239</v>
      </c>
      <c r="AR224" s="822" t="s">
        <v>240</v>
      </c>
      <c r="AS224" s="823" t="s">
        <v>3</v>
      </c>
      <c r="AT224" s="823" t="s">
        <v>4</v>
      </c>
      <c r="AU224" s="823" t="s">
        <v>5</v>
      </c>
      <c r="AV224" s="824" t="s">
        <v>346</v>
      </c>
      <c r="AW224" s="822" t="s">
        <v>241</v>
      </c>
      <c r="AX224" s="823" t="s">
        <v>347</v>
      </c>
      <c r="AY224" s="823" t="s">
        <v>348</v>
      </c>
      <c r="AZ224" s="823" t="s">
        <v>349</v>
      </c>
      <c r="BA224" s="824" t="s">
        <v>350</v>
      </c>
      <c r="BB224" s="824" t="s">
        <v>242</v>
      </c>
      <c r="BC224" s="823" t="s">
        <v>351</v>
      </c>
      <c r="BD224" s="823" t="s">
        <v>352</v>
      </c>
      <c r="BE224" s="823" t="s">
        <v>327</v>
      </c>
      <c r="BF224" s="824" t="s">
        <v>15</v>
      </c>
      <c r="BG224" s="822" t="s">
        <v>306</v>
      </c>
      <c r="BH224" s="823" t="s">
        <v>305</v>
      </c>
      <c r="BI224" s="823" t="s">
        <v>78</v>
      </c>
      <c r="BJ224" s="823" t="s">
        <v>212</v>
      </c>
      <c r="BK224" s="824" t="s">
        <v>269</v>
      </c>
      <c r="BL224" s="822" t="s">
        <v>270</v>
      </c>
      <c r="BM224" s="823" t="s">
        <v>211</v>
      </c>
      <c r="BN224" s="823" t="s">
        <v>141</v>
      </c>
      <c r="BO224" s="823" t="s">
        <v>142</v>
      </c>
      <c r="BP224" s="824" t="s">
        <v>214</v>
      </c>
      <c r="BQ224" s="824" t="s">
        <v>55</v>
      </c>
      <c r="BR224" s="823" t="s">
        <v>175</v>
      </c>
      <c r="BS224" s="823" t="s">
        <v>250</v>
      </c>
      <c r="BT224" s="823" t="s">
        <v>128</v>
      </c>
      <c r="BU224" s="824" t="s">
        <v>12</v>
      </c>
      <c r="BV224" s="822" t="s">
        <v>13</v>
      </c>
      <c r="BW224" s="823" t="s">
        <v>60</v>
      </c>
      <c r="BX224" s="823" t="s">
        <v>172</v>
      </c>
      <c r="BY224" s="823" t="s">
        <v>283</v>
      </c>
      <c r="BZ224" s="824" t="s">
        <v>22</v>
      </c>
      <c r="CA224" s="822" t="s">
        <v>358</v>
      </c>
      <c r="CB224" s="823" t="s">
        <v>210</v>
      </c>
      <c r="CC224" s="823" t="s">
        <v>359</v>
      </c>
      <c r="CD224" s="823" t="s">
        <v>360</v>
      </c>
      <c r="CE224" s="824" t="s">
        <v>367</v>
      </c>
      <c r="CF224" s="822" t="s">
        <v>801</v>
      </c>
      <c r="CG224" s="823" t="s">
        <v>368</v>
      </c>
      <c r="CH224" s="823" t="s">
        <v>369</v>
      </c>
      <c r="CI224" s="823" t="s">
        <v>370</v>
      </c>
      <c r="CJ224" s="824" t="s">
        <v>371</v>
      </c>
      <c r="CK224" s="822" t="s">
        <v>382</v>
      </c>
      <c r="CL224" s="823" t="s">
        <v>372</v>
      </c>
      <c r="CM224" s="823" t="s">
        <v>373</v>
      </c>
      <c r="CN224" s="823" t="s">
        <v>375</v>
      </c>
      <c r="CO224" s="824" t="s">
        <v>380</v>
      </c>
      <c r="CP224" s="822" t="s">
        <v>381</v>
      </c>
      <c r="CQ224" s="823" t="s">
        <v>376</v>
      </c>
      <c r="CR224" s="823" t="s">
        <v>377</v>
      </c>
      <c r="CS224" s="823" t="s">
        <v>378</v>
      </c>
      <c r="CT224" s="824" t="s">
        <v>379</v>
      </c>
      <c r="CU224" s="822" t="s">
        <v>54</v>
      </c>
      <c r="CV224" s="1023" t="s">
        <v>807</v>
      </c>
      <c r="CW224" s="48" t="s">
        <v>808</v>
      </c>
      <c r="CX224" s="48" t="s">
        <v>809</v>
      </c>
      <c r="CY224" s="824" t="s">
        <v>810</v>
      </c>
      <c r="CZ224" s="822" t="s">
        <v>364</v>
      </c>
      <c r="DA224" s="822" t="s">
        <v>365</v>
      </c>
      <c r="DB224" s="822" t="s">
        <v>366</v>
      </c>
      <c r="DC224" s="822" t="s">
        <v>384</v>
      </c>
      <c r="DD224" s="2"/>
      <c r="DE224" s="2"/>
      <c r="DF224" s="58"/>
      <c r="DG224" s="58"/>
      <c r="DH224" s="58"/>
      <c r="DI224" s="457"/>
      <c r="DJ224" s="457"/>
      <c r="DK224" s="2"/>
      <c r="DL224" s="2"/>
      <c r="DM224" s="2"/>
    </row>
    <row r="225" spans="1:255">
      <c r="A225" s="1109">
        <f t="shared" si="360"/>
        <v>211</v>
      </c>
      <c r="B225" s="10"/>
      <c r="C225" s="317"/>
      <c r="D225" s="2"/>
      <c r="E225" s="142"/>
      <c r="F225" s="62"/>
      <c r="G225" s="62"/>
      <c r="H225" s="62"/>
      <c r="I225" s="62"/>
      <c r="J225" s="2"/>
      <c r="K225" s="2"/>
      <c r="L225" s="2"/>
      <c r="M225" s="2"/>
      <c r="N225" s="142"/>
      <c r="O225" s="2"/>
      <c r="P225" s="2"/>
      <c r="Q225" s="2"/>
      <c r="R225" s="2"/>
      <c r="S225" s="142"/>
      <c r="T225" s="2"/>
      <c r="U225" s="2"/>
      <c r="V225" s="2"/>
      <c r="W225" s="142"/>
      <c r="X225" s="62"/>
      <c r="Y225" s="2"/>
      <c r="Z225" s="2"/>
      <c r="AA225" s="2"/>
      <c r="AB225" s="142"/>
      <c r="AC225" s="62"/>
      <c r="AD225" s="2"/>
      <c r="AE225" s="2"/>
      <c r="AF225" s="2"/>
      <c r="AG225" s="142"/>
      <c r="AH225" s="62"/>
      <c r="AI225" s="2"/>
      <c r="AJ225" s="2"/>
      <c r="AK225" s="2"/>
      <c r="AL225" s="142"/>
      <c r="AM225" s="62"/>
      <c r="AN225" s="2"/>
      <c r="AO225" s="2"/>
      <c r="AP225" s="2"/>
      <c r="AQ225" s="142"/>
      <c r="AR225" s="62"/>
      <c r="AS225" s="2"/>
      <c r="AT225" s="2"/>
      <c r="AU225" s="2"/>
      <c r="AV225" s="142"/>
      <c r="AW225" s="62"/>
      <c r="AX225" s="2"/>
      <c r="AY225" s="2"/>
      <c r="AZ225" s="2"/>
      <c r="BA225" s="142"/>
      <c r="BB225" s="142"/>
      <c r="BC225" s="2"/>
      <c r="BD225" s="2"/>
      <c r="BE225" s="2"/>
      <c r="BF225" s="142"/>
      <c r="BG225" s="62"/>
      <c r="BH225" s="2"/>
      <c r="BI225" s="2"/>
      <c r="BJ225" s="2"/>
      <c r="BK225" s="142"/>
      <c r="BL225" s="62"/>
      <c r="BM225" s="2"/>
      <c r="BN225" s="2"/>
      <c r="BO225" s="2"/>
      <c r="BP225" s="142"/>
      <c r="BQ225" s="142"/>
      <c r="BR225" s="2"/>
      <c r="BS225" s="2"/>
      <c r="BT225" s="2"/>
      <c r="BU225" s="142"/>
      <c r="BV225" s="62"/>
      <c r="BW225" s="2"/>
      <c r="BX225" s="2"/>
      <c r="BY225" s="2"/>
      <c r="BZ225" s="142"/>
      <c r="CA225" s="62"/>
      <c r="CB225" s="2"/>
      <c r="CC225" s="2"/>
      <c r="CD225" s="2"/>
      <c r="CE225" s="142"/>
      <c r="CF225" s="62"/>
      <c r="CG225" s="2"/>
      <c r="CH225" s="2"/>
      <c r="CI225" s="2"/>
      <c r="CJ225" s="142"/>
      <c r="CK225" s="62"/>
      <c r="CL225" s="2"/>
      <c r="CM225" s="2"/>
      <c r="CN225" s="2"/>
      <c r="CO225" s="142"/>
      <c r="CP225" s="62"/>
      <c r="CQ225" s="2"/>
      <c r="CR225" s="2"/>
      <c r="CS225" s="2"/>
      <c r="CT225" s="142"/>
      <c r="CU225" s="62"/>
      <c r="CV225" s="317"/>
      <c r="CY225" s="142"/>
      <c r="CZ225" s="62"/>
      <c r="DA225" s="62"/>
      <c r="DB225" s="62"/>
      <c r="DC225" s="62"/>
      <c r="DD225" s="2"/>
      <c r="DE225" s="2"/>
      <c r="DF225" s="2"/>
      <c r="DG225" s="2"/>
      <c r="DH225" s="2"/>
      <c r="DI225" s="446"/>
      <c r="DJ225" s="446"/>
      <c r="DK225" s="2"/>
      <c r="DL225" s="2"/>
      <c r="DM225" s="2"/>
    </row>
    <row r="226" spans="1:255">
      <c r="A226" s="1109">
        <f t="shared" si="360"/>
        <v>212</v>
      </c>
      <c r="B226" s="10"/>
      <c r="C226" s="317" t="s">
        <v>839</v>
      </c>
      <c r="D226" s="2"/>
      <c r="E226" s="814">
        <f t="shared" ref="E226:AJ226" si="371">+E88+E89+E93+E94</f>
        <v>148624</v>
      </c>
      <c r="F226" s="816">
        <f t="shared" si="371"/>
        <v>158361</v>
      </c>
      <c r="G226" s="816">
        <f t="shared" si="371"/>
        <v>168247</v>
      </c>
      <c r="H226" s="816">
        <f t="shared" si="371"/>
        <v>132158</v>
      </c>
      <c r="I226" s="816">
        <f t="shared" si="371"/>
        <v>151655</v>
      </c>
      <c r="J226" s="490">
        <f t="shared" si="371"/>
        <v>154704</v>
      </c>
      <c r="K226" s="490">
        <f t="shared" si="371"/>
        <v>159867</v>
      </c>
      <c r="L226" s="490">
        <f t="shared" si="371"/>
        <v>161766</v>
      </c>
      <c r="M226" s="490">
        <f t="shared" si="371"/>
        <v>165556</v>
      </c>
      <c r="N226" s="814">
        <f t="shared" si="371"/>
        <v>165556</v>
      </c>
      <c r="O226" s="490">
        <f t="shared" si="371"/>
        <v>167365</v>
      </c>
      <c r="P226" s="490">
        <f t="shared" si="371"/>
        <v>174163</v>
      </c>
      <c r="Q226" s="490">
        <f t="shared" si="371"/>
        <v>166372</v>
      </c>
      <c r="R226" s="490">
        <f t="shared" si="371"/>
        <v>166803</v>
      </c>
      <c r="S226" s="814">
        <f t="shared" si="371"/>
        <v>166803</v>
      </c>
      <c r="T226" s="490">
        <f t="shared" si="371"/>
        <v>159217</v>
      </c>
      <c r="U226" s="490">
        <f t="shared" si="371"/>
        <v>164814</v>
      </c>
      <c r="V226" s="490">
        <f t="shared" si="371"/>
        <v>162206</v>
      </c>
      <c r="W226" s="814">
        <f t="shared" si="371"/>
        <v>162212</v>
      </c>
      <c r="X226" s="816">
        <f t="shared" si="371"/>
        <v>162212</v>
      </c>
      <c r="Y226" s="490">
        <f t="shared" si="371"/>
        <v>159010</v>
      </c>
      <c r="Z226" s="490">
        <f t="shared" si="371"/>
        <v>169438</v>
      </c>
      <c r="AA226" s="490">
        <f t="shared" si="371"/>
        <v>180236</v>
      </c>
      <c r="AB226" s="814">
        <f t="shared" si="371"/>
        <v>179804</v>
      </c>
      <c r="AC226" s="816">
        <f t="shared" si="371"/>
        <v>179804</v>
      </c>
      <c r="AD226" s="490">
        <f t="shared" si="371"/>
        <v>171446</v>
      </c>
      <c r="AE226" s="490">
        <f t="shared" si="371"/>
        <v>168101</v>
      </c>
      <c r="AF226" s="490">
        <f t="shared" si="371"/>
        <v>164707</v>
      </c>
      <c r="AG226" s="814">
        <f t="shared" si="371"/>
        <v>162425</v>
      </c>
      <c r="AH226" s="816">
        <f t="shared" si="371"/>
        <v>162425</v>
      </c>
      <c r="AI226" s="490">
        <f t="shared" si="371"/>
        <v>161262</v>
      </c>
      <c r="AJ226" s="490">
        <f t="shared" si="371"/>
        <v>158441</v>
      </c>
      <c r="AK226" s="490">
        <f t="shared" ref="AK226:BP226" si="372">+AK88+AK89+AK93+AK94</f>
        <v>141738</v>
      </c>
      <c r="AL226" s="814">
        <f t="shared" si="372"/>
        <v>153278</v>
      </c>
      <c r="AM226" s="816">
        <f t="shared" si="372"/>
        <v>153278</v>
      </c>
      <c r="AN226" s="490">
        <f t="shared" si="372"/>
        <v>151104</v>
      </c>
      <c r="AO226" s="490">
        <f t="shared" si="372"/>
        <v>153002</v>
      </c>
      <c r="AP226" s="490">
        <f t="shared" si="372"/>
        <v>154410</v>
      </c>
      <c r="AQ226" s="814">
        <f t="shared" si="372"/>
        <v>171832</v>
      </c>
      <c r="AR226" s="816">
        <f t="shared" si="372"/>
        <v>171832</v>
      </c>
      <c r="AS226" s="490">
        <f t="shared" si="372"/>
        <v>167179</v>
      </c>
      <c r="AT226" s="490">
        <f t="shared" si="372"/>
        <v>170036</v>
      </c>
      <c r="AU226" s="490">
        <f t="shared" si="372"/>
        <v>163213</v>
      </c>
      <c r="AV226" s="814">
        <f t="shared" si="372"/>
        <v>168787</v>
      </c>
      <c r="AW226" s="816">
        <f t="shared" si="372"/>
        <v>168787</v>
      </c>
      <c r="AX226" s="490">
        <f t="shared" si="372"/>
        <v>169205</v>
      </c>
      <c r="AY226" s="490">
        <f t="shared" si="372"/>
        <v>166025</v>
      </c>
      <c r="AZ226" s="490">
        <f t="shared" si="372"/>
        <v>156793</v>
      </c>
      <c r="BA226" s="814">
        <f t="shared" si="372"/>
        <v>152577</v>
      </c>
      <c r="BB226" s="814">
        <f t="shared" si="372"/>
        <v>152577</v>
      </c>
      <c r="BC226" s="490">
        <f t="shared" si="372"/>
        <v>145586</v>
      </c>
      <c r="BD226" s="490">
        <f t="shared" si="372"/>
        <v>133066</v>
      </c>
      <c r="BE226" s="490">
        <f t="shared" si="372"/>
        <v>132017</v>
      </c>
      <c r="BF226" s="814">
        <f t="shared" si="372"/>
        <v>131635</v>
      </c>
      <c r="BG226" s="816">
        <f t="shared" si="372"/>
        <v>131635</v>
      </c>
      <c r="BH226" s="490">
        <f t="shared" si="372"/>
        <v>130105</v>
      </c>
      <c r="BI226" s="490">
        <f t="shared" si="372"/>
        <v>117385</v>
      </c>
      <c r="BJ226" s="490">
        <f t="shared" si="372"/>
        <v>116691</v>
      </c>
      <c r="BK226" s="814">
        <f t="shared" si="372"/>
        <v>103988</v>
      </c>
      <c r="BL226" s="816">
        <f t="shared" si="372"/>
        <v>103988</v>
      </c>
      <c r="BM226" s="490">
        <f t="shared" si="372"/>
        <v>101638</v>
      </c>
      <c r="BN226" s="490">
        <f t="shared" si="372"/>
        <v>98550</v>
      </c>
      <c r="BO226" s="490">
        <f t="shared" si="372"/>
        <v>95131</v>
      </c>
      <c r="BP226" s="814">
        <f t="shared" si="372"/>
        <v>99488</v>
      </c>
      <c r="BQ226" s="814">
        <f t="shared" ref="BQ226:CV226" si="373">+BQ88+BQ89+BQ93+BQ94</f>
        <v>99488</v>
      </c>
      <c r="BR226" s="490">
        <f t="shared" si="373"/>
        <v>100490</v>
      </c>
      <c r="BS226" s="490">
        <f t="shared" si="373"/>
        <v>99897</v>
      </c>
      <c r="BT226" s="490">
        <f t="shared" si="373"/>
        <v>100604</v>
      </c>
      <c r="BU226" s="814">
        <f t="shared" si="373"/>
        <v>105058</v>
      </c>
      <c r="BV226" s="816">
        <f t="shared" si="373"/>
        <v>105058</v>
      </c>
      <c r="BW226" s="490">
        <f t="shared" si="373"/>
        <v>107356</v>
      </c>
      <c r="BX226" s="490">
        <f t="shared" si="373"/>
        <v>107857</v>
      </c>
      <c r="BY226" s="490">
        <f t="shared" si="373"/>
        <v>110622</v>
      </c>
      <c r="BZ226" s="814">
        <f t="shared" si="373"/>
        <v>114688</v>
      </c>
      <c r="CA226" s="816">
        <f t="shared" si="373"/>
        <v>114688</v>
      </c>
      <c r="CB226" s="490">
        <f t="shared" si="373"/>
        <v>117004</v>
      </c>
      <c r="CC226" s="490">
        <f t="shared" si="373"/>
        <v>118707</v>
      </c>
      <c r="CD226" s="490">
        <f t="shared" si="373"/>
        <v>119193</v>
      </c>
      <c r="CE226" s="814">
        <f t="shared" si="373"/>
        <v>119171</v>
      </c>
      <c r="CF226" s="816">
        <f t="shared" si="373"/>
        <v>119171</v>
      </c>
      <c r="CG226" s="490">
        <f t="shared" si="373"/>
        <v>122776</v>
      </c>
      <c r="CH226" s="490">
        <f t="shared" si="373"/>
        <v>123526</v>
      </c>
      <c r="CI226" s="490">
        <f t="shared" si="373"/>
        <v>126425</v>
      </c>
      <c r="CJ226" s="814">
        <f t="shared" si="373"/>
        <v>132854</v>
      </c>
      <c r="CK226" s="816">
        <f t="shared" si="373"/>
        <v>132854</v>
      </c>
      <c r="CL226" s="490">
        <f t="shared" si="373"/>
        <v>140995</v>
      </c>
      <c r="CM226" s="490">
        <f t="shared" si="373"/>
        <v>139914</v>
      </c>
      <c r="CN226" s="490">
        <f t="shared" si="373"/>
        <v>137224</v>
      </c>
      <c r="CO226" s="814">
        <f t="shared" si="373"/>
        <v>142970</v>
      </c>
      <c r="CP226" s="816">
        <f t="shared" si="373"/>
        <v>142970</v>
      </c>
      <c r="CQ226" s="490">
        <f t="shared" si="373"/>
        <v>145977</v>
      </c>
      <c r="CR226" s="490">
        <f t="shared" si="373"/>
        <v>146009</v>
      </c>
      <c r="CS226" s="490">
        <f t="shared" si="373"/>
        <v>149112</v>
      </c>
      <c r="CT226" s="814">
        <f t="shared" si="373"/>
        <v>154287</v>
      </c>
      <c r="CU226" s="816">
        <f t="shared" si="373"/>
        <v>154287</v>
      </c>
      <c r="CV226" s="1024">
        <f t="shared" si="373"/>
        <v>154287</v>
      </c>
      <c r="CW226" s="490">
        <f t="shared" ref="CW226:DC226" si="374">+CW88+CW89+CW93+CW94</f>
        <v>154287</v>
      </c>
      <c r="CX226" s="490">
        <f t="shared" si="374"/>
        <v>154287</v>
      </c>
      <c r="CY226" s="814">
        <f t="shared" si="374"/>
        <v>154287</v>
      </c>
      <c r="CZ226" s="816">
        <f t="shared" si="374"/>
        <v>154287</v>
      </c>
      <c r="DA226" s="816">
        <f t="shared" si="374"/>
        <v>154287</v>
      </c>
      <c r="DB226" s="816">
        <f t="shared" si="374"/>
        <v>154287</v>
      </c>
      <c r="DC226" s="816">
        <f t="shared" si="374"/>
        <v>154287</v>
      </c>
      <c r="DD226" s="490"/>
      <c r="DE226" s="490"/>
      <c r="DF226" s="490"/>
      <c r="DG226" s="490"/>
      <c r="DH226" s="490"/>
      <c r="DI226" s="491"/>
      <c r="DJ226" s="491"/>
      <c r="DK226" s="490"/>
      <c r="DL226" s="490"/>
      <c r="DM226" s="490"/>
      <c r="DU226" s="492"/>
      <c r="DV226" s="492"/>
      <c r="DW226" s="492"/>
      <c r="DX226" s="492"/>
      <c r="DY226" s="492"/>
      <c r="DZ226" s="492"/>
      <c r="EA226" s="492"/>
      <c r="EB226" s="492"/>
      <c r="EC226" s="492"/>
      <c r="ED226" s="492"/>
      <c r="EE226" s="492"/>
      <c r="EF226" s="492"/>
      <c r="EG226" s="492"/>
      <c r="EH226" s="492"/>
      <c r="EI226" s="492"/>
      <c r="EJ226" s="492"/>
      <c r="EK226" s="492"/>
      <c r="EL226" s="492"/>
      <c r="EM226" s="492"/>
      <c r="EN226" s="492"/>
      <c r="EO226" s="492"/>
      <c r="EP226" s="492"/>
      <c r="EQ226" s="492"/>
      <c r="ER226" s="492"/>
      <c r="ES226" s="492"/>
      <c r="ET226" s="492"/>
      <c r="EU226" s="492"/>
      <c r="EV226" s="492"/>
      <c r="EW226" s="492"/>
      <c r="EX226" s="492"/>
      <c r="EY226" s="492"/>
      <c r="EZ226" s="492"/>
      <c r="FA226" s="492"/>
      <c r="FB226" s="492"/>
      <c r="FC226" s="492"/>
      <c r="FD226" s="492"/>
      <c r="FE226" s="492"/>
      <c r="FF226" s="492"/>
      <c r="FG226" s="492"/>
      <c r="FH226" s="492"/>
      <c r="FI226" s="492"/>
      <c r="FJ226" s="492"/>
      <c r="FK226" s="492"/>
      <c r="FL226" s="492"/>
      <c r="FM226" s="492"/>
      <c r="FN226" s="492"/>
      <c r="FO226" s="492"/>
      <c r="FP226" s="492"/>
      <c r="FQ226" s="492"/>
      <c r="FR226" s="492"/>
      <c r="FS226" s="492"/>
      <c r="FT226" s="492"/>
      <c r="FU226" s="492"/>
      <c r="FV226" s="492"/>
      <c r="FW226" s="492"/>
      <c r="FX226" s="492"/>
      <c r="FY226" s="492"/>
      <c r="FZ226" s="492"/>
      <c r="GA226" s="492"/>
      <c r="GB226" s="492"/>
      <c r="GC226" s="492"/>
      <c r="GD226" s="492"/>
      <c r="GE226" s="492"/>
      <c r="GF226" s="492"/>
      <c r="GG226" s="492"/>
      <c r="GH226" s="492"/>
      <c r="GI226" s="492"/>
      <c r="GJ226" s="492"/>
      <c r="GK226" s="492"/>
      <c r="GL226" s="492"/>
      <c r="GM226" s="492"/>
      <c r="GN226" s="492"/>
      <c r="GO226" s="492"/>
      <c r="GP226" s="492"/>
      <c r="GQ226" s="492"/>
      <c r="GR226" s="492"/>
      <c r="GS226" s="492"/>
      <c r="GT226" s="492"/>
      <c r="GU226" s="492"/>
      <c r="GV226" s="492"/>
      <c r="GW226" s="492"/>
      <c r="GX226" s="492"/>
      <c r="GY226" s="492"/>
      <c r="GZ226" s="492"/>
      <c r="HA226" s="492"/>
      <c r="HB226" s="492"/>
      <c r="HC226" s="492"/>
      <c r="HD226" s="492"/>
      <c r="HE226" s="492"/>
      <c r="HF226" s="492"/>
      <c r="HG226" s="492"/>
      <c r="HH226" s="492"/>
      <c r="HI226" s="492"/>
      <c r="HJ226" s="492"/>
      <c r="HK226" s="492"/>
      <c r="HL226" s="492"/>
      <c r="HM226" s="492"/>
      <c r="HN226" s="492"/>
      <c r="HO226" s="492"/>
      <c r="HP226" s="492"/>
      <c r="HQ226" s="492"/>
      <c r="HR226" s="492"/>
      <c r="HS226" s="492"/>
      <c r="HT226" s="492"/>
      <c r="HU226" s="492"/>
      <c r="HV226" s="492"/>
      <c r="HW226" s="492"/>
      <c r="HX226" s="492"/>
      <c r="HY226" s="492"/>
      <c r="HZ226" s="492"/>
      <c r="IA226" s="492"/>
      <c r="IB226" s="492"/>
      <c r="IC226" s="492"/>
      <c r="ID226" s="492"/>
      <c r="IE226" s="492"/>
      <c r="IF226" s="492"/>
      <c r="IG226" s="492"/>
      <c r="IH226" s="492"/>
      <c r="II226" s="492"/>
      <c r="IJ226" s="492"/>
      <c r="IK226" s="492"/>
      <c r="IL226" s="492"/>
      <c r="IM226" s="492"/>
      <c r="IN226" s="492"/>
      <c r="IO226" s="492"/>
      <c r="IP226" s="492"/>
      <c r="IQ226" s="492"/>
      <c r="IR226" s="492"/>
      <c r="IS226" s="492"/>
      <c r="IT226" s="492"/>
      <c r="IU226" s="492"/>
    </row>
    <row r="227" spans="1:255" ht="13.5" thickBot="1">
      <c r="A227" s="1109">
        <f t="shared" si="360"/>
        <v>213</v>
      </c>
      <c r="B227" s="10"/>
      <c r="C227" s="317" t="s">
        <v>840</v>
      </c>
      <c r="D227" s="2"/>
      <c r="E227" s="814">
        <f t="shared" ref="E227:AJ227" si="375">+E68+E69</f>
        <v>19649</v>
      </c>
      <c r="F227" s="816">
        <f t="shared" si="375"/>
        <v>21410</v>
      </c>
      <c r="G227" s="816">
        <f t="shared" si="375"/>
        <v>24660</v>
      </c>
      <c r="H227" s="816">
        <f t="shared" si="375"/>
        <v>25924</v>
      </c>
      <c r="I227" s="816">
        <f t="shared" si="375"/>
        <v>24057</v>
      </c>
      <c r="J227" s="490">
        <f t="shared" si="375"/>
        <v>25219</v>
      </c>
      <c r="K227" s="490">
        <f t="shared" si="375"/>
        <v>27814</v>
      </c>
      <c r="L227" s="490">
        <f t="shared" si="375"/>
        <v>21661</v>
      </c>
      <c r="M227" s="490">
        <f t="shared" si="375"/>
        <v>18784</v>
      </c>
      <c r="N227" s="814">
        <f t="shared" si="375"/>
        <v>18784</v>
      </c>
      <c r="O227" s="490">
        <f t="shared" si="375"/>
        <v>17858</v>
      </c>
      <c r="P227" s="490">
        <f t="shared" si="375"/>
        <v>18770</v>
      </c>
      <c r="Q227" s="490">
        <f t="shared" si="375"/>
        <v>17929</v>
      </c>
      <c r="R227" s="490">
        <f t="shared" si="375"/>
        <v>18774</v>
      </c>
      <c r="S227" s="814">
        <f t="shared" si="375"/>
        <v>18774</v>
      </c>
      <c r="T227" s="490">
        <f t="shared" si="375"/>
        <v>28051</v>
      </c>
      <c r="U227" s="490">
        <f t="shared" si="375"/>
        <v>28686</v>
      </c>
      <c r="V227" s="490">
        <f t="shared" si="375"/>
        <v>32885</v>
      </c>
      <c r="W227" s="814">
        <f t="shared" si="375"/>
        <v>30492</v>
      </c>
      <c r="X227" s="816">
        <f t="shared" si="375"/>
        <v>30492</v>
      </c>
      <c r="Y227" s="490">
        <f t="shared" si="375"/>
        <v>37175</v>
      </c>
      <c r="Z227" s="490">
        <f t="shared" si="375"/>
        <v>38015</v>
      </c>
      <c r="AA227" s="490">
        <f t="shared" si="375"/>
        <v>48378</v>
      </c>
      <c r="AB227" s="814">
        <f t="shared" si="375"/>
        <v>39314</v>
      </c>
      <c r="AC227" s="816">
        <f t="shared" si="375"/>
        <v>39314</v>
      </c>
      <c r="AD227" s="490">
        <f t="shared" si="375"/>
        <v>36877</v>
      </c>
      <c r="AE227" s="490">
        <f t="shared" si="375"/>
        <v>33658</v>
      </c>
      <c r="AF227" s="490">
        <f t="shared" si="375"/>
        <v>31330</v>
      </c>
      <c r="AG227" s="814">
        <f t="shared" si="375"/>
        <v>32835</v>
      </c>
      <c r="AH227" s="816">
        <f t="shared" si="375"/>
        <v>32835</v>
      </c>
      <c r="AI227" s="490">
        <f t="shared" si="375"/>
        <v>34323</v>
      </c>
      <c r="AJ227" s="490">
        <f t="shared" si="375"/>
        <v>39481</v>
      </c>
      <c r="AK227" s="490">
        <f t="shared" ref="AK227:BP227" si="376">+AK68+AK69</f>
        <v>37393</v>
      </c>
      <c r="AL227" s="814">
        <f t="shared" si="376"/>
        <v>42539</v>
      </c>
      <c r="AM227" s="816">
        <f t="shared" si="376"/>
        <v>42539</v>
      </c>
      <c r="AN227" s="490">
        <f t="shared" si="376"/>
        <v>39071</v>
      </c>
      <c r="AO227" s="490">
        <f t="shared" si="376"/>
        <v>40618</v>
      </c>
      <c r="AP227" s="490">
        <f t="shared" si="376"/>
        <v>40627</v>
      </c>
      <c r="AQ227" s="814">
        <f t="shared" si="376"/>
        <v>55624</v>
      </c>
      <c r="AR227" s="816">
        <f t="shared" si="376"/>
        <v>55624</v>
      </c>
      <c r="AS227" s="490">
        <f t="shared" si="376"/>
        <v>50020</v>
      </c>
      <c r="AT227" s="490">
        <f t="shared" si="376"/>
        <v>53194</v>
      </c>
      <c r="AU227" s="490">
        <f t="shared" si="376"/>
        <v>46972</v>
      </c>
      <c r="AV227" s="814">
        <f t="shared" si="376"/>
        <v>50798</v>
      </c>
      <c r="AW227" s="816">
        <f t="shared" si="376"/>
        <v>50798</v>
      </c>
      <c r="AX227" s="490">
        <f t="shared" si="376"/>
        <v>49090</v>
      </c>
      <c r="AY227" s="490">
        <f t="shared" si="376"/>
        <v>49938</v>
      </c>
      <c r="AZ227" s="490">
        <f t="shared" si="376"/>
        <v>41801</v>
      </c>
      <c r="BA227" s="814">
        <f t="shared" si="376"/>
        <v>39460</v>
      </c>
      <c r="BB227" s="814">
        <f t="shared" si="376"/>
        <v>39460</v>
      </c>
      <c r="BC227" s="490">
        <f t="shared" si="376"/>
        <v>41456</v>
      </c>
      <c r="BD227" s="490">
        <f t="shared" si="376"/>
        <v>41134</v>
      </c>
      <c r="BE227" s="490">
        <f t="shared" si="376"/>
        <v>48366</v>
      </c>
      <c r="BF227" s="814">
        <f t="shared" si="376"/>
        <v>42281</v>
      </c>
      <c r="BG227" s="816">
        <f t="shared" si="376"/>
        <v>42281</v>
      </c>
      <c r="BH227" s="490">
        <f t="shared" si="376"/>
        <v>46239</v>
      </c>
      <c r="BI227" s="490">
        <f t="shared" si="376"/>
        <v>39726</v>
      </c>
      <c r="BJ227" s="490">
        <f t="shared" si="376"/>
        <v>44148</v>
      </c>
      <c r="BK227" s="814">
        <f t="shared" si="376"/>
        <v>35570</v>
      </c>
      <c r="BL227" s="816">
        <f t="shared" si="376"/>
        <v>35570</v>
      </c>
      <c r="BM227" s="490">
        <f t="shared" si="376"/>
        <v>34866</v>
      </c>
      <c r="BN227" s="490">
        <f t="shared" si="376"/>
        <v>33521</v>
      </c>
      <c r="BO227" s="490">
        <f t="shared" si="376"/>
        <v>33192</v>
      </c>
      <c r="BP227" s="814">
        <f t="shared" si="376"/>
        <v>35766</v>
      </c>
      <c r="BQ227" s="814">
        <f t="shared" ref="BQ227:CV227" si="377">+BQ68+BQ69</f>
        <v>35766</v>
      </c>
      <c r="BR227" s="490">
        <f t="shared" si="377"/>
        <v>36027</v>
      </c>
      <c r="BS227" s="490">
        <f t="shared" si="377"/>
        <v>35600</v>
      </c>
      <c r="BT227" s="490">
        <f t="shared" si="377"/>
        <v>35535</v>
      </c>
      <c r="BU227" s="814">
        <f t="shared" si="377"/>
        <v>35943</v>
      </c>
      <c r="BV227" s="816">
        <f t="shared" si="377"/>
        <v>35943</v>
      </c>
      <c r="BW227" s="490">
        <f t="shared" si="377"/>
        <v>34341</v>
      </c>
      <c r="BX227" s="490">
        <f t="shared" si="377"/>
        <v>36706</v>
      </c>
      <c r="BY227" s="490">
        <f t="shared" si="377"/>
        <v>37642</v>
      </c>
      <c r="BZ227" s="814">
        <f t="shared" si="377"/>
        <v>36568</v>
      </c>
      <c r="CA227" s="816">
        <f t="shared" si="377"/>
        <v>36568</v>
      </c>
      <c r="CB227" s="490">
        <f t="shared" si="377"/>
        <v>36529</v>
      </c>
      <c r="CC227" s="490">
        <f t="shared" si="377"/>
        <v>35669</v>
      </c>
      <c r="CD227" s="490">
        <f t="shared" si="377"/>
        <v>33963</v>
      </c>
      <c r="CE227" s="814">
        <f t="shared" si="377"/>
        <v>31150</v>
      </c>
      <c r="CF227" s="816">
        <f t="shared" si="377"/>
        <v>31150</v>
      </c>
      <c r="CG227" s="490">
        <f t="shared" si="377"/>
        <v>33100</v>
      </c>
      <c r="CH227" s="490">
        <f t="shared" si="377"/>
        <v>31302</v>
      </c>
      <c r="CI227" s="490">
        <f t="shared" si="377"/>
        <v>31847</v>
      </c>
      <c r="CJ227" s="814">
        <f t="shared" si="377"/>
        <v>35176</v>
      </c>
      <c r="CK227" s="816">
        <f t="shared" si="377"/>
        <v>35176</v>
      </c>
      <c r="CL227" s="490">
        <f t="shared" si="377"/>
        <v>39473</v>
      </c>
      <c r="CM227" s="490">
        <f t="shared" si="377"/>
        <v>39297</v>
      </c>
      <c r="CN227" s="490">
        <f t="shared" si="377"/>
        <v>34165</v>
      </c>
      <c r="CO227" s="814">
        <f t="shared" si="377"/>
        <v>38827</v>
      </c>
      <c r="CP227" s="816">
        <f t="shared" si="377"/>
        <v>38827</v>
      </c>
      <c r="CQ227" s="490">
        <f t="shared" si="377"/>
        <v>39989</v>
      </c>
      <c r="CR227" s="490">
        <f t="shared" si="377"/>
        <v>39109</v>
      </c>
      <c r="CS227" s="490">
        <f t="shared" si="377"/>
        <v>38081</v>
      </c>
      <c r="CT227" s="814">
        <f t="shared" si="377"/>
        <v>38927</v>
      </c>
      <c r="CU227" s="816">
        <f t="shared" si="377"/>
        <v>38927</v>
      </c>
      <c r="CV227" s="1024">
        <f t="shared" si="377"/>
        <v>37593.592781862157</v>
      </c>
      <c r="CW227" s="490">
        <f t="shared" ref="CW227:DC227" si="378">+CW68+CW69</f>
        <v>38064.230747731068</v>
      </c>
      <c r="CX227" s="490">
        <f t="shared" si="378"/>
        <v>37893.631374383382</v>
      </c>
      <c r="CY227" s="814">
        <f t="shared" si="378"/>
        <v>37833.277321241592</v>
      </c>
      <c r="CZ227" s="816">
        <f t="shared" si="378"/>
        <v>37833.277321241592</v>
      </c>
      <c r="DA227" s="816">
        <f t="shared" si="378"/>
        <v>37376.281010430022</v>
      </c>
      <c r="DB227" s="816">
        <f t="shared" si="378"/>
        <v>36648.863234885051</v>
      </c>
      <c r="DC227" s="816">
        <f t="shared" si="378"/>
        <v>36709.516421965986</v>
      </c>
      <c r="DD227" s="490"/>
      <c r="DE227" s="490"/>
      <c r="DF227" s="490"/>
      <c r="DG227" s="490"/>
      <c r="DH227" s="490"/>
      <c r="DI227" s="491"/>
      <c r="DJ227" s="491"/>
      <c r="DK227" s="490"/>
      <c r="DL227" s="490"/>
      <c r="DM227" s="490"/>
      <c r="DU227" s="492"/>
      <c r="DV227" s="492"/>
      <c r="DW227" s="492"/>
      <c r="DX227" s="492"/>
      <c r="DY227" s="492"/>
      <c r="DZ227" s="492"/>
      <c r="EA227" s="492"/>
      <c r="EB227" s="492"/>
      <c r="EC227" s="492"/>
      <c r="ED227" s="492"/>
      <c r="EE227" s="492"/>
      <c r="EF227" s="492"/>
      <c r="EG227" s="492"/>
      <c r="EH227" s="492"/>
      <c r="EI227" s="492"/>
      <c r="EJ227" s="492"/>
      <c r="EK227" s="492"/>
      <c r="EL227" s="492"/>
      <c r="EM227" s="492"/>
      <c r="EN227" s="492"/>
      <c r="EO227" s="492"/>
      <c r="EP227" s="492"/>
      <c r="EQ227" s="492"/>
      <c r="ER227" s="492"/>
      <c r="ES227" s="492"/>
      <c r="ET227" s="492"/>
      <c r="EU227" s="492"/>
      <c r="EV227" s="492"/>
      <c r="EW227" s="492"/>
      <c r="EX227" s="492"/>
      <c r="EY227" s="492"/>
      <c r="EZ227" s="492"/>
      <c r="FA227" s="492"/>
      <c r="FB227" s="492"/>
      <c r="FC227" s="492"/>
      <c r="FD227" s="492"/>
      <c r="FE227" s="492"/>
      <c r="FF227" s="492"/>
      <c r="FG227" s="492"/>
      <c r="FH227" s="492"/>
      <c r="FI227" s="492"/>
      <c r="FJ227" s="492"/>
      <c r="FK227" s="492"/>
      <c r="FL227" s="492"/>
      <c r="FM227" s="492"/>
      <c r="FN227" s="492"/>
      <c r="FO227" s="492"/>
      <c r="FP227" s="492"/>
      <c r="FQ227" s="492"/>
      <c r="FR227" s="492"/>
      <c r="FS227" s="492"/>
      <c r="FT227" s="492"/>
      <c r="FU227" s="492"/>
      <c r="FV227" s="492"/>
      <c r="FW227" s="492"/>
      <c r="FX227" s="492"/>
      <c r="FY227" s="492"/>
      <c r="FZ227" s="492"/>
      <c r="GA227" s="492"/>
      <c r="GB227" s="492"/>
      <c r="GC227" s="492"/>
      <c r="GD227" s="492"/>
      <c r="GE227" s="492"/>
      <c r="GF227" s="492"/>
      <c r="GG227" s="492"/>
      <c r="GH227" s="492"/>
      <c r="GI227" s="492"/>
      <c r="GJ227" s="492"/>
      <c r="GK227" s="492"/>
      <c r="GL227" s="492"/>
      <c r="GM227" s="492"/>
      <c r="GN227" s="492"/>
      <c r="GO227" s="492"/>
      <c r="GP227" s="492"/>
      <c r="GQ227" s="492"/>
      <c r="GR227" s="492"/>
      <c r="GS227" s="492"/>
      <c r="GT227" s="492"/>
      <c r="GU227" s="492"/>
      <c r="GV227" s="492"/>
      <c r="GW227" s="492"/>
      <c r="GX227" s="492"/>
      <c r="GY227" s="492"/>
      <c r="GZ227" s="492"/>
      <c r="HA227" s="492"/>
      <c r="HB227" s="492"/>
      <c r="HC227" s="492"/>
      <c r="HD227" s="492"/>
      <c r="HE227" s="492"/>
      <c r="HF227" s="492"/>
      <c r="HG227" s="492"/>
      <c r="HH227" s="492"/>
      <c r="HI227" s="492"/>
      <c r="HJ227" s="492"/>
      <c r="HK227" s="492"/>
      <c r="HL227" s="492"/>
      <c r="HM227" s="492"/>
      <c r="HN227" s="492"/>
      <c r="HO227" s="492"/>
      <c r="HP227" s="492"/>
      <c r="HQ227" s="492"/>
      <c r="HR227" s="492"/>
      <c r="HS227" s="492"/>
      <c r="HT227" s="492"/>
      <c r="HU227" s="492"/>
      <c r="HV227" s="492"/>
      <c r="HW227" s="492"/>
      <c r="HX227" s="492"/>
      <c r="HY227" s="492"/>
      <c r="HZ227" s="492"/>
      <c r="IA227" s="492"/>
      <c r="IB227" s="492"/>
      <c r="IC227" s="492"/>
      <c r="ID227" s="492"/>
      <c r="IE227" s="492"/>
      <c r="IF227" s="492"/>
      <c r="IG227" s="492"/>
      <c r="IH227" s="492"/>
      <c r="II227" s="492"/>
      <c r="IJ227" s="492"/>
      <c r="IK227" s="492"/>
      <c r="IL227" s="492"/>
      <c r="IM227" s="492"/>
      <c r="IN227" s="492"/>
      <c r="IO227" s="492"/>
      <c r="IP227" s="492"/>
      <c r="IQ227" s="492"/>
      <c r="IR227" s="492"/>
      <c r="IS227" s="492"/>
      <c r="IT227" s="492"/>
      <c r="IU227" s="492"/>
    </row>
    <row r="228" spans="1:255" ht="12" customHeight="1" thickBot="1">
      <c r="A228" s="1109">
        <f t="shared" si="360"/>
        <v>214</v>
      </c>
      <c r="B228" s="10"/>
      <c r="C228" s="826" t="s">
        <v>841</v>
      </c>
      <c r="D228" s="53"/>
      <c r="E228" s="493">
        <f>E226-E227</f>
        <v>128975</v>
      </c>
      <c r="F228" s="493">
        <f t="shared" ref="F228:BQ228" si="379">F226-F227</f>
        <v>136951</v>
      </c>
      <c r="G228" s="493">
        <f t="shared" si="379"/>
        <v>143587</v>
      </c>
      <c r="H228" s="493">
        <f t="shared" si="379"/>
        <v>106234</v>
      </c>
      <c r="I228" s="493">
        <f t="shared" si="379"/>
        <v>127598</v>
      </c>
      <c r="J228" s="494">
        <f t="shared" si="379"/>
        <v>129485</v>
      </c>
      <c r="K228" s="494">
        <f t="shared" si="379"/>
        <v>132053</v>
      </c>
      <c r="L228" s="494">
        <f t="shared" si="379"/>
        <v>140105</v>
      </c>
      <c r="M228" s="494">
        <f t="shared" si="379"/>
        <v>146772</v>
      </c>
      <c r="N228" s="493">
        <f t="shared" si="379"/>
        <v>146772</v>
      </c>
      <c r="O228" s="494">
        <f t="shared" si="379"/>
        <v>149507</v>
      </c>
      <c r="P228" s="494">
        <f t="shared" si="379"/>
        <v>155393</v>
      </c>
      <c r="Q228" s="494">
        <f t="shared" si="379"/>
        <v>148443</v>
      </c>
      <c r="R228" s="494">
        <f t="shared" si="379"/>
        <v>148029</v>
      </c>
      <c r="S228" s="493">
        <f t="shared" si="379"/>
        <v>148029</v>
      </c>
      <c r="T228" s="494">
        <f t="shared" si="379"/>
        <v>131166</v>
      </c>
      <c r="U228" s="494">
        <f t="shared" si="379"/>
        <v>136128</v>
      </c>
      <c r="V228" s="494">
        <f t="shared" si="379"/>
        <v>129321</v>
      </c>
      <c r="W228" s="819">
        <f t="shared" si="379"/>
        <v>131720</v>
      </c>
      <c r="X228" s="493">
        <f t="shared" si="379"/>
        <v>131720</v>
      </c>
      <c r="Y228" s="494">
        <f t="shared" si="379"/>
        <v>121835</v>
      </c>
      <c r="Z228" s="494">
        <f t="shared" si="379"/>
        <v>131423</v>
      </c>
      <c r="AA228" s="494">
        <f t="shared" si="379"/>
        <v>131858</v>
      </c>
      <c r="AB228" s="819">
        <f t="shared" si="379"/>
        <v>140490</v>
      </c>
      <c r="AC228" s="493">
        <f t="shared" si="379"/>
        <v>140490</v>
      </c>
      <c r="AD228" s="494">
        <f t="shared" si="379"/>
        <v>134569</v>
      </c>
      <c r="AE228" s="494">
        <f t="shared" si="379"/>
        <v>134443</v>
      </c>
      <c r="AF228" s="494">
        <f t="shared" si="379"/>
        <v>133377</v>
      </c>
      <c r="AG228" s="819">
        <f t="shared" si="379"/>
        <v>129590</v>
      </c>
      <c r="AH228" s="493">
        <f t="shared" si="379"/>
        <v>129590</v>
      </c>
      <c r="AI228" s="494">
        <f t="shared" si="379"/>
        <v>126939</v>
      </c>
      <c r="AJ228" s="494">
        <f t="shared" si="379"/>
        <v>118960</v>
      </c>
      <c r="AK228" s="495">
        <f t="shared" si="379"/>
        <v>104345</v>
      </c>
      <c r="AL228" s="819">
        <f t="shared" si="379"/>
        <v>110739</v>
      </c>
      <c r="AM228" s="493">
        <f t="shared" si="379"/>
        <v>110739</v>
      </c>
      <c r="AN228" s="494">
        <f t="shared" si="379"/>
        <v>112033</v>
      </c>
      <c r="AO228" s="494">
        <f t="shared" si="379"/>
        <v>112384</v>
      </c>
      <c r="AP228" s="494">
        <f t="shared" si="379"/>
        <v>113783</v>
      </c>
      <c r="AQ228" s="819">
        <f t="shared" si="379"/>
        <v>116208</v>
      </c>
      <c r="AR228" s="493">
        <f t="shared" si="379"/>
        <v>116208</v>
      </c>
      <c r="AS228" s="495">
        <f t="shared" si="379"/>
        <v>117159</v>
      </c>
      <c r="AT228" s="494">
        <f t="shared" si="379"/>
        <v>116842</v>
      </c>
      <c r="AU228" s="494">
        <f t="shared" si="379"/>
        <v>116241</v>
      </c>
      <c r="AV228" s="819">
        <f t="shared" si="379"/>
        <v>117989</v>
      </c>
      <c r="AW228" s="493">
        <f t="shared" si="379"/>
        <v>117989</v>
      </c>
      <c r="AX228" s="494">
        <f t="shared" si="379"/>
        <v>120115</v>
      </c>
      <c r="AY228" s="494">
        <f t="shared" si="379"/>
        <v>116087</v>
      </c>
      <c r="AZ228" s="494">
        <f t="shared" si="379"/>
        <v>114992</v>
      </c>
      <c r="BA228" s="819">
        <f t="shared" si="379"/>
        <v>113117</v>
      </c>
      <c r="BB228" s="813">
        <f t="shared" si="379"/>
        <v>113117</v>
      </c>
      <c r="BC228" s="494">
        <f t="shared" si="379"/>
        <v>104130</v>
      </c>
      <c r="BD228" s="494">
        <f t="shared" si="379"/>
        <v>91932</v>
      </c>
      <c r="BE228" s="494">
        <f t="shared" si="379"/>
        <v>83651</v>
      </c>
      <c r="BF228" s="819">
        <f t="shared" si="379"/>
        <v>89354</v>
      </c>
      <c r="BG228" s="493">
        <f t="shared" si="379"/>
        <v>89354</v>
      </c>
      <c r="BH228" s="494">
        <f t="shared" si="379"/>
        <v>83866</v>
      </c>
      <c r="BI228" s="494">
        <f t="shared" si="379"/>
        <v>77659</v>
      </c>
      <c r="BJ228" s="494">
        <f t="shared" si="379"/>
        <v>72543</v>
      </c>
      <c r="BK228" s="819">
        <f t="shared" si="379"/>
        <v>68418</v>
      </c>
      <c r="BL228" s="493">
        <f t="shared" si="379"/>
        <v>68418</v>
      </c>
      <c r="BM228" s="494">
        <f t="shared" si="379"/>
        <v>66772</v>
      </c>
      <c r="BN228" s="494">
        <f t="shared" si="379"/>
        <v>65029</v>
      </c>
      <c r="BO228" s="494">
        <f t="shared" si="379"/>
        <v>61939</v>
      </c>
      <c r="BP228" s="819">
        <f t="shared" si="379"/>
        <v>63722</v>
      </c>
      <c r="BQ228" s="813">
        <f t="shared" si="379"/>
        <v>63722</v>
      </c>
      <c r="BR228" s="494">
        <f t="shared" ref="BR228:CX228" si="380">BR226-BR227</f>
        <v>64463</v>
      </c>
      <c r="BS228" s="494">
        <f t="shared" si="380"/>
        <v>64297</v>
      </c>
      <c r="BT228" s="494">
        <f t="shared" si="380"/>
        <v>65069</v>
      </c>
      <c r="BU228" s="819">
        <f t="shared" si="380"/>
        <v>69115</v>
      </c>
      <c r="BV228" s="493">
        <f t="shared" si="380"/>
        <v>69115</v>
      </c>
      <c r="BW228" s="496">
        <f t="shared" si="380"/>
        <v>73015</v>
      </c>
      <c r="BX228" s="496">
        <f t="shared" si="380"/>
        <v>71151</v>
      </c>
      <c r="BY228" s="496">
        <f t="shared" si="380"/>
        <v>72980</v>
      </c>
      <c r="BZ228" s="820">
        <f t="shared" si="380"/>
        <v>78120</v>
      </c>
      <c r="CA228" s="497">
        <f t="shared" si="380"/>
        <v>78120</v>
      </c>
      <c r="CB228" s="496">
        <f t="shared" si="380"/>
        <v>80475</v>
      </c>
      <c r="CC228" s="496">
        <f t="shared" si="380"/>
        <v>83038</v>
      </c>
      <c r="CD228" s="496">
        <f t="shared" si="380"/>
        <v>85230</v>
      </c>
      <c r="CE228" s="820">
        <f t="shared" si="380"/>
        <v>88021</v>
      </c>
      <c r="CF228" s="497">
        <f t="shared" si="380"/>
        <v>88021</v>
      </c>
      <c r="CG228" s="496">
        <f t="shared" si="380"/>
        <v>89676</v>
      </c>
      <c r="CH228" s="496">
        <f t="shared" si="380"/>
        <v>92224</v>
      </c>
      <c r="CI228" s="496">
        <f t="shared" si="380"/>
        <v>94578</v>
      </c>
      <c r="CJ228" s="820">
        <f t="shared" si="380"/>
        <v>97678</v>
      </c>
      <c r="CK228" s="498">
        <f t="shared" si="380"/>
        <v>97678</v>
      </c>
      <c r="CL228" s="496">
        <f t="shared" si="380"/>
        <v>101522</v>
      </c>
      <c r="CM228" s="496">
        <f t="shared" si="380"/>
        <v>100617</v>
      </c>
      <c r="CN228" s="496">
        <f t="shared" si="380"/>
        <v>103059</v>
      </c>
      <c r="CO228" s="820">
        <f t="shared" si="380"/>
        <v>104143</v>
      </c>
      <c r="CP228" s="498">
        <f t="shared" si="380"/>
        <v>104143</v>
      </c>
      <c r="CQ228" s="496">
        <f t="shared" si="380"/>
        <v>105988</v>
      </c>
      <c r="CR228" s="494">
        <f t="shared" si="380"/>
        <v>106900</v>
      </c>
      <c r="CS228" s="494">
        <f t="shared" si="380"/>
        <v>111031</v>
      </c>
      <c r="CT228" s="819">
        <f t="shared" si="380"/>
        <v>115360</v>
      </c>
      <c r="CU228" s="499">
        <f t="shared" si="380"/>
        <v>115360</v>
      </c>
      <c r="CV228" s="1025">
        <f t="shared" si="380"/>
        <v>116693.40721813784</v>
      </c>
      <c r="CW228" s="1026">
        <f t="shared" si="380"/>
        <v>116222.76925226893</v>
      </c>
      <c r="CX228" s="1026">
        <f t="shared" si="380"/>
        <v>116393.36862561663</v>
      </c>
      <c r="CY228" s="819">
        <f>CY226-CY227</f>
        <v>116453.72267875841</v>
      </c>
      <c r="CZ228" s="499">
        <f>CZ226-CZ227</f>
        <v>116453.72267875841</v>
      </c>
      <c r="DA228" s="499">
        <f>DA226-DA227</f>
        <v>116910.71898956998</v>
      </c>
      <c r="DB228" s="499">
        <f>DB226-DB227</f>
        <v>117638.13676511495</v>
      </c>
      <c r="DC228" s="499">
        <f>DC226-DC227</f>
        <v>117577.48357803401</v>
      </c>
      <c r="DD228" s="490"/>
      <c r="DE228" s="490"/>
      <c r="DF228" s="878"/>
      <c r="DG228" s="878"/>
      <c r="DH228" s="878"/>
      <c r="DI228" s="879"/>
      <c r="DJ228" s="879"/>
      <c r="DK228" s="490"/>
      <c r="DL228" s="490"/>
      <c r="DM228" s="490"/>
      <c r="DU228" s="492"/>
      <c r="DV228" s="492"/>
      <c r="DW228" s="492"/>
      <c r="DX228" s="492"/>
      <c r="DY228" s="492"/>
      <c r="DZ228" s="492"/>
      <c r="EA228" s="492"/>
      <c r="EB228" s="492"/>
      <c r="EC228" s="492"/>
      <c r="ED228" s="492"/>
      <c r="EE228" s="492"/>
      <c r="EF228" s="492"/>
      <c r="EG228" s="492"/>
      <c r="EH228" s="492"/>
      <c r="EI228" s="492"/>
      <c r="EJ228" s="492"/>
      <c r="EK228" s="492"/>
      <c r="EL228" s="492"/>
      <c r="EM228" s="492"/>
      <c r="EN228" s="492"/>
      <c r="EO228" s="492"/>
      <c r="EP228" s="492"/>
      <c r="EQ228" s="492"/>
      <c r="ER228" s="492"/>
      <c r="ES228" s="492"/>
      <c r="ET228" s="492"/>
      <c r="EU228" s="492"/>
      <c r="EV228" s="492"/>
      <c r="EW228" s="492"/>
      <c r="EX228" s="492"/>
      <c r="EY228" s="492"/>
      <c r="EZ228" s="492"/>
      <c r="FA228" s="492"/>
      <c r="FB228" s="492"/>
      <c r="FC228" s="492"/>
      <c r="FD228" s="492"/>
      <c r="FE228" s="492"/>
      <c r="FF228" s="492"/>
      <c r="FG228" s="492"/>
      <c r="FH228" s="492"/>
      <c r="FI228" s="492"/>
      <c r="FJ228" s="492"/>
      <c r="FK228" s="492"/>
      <c r="FL228" s="492"/>
      <c r="FM228" s="492"/>
      <c r="FN228" s="492"/>
      <c r="FO228" s="492"/>
      <c r="FP228" s="492"/>
      <c r="FQ228" s="492"/>
      <c r="FR228" s="492"/>
      <c r="FS228" s="492"/>
      <c r="FT228" s="492"/>
      <c r="FU228" s="492"/>
      <c r="FV228" s="492"/>
      <c r="FW228" s="492"/>
      <c r="FX228" s="492"/>
      <c r="FY228" s="492"/>
      <c r="FZ228" s="492"/>
      <c r="GA228" s="492"/>
      <c r="GB228" s="492"/>
      <c r="GC228" s="492"/>
      <c r="GD228" s="492"/>
      <c r="GE228" s="492"/>
      <c r="GF228" s="492"/>
      <c r="GG228" s="492"/>
      <c r="GH228" s="492"/>
      <c r="GI228" s="492"/>
      <c r="GJ228" s="492"/>
      <c r="GK228" s="492"/>
      <c r="GL228" s="492"/>
      <c r="GM228" s="492"/>
      <c r="GN228" s="492"/>
      <c r="GO228" s="492"/>
      <c r="GP228" s="492"/>
      <c r="GQ228" s="492"/>
      <c r="GR228" s="492"/>
      <c r="GS228" s="492"/>
      <c r="GT228" s="492"/>
      <c r="GU228" s="492"/>
      <c r="GV228" s="492"/>
      <c r="GW228" s="492"/>
      <c r="GX228" s="492"/>
      <c r="GY228" s="492"/>
      <c r="GZ228" s="492"/>
      <c r="HA228" s="492"/>
      <c r="HB228" s="492"/>
      <c r="HC228" s="492"/>
      <c r="HD228" s="492"/>
      <c r="HE228" s="492"/>
      <c r="HF228" s="492"/>
      <c r="HG228" s="492"/>
      <c r="HH228" s="492"/>
      <c r="HI228" s="492"/>
      <c r="HJ228" s="492"/>
      <c r="HK228" s="492"/>
      <c r="HL228" s="492"/>
      <c r="HM228" s="492"/>
      <c r="HN228" s="492"/>
      <c r="HO228" s="492"/>
      <c r="HP228" s="492"/>
      <c r="HQ228" s="492"/>
      <c r="HR228" s="492"/>
      <c r="HS228" s="492"/>
      <c r="HT228" s="492"/>
      <c r="HU228" s="492"/>
      <c r="HV228" s="492"/>
      <c r="HW228" s="492"/>
      <c r="HX228" s="492"/>
      <c r="HY228" s="492"/>
      <c r="HZ228" s="492"/>
      <c r="IA228" s="492"/>
      <c r="IB228" s="492"/>
      <c r="IC228" s="492"/>
      <c r="ID228" s="492"/>
      <c r="IE228" s="492"/>
      <c r="IF228" s="492"/>
      <c r="IG228" s="492"/>
      <c r="IH228" s="492"/>
      <c r="II228" s="492"/>
      <c r="IJ228" s="492"/>
      <c r="IK228" s="492"/>
      <c r="IL228" s="492"/>
      <c r="IM228" s="492"/>
      <c r="IN228" s="492"/>
      <c r="IO228" s="492"/>
      <c r="IP228" s="492"/>
      <c r="IQ228" s="492"/>
      <c r="IR228" s="492"/>
      <c r="IS228" s="492"/>
      <c r="IT228" s="492"/>
      <c r="IU228" s="492"/>
    </row>
    <row r="229" spans="1:255">
      <c r="A229" s="1109">
        <f t="shared" si="360"/>
        <v>215</v>
      </c>
      <c r="B229" s="10"/>
      <c r="C229" s="317"/>
      <c r="D229" s="2"/>
      <c r="E229" s="814"/>
      <c r="F229" s="816"/>
      <c r="G229" s="816"/>
      <c r="H229" s="816"/>
      <c r="I229" s="816"/>
      <c r="J229" s="490"/>
      <c r="K229" s="490"/>
      <c r="L229" s="490"/>
      <c r="M229" s="490"/>
      <c r="N229" s="814"/>
      <c r="O229" s="490"/>
      <c r="P229" s="490"/>
      <c r="Q229" s="490"/>
      <c r="R229" s="490"/>
      <c r="S229" s="814"/>
      <c r="T229" s="490"/>
      <c r="U229" s="490"/>
      <c r="V229" s="490"/>
      <c r="W229" s="814"/>
      <c r="X229" s="816"/>
      <c r="Y229" s="490"/>
      <c r="Z229" s="490"/>
      <c r="AA229" s="490"/>
      <c r="AB229" s="814"/>
      <c r="AC229" s="816"/>
      <c r="AD229" s="490"/>
      <c r="AE229" s="490"/>
      <c r="AF229" s="490"/>
      <c r="AG229" s="814"/>
      <c r="AH229" s="816"/>
      <c r="AI229" s="490"/>
      <c r="AJ229" s="490"/>
      <c r="AK229" s="490"/>
      <c r="AL229" s="814"/>
      <c r="AM229" s="816"/>
      <c r="AN229" s="490"/>
      <c r="AO229" s="490"/>
      <c r="AP229" s="490"/>
      <c r="AQ229" s="814"/>
      <c r="AR229" s="816"/>
      <c r="AS229" s="490"/>
      <c r="AT229" s="490"/>
      <c r="AU229" s="490"/>
      <c r="AV229" s="814"/>
      <c r="AW229" s="816"/>
      <c r="AX229" s="490"/>
      <c r="AY229" s="490"/>
      <c r="AZ229" s="490"/>
      <c r="BA229" s="814"/>
      <c r="BB229" s="814"/>
      <c r="BC229" s="490"/>
      <c r="BD229" s="490"/>
      <c r="BE229" s="490"/>
      <c r="BF229" s="814"/>
      <c r="BG229" s="816"/>
      <c r="BH229" s="490"/>
      <c r="BI229" s="490"/>
      <c r="BJ229" s="490"/>
      <c r="BK229" s="814"/>
      <c r="BL229" s="816"/>
      <c r="BM229" s="490"/>
      <c r="BN229" s="490"/>
      <c r="BO229" s="490"/>
      <c r="BP229" s="814"/>
      <c r="BQ229" s="814"/>
      <c r="BR229" s="490"/>
      <c r="BS229" s="490"/>
      <c r="BT229" s="490"/>
      <c r="BU229" s="814"/>
      <c r="BV229" s="816"/>
      <c r="BW229" s="490"/>
      <c r="BX229" s="490"/>
      <c r="BY229" s="490"/>
      <c r="BZ229" s="814"/>
      <c r="CA229" s="816"/>
      <c r="CB229" s="490"/>
      <c r="CC229" s="490"/>
      <c r="CD229" s="490"/>
      <c r="CE229" s="814"/>
      <c r="CF229" s="816"/>
      <c r="CG229" s="490"/>
      <c r="CH229" s="490"/>
      <c r="CI229" s="490"/>
      <c r="CJ229" s="814"/>
      <c r="CK229" s="816"/>
      <c r="CL229" s="490"/>
      <c r="CM229" s="490"/>
      <c r="CN229" s="490"/>
      <c r="CO229" s="814"/>
      <c r="CP229" s="816"/>
      <c r="CQ229" s="490"/>
      <c r="CR229" s="490"/>
      <c r="CS229" s="490"/>
      <c r="CT229" s="814"/>
      <c r="CU229" s="816"/>
      <c r="CV229" s="1024"/>
      <c r="CW229" s="490"/>
      <c r="CX229" s="490"/>
      <c r="CY229" s="814"/>
      <c r="CZ229" s="816"/>
      <c r="DA229" s="816"/>
      <c r="DB229" s="816"/>
      <c r="DC229" s="816"/>
      <c r="DD229" s="490"/>
      <c r="DE229" s="490"/>
      <c r="DF229" s="490"/>
      <c r="DG229" s="490"/>
      <c r="DH229" s="490"/>
      <c r="DI229" s="491"/>
      <c r="DJ229" s="491"/>
      <c r="DK229" s="490"/>
      <c r="DL229" s="490"/>
      <c r="DM229" s="490"/>
      <c r="DU229" s="492"/>
      <c r="DV229" s="492"/>
      <c r="DW229" s="492"/>
      <c r="DX229" s="492"/>
      <c r="DY229" s="492"/>
      <c r="DZ229" s="492"/>
      <c r="EA229" s="492"/>
      <c r="EB229" s="492"/>
      <c r="EC229" s="492"/>
      <c r="ED229" s="492"/>
      <c r="EE229" s="492"/>
      <c r="EF229" s="492"/>
      <c r="EG229" s="492"/>
      <c r="EH229" s="492"/>
      <c r="EI229" s="492"/>
      <c r="EJ229" s="492"/>
      <c r="EK229" s="492"/>
      <c r="EL229" s="492"/>
      <c r="EM229" s="492"/>
      <c r="EN229" s="492"/>
      <c r="EO229" s="492"/>
      <c r="EP229" s="492"/>
      <c r="EQ229" s="492"/>
      <c r="ER229" s="492"/>
      <c r="ES229" s="492"/>
      <c r="ET229" s="492"/>
      <c r="EU229" s="492"/>
      <c r="EV229" s="492"/>
      <c r="EW229" s="492"/>
      <c r="EX229" s="492"/>
      <c r="EY229" s="492"/>
      <c r="EZ229" s="492"/>
      <c r="FA229" s="492"/>
      <c r="FB229" s="492"/>
      <c r="FC229" s="492"/>
      <c r="FD229" s="492"/>
      <c r="FE229" s="492"/>
      <c r="FF229" s="492"/>
      <c r="FG229" s="492"/>
      <c r="FH229" s="492"/>
      <c r="FI229" s="492"/>
      <c r="FJ229" s="492"/>
      <c r="FK229" s="492"/>
      <c r="FL229" s="492"/>
      <c r="FM229" s="492"/>
      <c r="FN229" s="492"/>
      <c r="FO229" s="492"/>
      <c r="FP229" s="492"/>
      <c r="FQ229" s="492"/>
      <c r="FR229" s="492"/>
      <c r="FS229" s="492"/>
      <c r="FT229" s="492"/>
      <c r="FU229" s="492"/>
      <c r="FV229" s="492"/>
      <c r="FW229" s="492"/>
      <c r="FX229" s="492"/>
      <c r="FY229" s="492"/>
      <c r="FZ229" s="492"/>
      <c r="GA229" s="492"/>
      <c r="GB229" s="492"/>
      <c r="GC229" s="492"/>
      <c r="GD229" s="492"/>
      <c r="GE229" s="492"/>
      <c r="GF229" s="492"/>
      <c r="GG229" s="492"/>
      <c r="GH229" s="492"/>
      <c r="GI229" s="492"/>
      <c r="GJ229" s="492"/>
      <c r="GK229" s="492"/>
      <c r="GL229" s="492"/>
      <c r="GM229" s="492"/>
      <c r="GN229" s="492"/>
      <c r="GO229" s="492"/>
      <c r="GP229" s="492"/>
      <c r="GQ229" s="492"/>
      <c r="GR229" s="492"/>
      <c r="GS229" s="492"/>
      <c r="GT229" s="492"/>
      <c r="GU229" s="492"/>
      <c r="GV229" s="492"/>
      <c r="GW229" s="492"/>
      <c r="GX229" s="492"/>
      <c r="GY229" s="492"/>
      <c r="GZ229" s="492"/>
      <c r="HA229" s="492"/>
      <c r="HB229" s="492"/>
      <c r="HC229" s="492"/>
      <c r="HD229" s="492"/>
      <c r="HE229" s="492"/>
      <c r="HF229" s="492"/>
      <c r="HG229" s="492"/>
      <c r="HH229" s="492"/>
      <c r="HI229" s="492"/>
      <c r="HJ229" s="492"/>
      <c r="HK229" s="492"/>
      <c r="HL229" s="492"/>
      <c r="HM229" s="492"/>
      <c r="HN229" s="492"/>
      <c r="HO229" s="492"/>
      <c r="HP229" s="492"/>
      <c r="HQ229" s="492"/>
      <c r="HR229" s="492"/>
      <c r="HS229" s="492"/>
      <c r="HT229" s="492"/>
      <c r="HU229" s="492"/>
      <c r="HV229" s="492"/>
      <c r="HW229" s="492"/>
      <c r="HX229" s="492"/>
      <c r="HY229" s="492"/>
      <c r="HZ229" s="492"/>
      <c r="IA229" s="492"/>
      <c r="IB229" s="492"/>
      <c r="IC229" s="492"/>
      <c r="ID229" s="492"/>
      <c r="IE229" s="492"/>
      <c r="IF229" s="492"/>
      <c r="IG229" s="492"/>
      <c r="IH229" s="492"/>
      <c r="II229" s="492"/>
      <c r="IJ229" s="492"/>
      <c r="IK229" s="492"/>
      <c r="IL229" s="492"/>
      <c r="IM229" s="492"/>
      <c r="IN229" s="492"/>
      <c r="IO229" s="492"/>
      <c r="IP229" s="492"/>
      <c r="IQ229" s="492"/>
      <c r="IR229" s="492"/>
      <c r="IS229" s="492"/>
      <c r="IT229" s="492"/>
      <c r="IU229" s="492"/>
    </row>
    <row r="230" spans="1:255">
      <c r="A230" s="1109">
        <f t="shared" si="360"/>
        <v>216</v>
      </c>
      <c r="B230" s="10"/>
      <c r="C230" s="317" t="s">
        <v>842</v>
      </c>
      <c r="D230" s="2"/>
      <c r="E230" s="814"/>
      <c r="F230" s="66">
        <f>+-(F22+F30)/E228</f>
        <v>0.10144601666989726</v>
      </c>
      <c r="G230" s="66">
        <f>+-(G22+G30)/F228</f>
        <v>0.10025483567115245</v>
      </c>
      <c r="H230" s="66">
        <f>+-(H22+H30)/G228</f>
        <v>7.4261597498380766E-2</v>
      </c>
      <c r="I230" s="66">
        <f>+-(I22+I30)/H228</f>
        <v>9.8753694674021494E-2</v>
      </c>
      <c r="J230" s="183">
        <f>+-(J22+J30)*4/I228</f>
        <v>9.3575134406495397E-2</v>
      </c>
      <c r="K230" s="183">
        <f>+-(K22+K30)*4/J228</f>
        <v>9.4188516044329457E-2</v>
      </c>
      <c r="L230" s="183">
        <f>+-(L22+L30)*4/K228</f>
        <v>9.9959864599819773E-2</v>
      </c>
      <c r="M230" s="183">
        <f>+-(M22+M30)*4/L228</f>
        <v>0.10081010670568502</v>
      </c>
      <c r="N230" s="422">
        <f>+-(N22+N30)/I228</f>
        <v>0.10082446433329675</v>
      </c>
      <c r="O230" s="183">
        <f>+-(O22+O30)*4/N228</f>
        <v>9.8465647398686393E-2</v>
      </c>
      <c r="P230" s="183">
        <f>+-(P22+P30)*4/O228</f>
        <v>9.0591076003130294E-2</v>
      </c>
      <c r="Q230" s="183">
        <f>+-(Q22+Q30)*4/P228</f>
        <v>8.9424877568487646E-2</v>
      </c>
      <c r="R230" s="183">
        <f>+-(R22+R30)*4/Q228</f>
        <v>0.1079202117984681</v>
      </c>
      <c r="S230" s="422">
        <f>+-(S22+S30)/N228</f>
        <v>9.8642792903278556E-2</v>
      </c>
      <c r="T230" s="183">
        <f>+-(T22+T30)*4/S228</f>
        <v>8.9414911942930095E-2</v>
      </c>
      <c r="U230" s="183">
        <f>+-(U22+U30)*4/T228</f>
        <v>9.1243157525578281E-2</v>
      </c>
      <c r="V230" s="183">
        <f>+-(V22+V30)*4/U228</f>
        <v>8.8152327221438648E-2</v>
      </c>
      <c r="W230" s="422">
        <f>+-(W22+W30)*4/V228</f>
        <v>8.6915504829068749E-2</v>
      </c>
      <c r="X230" s="66">
        <f>+-(X22+X30)/S228</f>
        <v>8.1815049753764468E-2</v>
      </c>
      <c r="Y230" s="183">
        <f>+-(Y22+Y30)*4/X228</f>
        <v>7.7436987549347094E-2</v>
      </c>
      <c r="Z230" s="183">
        <f>+-(Z22+Z30)*4/Y228</f>
        <v>8.2275208273484626E-2</v>
      </c>
      <c r="AA230" s="183">
        <f>+-(AA22+AA30)*4/Z228</f>
        <v>7.4355325932294949E-2</v>
      </c>
      <c r="AB230" s="422">
        <f>+-(AB22+AB30)*4/AA228</f>
        <v>7.2562908583476166E-2</v>
      </c>
      <c r="AC230" s="66">
        <f>+-(AC22+AC30)/X228</f>
        <v>7.5091102338293345E-2</v>
      </c>
      <c r="AD230" s="183">
        <f>+-(AD22+AD30)*4/AC228</f>
        <v>6.2296248843334047E-2</v>
      </c>
      <c r="AE230" s="183">
        <f>+-(AE22+AE30)*4/AD228</f>
        <v>5.6714399304446043E-2</v>
      </c>
      <c r="AF230" s="183">
        <f>+-(AF22+AF30)*4/AE228</f>
        <v>6.5246981992368516E-2</v>
      </c>
      <c r="AG230" s="422">
        <f>+-(AG22+AG30)*4/AF228</f>
        <v>0.10178666486725597</v>
      </c>
      <c r="AH230" s="66">
        <f>+-(AH22+AH30)/AC228</f>
        <v>6.8923055021709728E-2</v>
      </c>
      <c r="AI230" s="183">
        <f>+-(AI22+AI30)*4/AH228</f>
        <v>6.6332278725210275E-2</v>
      </c>
      <c r="AJ230" s="183">
        <f>+-(AJ22+AJ30)*4/AI228</f>
        <v>5.9934299151560989E-2</v>
      </c>
      <c r="AK230" s="183">
        <f>+-(AK22+AK30)*4/AJ228</f>
        <v>7.8648285137861471E-2</v>
      </c>
      <c r="AL230" s="422">
        <f>+-(AL22+AL30)*4/AK228</f>
        <v>9.6219272605299722E-2</v>
      </c>
      <c r="AM230" s="66">
        <f>+-(AM22+AM30)/AH228</f>
        <v>6.8678138745273551E-2</v>
      </c>
      <c r="AN230" s="183">
        <f>+-(AN22+AN30)*4/AM228</f>
        <v>7.8779833662937171E-2</v>
      </c>
      <c r="AO230" s="183">
        <f>+-(AO22+AO30)*4/AN228</f>
        <v>8.2404291592655735E-2</v>
      </c>
      <c r="AP230" s="183">
        <f>+-(AP22+AP30)*4/AO228</f>
        <v>7.2394646924829151E-2</v>
      </c>
      <c r="AQ230" s="422">
        <f>+-(AQ22+AQ30)*4/AP228</f>
        <v>8.7921745779246455E-2</v>
      </c>
      <c r="AR230" s="66">
        <f>+-(AR22+AR30)/AM228</f>
        <v>8.1488906347357296E-2</v>
      </c>
      <c r="AS230" s="183">
        <f>+-(AS22+AS30)*4/AR228</f>
        <v>9.541511771995044E-2</v>
      </c>
      <c r="AT230" s="183">
        <f>+-(AT22+AT30)*4/AS228</f>
        <v>9.8327913348526363E-2</v>
      </c>
      <c r="AU230" s="183">
        <f>+-(AU22+AU30)*4/AT228</f>
        <v>0.1002036938772017</v>
      </c>
      <c r="AV230" s="422">
        <f>+-(AV22+AV30)*4/AU228</f>
        <v>0.10378437900568646</v>
      </c>
      <c r="AW230" s="66">
        <f>+-(AW22+AW30)/AR228</f>
        <v>9.9777984304006612E-2</v>
      </c>
      <c r="AX230" s="183">
        <f>+-(AX22+AX30)*4/AW228</f>
        <v>9.8958377475866388E-2</v>
      </c>
      <c r="AY230" s="183">
        <f>+-(AY22+AY30)*4/AX228</f>
        <v>0.10123631519793531</v>
      </c>
      <c r="AZ230" s="183">
        <f>+-(AZ22+AZ30)*4/AY228</f>
        <v>9.6892847605675056E-2</v>
      </c>
      <c r="BA230" s="422">
        <f>+-(BA22+BA30)*4/AZ228</f>
        <v>0.10115486294698761</v>
      </c>
      <c r="BB230" s="422">
        <f>+-(BB22+BB30)/AW228</f>
        <v>9.8983803574909532E-2</v>
      </c>
      <c r="BC230" s="183">
        <f>+-(BC22+BC30)*4/BB228</f>
        <v>8.2145035671030875E-2</v>
      </c>
      <c r="BD230" s="183">
        <f>+-(BD22+BD30)*4/BC228</f>
        <v>8.0591568232017671E-2</v>
      </c>
      <c r="BE230" s="183">
        <f>+-(BE22+BE30)*4/BD228</f>
        <v>7.5621111256145845E-2</v>
      </c>
      <c r="BF230" s="422">
        <f>+-(BF22+BF30)*4/BE228</f>
        <v>7.9425231019354225E-2</v>
      </c>
      <c r="BG230" s="66">
        <f>+-(BG22+BG30)/BB228</f>
        <v>6.9131960713243804E-2</v>
      </c>
      <c r="BH230" s="183">
        <f>+-(BH22+BH30)*4/BG228</f>
        <v>7.4311166819616359E-2</v>
      </c>
      <c r="BI230" s="183">
        <f>+-(BI22+BI30)*4/BH228</f>
        <v>7.1781174731118683E-2</v>
      </c>
      <c r="BJ230" s="183">
        <f>+-(BJ22+BJ30)*4/BI228</f>
        <v>7.3809861059246196E-2</v>
      </c>
      <c r="BK230" s="422">
        <f>+-(BK22+BK30)*4/BJ228</f>
        <v>7.3776932302220752E-2</v>
      </c>
      <c r="BL230" s="66">
        <f>+-(BL22+BL30)/BG228</f>
        <v>6.6432392506211246E-2</v>
      </c>
      <c r="BM230" s="183">
        <f>+-(BM22+BM30)*4/BL228</f>
        <v>6.5479844485369351E-2</v>
      </c>
      <c r="BN230" s="183">
        <f>+-(BN22+BN30)*4/BM228</f>
        <v>6.8771341280776374E-2</v>
      </c>
      <c r="BO230" s="183">
        <f>+-(BO22+BO30)*4/BN228</f>
        <v>6.7723630995402045E-2</v>
      </c>
      <c r="BP230" s="422">
        <f>+-(BP22+BP30)*4/BO228</f>
        <v>6.6452477437478813E-2</v>
      </c>
      <c r="BQ230" s="422">
        <f>+-(BQ22+BQ30)/BL228</f>
        <v>6.4281329474699639E-2</v>
      </c>
      <c r="BR230" s="183">
        <f>+-(BR22+BR30)*4/BQ228</f>
        <v>6.2458805436113117E-2</v>
      </c>
      <c r="BS230" s="183">
        <f>+-(BS22+BS30)*4/BR228</f>
        <v>5.9755208414129034E-2</v>
      </c>
      <c r="BT230" s="183">
        <f>+-(BT22+BT30)*4/BS228</f>
        <v>6.32688927943761E-2</v>
      </c>
      <c r="BU230" s="422">
        <f>+-(BU22+BU30)*4/BT228</f>
        <v>5.7170080990948072E-2</v>
      </c>
      <c r="BV230" s="66">
        <f>+-(BV22+BV30)/BQ228</f>
        <v>6.1281817896487872E-2</v>
      </c>
      <c r="BW230" s="183">
        <f>+-(BW22+BW30)*4/BV228</f>
        <v>5.5096578166823409E-2</v>
      </c>
      <c r="BX230" s="183">
        <f>+-(BX22+BX30)*4/BW228</f>
        <v>5.2865849482982952E-2</v>
      </c>
      <c r="BY230" s="183">
        <f>+-(BY22+BY30)*4/BX228</f>
        <v>5.6893086534272184E-2</v>
      </c>
      <c r="BZ230" s="422">
        <f>+-(BZ22+BZ30)*4/BY228</f>
        <v>5.3055631679912306E-2</v>
      </c>
      <c r="CA230" s="66">
        <f>+-(CA22+CA30)/BV228</f>
        <v>5.6384287057802213E-2</v>
      </c>
      <c r="CB230" s="183">
        <f>+-(CB22+CB30)*4/CA228</f>
        <v>4.7363031233998973E-2</v>
      </c>
      <c r="CC230" s="183">
        <f>+-(CC22+CC30)*4/CB228</f>
        <v>4.9406648027337685E-2</v>
      </c>
      <c r="CD230" s="183">
        <f>+-(CD22+CD30)*4/CC228</f>
        <v>4.581035188708784E-2</v>
      </c>
      <c r="CE230" s="422">
        <f>+-(CE22+CE30)*4/CD228</f>
        <v>4.369353514020885E-2</v>
      </c>
      <c r="CF230" s="66">
        <f>+-(CF22+CF30)/CA228</f>
        <v>4.8655913978494621E-2</v>
      </c>
      <c r="CG230" s="183">
        <f>+-(CG22+CG30)*4/CF228</f>
        <v>8.5343270355937792E-2</v>
      </c>
      <c r="CH230" s="183">
        <f>+-(CH22+CH30)*4/CG228</f>
        <v>8.6310718586912888E-2</v>
      </c>
      <c r="CI230" s="183">
        <f>+-(CI22+CI30)*4/CH228</f>
        <v>9.1559680777238028E-2</v>
      </c>
      <c r="CJ230" s="422">
        <f>+-(CJ22+CJ30)*4/CI228</f>
        <v>9.3763877434498516E-2</v>
      </c>
      <c r="CK230" s="66">
        <f>+-(CK22+CK30)/CF228</f>
        <v>9.2489292327967196E-2</v>
      </c>
      <c r="CL230" s="183">
        <f>+-(CL22+CL30)*4/CK228</f>
        <v>9.3163250680808371E-2</v>
      </c>
      <c r="CM230" s="183">
        <f>+-(CM22+CM30)*4/CL228</f>
        <v>9.7831011997399575E-2</v>
      </c>
      <c r="CN230" s="183">
        <f>+-(CN22+CN30)*4/CM228</f>
        <v>9.7478557301450053E-2</v>
      </c>
      <c r="CO230" s="422">
        <f>+-(CO22+CO30)*4/CN228</f>
        <v>0.1026208288456127</v>
      </c>
      <c r="CP230" s="66">
        <f>+-(CP22+CP30)/CK228</f>
        <v>0.10088249145150392</v>
      </c>
      <c r="CQ230" s="183">
        <f>+-(CQ22+CQ30)*4/CP228</f>
        <v>9.6982034318197088E-2</v>
      </c>
      <c r="CR230" s="183">
        <f>+-(CR22+CR30)*4/CQ228</f>
        <v>9.4652224780163788E-2</v>
      </c>
      <c r="CS230" s="183">
        <f>+-(CS22+CS30)*4/CR228</f>
        <v>9.6202057998129087E-2</v>
      </c>
      <c r="CT230" s="183">
        <f>+-(CT22+CT30)*4/CS228</f>
        <v>9.6873846042996994E-2</v>
      </c>
      <c r="CU230" s="66">
        <f>+-(CU22+CU30)/CP228</f>
        <v>9.8835255370020067E-2</v>
      </c>
      <c r="CV230" s="315">
        <f>CT230</f>
        <v>9.6873846042996994E-2</v>
      </c>
      <c r="CW230" s="183">
        <v>0.06</v>
      </c>
      <c r="CX230" s="183">
        <f>CW230</f>
        <v>0.06</v>
      </c>
      <c r="CY230" s="422">
        <f>CX230</f>
        <v>0.06</v>
      </c>
      <c r="CZ230" s="66">
        <f>+-(CZ22+CZ30)/CU228</f>
        <v>8.227176855495838E-2</v>
      </c>
      <c r="DA230" s="66">
        <f>+-(DA22+DA30)/CZ228</f>
        <v>8.220649128730427E-2</v>
      </c>
      <c r="DB230" s="66">
        <f>+-(DB22+DB30)/DA228</f>
        <v>8.4402759588687148E-2</v>
      </c>
      <c r="DC230" s="66">
        <f>+-(DC22+DC30)/DB228</f>
        <v>8.5812497079281166E-2</v>
      </c>
      <c r="DD230" s="490"/>
      <c r="DE230" s="490"/>
      <c r="DF230" s="490"/>
      <c r="DG230" s="490"/>
      <c r="DH230" s="490"/>
      <c r="DI230" s="491"/>
      <c r="DJ230" s="491"/>
      <c r="DK230" s="490"/>
      <c r="DL230" s="490"/>
      <c r="DM230" s="490"/>
      <c r="DU230" s="492"/>
      <c r="DV230" s="492"/>
      <c r="DW230" s="492"/>
      <c r="DX230" s="492"/>
      <c r="DY230" s="492"/>
      <c r="DZ230" s="492"/>
      <c r="EA230" s="492"/>
      <c r="EB230" s="492"/>
      <c r="EC230" s="492"/>
      <c r="ED230" s="492"/>
      <c r="EE230" s="492"/>
      <c r="EF230" s="492"/>
      <c r="EG230" s="492"/>
      <c r="EH230" s="492"/>
      <c r="EI230" s="492"/>
      <c r="EJ230" s="492"/>
      <c r="EK230" s="492"/>
      <c r="EL230" s="492"/>
      <c r="EM230" s="492"/>
      <c r="EN230" s="492"/>
      <c r="EO230" s="492"/>
      <c r="EP230" s="492"/>
      <c r="EQ230" s="492"/>
      <c r="ER230" s="492"/>
      <c r="ES230" s="492"/>
      <c r="ET230" s="492"/>
      <c r="EU230" s="492"/>
      <c r="EV230" s="492"/>
      <c r="EW230" s="492"/>
      <c r="EX230" s="492"/>
      <c r="EY230" s="492"/>
      <c r="EZ230" s="492"/>
      <c r="FA230" s="492"/>
      <c r="FB230" s="492"/>
      <c r="FC230" s="492"/>
      <c r="FD230" s="492"/>
      <c r="FE230" s="492"/>
      <c r="FF230" s="492"/>
      <c r="FG230" s="492"/>
      <c r="FH230" s="492"/>
      <c r="FI230" s="492"/>
      <c r="FJ230" s="492"/>
      <c r="FK230" s="492"/>
      <c r="FL230" s="492"/>
      <c r="FM230" s="492"/>
      <c r="FN230" s="492"/>
      <c r="FO230" s="492"/>
      <c r="FP230" s="492"/>
      <c r="FQ230" s="492"/>
      <c r="FR230" s="492"/>
      <c r="FS230" s="492"/>
      <c r="FT230" s="492"/>
      <c r="FU230" s="492"/>
      <c r="FV230" s="492"/>
      <c r="FW230" s="492"/>
      <c r="FX230" s="492"/>
      <c r="FY230" s="492"/>
      <c r="FZ230" s="492"/>
      <c r="GA230" s="492"/>
      <c r="GB230" s="492"/>
      <c r="GC230" s="492"/>
      <c r="GD230" s="492"/>
      <c r="GE230" s="492"/>
      <c r="GF230" s="492"/>
      <c r="GG230" s="492"/>
      <c r="GH230" s="492"/>
      <c r="GI230" s="492"/>
      <c r="GJ230" s="492"/>
      <c r="GK230" s="492"/>
      <c r="GL230" s="492"/>
      <c r="GM230" s="492"/>
      <c r="GN230" s="492"/>
      <c r="GO230" s="492"/>
      <c r="GP230" s="492"/>
      <c r="GQ230" s="492"/>
      <c r="GR230" s="492"/>
      <c r="GS230" s="492"/>
      <c r="GT230" s="492"/>
      <c r="GU230" s="492"/>
      <c r="GV230" s="492"/>
      <c r="GW230" s="492"/>
      <c r="GX230" s="492"/>
      <c r="GY230" s="492"/>
      <c r="GZ230" s="492"/>
      <c r="HA230" s="492"/>
      <c r="HB230" s="492"/>
      <c r="HC230" s="492"/>
      <c r="HD230" s="492"/>
      <c r="HE230" s="492"/>
      <c r="HF230" s="492"/>
      <c r="HG230" s="492"/>
      <c r="HH230" s="492"/>
      <c r="HI230" s="492"/>
      <c r="HJ230" s="492"/>
      <c r="HK230" s="492"/>
      <c r="HL230" s="492"/>
      <c r="HM230" s="492"/>
      <c r="HN230" s="492"/>
      <c r="HO230" s="492"/>
      <c r="HP230" s="492"/>
      <c r="HQ230" s="492"/>
      <c r="HR230" s="492"/>
      <c r="HS230" s="492"/>
      <c r="HT230" s="492"/>
      <c r="HU230" s="492"/>
      <c r="HV230" s="492"/>
      <c r="HW230" s="492"/>
      <c r="HX230" s="492"/>
      <c r="HY230" s="492"/>
      <c r="HZ230" s="492"/>
      <c r="IA230" s="492"/>
      <c r="IB230" s="492"/>
      <c r="IC230" s="492"/>
      <c r="ID230" s="492"/>
      <c r="IE230" s="492"/>
      <c r="IF230" s="492"/>
      <c r="IG230" s="492"/>
      <c r="IH230" s="492"/>
      <c r="II230" s="492"/>
      <c r="IJ230" s="492"/>
      <c r="IK230" s="492"/>
      <c r="IL230" s="492"/>
      <c r="IM230" s="492"/>
      <c r="IN230" s="492"/>
      <c r="IO230" s="492"/>
      <c r="IP230" s="492"/>
      <c r="IQ230" s="492"/>
      <c r="IR230" s="492"/>
      <c r="IS230" s="492"/>
      <c r="IT230" s="492"/>
      <c r="IU230" s="492"/>
    </row>
    <row r="231" spans="1:255">
      <c r="A231" s="1109">
        <f t="shared" si="360"/>
        <v>217</v>
      </c>
      <c r="B231" s="10"/>
      <c r="C231" s="317"/>
      <c r="D231" s="2"/>
      <c r="E231" s="814"/>
      <c r="F231" s="816"/>
      <c r="G231" s="816"/>
      <c r="H231" s="816"/>
      <c r="I231" s="816"/>
      <c r="J231" s="490"/>
      <c r="K231" s="490"/>
      <c r="L231" s="490"/>
      <c r="M231" s="490"/>
      <c r="N231" s="814"/>
      <c r="O231" s="490"/>
      <c r="P231" s="490"/>
      <c r="Q231" s="490"/>
      <c r="R231" s="490"/>
      <c r="S231" s="814"/>
      <c r="T231" s="490"/>
      <c r="U231" s="490"/>
      <c r="V231" s="490"/>
      <c r="W231" s="814"/>
      <c r="X231" s="816"/>
      <c r="Y231" s="490"/>
      <c r="Z231" s="490"/>
      <c r="AA231" s="490"/>
      <c r="AB231" s="814"/>
      <c r="AC231" s="816"/>
      <c r="AD231" s="490"/>
      <c r="AE231" s="490"/>
      <c r="AF231" s="490"/>
      <c r="AG231" s="814"/>
      <c r="AH231" s="816"/>
      <c r="AI231" s="490"/>
      <c r="AJ231" s="490"/>
      <c r="AK231" s="490"/>
      <c r="AL231" s="814"/>
      <c r="AM231" s="816"/>
      <c r="AN231" s="490"/>
      <c r="AO231" s="490"/>
      <c r="AP231" s="490"/>
      <c r="AQ231" s="814"/>
      <c r="AR231" s="816"/>
      <c r="AS231" s="490"/>
      <c r="AT231" s="490"/>
      <c r="AU231" s="490"/>
      <c r="AV231" s="814"/>
      <c r="AW231" s="816"/>
      <c r="AX231" s="490"/>
      <c r="AY231" s="490"/>
      <c r="AZ231" s="490"/>
      <c r="BA231" s="814"/>
      <c r="BB231" s="814"/>
      <c r="BC231" s="490"/>
      <c r="BD231" s="490"/>
      <c r="BE231" s="490"/>
      <c r="BF231" s="814"/>
      <c r="BG231" s="816"/>
      <c r="BH231" s="490"/>
      <c r="BI231" s="490"/>
      <c r="BJ231" s="490"/>
      <c r="BK231" s="814"/>
      <c r="BL231" s="816"/>
      <c r="BM231" s="490"/>
      <c r="BN231" s="490"/>
      <c r="BO231" s="490"/>
      <c r="BP231" s="814"/>
      <c r="BQ231" s="814"/>
      <c r="BR231" s="490"/>
      <c r="BS231" s="490"/>
      <c r="BT231" s="490"/>
      <c r="BU231" s="814"/>
      <c r="BV231" s="816"/>
      <c r="BW231" s="490"/>
      <c r="BX231" s="490"/>
      <c r="BY231" s="490"/>
      <c r="BZ231" s="814"/>
      <c r="CA231" s="816"/>
      <c r="CB231" s="490"/>
      <c r="CC231" s="490"/>
      <c r="CD231" s="490"/>
      <c r="CE231" s="814"/>
      <c r="CF231" s="816"/>
      <c r="CG231" s="490"/>
      <c r="CH231" s="490"/>
      <c r="CI231" s="490"/>
      <c r="CJ231" s="814"/>
      <c r="CK231" s="816"/>
      <c r="CL231" s="490"/>
      <c r="CM231" s="490"/>
      <c r="CN231" s="490"/>
      <c r="CO231" s="814"/>
      <c r="CP231" s="816"/>
      <c r="CQ231" s="490"/>
      <c r="CR231" s="490"/>
      <c r="CS231" s="490"/>
      <c r="CT231" s="814"/>
      <c r="CU231" s="816"/>
      <c r="CV231" s="1024"/>
      <c r="CW231" s="490"/>
      <c r="CX231" s="490"/>
      <c r="CY231" s="814"/>
      <c r="CZ231" s="816"/>
      <c r="DA231" s="816"/>
      <c r="DB231" s="816"/>
      <c r="DC231" s="816"/>
      <c r="DD231" s="490"/>
      <c r="DE231" s="490"/>
      <c r="DF231" s="490"/>
      <c r="DG231" s="490"/>
      <c r="DH231" s="490"/>
      <c r="DI231" s="491"/>
      <c r="DJ231" s="491"/>
      <c r="DK231" s="490"/>
      <c r="DL231" s="490"/>
      <c r="DM231" s="490"/>
      <c r="DU231" s="492"/>
      <c r="DV231" s="492"/>
      <c r="DW231" s="492"/>
      <c r="DX231" s="492"/>
      <c r="DY231" s="492"/>
      <c r="DZ231" s="492"/>
      <c r="EA231" s="492"/>
      <c r="EB231" s="492"/>
      <c r="EC231" s="492"/>
      <c r="ED231" s="492"/>
      <c r="EE231" s="492"/>
      <c r="EF231" s="492"/>
      <c r="EG231" s="492"/>
      <c r="EH231" s="492"/>
      <c r="EI231" s="492"/>
      <c r="EJ231" s="492"/>
      <c r="EK231" s="492"/>
      <c r="EL231" s="492"/>
      <c r="EM231" s="492"/>
      <c r="EN231" s="492"/>
      <c r="EO231" s="492"/>
      <c r="EP231" s="492"/>
      <c r="EQ231" s="492"/>
      <c r="ER231" s="492"/>
      <c r="ES231" s="492"/>
      <c r="ET231" s="492"/>
      <c r="EU231" s="492"/>
      <c r="EV231" s="492"/>
      <c r="EW231" s="492"/>
      <c r="EX231" s="492"/>
      <c r="EY231" s="492"/>
      <c r="EZ231" s="492"/>
      <c r="FA231" s="492"/>
      <c r="FB231" s="492"/>
      <c r="FC231" s="492"/>
      <c r="FD231" s="492"/>
      <c r="FE231" s="492"/>
      <c r="FF231" s="492"/>
      <c r="FG231" s="492"/>
      <c r="FH231" s="492"/>
      <c r="FI231" s="492"/>
      <c r="FJ231" s="492"/>
      <c r="FK231" s="492"/>
      <c r="FL231" s="492"/>
      <c r="FM231" s="492"/>
      <c r="FN231" s="492"/>
      <c r="FO231" s="492"/>
      <c r="FP231" s="492"/>
      <c r="FQ231" s="492"/>
      <c r="FR231" s="492"/>
      <c r="FS231" s="492"/>
      <c r="FT231" s="492"/>
      <c r="FU231" s="492"/>
      <c r="FV231" s="492"/>
      <c r="FW231" s="492"/>
      <c r="FX231" s="492"/>
      <c r="FY231" s="492"/>
      <c r="FZ231" s="492"/>
      <c r="GA231" s="492"/>
      <c r="GB231" s="492"/>
      <c r="GC231" s="492"/>
      <c r="GD231" s="492"/>
      <c r="GE231" s="492"/>
      <c r="GF231" s="492"/>
      <c r="GG231" s="492"/>
      <c r="GH231" s="492"/>
      <c r="GI231" s="492"/>
      <c r="GJ231" s="492"/>
      <c r="GK231" s="492"/>
      <c r="GL231" s="492"/>
      <c r="GM231" s="492"/>
      <c r="GN231" s="492"/>
      <c r="GO231" s="492"/>
      <c r="GP231" s="492"/>
      <c r="GQ231" s="492"/>
      <c r="GR231" s="492"/>
      <c r="GS231" s="492"/>
      <c r="GT231" s="492"/>
      <c r="GU231" s="492"/>
      <c r="GV231" s="492"/>
      <c r="GW231" s="492"/>
      <c r="GX231" s="492"/>
      <c r="GY231" s="492"/>
      <c r="GZ231" s="492"/>
      <c r="HA231" s="492"/>
      <c r="HB231" s="492"/>
      <c r="HC231" s="492"/>
      <c r="HD231" s="492"/>
      <c r="HE231" s="492"/>
      <c r="HF231" s="492"/>
      <c r="HG231" s="492"/>
      <c r="HH231" s="492"/>
      <c r="HI231" s="492"/>
      <c r="HJ231" s="492"/>
      <c r="HK231" s="492"/>
      <c r="HL231" s="492"/>
      <c r="HM231" s="492"/>
      <c r="HN231" s="492"/>
      <c r="HO231" s="492"/>
      <c r="HP231" s="492"/>
      <c r="HQ231" s="492"/>
      <c r="HR231" s="492"/>
      <c r="HS231" s="492"/>
      <c r="HT231" s="492"/>
      <c r="HU231" s="492"/>
      <c r="HV231" s="492"/>
      <c r="HW231" s="492"/>
      <c r="HX231" s="492"/>
      <c r="HY231" s="492"/>
      <c r="HZ231" s="492"/>
      <c r="IA231" s="492"/>
      <c r="IB231" s="492"/>
      <c r="IC231" s="492"/>
      <c r="ID231" s="492"/>
      <c r="IE231" s="492"/>
      <c r="IF231" s="492"/>
      <c r="IG231" s="492"/>
      <c r="IH231" s="492"/>
      <c r="II231" s="492"/>
      <c r="IJ231" s="492"/>
      <c r="IK231" s="492"/>
      <c r="IL231" s="492"/>
      <c r="IM231" s="492"/>
      <c r="IN231" s="492"/>
      <c r="IO231" s="492"/>
      <c r="IP231" s="492"/>
      <c r="IQ231" s="492"/>
      <c r="IR231" s="492"/>
      <c r="IS231" s="492"/>
      <c r="IT231" s="492"/>
      <c r="IU231" s="492"/>
    </row>
    <row r="232" spans="1:255" ht="13.5" thickBot="1">
      <c r="A232" s="1109">
        <f t="shared" si="360"/>
        <v>218</v>
      </c>
      <c r="B232" s="10"/>
      <c r="C232" s="317"/>
      <c r="D232" s="2"/>
      <c r="E232" s="814"/>
      <c r="F232" s="816"/>
      <c r="G232" s="816"/>
      <c r="H232" s="816"/>
      <c r="I232" s="816"/>
      <c r="J232" s="490"/>
      <c r="K232" s="490"/>
      <c r="L232" s="490"/>
      <c r="M232" s="490"/>
      <c r="N232" s="814"/>
      <c r="O232" s="490"/>
      <c r="P232" s="490"/>
      <c r="Q232" s="490"/>
      <c r="R232" s="490"/>
      <c r="S232" s="814"/>
      <c r="T232" s="490"/>
      <c r="U232" s="490"/>
      <c r="V232" s="490"/>
      <c r="W232" s="814"/>
      <c r="X232" s="816"/>
      <c r="Y232" s="490"/>
      <c r="Z232" s="490"/>
      <c r="AA232" s="490"/>
      <c r="AB232" s="814"/>
      <c r="AC232" s="816"/>
      <c r="AD232" s="490"/>
      <c r="AE232" s="490"/>
      <c r="AF232" s="490"/>
      <c r="AG232" s="814"/>
      <c r="AH232" s="816"/>
      <c r="AI232" s="490"/>
      <c r="AJ232" s="490"/>
      <c r="AK232" s="490"/>
      <c r="AL232" s="814"/>
      <c r="AM232" s="816"/>
      <c r="AN232" s="490"/>
      <c r="AO232" s="490"/>
      <c r="AP232" s="490"/>
      <c r="AQ232" s="814"/>
      <c r="AR232" s="816"/>
      <c r="AS232" s="490"/>
      <c r="AT232" s="490"/>
      <c r="AU232" s="490"/>
      <c r="AV232" s="814"/>
      <c r="AW232" s="816"/>
      <c r="AX232" s="490"/>
      <c r="AY232" s="490"/>
      <c r="AZ232" s="490"/>
      <c r="BA232" s="814"/>
      <c r="BB232" s="814"/>
      <c r="BC232" s="490"/>
      <c r="BD232" s="490"/>
      <c r="BE232" s="490"/>
      <c r="BF232" s="814"/>
      <c r="BG232" s="816"/>
      <c r="BH232" s="490"/>
      <c r="BI232" s="490"/>
      <c r="BJ232" s="490"/>
      <c r="BK232" s="814"/>
      <c r="BL232" s="816"/>
      <c r="BM232" s="490"/>
      <c r="BN232" s="490"/>
      <c r="BO232" s="490"/>
      <c r="BP232" s="814"/>
      <c r="BQ232" s="814"/>
      <c r="BR232" s="490"/>
      <c r="BS232" s="490"/>
      <c r="BT232" s="490"/>
      <c r="BU232" s="814"/>
      <c r="BV232" s="816"/>
      <c r="BW232" s="490"/>
      <c r="BX232" s="490"/>
      <c r="BY232" s="490"/>
      <c r="BZ232" s="814"/>
      <c r="CA232" s="816"/>
      <c r="CB232" s="490"/>
      <c r="CC232" s="490"/>
      <c r="CD232" s="490"/>
      <c r="CE232" s="814"/>
      <c r="CF232" s="816"/>
      <c r="CG232" s="490"/>
      <c r="CH232" s="490"/>
      <c r="CI232" s="490"/>
      <c r="CJ232" s="814"/>
      <c r="CK232" s="816"/>
      <c r="CL232" s="490"/>
      <c r="CM232" s="490"/>
      <c r="CN232" s="490"/>
      <c r="CO232" s="814"/>
      <c r="CP232" s="816"/>
      <c r="CQ232" s="490"/>
      <c r="CR232" s="490"/>
      <c r="CS232" s="490"/>
      <c r="CT232" s="814"/>
      <c r="CU232" s="816"/>
      <c r="CV232" s="1024"/>
      <c r="CW232" s="490"/>
      <c r="CX232" s="490"/>
      <c r="CY232" s="814"/>
      <c r="CZ232" s="816"/>
      <c r="DA232" s="816"/>
      <c r="DB232" s="816"/>
      <c r="DC232" s="816"/>
      <c r="DD232" s="490"/>
      <c r="DE232" s="490"/>
      <c r="DF232" s="490"/>
      <c r="DG232" s="490"/>
      <c r="DH232" s="490"/>
      <c r="DI232" s="491"/>
      <c r="DJ232" s="491"/>
      <c r="DK232" s="490"/>
      <c r="DL232" s="490"/>
      <c r="DM232" s="490"/>
      <c r="DU232" s="492"/>
      <c r="DV232" s="492"/>
      <c r="DW232" s="492"/>
      <c r="DX232" s="492"/>
      <c r="DY232" s="492"/>
      <c r="DZ232" s="492"/>
      <c r="EA232" s="492"/>
      <c r="EB232" s="492"/>
      <c r="EC232" s="492"/>
      <c r="ED232" s="492"/>
      <c r="EE232" s="492"/>
      <c r="EF232" s="492"/>
      <c r="EG232" s="492"/>
      <c r="EH232" s="492"/>
      <c r="EI232" s="492"/>
      <c r="EJ232" s="492"/>
      <c r="EK232" s="492"/>
      <c r="EL232" s="492"/>
      <c r="EM232" s="492"/>
      <c r="EN232" s="492"/>
      <c r="EO232" s="492"/>
      <c r="EP232" s="492"/>
      <c r="EQ232" s="492"/>
      <c r="ER232" s="492"/>
      <c r="ES232" s="492"/>
      <c r="ET232" s="492"/>
      <c r="EU232" s="492"/>
      <c r="EV232" s="492"/>
      <c r="EW232" s="492"/>
      <c r="EX232" s="492"/>
      <c r="EY232" s="492"/>
      <c r="EZ232" s="492"/>
      <c r="FA232" s="492"/>
      <c r="FB232" s="492"/>
      <c r="FC232" s="492"/>
      <c r="FD232" s="492"/>
      <c r="FE232" s="492"/>
      <c r="FF232" s="492"/>
      <c r="FG232" s="492"/>
      <c r="FH232" s="492"/>
      <c r="FI232" s="492"/>
      <c r="FJ232" s="492"/>
      <c r="FK232" s="492"/>
      <c r="FL232" s="492"/>
      <c r="FM232" s="492"/>
      <c r="FN232" s="492"/>
      <c r="FO232" s="492"/>
      <c r="FP232" s="492"/>
      <c r="FQ232" s="492"/>
      <c r="FR232" s="492"/>
      <c r="FS232" s="492"/>
      <c r="FT232" s="492"/>
      <c r="FU232" s="492"/>
      <c r="FV232" s="492"/>
      <c r="FW232" s="492"/>
      <c r="FX232" s="492"/>
      <c r="FY232" s="492"/>
      <c r="FZ232" s="492"/>
      <c r="GA232" s="492"/>
      <c r="GB232" s="492"/>
      <c r="GC232" s="492"/>
      <c r="GD232" s="492"/>
      <c r="GE232" s="492"/>
      <c r="GF232" s="492"/>
      <c r="GG232" s="492"/>
      <c r="GH232" s="492"/>
      <c r="GI232" s="492"/>
      <c r="GJ232" s="492"/>
      <c r="GK232" s="492"/>
      <c r="GL232" s="492"/>
      <c r="GM232" s="492"/>
      <c r="GN232" s="492"/>
      <c r="GO232" s="492"/>
      <c r="GP232" s="492"/>
      <c r="GQ232" s="492"/>
      <c r="GR232" s="492"/>
      <c r="GS232" s="492"/>
      <c r="GT232" s="492"/>
      <c r="GU232" s="492"/>
      <c r="GV232" s="492"/>
      <c r="GW232" s="492"/>
      <c r="GX232" s="492"/>
      <c r="GY232" s="492"/>
      <c r="GZ232" s="492"/>
      <c r="HA232" s="492"/>
      <c r="HB232" s="492"/>
      <c r="HC232" s="492"/>
      <c r="HD232" s="492"/>
      <c r="HE232" s="492"/>
      <c r="HF232" s="492"/>
      <c r="HG232" s="492"/>
      <c r="HH232" s="492"/>
      <c r="HI232" s="492"/>
      <c r="HJ232" s="492"/>
      <c r="HK232" s="492"/>
      <c r="HL232" s="492"/>
      <c r="HM232" s="492"/>
      <c r="HN232" s="492"/>
      <c r="HO232" s="492"/>
      <c r="HP232" s="492"/>
      <c r="HQ232" s="492"/>
      <c r="HR232" s="492"/>
      <c r="HS232" s="492"/>
      <c r="HT232" s="492"/>
      <c r="HU232" s="492"/>
      <c r="HV232" s="492"/>
      <c r="HW232" s="492"/>
      <c r="HX232" s="492"/>
      <c r="HY232" s="492"/>
      <c r="HZ232" s="492"/>
      <c r="IA232" s="492"/>
      <c r="IB232" s="492"/>
      <c r="IC232" s="492"/>
      <c r="ID232" s="492"/>
      <c r="IE232" s="492"/>
      <c r="IF232" s="492"/>
      <c r="IG232" s="492"/>
      <c r="IH232" s="492"/>
      <c r="II232" s="492"/>
      <c r="IJ232" s="492"/>
      <c r="IK232" s="492"/>
      <c r="IL232" s="492"/>
      <c r="IM232" s="492"/>
      <c r="IN232" s="492"/>
      <c r="IO232" s="492"/>
      <c r="IP232" s="492"/>
      <c r="IQ232" s="492"/>
      <c r="IR232" s="492"/>
      <c r="IS232" s="492"/>
      <c r="IT232" s="492"/>
      <c r="IU232" s="492"/>
    </row>
    <row r="233" spans="1:255" ht="12" customHeight="1" thickBot="1">
      <c r="A233" s="1109">
        <f t="shared" si="360"/>
        <v>219</v>
      </c>
      <c r="B233" s="10"/>
      <c r="C233" s="826" t="s">
        <v>16</v>
      </c>
      <c r="D233" s="53"/>
      <c r="E233" s="493">
        <f t="shared" ref="E233:AJ233" si="381">+E27+E133</f>
        <v>18400</v>
      </c>
      <c r="F233" s="493">
        <f t="shared" si="381"/>
        <v>18794</v>
      </c>
      <c r="G233" s="493">
        <f t="shared" si="381"/>
        <v>24013</v>
      </c>
      <c r="H233" s="493">
        <f t="shared" si="381"/>
        <v>23445</v>
      </c>
      <c r="I233" s="493">
        <f t="shared" si="381"/>
        <v>24290</v>
      </c>
      <c r="J233" s="494">
        <f t="shared" si="381"/>
        <v>6590</v>
      </c>
      <c r="K233" s="494">
        <f t="shared" si="381"/>
        <v>5802</v>
      </c>
      <c r="L233" s="494">
        <f t="shared" si="381"/>
        <v>5055</v>
      </c>
      <c r="M233" s="494">
        <f t="shared" si="381"/>
        <v>5252</v>
      </c>
      <c r="N233" s="493">
        <f t="shared" si="381"/>
        <v>22699</v>
      </c>
      <c r="O233" s="494">
        <f t="shared" si="381"/>
        <v>5713.75</v>
      </c>
      <c r="P233" s="494">
        <f t="shared" si="381"/>
        <v>3048.75</v>
      </c>
      <c r="Q233" s="494">
        <f t="shared" si="381"/>
        <v>3332.75</v>
      </c>
      <c r="R233" s="494">
        <f t="shared" si="381"/>
        <v>-2887.25</v>
      </c>
      <c r="S233" s="493">
        <f t="shared" si="381"/>
        <v>9208</v>
      </c>
      <c r="T233" s="494">
        <f t="shared" si="381"/>
        <v>3801.25</v>
      </c>
      <c r="U233" s="494">
        <f t="shared" si="381"/>
        <v>4620.25</v>
      </c>
      <c r="V233" s="494">
        <f t="shared" si="381"/>
        <v>3362.25</v>
      </c>
      <c r="W233" s="819">
        <f t="shared" si="381"/>
        <v>3501.25</v>
      </c>
      <c r="X233" s="493">
        <f t="shared" si="381"/>
        <v>15285</v>
      </c>
      <c r="Y233" s="494">
        <f t="shared" si="381"/>
        <v>4728.75</v>
      </c>
      <c r="Z233" s="494">
        <f t="shared" si="381"/>
        <v>4069.75</v>
      </c>
      <c r="AA233" s="494">
        <f t="shared" si="381"/>
        <v>3574.75</v>
      </c>
      <c r="AB233" s="819">
        <f t="shared" si="381"/>
        <v>2225.75</v>
      </c>
      <c r="AC233" s="493">
        <f t="shared" si="381"/>
        <v>14599</v>
      </c>
      <c r="AD233" s="494">
        <f t="shared" si="381"/>
        <v>5921.5</v>
      </c>
      <c r="AE233" s="494">
        <f t="shared" si="381"/>
        <v>4680.5</v>
      </c>
      <c r="AF233" s="494">
        <f t="shared" si="381"/>
        <v>3537.5</v>
      </c>
      <c r="AG233" s="819">
        <f t="shared" si="381"/>
        <v>1764.5</v>
      </c>
      <c r="AH233" s="493">
        <f t="shared" si="381"/>
        <v>15904</v>
      </c>
      <c r="AI233" s="494">
        <f t="shared" si="381"/>
        <v>4841.75</v>
      </c>
      <c r="AJ233" s="494">
        <f t="shared" si="381"/>
        <v>3940.75</v>
      </c>
      <c r="AK233" s="495">
        <f t="shared" ref="AK233:BP233" si="382">+AK27+AK133</f>
        <v>2219.75</v>
      </c>
      <c r="AL233" s="819">
        <f t="shared" si="382"/>
        <v>1458.75</v>
      </c>
      <c r="AM233" s="493">
        <f t="shared" si="382"/>
        <v>12461</v>
      </c>
      <c r="AN233" s="494">
        <f t="shared" si="382"/>
        <v>1472.25</v>
      </c>
      <c r="AO233" s="494">
        <f t="shared" si="382"/>
        <v>2929.25</v>
      </c>
      <c r="AP233" s="494">
        <f t="shared" si="382"/>
        <v>-2866.75</v>
      </c>
      <c r="AQ233" s="819">
        <f t="shared" si="382"/>
        <v>-2054.75</v>
      </c>
      <c r="AR233" s="493">
        <f t="shared" si="382"/>
        <v>-520</v>
      </c>
      <c r="AS233" s="495">
        <f t="shared" si="382"/>
        <v>2929</v>
      </c>
      <c r="AT233" s="494">
        <f t="shared" si="382"/>
        <v>3048</v>
      </c>
      <c r="AU233" s="494">
        <f t="shared" si="382"/>
        <v>3622</v>
      </c>
      <c r="AV233" s="819">
        <f t="shared" si="382"/>
        <v>2029</v>
      </c>
      <c r="AW233" s="493">
        <f t="shared" si="382"/>
        <v>11628</v>
      </c>
      <c r="AX233" s="494">
        <f t="shared" si="382"/>
        <v>3373.5</v>
      </c>
      <c r="AY233" s="494">
        <f t="shared" si="382"/>
        <v>1824.5</v>
      </c>
      <c r="AZ233" s="494">
        <f t="shared" si="382"/>
        <v>254.5</v>
      </c>
      <c r="BA233" s="819">
        <f t="shared" si="382"/>
        <v>-1005.5</v>
      </c>
      <c r="BB233" s="813">
        <f t="shared" si="382"/>
        <v>4447</v>
      </c>
      <c r="BC233" s="494">
        <f t="shared" si="382"/>
        <v>-972.25</v>
      </c>
      <c r="BD233" s="494">
        <f t="shared" si="382"/>
        <v>530.75</v>
      </c>
      <c r="BE233" s="494">
        <f t="shared" si="382"/>
        <v>2788.75</v>
      </c>
      <c r="BF233" s="819">
        <f t="shared" si="382"/>
        <v>3418.75</v>
      </c>
      <c r="BG233" s="493">
        <f t="shared" si="382"/>
        <v>5766</v>
      </c>
      <c r="BH233" s="494">
        <f t="shared" si="382"/>
        <v>3216</v>
      </c>
      <c r="BI233" s="494">
        <f t="shared" si="382"/>
        <v>4301</v>
      </c>
      <c r="BJ233" s="494">
        <f t="shared" si="382"/>
        <v>3081</v>
      </c>
      <c r="BK233" s="819">
        <f t="shared" si="382"/>
        <v>2083</v>
      </c>
      <c r="BL233" s="493">
        <f t="shared" si="382"/>
        <v>12681</v>
      </c>
      <c r="BM233" s="494">
        <f t="shared" si="382"/>
        <v>3852</v>
      </c>
      <c r="BN233" s="494">
        <f t="shared" si="382"/>
        <v>3833</v>
      </c>
      <c r="BO233" s="494">
        <f t="shared" si="382"/>
        <v>2909</v>
      </c>
      <c r="BP233" s="819">
        <f t="shared" si="382"/>
        <v>2978</v>
      </c>
      <c r="BQ233" s="813">
        <f t="shared" ref="BQ233:CV233" si="383">+BQ27+BQ133</f>
        <v>13572</v>
      </c>
      <c r="BR233" s="494">
        <f t="shared" si="383"/>
        <v>3443.5</v>
      </c>
      <c r="BS233" s="494">
        <f t="shared" si="383"/>
        <v>3006.5</v>
      </c>
      <c r="BT233" s="494">
        <f t="shared" si="383"/>
        <v>3191.5</v>
      </c>
      <c r="BU233" s="819">
        <f t="shared" si="383"/>
        <v>2527.5</v>
      </c>
      <c r="BV233" s="493">
        <f t="shared" si="383"/>
        <v>12169</v>
      </c>
      <c r="BW233" s="496">
        <f t="shared" si="383"/>
        <v>3408</v>
      </c>
      <c r="BX233" s="496">
        <f t="shared" si="383"/>
        <v>3800</v>
      </c>
      <c r="BY233" s="496">
        <f t="shared" si="383"/>
        <v>3723</v>
      </c>
      <c r="BZ233" s="820">
        <f t="shared" si="383"/>
        <v>2501</v>
      </c>
      <c r="CA233" s="497">
        <f t="shared" si="383"/>
        <v>13432</v>
      </c>
      <c r="CB233" s="496">
        <f t="shared" si="383"/>
        <v>2734.25</v>
      </c>
      <c r="CC233" s="496">
        <f t="shared" si="383"/>
        <v>3899.25</v>
      </c>
      <c r="CD233" s="496">
        <f t="shared" si="383"/>
        <v>2498.25</v>
      </c>
      <c r="CE233" s="820">
        <f t="shared" si="383"/>
        <v>3389.25</v>
      </c>
      <c r="CF233" s="497">
        <f t="shared" si="383"/>
        <v>12521</v>
      </c>
      <c r="CG233" s="496">
        <f t="shared" si="383"/>
        <v>3241.25</v>
      </c>
      <c r="CH233" s="496">
        <f t="shared" si="383"/>
        <v>4646.25</v>
      </c>
      <c r="CI233" s="496">
        <f t="shared" si="383"/>
        <v>4638.25</v>
      </c>
      <c r="CJ233" s="820">
        <f t="shared" si="383"/>
        <v>3812.25</v>
      </c>
      <c r="CK233" s="498">
        <f t="shared" si="383"/>
        <v>17988.108759521216</v>
      </c>
      <c r="CL233" s="496">
        <f t="shared" si="383"/>
        <v>6307.75</v>
      </c>
      <c r="CM233" s="496">
        <f t="shared" si="383"/>
        <v>5473.75</v>
      </c>
      <c r="CN233" s="496">
        <f t="shared" si="383"/>
        <v>3920.75</v>
      </c>
      <c r="CO233" s="820">
        <f t="shared" si="383"/>
        <v>4645.75</v>
      </c>
      <c r="CP233" s="498">
        <f t="shared" si="383"/>
        <v>20348</v>
      </c>
      <c r="CQ233" s="496">
        <f t="shared" si="383"/>
        <v>3712</v>
      </c>
      <c r="CR233" s="494">
        <f t="shared" si="383"/>
        <v>3998</v>
      </c>
      <c r="CS233" s="494">
        <f t="shared" si="383"/>
        <v>3572</v>
      </c>
      <c r="CT233" s="819">
        <f t="shared" si="383"/>
        <v>3344</v>
      </c>
      <c r="CU233" s="499">
        <f t="shared" si="383"/>
        <v>14626</v>
      </c>
      <c r="CV233" s="1025">
        <f t="shared" si="383"/>
        <v>3557.4171999999999</v>
      </c>
      <c r="CW233" s="1026">
        <f t="shared" ref="CW233:DC233" si="384">+CW27+CW133</f>
        <v>3905.9428000000007</v>
      </c>
      <c r="CX233" s="1026">
        <f t="shared" si="384"/>
        <v>3259.6812</v>
      </c>
      <c r="CY233" s="819">
        <f t="shared" si="384"/>
        <v>3285.9544000000001</v>
      </c>
      <c r="CZ233" s="499">
        <f t="shared" si="384"/>
        <v>14008.9956</v>
      </c>
      <c r="DA233" s="499">
        <f t="shared" si="384"/>
        <v>13865.214600870164</v>
      </c>
      <c r="DB233" s="499">
        <f t="shared" si="384"/>
        <v>14598.748771458228</v>
      </c>
      <c r="DC233" s="499">
        <f t="shared" si="384"/>
        <v>15414.172806969214</v>
      </c>
      <c r="DD233" s="490"/>
      <c r="DE233" s="490"/>
      <c r="DF233" s="498"/>
      <c r="DG233" s="498"/>
      <c r="DH233" s="498"/>
      <c r="DI233" s="500"/>
      <c r="DJ233" s="500"/>
      <c r="DK233" s="490"/>
      <c r="DL233" s="490"/>
      <c r="DM233" s="490"/>
      <c r="DU233" s="492"/>
      <c r="DV233" s="492"/>
      <c r="DW233" s="492"/>
      <c r="DX233" s="492"/>
      <c r="DY233" s="492"/>
      <c r="DZ233" s="492"/>
      <c r="EA233" s="492"/>
      <c r="EB233" s="492"/>
      <c r="EC233" s="492"/>
      <c r="ED233" s="492"/>
      <c r="EE233" s="492"/>
      <c r="EF233" s="492"/>
      <c r="EG233" s="492"/>
      <c r="EH233" s="492"/>
      <c r="EI233" s="492"/>
      <c r="EJ233" s="492"/>
      <c r="EK233" s="492"/>
      <c r="EL233" s="492"/>
      <c r="EM233" s="492"/>
      <c r="EN233" s="492"/>
      <c r="EO233" s="492"/>
      <c r="EP233" s="492"/>
      <c r="EQ233" s="492"/>
      <c r="ER233" s="492"/>
      <c r="ES233" s="492"/>
      <c r="ET233" s="492"/>
      <c r="EU233" s="492"/>
      <c r="EV233" s="492"/>
      <c r="EW233" s="492"/>
      <c r="EX233" s="492"/>
      <c r="EY233" s="492"/>
      <c r="EZ233" s="492"/>
      <c r="FA233" s="492"/>
      <c r="FB233" s="492"/>
      <c r="FC233" s="492"/>
      <c r="FD233" s="492"/>
      <c r="FE233" s="492"/>
      <c r="FF233" s="492"/>
      <c r="FG233" s="492"/>
      <c r="FH233" s="492"/>
      <c r="FI233" s="492"/>
      <c r="FJ233" s="492"/>
      <c r="FK233" s="492"/>
      <c r="FL233" s="492"/>
      <c r="FM233" s="492"/>
      <c r="FN233" s="492"/>
      <c r="FO233" s="492"/>
      <c r="FP233" s="492"/>
      <c r="FQ233" s="492"/>
      <c r="FR233" s="492"/>
      <c r="FS233" s="492"/>
      <c r="FT233" s="492"/>
      <c r="FU233" s="492"/>
      <c r="FV233" s="492"/>
      <c r="FW233" s="492"/>
      <c r="FX233" s="492"/>
      <c r="FY233" s="492"/>
      <c r="FZ233" s="492"/>
      <c r="GA233" s="492"/>
      <c r="GB233" s="492"/>
      <c r="GC233" s="492"/>
      <c r="GD233" s="492"/>
      <c r="GE233" s="492"/>
      <c r="GF233" s="492"/>
      <c r="GG233" s="492"/>
      <c r="GH233" s="492"/>
      <c r="GI233" s="492"/>
      <c r="GJ233" s="492"/>
      <c r="GK233" s="492"/>
      <c r="GL233" s="492"/>
      <c r="GM233" s="492"/>
      <c r="GN233" s="492"/>
      <c r="GO233" s="492"/>
      <c r="GP233" s="492"/>
      <c r="GQ233" s="492"/>
      <c r="GR233" s="492"/>
      <c r="GS233" s="492"/>
      <c r="GT233" s="492"/>
      <c r="GU233" s="492"/>
      <c r="GV233" s="492"/>
      <c r="GW233" s="492"/>
      <c r="GX233" s="492"/>
      <c r="GY233" s="492"/>
      <c r="GZ233" s="492"/>
      <c r="HA233" s="492"/>
      <c r="HB233" s="492"/>
      <c r="HC233" s="492"/>
      <c r="HD233" s="492"/>
      <c r="HE233" s="492"/>
      <c r="HF233" s="492"/>
      <c r="HG233" s="492"/>
      <c r="HH233" s="492"/>
      <c r="HI233" s="492"/>
      <c r="HJ233" s="492"/>
      <c r="HK233" s="492"/>
      <c r="HL233" s="492"/>
      <c r="HM233" s="492"/>
      <c r="HN233" s="492"/>
      <c r="HO233" s="492"/>
      <c r="HP233" s="492"/>
      <c r="HQ233" s="492"/>
      <c r="HR233" s="492"/>
      <c r="HS233" s="492"/>
      <c r="HT233" s="492"/>
      <c r="HU233" s="492"/>
      <c r="HV233" s="492"/>
      <c r="HW233" s="492"/>
      <c r="HX233" s="492"/>
      <c r="HY233" s="492"/>
      <c r="HZ233" s="492"/>
      <c r="IA233" s="492"/>
      <c r="IB233" s="492"/>
      <c r="IC233" s="492"/>
      <c r="ID233" s="492"/>
      <c r="IE233" s="492"/>
      <c r="IF233" s="492"/>
      <c r="IG233" s="492"/>
      <c r="IH233" s="492"/>
      <c r="II233" s="492"/>
      <c r="IJ233" s="492"/>
      <c r="IK233" s="492"/>
      <c r="IL233" s="492"/>
      <c r="IM233" s="492"/>
      <c r="IN233" s="492"/>
      <c r="IO233" s="492"/>
      <c r="IP233" s="492"/>
      <c r="IQ233" s="492"/>
      <c r="IR233" s="492"/>
      <c r="IS233" s="492"/>
      <c r="IT233" s="492"/>
      <c r="IU233" s="492"/>
    </row>
    <row r="234" spans="1:255">
      <c r="A234" s="1109">
        <f t="shared" si="360"/>
        <v>220</v>
      </c>
      <c r="B234" s="10"/>
      <c r="C234" s="317"/>
      <c r="D234" s="2"/>
      <c r="E234" s="814"/>
      <c r="F234" s="816"/>
      <c r="G234" s="816"/>
      <c r="H234" s="816"/>
      <c r="I234" s="816"/>
      <c r="J234" s="490"/>
      <c r="K234" s="490"/>
      <c r="L234" s="490"/>
      <c r="M234" s="490"/>
      <c r="N234" s="814"/>
      <c r="O234" s="490"/>
      <c r="P234" s="490"/>
      <c r="Q234" s="490"/>
      <c r="R234" s="490"/>
      <c r="S234" s="814"/>
      <c r="T234" s="490"/>
      <c r="U234" s="490"/>
      <c r="V234" s="490"/>
      <c r="W234" s="814"/>
      <c r="X234" s="816"/>
      <c r="Y234" s="490"/>
      <c r="Z234" s="490"/>
      <c r="AA234" s="490"/>
      <c r="AB234" s="814"/>
      <c r="AC234" s="816"/>
      <c r="AD234" s="490"/>
      <c r="AE234" s="490"/>
      <c r="AF234" s="490"/>
      <c r="AG234" s="814"/>
      <c r="AH234" s="816"/>
      <c r="AI234" s="490"/>
      <c r="AJ234" s="490"/>
      <c r="AK234" s="490"/>
      <c r="AL234" s="814"/>
      <c r="AM234" s="816"/>
      <c r="AN234" s="490"/>
      <c r="AO234" s="490"/>
      <c r="AP234" s="490"/>
      <c r="AQ234" s="814"/>
      <c r="AR234" s="816"/>
      <c r="AS234" s="490"/>
      <c r="AT234" s="490"/>
      <c r="AU234" s="490"/>
      <c r="AV234" s="814"/>
      <c r="AW234" s="816"/>
      <c r="AX234" s="490"/>
      <c r="AY234" s="490"/>
      <c r="AZ234" s="490"/>
      <c r="BA234" s="814"/>
      <c r="BB234" s="814"/>
      <c r="BC234" s="490"/>
      <c r="BD234" s="490"/>
      <c r="BE234" s="490"/>
      <c r="BF234" s="814"/>
      <c r="BG234" s="816"/>
      <c r="BH234" s="490"/>
      <c r="BI234" s="490"/>
      <c r="BJ234" s="490"/>
      <c r="BK234" s="814"/>
      <c r="BL234" s="816"/>
      <c r="BM234" s="490"/>
      <c r="BN234" s="490"/>
      <c r="BO234" s="490"/>
      <c r="BP234" s="814"/>
      <c r="BQ234" s="814"/>
      <c r="BR234" s="490"/>
      <c r="BS234" s="490"/>
      <c r="BT234" s="490"/>
      <c r="BU234" s="814"/>
      <c r="BV234" s="816"/>
      <c r="BW234" s="490"/>
      <c r="BX234" s="490"/>
      <c r="BY234" s="490"/>
      <c r="BZ234" s="814"/>
      <c r="CA234" s="816"/>
      <c r="CB234" s="490"/>
      <c r="CC234" s="490"/>
      <c r="CD234" s="490"/>
      <c r="CE234" s="814"/>
      <c r="CF234" s="816"/>
      <c r="CG234" s="490"/>
      <c r="CH234" s="490"/>
      <c r="CI234" s="490"/>
      <c r="CJ234" s="814"/>
      <c r="CK234" s="816"/>
      <c r="CL234" s="490"/>
      <c r="CM234" s="490"/>
      <c r="CN234" s="490"/>
      <c r="CO234" s="814"/>
      <c r="CP234" s="816"/>
      <c r="CQ234" s="490"/>
      <c r="CR234" s="490"/>
      <c r="CS234" s="490"/>
      <c r="CT234" s="814"/>
      <c r="CU234" s="816"/>
      <c r="CV234" s="490"/>
      <c r="CW234" s="490"/>
      <c r="CX234" s="490"/>
      <c r="CY234" s="814"/>
      <c r="CZ234" s="816"/>
      <c r="DA234" s="816"/>
      <c r="DB234" s="816"/>
      <c r="DC234" s="816"/>
      <c r="DD234" s="490"/>
      <c r="DE234" s="490"/>
      <c r="DF234" s="490"/>
      <c r="DG234" s="490"/>
      <c r="DH234" s="490"/>
      <c r="DI234" s="491"/>
      <c r="DJ234" s="491"/>
      <c r="DK234" s="490"/>
      <c r="DL234" s="490"/>
      <c r="DM234" s="490"/>
      <c r="DU234" s="492"/>
      <c r="DV234" s="492"/>
      <c r="DW234" s="492"/>
      <c r="DX234" s="492"/>
      <c r="DY234" s="492"/>
      <c r="DZ234" s="492"/>
      <c r="EA234" s="492"/>
      <c r="EB234" s="492"/>
      <c r="EC234" s="492"/>
      <c r="ED234" s="492"/>
      <c r="EE234" s="492"/>
      <c r="EF234" s="492"/>
      <c r="EG234" s="492"/>
      <c r="EH234" s="492"/>
      <c r="EI234" s="492"/>
      <c r="EJ234" s="492"/>
      <c r="EK234" s="492"/>
      <c r="EL234" s="492"/>
      <c r="EM234" s="492"/>
      <c r="EN234" s="492"/>
      <c r="EO234" s="492"/>
      <c r="EP234" s="492"/>
      <c r="EQ234" s="492"/>
      <c r="ER234" s="492"/>
      <c r="ES234" s="492"/>
      <c r="ET234" s="492"/>
      <c r="EU234" s="492"/>
      <c r="EV234" s="492"/>
      <c r="EW234" s="492"/>
      <c r="EX234" s="492"/>
      <c r="EY234" s="492"/>
      <c r="EZ234" s="492"/>
      <c r="FA234" s="492"/>
      <c r="FB234" s="492"/>
      <c r="FC234" s="492"/>
      <c r="FD234" s="492"/>
      <c r="FE234" s="492"/>
      <c r="FF234" s="492"/>
      <c r="FG234" s="492"/>
      <c r="FH234" s="492"/>
      <c r="FI234" s="492"/>
      <c r="FJ234" s="492"/>
      <c r="FK234" s="492"/>
      <c r="FL234" s="492"/>
      <c r="FM234" s="492"/>
      <c r="FN234" s="492"/>
      <c r="FO234" s="492"/>
      <c r="FP234" s="492"/>
      <c r="FQ234" s="492"/>
      <c r="FR234" s="492"/>
      <c r="FS234" s="492"/>
      <c r="FT234" s="492"/>
      <c r="FU234" s="492"/>
      <c r="FV234" s="492"/>
      <c r="FW234" s="492"/>
      <c r="FX234" s="492"/>
      <c r="FY234" s="492"/>
      <c r="FZ234" s="492"/>
      <c r="GA234" s="492"/>
      <c r="GB234" s="492"/>
      <c r="GC234" s="492"/>
      <c r="GD234" s="492"/>
      <c r="GE234" s="492"/>
      <c r="GF234" s="492"/>
      <c r="GG234" s="492"/>
      <c r="GH234" s="492"/>
      <c r="GI234" s="492"/>
      <c r="GJ234" s="492"/>
      <c r="GK234" s="492"/>
      <c r="GL234" s="492"/>
      <c r="GM234" s="492"/>
      <c r="GN234" s="492"/>
      <c r="GO234" s="492"/>
      <c r="GP234" s="492"/>
      <c r="GQ234" s="492"/>
      <c r="GR234" s="492"/>
      <c r="GS234" s="492"/>
      <c r="GT234" s="492"/>
      <c r="GU234" s="492"/>
      <c r="GV234" s="492"/>
      <c r="GW234" s="492"/>
      <c r="GX234" s="492"/>
      <c r="GY234" s="492"/>
      <c r="GZ234" s="492"/>
      <c r="HA234" s="492"/>
      <c r="HB234" s="492"/>
      <c r="HC234" s="492"/>
      <c r="HD234" s="492"/>
      <c r="HE234" s="492"/>
      <c r="HF234" s="492"/>
      <c r="HG234" s="492"/>
      <c r="HH234" s="492"/>
      <c r="HI234" s="492"/>
      <c r="HJ234" s="492"/>
      <c r="HK234" s="492"/>
      <c r="HL234" s="492"/>
      <c r="HM234" s="492"/>
      <c r="HN234" s="492"/>
      <c r="HO234" s="492"/>
      <c r="HP234" s="492"/>
      <c r="HQ234" s="492"/>
      <c r="HR234" s="492"/>
      <c r="HS234" s="492"/>
      <c r="HT234" s="492"/>
      <c r="HU234" s="492"/>
      <c r="HV234" s="492"/>
      <c r="HW234" s="492"/>
      <c r="HX234" s="492"/>
      <c r="HY234" s="492"/>
      <c r="HZ234" s="492"/>
      <c r="IA234" s="492"/>
      <c r="IB234" s="492"/>
      <c r="IC234" s="492"/>
      <c r="ID234" s="492"/>
      <c r="IE234" s="492"/>
      <c r="IF234" s="492"/>
      <c r="IG234" s="492"/>
      <c r="IH234" s="492"/>
      <c r="II234" s="492"/>
      <c r="IJ234" s="492"/>
      <c r="IK234" s="492"/>
      <c r="IL234" s="492"/>
      <c r="IM234" s="492"/>
      <c r="IN234" s="492"/>
      <c r="IO234" s="492"/>
      <c r="IP234" s="492"/>
      <c r="IQ234" s="492"/>
      <c r="IR234" s="492"/>
      <c r="IS234" s="492"/>
      <c r="IT234" s="492"/>
      <c r="IU234" s="492"/>
    </row>
    <row r="235" spans="1:255">
      <c r="A235" s="1109">
        <f t="shared" si="360"/>
        <v>221</v>
      </c>
      <c r="B235" s="10"/>
      <c r="C235" s="317" t="s">
        <v>1053</v>
      </c>
      <c r="D235" s="2"/>
      <c r="E235" s="814"/>
      <c r="F235" s="816"/>
      <c r="G235" s="816"/>
      <c r="H235" s="816"/>
      <c r="I235" s="816"/>
      <c r="J235" s="490"/>
      <c r="K235" s="490"/>
      <c r="L235" s="490"/>
      <c r="M235" s="490"/>
      <c r="N235" s="814"/>
      <c r="O235" s="490"/>
      <c r="P235" s="490"/>
      <c r="Q235" s="490"/>
      <c r="R235" s="490"/>
      <c r="S235" s="814"/>
      <c r="T235" s="490"/>
      <c r="U235" s="490"/>
      <c r="V235" s="490"/>
      <c r="W235" s="814"/>
      <c r="X235" s="816"/>
      <c r="Y235" s="490"/>
      <c r="Z235" s="490"/>
      <c r="AA235" s="490"/>
      <c r="AB235" s="814"/>
      <c r="AC235" s="816"/>
      <c r="AD235" s="490"/>
      <c r="AE235" s="490"/>
      <c r="AF235" s="490"/>
      <c r="AG235" s="814"/>
      <c r="AH235" s="816"/>
      <c r="AI235" s="490"/>
      <c r="AJ235" s="490"/>
      <c r="AK235" s="490"/>
      <c r="AL235" s="814"/>
      <c r="AM235" s="816"/>
      <c r="AN235" s="490"/>
      <c r="AO235" s="490"/>
      <c r="AP235" s="490"/>
      <c r="AQ235" s="814"/>
      <c r="AR235" s="816"/>
      <c r="AS235" s="490"/>
      <c r="AT235" s="490"/>
      <c r="AU235" s="490"/>
      <c r="AV235" s="814"/>
      <c r="AW235" s="816"/>
      <c r="AX235" s="490"/>
      <c r="AY235" s="490"/>
      <c r="AZ235" s="490"/>
      <c r="BA235" s="814"/>
      <c r="BB235" s="814"/>
      <c r="BC235" s="490"/>
      <c r="BD235" s="490"/>
      <c r="BE235" s="490"/>
      <c r="BF235" s="814"/>
      <c r="BG235" s="816"/>
      <c r="BH235" s="490"/>
      <c r="BI235" s="490"/>
      <c r="BJ235" s="490"/>
      <c r="BK235" s="814"/>
      <c r="BL235" s="816"/>
      <c r="BM235" s="490"/>
      <c r="BN235" s="490"/>
      <c r="BO235" s="490"/>
      <c r="BP235" s="814"/>
      <c r="BQ235" s="814"/>
      <c r="BR235" s="490"/>
      <c r="BS235" s="490"/>
      <c r="BT235" s="490"/>
      <c r="BU235" s="814"/>
      <c r="BV235" s="816"/>
      <c r="BW235" s="490"/>
      <c r="BX235" s="490"/>
      <c r="BY235" s="490"/>
      <c r="BZ235" s="814"/>
      <c r="CA235" s="816"/>
      <c r="CB235" s="490"/>
      <c r="CC235" s="490"/>
      <c r="CD235" s="490"/>
      <c r="CE235" s="814"/>
      <c r="CF235" s="816"/>
      <c r="CG235" s="9">
        <v>0.15</v>
      </c>
      <c r="CH235" s="9">
        <v>0.15</v>
      </c>
      <c r="CI235" s="9">
        <v>0.15</v>
      </c>
      <c r="CJ235" s="9">
        <v>0.15</v>
      </c>
      <c r="CK235" s="70">
        <f>SUM(CG235:CJ235)</f>
        <v>0.6</v>
      </c>
      <c r="CL235" s="9">
        <v>0.15</v>
      </c>
      <c r="CM235" s="9">
        <v>0.15</v>
      </c>
      <c r="CN235" s="9">
        <v>0.15</v>
      </c>
      <c r="CO235" s="9">
        <v>0.15</v>
      </c>
      <c r="CP235" s="70">
        <f>SUM(CL235:CO235)</f>
        <v>0.6</v>
      </c>
      <c r="CQ235" s="9">
        <v>0.15</v>
      </c>
      <c r="CR235" s="9">
        <v>0.15</v>
      </c>
      <c r="CS235" s="9">
        <v>0.15</v>
      </c>
      <c r="CT235" s="9">
        <v>0.15</v>
      </c>
      <c r="CU235" s="70">
        <f>SUM(CQ235:CT235)</f>
        <v>0.6</v>
      </c>
      <c r="CV235" s="9">
        <v>0.15</v>
      </c>
      <c r="CW235" s="9">
        <v>0.15</v>
      </c>
      <c r="CX235" s="9">
        <v>0.15</v>
      </c>
      <c r="CY235" s="1011">
        <v>0.15</v>
      </c>
      <c r="CZ235" s="70">
        <f>SUM(CV235:CY235)</f>
        <v>0.6</v>
      </c>
      <c r="DA235" s="70">
        <f>DA210</f>
        <v>0.3</v>
      </c>
      <c r="DB235" s="70">
        <f t="shared" ref="DB235:DC235" si="385">DB210</f>
        <v>0.3</v>
      </c>
      <c r="DC235" s="70">
        <f t="shared" si="385"/>
        <v>0.3</v>
      </c>
      <c r="DD235" s="490"/>
      <c r="DE235" s="490"/>
      <c r="DF235" s="490"/>
      <c r="DG235" s="490"/>
      <c r="DH235" s="490"/>
      <c r="DI235" s="491"/>
      <c r="DJ235" s="491"/>
      <c r="DK235" s="490"/>
      <c r="DL235" s="490"/>
      <c r="DM235" s="490"/>
      <c r="DU235" s="492"/>
      <c r="DV235" s="492"/>
      <c r="DW235" s="492"/>
      <c r="DX235" s="492"/>
      <c r="DY235" s="492"/>
      <c r="DZ235" s="492"/>
      <c r="EA235" s="492"/>
      <c r="EB235" s="492"/>
      <c r="EC235" s="492"/>
      <c r="ED235" s="492"/>
      <c r="EE235" s="492"/>
      <c r="EF235" s="492"/>
      <c r="EG235" s="492"/>
      <c r="EH235" s="492"/>
      <c r="EI235" s="492"/>
      <c r="EJ235" s="492"/>
      <c r="EK235" s="492"/>
      <c r="EL235" s="492"/>
      <c r="EM235" s="492"/>
      <c r="EN235" s="492"/>
      <c r="EO235" s="492"/>
      <c r="EP235" s="492"/>
      <c r="EQ235" s="492"/>
      <c r="ER235" s="492"/>
      <c r="ES235" s="492"/>
      <c r="ET235" s="492"/>
      <c r="EU235" s="492"/>
      <c r="EV235" s="492"/>
      <c r="EW235" s="492"/>
      <c r="EX235" s="492"/>
      <c r="EY235" s="492"/>
      <c r="EZ235" s="492"/>
      <c r="FA235" s="492"/>
      <c r="FB235" s="492"/>
      <c r="FC235" s="492"/>
      <c r="FD235" s="492"/>
      <c r="FE235" s="492"/>
      <c r="FF235" s="492"/>
      <c r="FG235" s="492"/>
      <c r="FH235" s="492"/>
      <c r="FI235" s="492"/>
      <c r="FJ235" s="492"/>
      <c r="FK235" s="492"/>
      <c r="FL235" s="492"/>
      <c r="FM235" s="492"/>
      <c r="FN235" s="492"/>
      <c r="FO235" s="492"/>
      <c r="FP235" s="492"/>
      <c r="FQ235" s="492"/>
      <c r="FR235" s="492"/>
      <c r="FS235" s="492"/>
      <c r="FT235" s="492"/>
      <c r="FU235" s="492"/>
      <c r="FV235" s="492"/>
      <c r="FW235" s="492"/>
      <c r="FX235" s="492"/>
      <c r="FY235" s="492"/>
      <c r="FZ235" s="492"/>
      <c r="GA235" s="492"/>
      <c r="GB235" s="492"/>
      <c r="GC235" s="492"/>
      <c r="GD235" s="492"/>
      <c r="GE235" s="492"/>
      <c r="GF235" s="492"/>
      <c r="GG235" s="492"/>
      <c r="GH235" s="492"/>
      <c r="GI235" s="492"/>
      <c r="GJ235" s="492"/>
      <c r="GK235" s="492"/>
      <c r="GL235" s="492"/>
      <c r="GM235" s="492"/>
      <c r="GN235" s="492"/>
      <c r="GO235" s="492"/>
      <c r="GP235" s="492"/>
      <c r="GQ235" s="492"/>
      <c r="GR235" s="492"/>
      <c r="GS235" s="492"/>
      <c r="GT235" s="492"/>
      <c r="GU235" s="492"/>
      <c r="GV235" s="492"/>
      <c r="GW235" s="492"/>
      <c r="GX235" s="492"/>
      <c r="GY235" s="492"/>
      <c r="GZ235" s="492"/>
      <c r="HA235" s="492"/>
      <c r="HB235" s="492"/>
      <c r="HC235" s="492"/>
      <c r="HD235" s="492"/>
      <c r="HE235" s="492"/>
      <c r="HF235" s="492"/>
      <c r="HG235" s="492"/>
      <c r="HH235" s="492"/>
      <c r="HI235" s="492"/>
      <c r="HJ235" s="492"/>
      <c r="HK235" s="492"/>
      <c r="HL235" s="492"/>
      <c r="HM235" s="492"/>
      <c r="HN235" s="492"/>
      <c r="HO235" s="492"/>
      <c r="HP235" s="492"/>
      <c r="HQ235" s="492"/>
      <c r="HR235" s="492"/>
      <c r="HS235" s="492"/>
      <c r="HT235" s="492"/>
      <c r="HU235" s="492"/>
      <c r="HV235" s="492"/>
      <c r="HW235" s="492"/>
      <c r="HX235" s="492"/>
      <c r="HY235" s="492"/>
      <c r="HZ235" s="492"/>
      <c r="IA235" s="492"/>
      <c r="IB235" s="492"/>
      <c r="IC235" s="492"/>
      <c r="ID235" s="492"/>
      <c r="IE235" s="492"/>
      <c r="IF235" s="492"/>
      <c r="IG235" s="492"/>
      <c r="IH235" s="492"/>
      <c r="II235" s="492"/>
      <c r="IJ235" s="492"/>
      <c r="IK235" s="492"/>
      <c r="IL235" s="492"/>
      <c r="IM235" s="492"/>
      <c r="IN235" s="492"/>
      <c r="IO235" s="492"/>
      <c r="IP235" s="492"/>
      <c r="IQ235" s="492"/>
      <c r="IR235" s="492"/>
      <c r="IS235" s="492"/>
      <c r="IT235" s="492"/>
      <c r="IU235" s="492"/>
    </row>
    <row r="236" spans="1:255">
      <c r="A236" s="1109">
        <f t="shared" si="360"/>
        <v>222</v>
      </c>
      <c r="B236" s="10"/>
      <c r="C236" s="317"/>
      <c r="D236" s="2"/>
      <c r="E236" s="814"/>
      <c r="F236" s="816"/>
      <c r="G236" s="816"/>
      <c r="H236" s="816"/>
      <c r="I236" s="816"/>
      <c r="J236" s="490"/>
      <c r="K236" s="490"/>
      <c r="L236" s="490"/>
      <c r="M236" s="490"/>
      <c r="N236" s="814"/>
      <c r="O236" s="490"/>
      <c r="P236" s="490"/>
      <c r="Q236" s="490"/>
      <c r="R236" s="490"/>
      <c r="S236" s="814"/>
      <c r="T236" s="490"/>
      <c r="U236" s="490"/>
      <c r="V236" s="490"/>
      <c r="W236" s="814"/>
      <c r="X236" s="816"/>
      <c r="Y236" s="490"/>
      <c r="Z236" s="490"/>
      <c r="AA236" s="490"/>
      <c r="AB236" s="814"/>
      <c r="AC236" s="816"/>
      <c r="AD236" s="490"/>
      <c r="AE236" s="490"/>
      <c r="AF236" s="490"/>
      <c r="AG236" s="814"/>
      <c r="AH236" s="816"/>
      <c r="AI236" s="490"/>
      <c r="AJ236" s="490"/>
      <c r="AK236" s="490"/>
      <c r="AL236" s="814"/>
      <c r="AM236" s="816"/>
      <c r="AN236" s="490"/>
      <c r="AO236" s="490"/>
      <c r="AP236" s="490"/>
      <c r="AQ236" s="814"/>
      <c r="AR236" s="816"/>
      <c r="AS236" s="490"/>
      <c r="AT236" s="490"/>
      <c r="AU236" s="490"/>
      <c r="AV236" s="814"/>
      <c r="AW236" s="816"/>
      <c r="AX236" s="490"/>
      <c r="AY236" s="490"/>
      <c r="AZ236" s="490"/>
      <c r="BA236" s="814"/>
      <c r="BB236" s="814"/>
      <c r="BC236" s="490"/>
      <c r="BD236" s="490"/>
      <c r="BE236" s="490"/>
      <c r="BF236" s="814"/>
      <c r="BG236" s="816"/>
      <c r="BH236" s="490"/>
      <c r="BI236" s="490"/>
      <c r="BJ236" s="490"/>
      <c r="BK236" s="814"/>
      <c r="BL236" s="816"/>
      <c r="BM236" s="490"/>
      <c r="BN236" s="490"/>
      <c r="BO236" s="490"/>
      <c r="BP236" s="814"/>
      <c r="BQ236" s="814"/>
      <c r="BR236" s="490"/>
      <c r="BS236" s="490"/>
      <c r="BT236" s="490"/>
      <c r="BU236" s="814"/>
      <c r="BV236" s="816"/>
      <c r="BW236" s="490"/>
      <c r="BX236" s="490"/>
      <c r="BY236" s="490"/>
      <c r="BZ236" s="814"/>
      <c r="CA236" s="816"/>
      <c r="CB236" s="490"/>
      <c r="CC236" s="490"/>
      <c r="CD236" s="490"/>
      <c r="CE236" s="814"/>
      <c r="CF236" s="816"/>
      <c r="CG236" s="490"/>
      <c r="CH236" s="490"/>
      <c r="CI236" s="490"/>
      <c r="CJ236" s="814"/>
      <c r="CK236" s="816"/>
      <c r="CL236" s="490"/>
      <c r="CM236" s="490"/>
      <c r="CN236" s="490"/>
      <c r="CO236" s="814"/>
      <c r="CP236" s="816"/>
      <c r="CQ236" s="490"/>
      <c r="CR236" s="490"/>
      <c r="CS236" s="490"/>
      <c r="CT236" s="814"/>
      <c r="CU236" s="816"/>
      <c r="CV236" s="490"/>
      <c r="CW236" s="490"/>
      <c r="CX236" s="490"/>
      <c r="CY236" s="814"/>
      <c r="CZ236" s="816"/>
      <c r="DA236" s="816"/>
      <c r="DB236" s="816"/>
      <c r="DC236" s="816"/>
      <c r="DD236" s="490"/>
      <c r="DE236" s="490"/>
      <c r="DF236" s="490"/>
      <c r="DG236" s="490"/>
      <c r="DH236" s="490"/>
      <c r="DI236" s="491"/>
      <c r="DJ236" s="491"/>
      <c r="DK236" s="490"/>
      <c r="DL236" s="490"/>
      <c r="DM236" s="490"/>
      <c r="DU236" s="492"/>
      <c r="DV236" s="492"/>
      <c r="DW236" s="492"/>
      <c r="DX236" s="492"/>
      <c r="DY236" s="492"/>
      <c r="DZ236" s="492"/>
      <c r="EA236" s="492"/>
      <c r="EB236" s="492"/>
      <c r="EC236" s="492"/>
      <c r="ED236" s="492"/>
      <c r="EE236" s="492"/>
      <c r="EF236" s="492"/>
      <c r="EG236" s="492"/>
      <c r="EH236" s="492"/>
      <c r="EI236" s="492"/>
      <c r="EJ236" s="492"/>
      <c r="EK236" s="492"/>
      <c r="EL236" s="492"/>
      <c r="EM236" s="492"/>
      <c r="EN236" s="492"/>
      <c r="EO236" s="492"/>
      <c r="EP236" s="492"/>
      <c r="EQ236" s="492"/>
      <c r="ER236" s="492"/>
      <c r="ES236" s="492"/>
      <c r="ET236" s="492"/>
      <c r="EU236" s="492"/>
      <c r="EV236" s="492"/>
      <c r="EW236" s="492"/>
      <c r="EX236" s="492"/>
      <c r="EY236" s="492"/>
      <c r="EZ236" s="492"/>
      <c r="FA236" s="492"/>
      <c r="FB236" s="492"/>
      <c r="FC236" s="492"/>
      <c r="FD236" s="492"/>
      <c r="FE236" s="492"/>
      <c r="FF236" s="492"/>
      <c r="FG236" s="492"/>
      <c r="FH236" s="492"/>
      <c r="FI236" s="492"/>
      <c r="FJ236" s="492"/>
      <c r="FK236" s="492"/>
      <c r="FL236" s="492"/>
      <c r="FM236" s="492"/>
      <c r="FN236" s="492"/>
      <c r="FO236" s="492"/>
      <c r="FP236" s="492"/>
      <c r="FQ236" s="492"/>
      <c r="FR236" s="492"/>
      <c r="FS236" s="492"/>
      <c r="FT236" s="492"/>
      <c r="FU236" s="492"/>
      <c r="FV236" s="492"/>
      <c r="FW236" s="492"/>
      <c r="FX236" s="492"/>
      <c r="FY236" s="492"/>
      <c r="FZ236" s="492"/>
      <c r="GA236" s="492"/>
      <c r="GB236" s="492"/>
      <c r="GC236" s="492"/>
      <c r="GD236" s="492"/>
      <c r="GE236" s="492"/>
      <c r="GF236" s="492"/>
      <c r="GG236" s="492"/>
      <c r="GH236" s="492"/>
      <c r="GI236" s="492"/>
      <c r="GJ236" s="492"/>
      <c r="GK236" s="492"/>
      <c r="GL236" s="492"/>
      <c r="GM236" s="492"/>
      <c r="GN236" s="492"/>
      <c r="GO236" s="492"/>
      <c r="GP236" s="492"/>
      <c r="GQ236" s="492"/>
      <c r="GR236" s="492"/>
      <c r="GS236" s="492"/>
      <c r="GT236" s="492"/>
      <c r="GU236" s="492"/>
      <c r="GV236" s="492"/>
      <c r="GW236" s="492"/>
      <c r="GX236" s="492"/>
      <c r="GY236" s="492"/>
      <c r="GZ236" s="492"/>
      <c r="HA236" s="492"/>
      <c r="HB236" s="492"/>
      <c r="HC236" s="492"/>
      <c r="HD236" s="492"/>
      <c r="HE236" s="492"/>
      <c r="HF236" s="492"/>
      <c r="HG236" s="492"/>
      <c r="HH236" s="492"/>
      <c r="HI236" s="492"/>
      <c r="HJ236" s="492"/>
      <c r="HK236" s="492"/>
      <c r="HL236" s="492"/>
      <c r="HM236" s="492"/>
      <c r="HN236" s="492"/>
      <c r="HO236" s="492"/>
      <c r="HP236" s="492"/>
      <c r="HQ236" s="492"/>
      <c r="HR236" s="492"/>
      <c r="HS236" s="492"/>
      <c r="HT236" s="492"/>
      <c r="HU236" s="492"/>
      <c r="HV236" s="492"/>
      <c r="HW236" s="492"/>
      <c r="HX236" s="492"/>
      <c r="HY236" s="492"/>
      <c r="HZ236" s="492"/>
      <c r="IA236" s="492"/>
      <c r="IB236" s="492"/>
      <c r="IC236" s="492"/>
      <c r="ID236" s="492"/>
      <c r="IE236" s="492"/>
      <c r="IF236" s="492"/>
      <c r="IG236" s="492"/>
      <c r="IH236" s="492"/>
      <c r="II236" s="492"/>
      <c r="IJ236" s="492"/>
      <c r="IK236" s="492"/>
      <c r="IL236" s="492"/>
      <c r="IM236" s="492"/>
      <c r="IN236" s="492"/>
      <c r="IO236" s="492"/>
      <c r="IP236" s="492"/>
      <c r="IQ236" s="492"/>
      <c r="IR236" s="492"/>
      <c r="IS236" s="492"/>
      <c r="IT236" s="492"/>
      <c r="IU236" s="492"/>
    </row>
    <row r="237" spans="1:255">
      <c r="A237" s="1109">
        <f t="shared" si="360"/>
        <v>223</v>
      </c>
      <c r="B237" s="10"/>
      <c r="C237" s="317"/>
      <c r="D237" s="2"/>
      <c r="E237" s="814"/>
      <c r="F237" s="816"/>
      <c r="G237" s="816"/>
      <c r="H237" s="816"/>
      <c r="I237" s="816"/>
      <c r="J237" s="490"/>
      <c r="K237" s="490"/>
      <c r="L237" s="490"/>
      <c r="M237" s="490"/>
      <c r="N237" s="814"/>
      <c r="O237" s="490"/>
      <c r="P237" s="490"/>
      <c r="Q237" s="490"/>
      <c r="R237" s="490"/>
      <c r="S237" s="814"/>
      <c r="T237" s="490"/>
      <c r="U237" s="490"/>
      <c r="V237" s="490"/>
      <c r="W237" s="814"/>
      <c r="X237" s="816"/>
      <c r="Y237" s="490"/>
      <c r="Z237" s="490"/>
      <c r="AA237" s="490"/>
      <c r="AB237" s="814"/>
      <c r="AC237" s="816"/>
      <c r="AD237" s="490"/>
      <c r="AE237" s="490"/>
      <c r="AF237" s="490"/>
      <c r="AG237" s="814"/>
      <c r="AH237" s="816"/>
      <c r="AI237" s="490"/>
      <c r="AJ237" s="490"/>
      <c r="AK237" s="490"/>
      <c r="AL237" s="814"/>
      <c r="AM237" s="816"/>
      <c r="AN237" s="490"/>
      <c r="AO237" s="490"/>
      <c r="AP237" s="490"/>
      <c r="AQ237" s="814"/>
      <c r="AR237" s="816"/>
      <c r="AS237" s="490"/>
      <c r="AT237" s="490"/>
      <c r="AU237" s="490"/>
      <c r="AV237" s="814"/>
      <c r="AW237" s="816"/>
      <c r="AX237" s="490"/>
      <c r="AY237" s="490"/>
      <c r="AZ237" s="490"/>
      <c r="BA237" s="814"/>
      <c r="BB237" s="814"/>
      <c r="BC237" s="490"/>
      <c r="BD237" s="490"/>
      <c r="BE237" s="490"/>
      <c r="BF237" s="814"/>
      <c r="BG237" s="816"/>
      <c r="BH237" s="490"/>
      <c r="BI237" s="490"/>
      <c r="BJ237" s="490"/>
      <c r="BK237" s="814"/>
      <c r="BL237" s="816"/>
      <c r="BM237" s="490"/>
      <c r="BN237" s="490"/>
      <c r="BO237" s="490"/>
      <c r="BP237" s="814"/>
      <c r="BQ237" s="814"/>
      <c r="BR237" s="490"/>
      <c r="BS237" s="490"/>
      <c r="BT237" s="490"/>
      <c r="BU237" s="814"/>
      <c r="BV237" s="816"/>
      <c r="BW237" s="490"/>
      <c r="BX237" s="490"/>
      <c r="BY237" s="490"/>
      <c r="BZ237" s="814"/>
      <c r="CA237" s="816"/>
      <c r="CB237" s="490"/>
      <c r="CC237" s="490"/>
      <c r="CD237" s="490"/>
      <c r="CE237" s="814"/>
      <c r="CF237" s="816"/>
      <c r="CG237" s="490"/>
      <c r="CH237" s="490"/>
      <c r="CI237" s="490"/>
      <c r="CJ237" s="814"/>
      <c r="CK237" s="816"/>
      <c r="CL237" s="490"/>
      <c r="CM237" s="490"/>
      <c r="CN237" s="490"/>
      <c r="CO237" s="814"/>
      <c r="CP237" s="816"/>
      <c r="CQ237" s="490"/>
      <c r="CR237" s="490"/>
      <c r="CS237" s="490"/>
      <c r="CT237" s="814"/>
      <c r="CU237" s="816"/>
      <c r="CV237" s="490"/>
      <c r="CW237" s="490"/>
      <c r="CX237" s="490"/>
      <c r="CY237" s="814"/>
      <c r="CZ237" s="816"/>
      <c r="DA237" s="816"/>
      <c r="DB237" s="816"/>
      <c r="DC237" s="816"/>
      <c r="DD237" s="490"/>
      <c r="DE237" s="490"/>
      <c r="DF237" s="490"/>
      <c r="DG237" s="490"/>
      <c r="DH237" s="490"/>
      <c r="DI237" s="491"/>
      <c r="DJ237" s="491"/>
      <c r="DK237" s="490"/>
      <c r="DL237" s="490"/>
      <c r="DM237" s="490"/>
      <c r="DU237" s="492"/>
      <c r="DV237" s="492"/>
      <c r="DW237" s="492"/>
      <c r="DX237" s="492"/>
      <c r="DY237" s="492"/>
      <c r="DZ237" s="492"/>
      <c r="EA237" s="492"/>
      <c r="EB237" s="492"/>
      <c r="EC237" s="492"/>
      <c r="ED237" s="492"/>
      <c r="EE237" s="492"/>
      <c r="EF237" s="492"/>
      <c r="EG237" s="492"/>
      <c r="EH237" s="492"/>
      <c r="EI237" s="492"/>
      <c r="EJ237" s="492"/>
      <c r="EK237" s="492"/>
      <c r="EL237" s="492"/>
      <c r="EM237" s="492"/>
      <c r="EN237" s="492"/>
      <c r="EO237" s="492"/>
      <c r="EP237" s="492"/>
      <c r="EQ237" s="492"/>
      <c r="ER237" s="492"/>
      <c r="ES237" s="492"/>
      <c r="ET237" s="492"/>
      <c r="EU237" s="492"/>
      <c r="EV237" s="492"/>
      <c r="EW237" s="492"/>
      <c r="EX237" s="492"/>
      <c r="EY237" s="492"/>
      <c r="EZ237" s="492"/>
      <c r="FA237" s="492"/>
      <c r="FB237" s="492"/>
      <c r="FC237" s="492"/>
      <c r="FD237" s="492"/>
      <c r="FE237" s="492"/>
      <c r="FF237" s="492"/>
      <c r="FG237" s="492"/>
      <c r="FH237" s="492"/>
      <c r="FI237" s="492"/>
      <c r="FJ237" s="492"/>
      <c r="FK237" s="492"/>
      <c r="FL237" s="492"/>
      <c r="FM237" s="492"/>
      <c r="FN237" s="492"/>
      <c r="FO237" s="492"/>
      <c r="FP237" s="492"/>
      <c r="FQ237" s="492"/>
      <c r="FR237" s="492"/>
      <c r="FS237" s="492"/>
      <c r="FT237" s="492"/>
      <c r="FU237" s="492"/>
      <c r="FV237" s="492"/>
      <c r="FW237" s="492"/>
      <c r="FX237" s="492"/>
      <c r="FY237" s="492"/>
      <c r="FZ237" s="492"/>
      <c r="GA237" s="492"/>
      <c r="GB237" s="492"/>
      <c r="GC237" s="492"/>
      <c r="GD237" s="492"/>
      <c r="GE237" s="492"/>
      <c r="GF237" s="492"/>
      <c r="GG237" s="492"/>
      <c r="GH237" s="492"/>
      <c r="GI237" s="492"/>
      <c r="GJ237" s="492"/>
      <c r="GK237" s="492"/>
      <c r="GL237" s="492"/>
      <c r="GM237" s="492"/>
      <c r="GN237" s="492"/>
      <c r="GO237" s="492"/>
      <c r="GP237" s="492"/>
      <c r="GQ237" s="492"/>
      <c r="GR237" s="492"/>
      <c r="GS237" s="492"/>
      <c r="GT237" s="492"/>
      <c r="GU237" s="492"/>
      <c r="GV237" s="492"/>
      <c r="GW237" s="492"/>
      <c r="GX237" s="492"/>
      <c r="GY237" s="492"/>
      <c r="GZ237" s="492"/>
      <c r="HA237" s="492"/>
      <c r="HB237" s="492"/>
      <c r="HC237" s="492"/>
      <c r="HD237" s="492"/>
      <c r="HE237" s="492"/>
      <c r="HF237" s="492"/>
      <c r="HG237" s="492"/>
      <c r="HH237" s="492"/>
      <c r="HI237" s="492"/>
      <c r="HJ237" s="492"/>
      <c r="HK237" s="492"/>
      <c r="HL237" s="492"/>
      <c r="HM237" s="492"/>
      <c r="HN237" s="492"/>
      <c r="HO237" s="492"/>
      <c r="HP237" s="492"/>
      <c r="HQ237" s="492"/>
      <c r="HR237" s="492"/>
      <c r="HS237" s="492"/>
      <c r="HT237" s="492"/>
      <c r="HU237" s="492"/>
      <c r="HV237" s="492"/>
      <c r="HW237" s="492"/>
      <c r="HX237" s="492"/>
      <c r="HY237" s="492"/>
      <c r="HZ237" s="492"/>
      <c r="IA237" s="492"/>
      <c r="IB237" s="492"/>
      <c r="IC237" s="492"/>
      <c r="ID237" s="492"/>
      <c r="IE237" s="492"/>
      <c r="IF237" s="492"/>
      <c r="IG237" s="492"/>
      <c r="IH237" s="492"/>
      <c r="II237" s="492"/>
      <c r="IJ237" s="492"/>
      <c r="IK237" s="492"/>
      <c r="IL237" s="492"/>
      <c r="IM237" s="492"/>
      <c r="IN237" s="492"/>
      <c r="IO237" s="492"/>
      <c r="IP237" s="492"/>
      <c r="IQ237" s="492"/>
      <c r="IR237" s="492"/>
      <c r="IS237" s="492"/>
      <c r="IT237" s="492"/>
      <c r="IU237" s="492"/>
    </row>
    <row r="238" spans="1:255">
      <c r="A238" s="1109">
        <f t="shared" si="360"/>
        <v>224</v>
      </c>
      <c r="B238" s="10"/>
      <c r="C238" s="317" t="s">
        <v>843</v>
      </c>
      <c r="D238" s="2"/>
      <c r="E238" s="814">
        <v>0</v>
      </c>
      <c r="F238" s="816">
        <v>0</v>
      </c>
      <c r="G238" s="816">
        <v>0</v>
      </c>
      <c r="H238" s="816">
        <v>0</v>
      </c>
      <c r="I238" s="816">
        <v>0</v>
      </c>
      <c r="J238" s="490">
        <v>0</v>
      </c>
      <c r="K238" s="490">
        <v>0</v>
      </c>
      <c r="L238" s="490">
        <v>0</v>
      </c>
      <c r="M238" s="490">
        <v>0</v>
      </c>
      <c r="N238" s="814">
        <v>0</v>
      </c>
      <c r="O238" s="490">
        <v>0</v>
      </c>
      <c r="P238" s="490">
        <v>0</v>
      </c>
      <c r="Q238" s="490">
        <v>0</v>
      </c>
      <c r="R238" s="490">
        <v>0</v>
      </c>
      <c r="S238" s="814">
        <v>0</v>
      </c>
      <c r="T238" s="490">
        <v>0</v>
      </c>
      <c r="U238" s="490">
        <v>0</v>
      </c>
      <c r="V238" s="490">
        <v>0</v>
      </c>
      <c r="W238" s="814">
        <v>0</v>
      </c>
      <c r="X238" s="816">
        <v>0</v>
      </c>
      <c r="Y238" s="490">
        <v>0</v>
      </c>
      <c r="Z238" s="490">
        <v>0</v>
      </c>
      <c r="AA238" s="490">
        <v>0</v>
      </c>
      <c r="AB238" s="814">
        <v>0</v>
      </c>
      <c r="AC238" s="816">
        <v>0</v>
      </c>
      <c r="AD238" s="490">
        <v>0</v>
      </c>
      <c r="AE238" s="490">
        <v>0</v>
      </c>
      <c r="AF238" s="490">
        <v>0</v>
      </c>
      <c r="AG238" s="814">
        <v>0</v>
      </c>
      <c r="AH238" s="816">
        <v>0</v>
      </c>
      <c r="AI238" s="490">
        <v>0</v>
      </c>
      <c r="AJ238" s="490">
        <v>0</v>
      </c>
      <c r="AK238" s="490">
        <v>0</v>
      </c>
      <c r="AL238" s="814">
        <v>0</v>
      </c>
      <c r="AM238" s="816">
        <v>0</v>
      </c>
      <c r="AN238" s="490">
        <v>0</v>
      </c>
      <c r="AO238" s="490">
        <v>0</v>
      </c>
      <c r="AP238" s="490">
        <v>0</v>
      </c>
      <c r="AQ238" s="814">
        <v>0</v>
      </c>
      <c r="AR238" s="816">
        <v>0</v>
      </c>
      <c r="AS238" s="490">
        <v>0</v>
      </c>
      <c r="AT238" s="490">
        <v>0</v>
      </c>
      <c r="AU238" s="490">
        <v>0</v>
      </c>
      <c r="AV238" s="814">
        <v>0</v>
      </c>
      <c r="AW238" s="816">
        <v>0</v>
      </c>
      <c r="AX238" s="490">
        <v>0</v>
      </c>
      <c r="AY238" s="490">
        <v>0</v>
      </c>
      <c r="AZ238" s="490">
        <v>0</v>
      </c>
      <c r="BA238" s="814">
        <v>0</v>
      </c>
      <c r="BB238" s="814">
        <v>0</v>
      </c>
      <c r="BC238" s="490">
        <v>0</v>
      </c>
      <c r="BD238" s="490">
        <v>0</v>
      </c>
      <c r="BE238" s="490">
        <v>0</v>
      </c>
      <c r="BF238" s="814">
        <v>0</v>
      </c>
      <c r="BG238" s="816">
        <v>0</v>
      </c>
      <c r="BH238" s="490">
        <v>0</v>
      </c>
      <c r="BI238" s="490">
        <v>0</v>
      </c>
      <c r="BJ238" s="490">
        <v>0</v>
      </c>
      <c r="BK238" s="814">
        <v>0</v>
      </c>
      <c r="BL238" s="816">
        <v>0</v>
      </c>
      <c r="BM238" s="490">
        <v>0</v>
      </c>
      <c r="BN238" s="490">
        <v>0</v>
      </c>
      <c r="BO238" s="490">
        <v>0</v>
      </c>
      <c r="BP238" s="814">
        <v>0</v>
      </c>
      <c r="BQ238" s="814">
        <v>0</v>
      </c>
      <c r="BR238" s="490">
        <v>0</v>
      </c>
      <c r="BS238" s="490">
        <v>0</v>
      </c>
      <c r="BT238" s="490">
        <v>0</v>
      </c>
      <c r="BU238" s="814">
        <v>0</v>
      </c>
      <c r="BV238" s="816">
        <v>0</v>
      </c>
      <c r="BW238" s="490"/>
      <c r="BX238" s="490"/>
      <c r="BY238" s="490"/>
      <c r="BZ238" s="814"/>
      <c r="CA238" s="816">
        <v>0</v>
      </c>
      <c r="CB238" s="490"/>
      <c r="CC238" s="490"/>
      <c r="CD238" s="490"/>
      <c r="CE238" s="814"/>
      <c r="CF238" s="816">
        <v>0</v>
      </c>
      <c r="CG238" s="490"/>
      <c r="CH238" s="490"/>
      <c r="CI238" s="490"/>
      <c r="CJ238" s="814"/>
      <c r="CK238" s="816">
        <v>0</v>
      </c>
      <c r="CL238" s="490"/>
      <c r="CM238" s="490"/>
      <c r="CN238" s="490"/>
      <c r="CO238" s="814"/>
      <c r="CP238" s="816">
        <v>0</v>
      </c>
      <c r="CQ238" s="490"/>
      <c r="CR238" s="490"/>
      <c r="CS238" s="490"/>
      <c r="CT238" s="814"/>
      <c r="CU238" s="816">
        <v>0</v>
      </c>
      <c r="CV238" s="490"/>
      <c r="CW238" s="490"/>
      <c r="CX238" s="490"/>
      <c r="CY238" s="814"/>
      <c r="CZ238" s="816">
        <v>0</v>
      </c>
      <c r="DA238" s="816">
        <v>0</v>
      </c>
      <c r="DB238" s="816">
        <v>0</v>
      </c>
      <c r="DC238" s="816">
        <v>0</v>
      </c>
      <c r="DD238" s="490"/>
      <c r="DE238" s="490"/>
      <c r="DF238" s="490"/>
      <c r="DG238" s="490"/>
      <c r="DH238" s="490"/>
      <c r="DI238" s="491"/>
      <c r="DJ238" s="491"/>
      <c r="DK238" s="490"/>
      <c r="DL238" s="490"/>
      <c r="DM238" s="490"/>
      <c r="DU238" s="492"/>
      <c r="DV238" s="492"/>
      <c r="DW238" s="492"/>
      <c r="DX238" s="492"/>
      <c r="DY238" s="492"/>
      <c r="DZ238" s="492"/>
      <c r="EA238" s="492"/>
      <c r="EB238" s="492"/>
      <c r="EC238" s="492"/>
      <c r="ED238" s="492"/>
      <c r="EE238" s="492"/>
      <c r="EF238" s="492"/>
      <c r="EG238" s="492"/>
      <c r="EH238" s="492"/>
      <c r="EI238" s="492"/>
      <c r="EJ238" s="492"/>
      <c r="EK238" s="492"/>
      <c r="EL238" s="492"/>
      <c r="EM238" s="492"/>
      <c r="EN238" s="492"/>
      <c r="EO238" s="492"/>
      <c r="EP238" s="492"/>
      <c r="EQ238" s="492"/>
      <c r="ER238" s="492"/>
      <c r="ES238" s="492"/>
      <c r="ET238" s="492"/>
      <c r="EU238" s="492"/>
      <c r="EV238" s="492"/>
      <c r="EW238" s="492"/>
      <c r="EX238" s="492"/>
      <c r="EY238" s="492"/>
      <c r="EZ238" s="492"/>
      <c r="FA238" s="492"/>
      <c r="FB238" s="492"/>
      <c r="FC238" s="492"/>
      <c r="FD238" s="492"/>
      <c r="FE238" s="492"/>
      <c r="FF238" s="492"/>
      <c r="FG238" s="492"/>
      <c r="FH238" s="492"/>
      <c r="FI238" s="492"/>
      <c r="FJ238" s="492"/>
      <c r="FK238" s="492"/>
      <c r="FL238" s="492"/>
      <c r="FM238" s="492"/>
      <c r="FN238" s="492"/>
      <c r="FO238" s="492"/>
      <c r="FP238" s="492"/>
      <c r="FQ238" s="492"/>
      <c r="FR238" s="492"/>
      <c r="FS238" s="492"/>
      <c r="FT238" s="492"/>
      <c r="FU238" s="492"/>
      <c r="FV238" s="492"/>
      <c r="FW238" s="492"/>
      <c r="FX238" s="492"/>
      <c r="FY238" s="492"/>
      <c r="FZ238" s="492"/>
      <c r="GA238" s="492"/>
      <c r="GB238" s="492"/>
      <c r="GC238" s="492"/>
      <c r="GD238" s="492"/>
      <c r="GE238" s="492"/>
      <c r="GF238" s="492"/>
      <c r="GG238" s="492"/>
      <c r="GH238" s="492"/>
      <c r="GI238" s="492"/>
      <c r="GJ238" s="492"/>
      <c r="GK238" s="492"/>
      <c r="GL238" s="492"/>
      <c r="GM238" s="492"/>
      <c r="GN238" s="492"/>
      <c r="GO238" s="492"/>
      <c r="GP238" s="492"/>
      <c r="GQ238" s="492"/>
      <c r="GR238" s="492"/>
      <c r="GS238" s="492"/>
      <c r="GT238" s="492"/>
      <c r="GU238" s="492"/>
      <c r="GV238" s="492"/>
      <c r="GW238" s="492"/>
      <c r="GX238" s="492"/>
      <c r="GY238" s="492"/>
      <c r="GZ238" s="492"/>
      <c r="HA238" s="492"/>
      <c r="HB238" s="492"/>
      <c r="HC238" s="492"/>
      <c r="HD238" s="492"/>
      <c r="HE238" s="492"/>
      <c r="HF238" s="492"/>
      <c r="HG238" s="492"/>
      <c r="HH238" s="492"/>
      <c r="HI238" s="492"/>
      <c r="HJ238" s="492"/>
      <c r="HK238" s="492"/>
      <c r="HL238" s="492"/>
      <c r="HM238" s="492"/>
      <c r="HN238" s="492"/>
      <c r="HO238" s="492"/>
      <c r="HP238" s="492"/>
      <c r="HQ238" s="492"/>
      <c r="HR238" s="492"/>
      <c r="HS238" s="492"/>
      <c r="HT238" s="492"/>
      <c r="HU238" s="492"/>
      <c r="HV238" s="492"/>
      <c r="HW238" s="492"/>
      <c r="HX238" s="492"/>
      <c r="HY238" s="492"/>
      <c r="HZ238" s="492"/>
      <c r="IA238" s="492"/>
      <c r="IB238" s="492"/>
      <c r="IC238" s="492"/>
      <c r="ID238" s="492"/>
      <c r="IE238" s="492"/>
      <c r="IF238" s="492"/>
      <c r="IG238" s="492"/>
      <c r="IH238" s="492"/>
      <c r="II238" s="492"/>
      <c r="IJ238" s="492"/>
      <c r="IK238" s="492"/>
      <c r="IL238" s="492"/>
      <c r="IM238" s="492"/>
      <c r="IN238" s="492"/>
      <c r="IO238" s="492"/>
      <c r="IP238" s="492"/>
      <c r="IQ238" s="492"/>
      <c r="IR238" s="492"/>
      <c r="IS238" s="492"/>
      <c r="IT238" s="492"/>
      <c r="IU238" s="492"/>
    </row>
    <row r="239" spans="1:255" s="812" customFormat="1">
      <c r="A239" s="1112">
        <f t="shared" si="360"/>
        <v>225</v>
      </c>
      <c r="B239" s="806"/>
      <c r="C239" s="827" t="s">
        <v>844</v>
      </c>
      <c r="D239" s="807"/>
      <c r="E239" s="815">
        <v>0.35</v>
      </c>
      <c r="F239" s="817">
        <v>0.35</v>
      </c>
      <c r="G239" s="817">
        <v>0.35</v>
      </c>
      <c r="H239" s="817">
        <v>0.35</v>
      </c>
      <c r="I239" s="817">
        <v>0.35</v>
      </c>
      <c r="J239" s="808">
        <v>0.35</v>
      </c>
      <c r="K239" s="808">
        <v>0.35</v>
      </c>
      <c r="L239" s="808">
        <v>0.35</v>
      </c>
      <c r="M239" s="808">
        <v>0.35</v>
      </c>
      <c r="N239" s="818">
        <v>0.35</v>
      </c>
      <c r="O239" s="808">
        <v>0.35</v>
      </c>
      <c r="P239" s="808">
        <v>0.35</v>
      </c>
      <c r="Q239" s="808">
        <v>0.35</v>
      </c>
      <c r="R239" s="808">
        <v>0.35</v>
      </c>
      <c r="S239" s="818">
        <v>0.35</v>
      </c>
      <c r="T239" s="808">
        <v>0.35</v>
      </c>
      <c r="U239" s="808">
        <v>0.35</v>
      </c>
      <c r="V239" s="808">
        <v>0.35</v>
      </c>
      <c r="W239" s="818">
        <v>0.35</v>
      </c>
      <c r="X239" s="817">
        <v>0.35</v>
      </c>
      <c r="Y239" s="808">
        <v>0.35</v>
      </c>
      <c r="Z239" s="808">
        <v>0.35</v>
      </c>
      <c r="AA239" s="808">
        <v>0.35</v>
      </c>
      <c r="AB239" s="818">
        <v>0.35</v>
      </c>
      <c r="AC239" s="817">
        <v>0.35</v>
      </c>
      <c r="AD239" s="808">
        <v>0.35</v>
      </c>
      <c r="AE239" s="808">
        <v>0.35</v>
      </c>
      <c r="AF239" s="808">
        <v>0.35</v>
      </c>
      <c r="AG239" s="818">
        <v>0.35</v>
      </c>
      <c r="AH239" s="817">
        <v>0.35</v>
      </c>
      <c r="AI239" s="808">
        <v>0.35</v>
      </c>
      <c r="AJ239" s="808">
        <v>0.35</v>
      </c>
      <c r="AK239" s="808">
        <v>0.35</v>
      </c>
      <c r="AL239" s="818">
        <v>0.35</v>
      </c>
      <c r="AM239" s="817">
        <v>0.35</v>
      </c>
      <c r="AN239" s="808">
        <v>0.35</v>
      </c>
      <c r="AO239" s="808">
        <v>0.35</v>
      </c>
      <c r="AP239" s="808">
        <v>0.35</v>
      </c>
      <c r="AQ239" s="818">
        <v>0.35</v>
      </c>
      <c r="AR239" s="817">
        <v>0.35</v>
      </c>
      <c r="AS239" s="808">
        <v>0.35</v>
      </c>
      <c r="AT239" s="808">
        <v>0.35</v>
      </c>
      <c r="AU239" s="808">
        <v>0.35</v>
      </c>
      <c r="AV239" s="818">
        <v>0.35</v>
      </c>
      <c r="AW239" s="817">
        <v>0.35</v>
      </c>
      <c r="AX239" s="808">
        <v>0.35</v>
      </c>
      <c r="AY239" s="808">
        <v>0.35</v>
      </c>
      <c r="AZ239" s="808">
        <v>0.35</v>
      </c>
      <c r="BA239" s="818">
        <v>0.35</v>
      </c>
      <c r="BB239" s="818">
        <v>0.35</v>
      </c>
      <c r="BC239" s="808">
        <v>0.35</v>
      </c>
      <c r="BD239" s="808">
        <v>0.35</v>
      </c>
      <c r="BE239" s="808">
        <v>0.35</v>
      </c>
      <c r="BF239" s="818">
        <v>0.35</v>
      </c>
      <c r="BG239" s="817">
        <v>0.35</v>
      </c>
      <c r="BH239" s="808">
        <v>0.35</v>
      </c>
      <c r="BI239" s="808">
        <v>0.35</v>
      </c>
      <c r="BJ239" s="808">
        <v>0.35</v>
      </c>
      <c r="BK239" s="818">
        <v>0.35</v>
      </c>
      <c r="BL239" s="817">
        <v>0.35</v>
      </c>
      <c r="BM239" s="808">
        <v>0.35</v>
      </c>
      <c r="BN239" s="808">
        <v>0.35</v>
      </c>
      <c r="BO239" s="808">
        <v>0.35</v>
      </c>
      <c r="BP239" s="818">
        <v>0.35</v>
      </c>
      <c r="BQ239" s="818">
        <v>0.35</v>
      </c>
      <c r="BR239" s="808">
        <v>0.35</v>
      </c>
      <c r="BS239" s="808">
        <v>0.35</v>
      </c>
      <c r="BT239" s="808">
        <v>0.35</v>
      </c>
      <c r="BU239" s="818">
        <v>0.35</v>
      </c>
      <c r="BV239" s="817">
        <v>0.35</v>
      </c>
      <c r="BW239" s="808">
        <v>0.35</v>
      </c>
      <c r="BX239" s="808">
        <v>0.35</v>
      </c>
      <c r="BY239" s="808">
        <v>0.35</v>
      </c>
      <c r="BZ239" s="818">
        <v>0.35</v>
      </c>
      <c r="CA239" s="817">
        <v>0.35</v>
      </c>
      <c r="CB239" s="808">
        <v>0.35</v>
      </c>
      <c r="CC239" s="808">
        <v>0.35</v>
      </c>
      <c r="CD239" s="808">
        <v>0.35</v>
      </c>
      <c r="CE239" s="818">
        <v>0.35</v>
      </c>
      <c r="CF239" s="817">
        <v>0.35</v>
      </c>
      <c r="CG239" s="808">
        <v>0.35</v>
      </c>
      <c r="CH239" s="808">
        <v>0.35</v>
      </c>
      <c r="CI239" s="808">
        <v>0.35</v>
      </c>
      <c r="CJ239" s="818">
        <v>0.35</v>
      </c>
      <c r="CK239" s="817">
        <v>0.35</v>
      </c>
      <c r="CL239" s="808">
        <v>0.35</v>
      </c>
      <c r="CM239" s="808">
        <v>0.35</v>
      </c>
      <c r="CN239" s="808">
        <v>0.35</v>
      </c>
      <c r="CO239" s="818">
        <v>0.35</v>
      </c>
      <c r="CP239" s="817">
        <v>0.35</v>
      </c>
      <c r="CQ239" s="808">
        <v>0.35</v>
      </c>
      <c r="CR239" s="808">
        <v>0.35</v>
      </c>
      <c r="CS239" s="808">
        <v>0.35</v>
      </c>
      <c r="CT239" s="818">
        <v>0.35</v>
      </c>
      <c r="CU239" s="817">
        <v>0.35</v>
      </c>
      <c r="CV239" s="808">
        <v>0.35</v>
      </c>
      <c r="CW239" s="808">
        <v>0.35</v>
      </c>
      <c r="CX239" s="808">
        <v>0.35</v>
      </c>
      <c r="CY239" s="818">
        <v>0.35</v>
      </c>
      <c r="CZ239" s="817">
        <v>0.35</v>
      </c>
      <c r="DA239" s="817">
        <v>0.35</v>
      </c>
      <c r="DB239" s="817">
        <v>0.35</v>
      </c>
      <c r="DC239" s="817">
        <v>0.35</v>
      </c>
      <c r="DD239" s="809"/>
      <c r="DE239" s="809"/>
      <c r="DF239" s="809"/>
      <c r="DG239" s="809"/>
      <c r="DH239" s="809"/>
      <c r="DI239" s="810"/>
      <c r="DJ239" s="810"/>
      <c r="DK239" s="809"/>
      <c r="DL239" s="809"/>
      <c r="DM239" s="809"/>
      <c r="DN239"/>
      <c r="DO239"/>
      <c r="DP239"/>
      <c r="DQ239"/>
      <c r="DR239"/>
      <c r="DS239"/>
      <c r="DT239" s="836"/>
      <c r="DU239" s="811"/>
      <c r="DV239" s="811"/>
      <c r="DW239" s="811"/>
      <c r="DX239" s="811"/>
      <c r="DY239" s="811"/>
      <c r="DZ239" s="811"/>
      <c r="EA239" s="811"/>
      <c r="EB239" s="811"/>
      <c r="EC239" s="811"/>
      <c r="ED239" s="811"/>
      <c r="EE239" s="811"/>
      <c r="EF239" s="811"/>
      <c r="EG239" s="811"/>
      <c r="EH239" s="811"/>
      <c r="EI239" s="811"/>
      <c r="EJ239" s="811"/>
      <c r="EK239" s="811"/>
      <c r="EL239" s="811"/>
      <c r="EM239" s="811"/>
      <c r="EN239" s="811"/>
      <c r="EO239" s="811"/>
      <c r="EP239" s="811"/>
      <c r="EQ239" s="811"/>
      <c r="ER239" s="811"/>
      <c r="ES239" s="811"/>
      <c r="ET239" s="811"/>
      <c r="EU239" s="811"/>
      <c r="EV239" s="811"/>
      <c r="EW239" s="811"/>
      <c r="EX239" s="811"/>
      <c r="EY239" s="811"/>
      <c r="EZ239" s="811"/>
      <c r="FA239" s="811"/>
      <c r="FB239" s="811"/>
      <c r="FC239" s="811"/>
      <c r="FD239" s="811"/>
      <c r="FE239" s="811"/>
      <c r="FF239" s="811"/>
      <c r="FG239" s="811"/>
      <c r="FH239" s="811"/>
      <c r="FI239" s="811"/>
      <c r="FJ239" s="811"/>
      <c r="FK239" s="811"/>
      <c r="FL239" s="811"/>
      <c r="FM239" s="811"/>
      <c r="FN239" s="811"/>
      <c r="FO239" s="811"/>
      <c r="FP239" s="811"/>
      <c r="FQ239" s="811"/>
      <c r="FR239" s="811"/>
      <c r="FS239" s="811"/>
      <c r="FT239" s="811"/>
      <c r="FU239" s="811"/>
      <c r="FV239" s="811"/>
      <c r="FW239" s="811"/>
      <c r="FX239" s="811"/>
      <c r="FY239" s="811"/>
      <c r="FZ239" s="811"/>
      <c r="GA239" s="811"/>
      <c r="GB239" s="811"/>
      <c r="GC239" s="811"/>
      <c r="GD239" s="811"/>
      <c r="GE239" s="811"/>
      <c r="GF239" s="811"/>
      <c r="GG239" s="811"/>
      <c r="GH239" s="811"/>
      <c r="GI239" s="811"/>
      <c r="GJ239" s="811"/>
      <c r="GK239" s="811"/>
      <c r="GL239" s="811"/>
      <c r="GM239" s="811"/>
      <c r="GN239" s="811"/>
      <c r="GO239" s="811"/>
      <c r="GP239" s="811"/>
      <c r="GQ239" s="811"/>
      <c r="GR239" s="811"/>
      <c r="GS239" s="811"/>
      <c r="GT239" s="811"/>
      <c r="GU239" s="811"/>
      <c r="GV239" s="811"/>
      <c r="GW239" s="811"/>
      <c r="GX239" s="811"/>
      <c r="GY239" s="811"/>
      <c r="GZ239" s="811"/>
      <c r="HA239" s="811"/>
      <c r="HB239" s="811"/>
      <c r="HC239" s="811"/>
      <c r="HD239" s="811"/>
      <c r="HE239" s="811"/>
      <c r="HF239" s="811"/>
      <c r="HG239" s="811"/>
      <c r="HH239" s="811"/>
      <c r="HI239" s="811"/>
      <c r="HJ239" s="811"/>
      <c r="HK239" s="811"/>
      <c r="HL239" s="811"/>
      <c r="HM239" s="811"/>
      <c r="HN239" s="811"/>
      <c r="HO239" s="811"/>
      <c r="HP239" s="811"/>
      <c r="HQ239" s="811"/>
      <c r="HR239" s="811"/>
      <c r="HS239" s="811"/>
      <c r="HT239" s="811"/>
      <c r="HU239" s="811"/>
      <c r="HV239" s="811"/>
      <c r="HW239" s="811"/>
      <c r="HX239" s="811"/>
      <c r="HY239" s="811"/>
      <c r="HZ239" s="811"/>
      <c r="IA239" s="811"/>
      <c r="IB239" s="811"/>
      <c r="IC239" s="811"/>
      <c r="ID239" s="811"/>
      <c r="IE239" s="811"/>
      <c r="IF239" s="811"/>
      <c r="IG239" s="811"/>
      <c r="IH239" s="811"/>
      <c r="II239" s="811"/>
      <c r="IJ239" s="811"/>
      <c r="IK239" s="811"/>
      <c r="IL239" s="811"/>
      <c r="IM239" s="811"/>
      <c r="IN239" s="811"/>
      <c r="IO239" s="811"/>
      <c r="IP239" s="811"/>
      <c r="IQ239" s="811"/>
      <c r="IR239" s="811"/>
      <c r="IS239" s="811"/>
      <c r="IT239" s="811"/>
      <c r="IU239" s="811"/>
    </row>
    <row r="240" spans="1:255">
      <c r="A240" s="1109">
        <f t="shared" si="360"/>
        <v>226</v>
      </c>
      <c r="B240" s="10"/>
      <c r="C240" s="317"/>
      <c r="D240" s="2"/>
      <c r="E240" s="814"/>
      <c r="F240" s="816"/>
      <c r="G240" s="816"/>
      <c r="H240" s="816"/>
      <c r="I240" s="816"/>
      <c r="J240" s="490"/>
      <c r="K240" s="490"/>
      <c r="L240" s="490"/>
      <c r="M240" s="490"/>
      <c r="N240" s="814"/>
      <c r="O240" s="490"/>
      <c r="P240" s="490"/>
      <c r="Q240" s="490"/>
      <c r="R240" s="490"/>
      <c r="S240" s="814"/>
      <c r="T240" s="490"/>
      <c r="U240" s="490"/>
      <c r="V240" s="490"/>
      <c r="W240" s="814"/>
      <c r="X240" s="816"/>
      <c r="Y240" s="490"/>
      <c r="Z240" s="490"/>
      <c r="AA240" s="490"/>
      <c r="AB240" s="814"/>
      <c r="AC240" s="816"/>
      <c r="AD240" s="490"/>
      <c r="AE240" s="490"/>
      <c r="AF240" s="490"/>
      <c r="AG240" s="814"/>
      <c r="AH240" s="816"/>
      <c r="AI240" s="490"/>
      <c r="AJ240" s="490"/>
      <c r="AK240" s="490"/>
      <c r="AL240" s="814"/>
      <c r="AM240" s="816"/>
      <c r="AN240" s="490"/>
      <c r="AO240" s="490"/>
      <c r="AP240" s="490"/>
      <c r="AQ240" s="814"/>
      <c r="AR240" s="816"/>
      <c r="AS240" s="490"/>
      <c r="AT240" s="490"/>
      <c r="AU240" s="490"/>
      <c r="AV240" s="814"/>
      <c r="AW240" s="816"/>
      <c r="AX240" s="490"/>
      <c r="AY240" s="490"/>
      <c r="AZ240" s="490"/>
      <c r="BA240" s="814"/>
      <c r="BB240" s="814"/>
      <c r="BC240" s="490"/>
      <c r="BD240" s="490"/>
      <c r="BE240" s="490"/>
      <c r="BF240" s="814"/>
      <c r="BG240" s="816"/>
      <c r="BH240" s="490"/>
      <c r="BI240" s="490"/>
      <c r="BJ240" s="490"/>
      <c r="BK240" s="814"/>
      <c r="BL240" s="816"/>
      <c r="BM240" s="490"/>
      <c r="BN240" s="490"/>
      <c r="BO240" s="490"/>
      <c r="BP240" s="814"/>
      <c r="BQ240" s="814"/>
      <c r="BR240" s="490"/>
      <c r="BS240" s="490"/>
      <c r="BT240" s="490"/>
      <c r="BU240" s="814"/>
      <c r="BV240" s="816"/>
      <c r="BW240" s="490"/>
      <c r="BX240" s="490"/>
      <c r="BY240" s="490"/>
      <c r="BZ240" s="814"/>
      <c r="CA240" s="816"/>
      <c r="CB240" s="490"/>
      <c r="CC240" s="490"/>
      <c r="CD240" s="490"/>
      <c r="CE240" s="814"/>
      <c r="CF240" s="816"/>
      <c r="CG240" s="490"/>
      <c r="CH240" s="490"/>
      <c r="CI240" s="490"/>
      <c r="CJ240" s="814"/>
      <c r="CK240" s="816"/>
      <c r="CL240" s="490"/>
      <c r="CM240" s="490"/>
      <c r="CN240" s="490"/>
      <c r="CO240" s="814"/>
      <c r="CP240" s="816"/>
      <c r="CQ240" s="490"/>
      <c r="CR240" s="490"/>
      <c r="CS240" s="490"/>
      <c r="CT240" s="814"/>
      <c r="CU240" s="816"/>
      <c r="CV240" s="490"/>
      <c r="CW240" s="490"/>
      <c r="CX240" s="490"/>
      <c r="CY240" s="814"/>
      <c r="CZ240" s="816"/>
      <c r="DA240" s="816"/>
      <c r="DB240" s="816"/>
      <c r="DC240" s="816"/>
      <c r="DD240" s="490"/>
      <c r="DE240" s="490"/>
      <c r="DF240" s="490"/>
      <c r="DG240" s="490"/>
      <c r="DH240" s="490"/>
      <c r="DI240" s="491"/>
      <c r="DJ240" s="491"/>
      <c r="DK240" s="490"/>
      <c r="DL240" s="490"/>
      <c r="DM240" s="490"/>
      <c r="DU240" s="492"/>
      <c r="DV240" s="492"/>
      <c r="DW240" s="492"/>
      <c r="DX240" s="492"/>
      <c r="DY240" s="492"/>
      <c r="DZ240" s="492"/>
      <c r="EA240" s="492"/>
      <c r="EB240" s="492"/>
      <c r="EC240" s="492"/>
      <c r="ED240" s="492"/>
      <c r="EE240" s="492"/>
      <c r="EF240" s="492"/>
      <c r="EG240" s="492"/>
      <c r="EH240" s="492"/>
      <c r="EI240" s="492"/>
      <c r="EJ240" s="492"/>
      <c r="EK240" s="492"/>
      <c r="EL240" s="492"/>
      <c r="EM240" s="492"/>
      <c r="EN240" s="492"/>
      <c r="EO240" s="492"/>
      <c r="EP240" s="492"/>
      <c r="EQ240" s="492"/>
      <c r="ER240" s="492"/>
      <c r="ES240" s="492"/>
      <c r="ET240" s="492"/>
      <c r="EU240" s="492"/>
      <c r="EV240" s="492"/>
      <c r="EW240" s="492"/>
      <c r="EX240" s="492"/>
      <c r="EY240" s="492"/>
      <c r="EZ240" s="492"/>
      <c r="FA240" s="492"/>
      <c r="FB240" s="492"/>
      <c r="FC240" s="492"/>
      <c r="FD240" s="492"/>
      <c r="FE240" s="492"/>
      <c r="FF240" s="492"/>
      <c r="FG240" s="492"/>
      <c r="FH240" s="492"/>
      <c r="FI240" s="492"/>
      <c r="FJ240" s="492"/>
      <c r="FK240" s="492"/>
      <c r="FL240" s="492"/>
      <c r="FM240" s="492"/>
      <c r="FN240" s="492"/>
      <c r="FO240" s="492"/>
      <c r="FP240" s="492"/>
      <c r="FQ240" s="492"/>
      <c r="FR240" s="492"/>
      <c r="FS240" s="492"/>
      <c r="FT240" s="492"/>
      <c r="FU240" s="492"/>
      <c r="FV240" s="492"/>
      <c r="FW240" s="492"/>
      <c r="FX240" s="492"/>
      <c r="FY240" s="492"/>
      <c r="FZ240" s="492"/>
      <c r="GA240" s="492"/>
      <c r="GB240" s="492"/>
      <c r="GC240" s="492"/>
      <c r="GD240" s="492"/>
      <c r="GE240" s="492"/>
      <c r="GF240" s="492"/>
      <c r="GG240" s="492"/>
      <c r="GH240" s="492"/>
      <c r="GI240" s="492"/>
      <c r="GJ240" s="492"/>
      <c r="GK240" s="492"/>
      <c r="GL240" s="492"/>
      <c r="GM240" s="492"/>
      <c r="GN240" s="492"/>
      <c r="GO240" s="492"/>
      <c r="GP240" s="492"/>
      <c r="GQ240" s="492"/>
      <c r="GR240" s="492"/>
      <c r="GS240" s="492"/>
      <c r="GT240" s="492"/>
      <c r="GU240" s="492"/>
      <c r="GV240" s="492"/>
      <c r="GW240" s="492"/>
      <c r="GX240" s="492"/>
      <c r="GY240" s="492"/>
      <c r="GZ240" s="492"/>
      <c r="HA240" s="492"/>
      <c r="HB240" s="492"/>
      <c r="HC240" s="492"/>
      <c r="HD240" s="492"/>
      <c r="HE240" s="492"/>
      <c r="HF240" s="492"/>
      <c r="HG240" s="492"/>
      <c r="HH240" s="492"/>
      <c r="HI240" s="492"/>
      <c r="HJ240" s="492"/>
      <c r="HK240" s="492"/>
      <c r="HL240" s="492"/>
      <c r="HM240" s="492"/>
      <c r="HN240" s="492"/>
      <c r="HO240" s="492"/>
      <c r="HP240" s="492"/>
      <c r="HQ240" s="492"/>
      <c r="HR240" s="492"/>
      <c r="HS240" s="492"/>
      <c r="HT240" s="492"/>
      <c r="HU240" s="492"/>
      <c r="HV240" s="492"/>
      <c r="HW240" s="492"/>
      <c r="HX240" s="492"/>
      <c r="HY240" s="492"/>
      <c r="HZ240" s="492"/>
      <c r="IA240" s="492"/>
      <c r="IB240" s="492"/>
      <c r="IC240" s="492"/>
      <c r="ID240" s="492"/>
      <c r="IE240" s="492"/>
      <c r="IF240" s="492"/>
      <c r="IG240" s="492"/>
      <c r="IH240" s="492"/>
      <c r="II240" s="492"/>
      <c r="IJ240" s="492"/>
      <c r="IK240" s="492"/>
      <c r="IL240" s="492"/>
      <c r="IM240" s="492"/>
      <c r="IN240" s="492"/>
      <c r="IO240" s="492"/>
      <c r="IP240" s="492"/>
      <c r="IQ240" s="492"/>
      <c r="IR240" s="492"/>
      <c r="IS240" s="492"/>
      <c r="IT240" s="492"/>
      <c r="IU240" s="492"/>
    </row>
    <row r="241" spans="1:255">
      <c r="A241" s="1109">
        <f t="shared" si="360"/>
        <v>227</v>
      </c>
      <c r="B241" s="10"/>
      <c r="C241" s="891"/>
      <c r="D241" s="97"/>
      <c r="E241" s="901"/>
      <c r="F241" s="902"/>
      <c r="G241" s="902"/>
      <c r="H241" s="902"/>
      <c r="I241" s="902"/>
      <c r="J241" s="903"/>
      <c r="K241" s="903"/>
      <c r="L241" s="903"/>
      <c r="M241" s="903"/>
      <c r="N241" s="901"/>
      <c r="O241" s="903"/>
      <c r="P241" s="903"/>
      <c r="Q241" s="903"/>
      <c r="R241" s="903"/>
      <c r="S241" s="901"/>
      <c r="T241" s="903"/>
      <c r="U241" s="903"/>
      <c r="V241" s="903"/>
      <c r="W241" s="901"/>
      <c r="X241" s="902"/>
      <c r="Y241" s="903"/>
      <c r="Z241" s="903"/>
      <c r="AA241" s="903"/>
      <c r="AB241" s="901"/>
      <c r="AC241" s="902"/>
      <c r="AD241" s="903"/>
      <c r="AE241" s="903"/>
      <c r="AF241" s="903"/>
      <c r="AG241" s="901"/>
      <c r="AH241" s="902"/>
      <c r="AI241" s="903"/>
      <c r="AJ241" s="903"/>
      <c r="AK241" s="903"/>
      <c r="AL241" s="901"/>
      <c r="AM241" s="902"/>
      <c r="AN241" s="903"/>
      <c r="AO241" s="903"/>
      <c r="AP241" s="903"/>
      <c r="AQ241" s="901"/>
      <c r="AR241" s="902"/>
      <c r="AS241" s="903"/>
      <c r="AT241" s="903"/>
      <c r="AU241" s="903"/>
      <c r="AV241" s="901"/>
      <c r="AW241" s="902"/>
      <c r="AX241" s="903"/>
      <c r="AY241" s="903"/>
      <c r="AZ241" s="903"/>
      <c r="BA241" s="901"/>
      <c r="BB241" s="901"/>
      <c r="BC241" s="903"/>
      <c r="BD241" s="903"/>
      <c r="BE241" s="903"/>
      <c r="BF241" s="901"/>
      <c r="BG241" s="902"/>
      <c r="BH241" s="903"/>
      <c r="BI241" s="903"/>
      <c r="BJ241" s="903"/>
      <c r="BK241" s="901"/>
      <c r="BL241" s="902"/>
      <c r="BM241" s="903"/>
      <c r="BN241" s="903"/>
      <c r="BO241" s="903"/>
      <c r="BP241" s="901"/>
      <c r="BQ241" s="901"/>
      <c r="BR241" s="903"/>
      <c r="BS241" s="903"/>
      <c r="BT241" s="903"/>
      <c r="BU241" s="901"/>
      <c r="BV241" s="902"/>
      <c r="BW241" s="903"/>
      <c r="BX241" s="903"/>
      <c r="BY241" s="903"/>
      <c r="BZ241" s="901"/>
      <c r="CA241" s="902"/>
      <c r="CB241" s="903"/>
      <c r="CC241" s="903"/>
      <c r="CD241" s="903"/>
      <c r="CE241" s="901"/>
      <c r="CF241" s="902"/>
      <c r="CG241" s="903"/>
      <c r="CH241" s="903"/>
      <c r="CI241" s="903"/>
      <c r="CJ241" s="901"/>
      <c r="CK241" s="902"/>
      <c r="CL241" s="903"/>
      <c r="CM241" s="903"/>
      <c r="CN241" s="903"/>
      <c r="CO241" s="901"/>
      <c r="CP241" s="902"/>
      <c r="CQ241" s="903"/>
      <c r="CR241" s="903"/>
      <c r="CS241" s="903"/>
      <c r="CT241" s="901"/>
      <c r="CU241" s="902"/>
      <c r="CV241" s="903"/>
      <c r="CW241" s="903"/>
      <c r="CX241" s="903"/>
      <c r="CY241" s="901"/>
      <c r="CZ241" s="902"/>
      <c r="DA241" s="902"/>
      <c r="DB241" s="902"/>
      <c r="DC241" s="902"/>
      <c r="DD241" s="490"/>
      <c r="DE241" s="490"/>
      <c r="DF241" s="490"/>
      <c r="DG241" s="490"/>
      <c r="DH241" s="490"/>
      <c r="DI241" s="491"/>
      <c r="DJ241" s="491"/>
      <c r="DK241" s="490"/>
      <c r="DL241" s="490"/>
      <c r="DM241" s="490"/>
      <c r="DU241" s="492"/>
      <c r="DV241" s="492"/>
      <c r="DW241" s="492"/>
      <c r="DX241" s="492"/>
      <c r="DY241" s="492"/>
      <c r="DZ241" s="492"/>
      <c r="EA241" s="492"/>
      <c r="EB241" s="492"/>
      <c r="EC241" s="492"/>
      <c r="ED241" s="492"/>
      <c r="EE241" s="492"/>
      <c r="EF241" s="492"/>
      <c r="EG241" s="492"/>
      <c r="EH241" s="492"/>
      <c r="EI241" s="492"/>
      <c r="EJ241" s="492"/>
      <c r="EK241" s="492"/>
      <c r="EL241" s="492"/>
      <c r="EM241" s="492"/>
      <c r="EN241" s="492"/>
      <c r="EO241" s="492"/>
      <c r="EP241" s="492"/>
      <c r="EQ241" s="492"/>
      <c r="ER241" s="492"/>
      <c r="ES241" s="492"/>
      <c r="ET241" s="492"/>
      <c r="EU241" s="492"/>
      <c r="EV241" s="492"/>
      <c r="EW241" s="492"/>
      <c r="EX241" s="492"/>
      <c r="EY241" s="492"/>
      <c r="EZ241" s="492"/>
      <c r="FA241" s="492"/>
      <c r="FB241" s="492"/>
      <c r="FC241" s="492"/>
      <c r="FD241" s="492"/>
      <c r="FE241" s="492"/>
      <c r="FF241" s="492"/>
      <c r="FG241" s="492"/>
      <c r="FH241" s="492"/>
      <c r="FI241" s="492"/>
      <c r="FJ241" s="492"/>
      <c r="FK241" s="492"/>
      <c r="FL241" s="492"/>
      <c r="FM241" s="492"/>
      <c r="FN241" s="492"/>
      <c r="FO241" s="492"/>
      <c r="FP241" s="492"/>
      <c r="FQ241" s="492"/>
      <c r="FR241" s="492"/>
      <c r="FS241" s="492"/>
      <c r="FT241" s="492"/>
      <c r="FU241" s="492"/>
      <c r="FV241" s="492"/>
      <c r="FW241" s="492"/>
      <c r="FX241" s="492"/>
      <c r="FY241" s="492"/>
      <c r="FZ241" s="492"/>
      <c r="GA241" s="492"/>
      <c r="GB241" s="492"/>
      <c r="GC241" s="492"/>
      <c r="GD241" s="492"/>
      <c r="GE241" s="492"/>
      <c r="GF241" s="492"/>
      <c r="GG241" s="492"/>
      <c r="GH241" s="492"/>
      <c r="GI241" s="492"/>
      <c r="GJ241" s="492"/>
      <c r="GK241" s="492"/>
      <c r="GL241" s="492"/>
      <c r="GM241" s="492"/>
      <c r="GN241" s="492"/>
      <c r="GO241" s="492"/>
      <c r="GP241" s="492"/>
      <c r="GQ241" s="492"/>
      <c r="GR241" s="492"/>
      <c r="GS241" s="492"/>
      <c r="GT241" s="492"/>
      <c r="GU241" s="492"/>
      <c r="GV241" s="492"/>
      <c r="GW241" s="492"/>
      <c r="GX241" s="492"/>
      <c r="GY241" s="492"/>
      <c r="GZ241" s="492"/>
      <c r="HA241" s="492"/>
      <c r="HB241" s="492"/>
      <c r="HC241" s="492"/>
      <c r="HD241" s="492"/>
      <c r="HE241" s="492"/>
      <c r="HF241" s="492"/>
      <c r="HG241" s="492"/>
      <c r="HH241" s="492"/>
      <c r="HI241" s="492"/>
      <c r="HJ241" s="492"/>
      <c r="HK241" s="492"/>
      <c r="HL241" s="492"/>
      <c r="HM241" s="492"/>
      <c r="HN241" s="492"/>
      <c r="HO241" s="492"/>
      <c r="HP241" s="492"/>
      <c r="HQ241" s="492"/>
      <c r="HR241" s="492"/>
      <c r="HS241" s="492"/>
      <c r="HT241" s="492"/>
      <c r="HU241" s="492"/>
      <c r="HV241" s="492"/>
      <c r="HW241" s="492"/>
      <c r="HX241" s="492"/>
      <c r="HY241" s="492"/>
      <c r="HZ241" s="492"/>
      <c r="IA241" s="492"/>
      <c r="IB241" s="492"/>
      <c r="IC241" s="492"/>
      <c r="ID241" s="492"/>
      <c r="IE241" s="492"/>
      <c r="IF241" s="492"/>
      <c r="IG241" s="492"/>
      <c r="IH241" s="492"/>
      <c r="II241" s="492"/>
      <c r="IJ241" s="492"/>
      <c r="IK241" s="492"/>
      <c r="IL241" s="492"/>
      <c r="IM241" s="492"/>
      <c r="IN241" s="492"/>
      <c r="IO241" s="492"/>
      <c r="IP241" s="492"/>
      <c r="IQ241" s="492"/>
      <c r="IR241" s="492"/>
      <c r="IS241" s="492"/>
      <c r="IT241" s="492"/>
      <c r="IU241" s="492"/>
    </row>
    <row r="242" spans="1:255" hidden="1" outlineLevel="1">
      <c r="A242" s="1109">
        <f t="shared" si="360"/>
        <v>228</v>
      </c>
      <c r="B242" s="10"/>
      <c r="C242" s="317" t="s">
        <v>845</v>
      </c>
      <c r="D242" s="2"/>
      <c r="E242" s="814"/>
      <c r="F242" s="816"/>
      <c r="G242" s="816"/>
      <c r="H242" s="816"/>
      <c r="I242" s="816"/>
      <c r="J242" s="490"/>
      <c r="K242" s="490"/>
      <c r="L242" s="490"/>
      <c r="M242" s="490"/>
      <c r="N242" s="814"/>
      <c r="O242" s="490"/>
      <c r="P242" s="490"/>
      <c r="Q242" s="490"/>
      <c r="R242" s="490"/>
      <c r="S242" s="814"/>
      <c r="T242" s="490"/>
      <c r="U242" s="490"/>
      <c r="V242" s="490"/>
      <c r="W242" s="814"/>
      <c r="X242" s="816"/>
      <c r="Y242" s="490"/>
      <c r="Z242" s="490"/>
      <c r="AA242" s="490"/>
      <c r="AB242" s="814"/>
      <c r="AC242" s="816"/>
      <c r="AD242" s="490"/>
      <c r="AE242" s="490"/>
      <c r="AF242" s="490"/>
      <c r="AG242" s="814"/>
      <c r="AH242" s="816"/>
      <c r="AI242" s="490"/>
      <c r="AJ242" s="490"/>
      <c r="AK242" s="490"/>
      <c r="AL242" s="814"/>
      <c r="AM242" s="816"/>
      <c r="AN242" s="490"/>
      <c r="AO242" s="490"/>
      <c r="AP242" s="490"/>
      <c r="AQ242" s="814"/>
      <c r="AR242" s="816"/>
      <c r="AS242" s="490"/>
      <c r="AT242" s="490"/>
      <c r="AU242" s="490"/>
      <c r="AV242" s="814"/>
      <c r="AW242" s="816"/>
      <c r="AX242" s="490"/>
      <c r="AY242" s="490"/>
      <c r="AZ242" s="490"/>
      <c r="BA242" s="814"/>
      <c r="BB242" s="814"/>
      <c r="BC242" s="490"/>
      <c r="BD242" s="490"/>
      <c r="BE242" s="490"/>
      <c r="BF242" s="814"/>
      <c r="BG242" s="816"/>
      <c r="BH242" s="490"/>
      <c r="BI242" s="490"/>
      <c r="BJ242" s="490"/>
      <c r="BK242" s="814"/>
      <c r="BL242" s="816"/>
      <c r="BM242" s="490"/>
      <c r="BN242" s="490"/>
      <c r="BO242" s="490"/>
      <c r="BP242" s="814"/>
      <c r="BQ242" s="814"/>
      <c r="BR242" s="490"/>
      <c r="BS242" s="490"/>
      <c r="BT242" s="490"/>
      <c r="BU242" s="814"/>
      <c r="BV242" s="816"/>
      <c r="BW242" s="490"/>
      <c r="BX242" s="490"/>
      <c r="BY242" s="490"/>
      <c r="BZ242" s="814"/>
      <c r="CA242" s="816"/>
      <c r="CB242" s="490"/>
      <c r="CC242" s="490"/>
      <c r="CD242" s="490"/>
      <c r="CE242" s="814"/>
      <c r="CF242" s="816"/>
      <c r="CG242" s="490"/>
      <c r="CH242" s="490"/>
      <c r="CI242" s="490"/>
      <c r="CJ242" s="814"/>
      <c r="CK242" s="816"/>
      <c r="CL242" s="490"/>
      <c r="CM242" s="490"/>
      <c r="CN242" s="490"/>
      <c r="CO242" s="814"/>
      <c r="CP242" s="816"/>
      <c r="CQ242" s="490"/>
      <c r="CR242" s="490"/>
      <c r="CS242" s="490"/>
      <c r="CT242" s="814"/>
      <c r="CU242" s="816"/>
      <c r="CV242" s="490"/>
      <c r="CW242" s="490"/>
      <c r="CX242" s="490"/>
      <c r="CY242" s="814"/>
      <c r="CZ242" s="816"/>
      <c r="DA242" s="816"/>
      <c r="DB242" s="816"/>
      <c r="DC242" s="816"/>
      <c r="DD242" s="490"/>
      <c r="DE242" s="490"/>
      <c r="DF242" s="490"/>
      <c r="DG242" s="490"/>
      <c r="DH242" s="490"/>
      <c r="DI242" s="491"/>
      <c r="DJ242" s="491"/>
      <c r="DK242" s="490"/>
      <c r="DL242" s="490"/>
      <c r="DM242" s="490"/>
      <c r="DU242" s="492"/>
      <c r="DV242" s="492"/>
      <c r="DW242" s="492"/>
      <c r="DX242" s="492"/>
      <c r="DY242" s="492"/>
      <c r="DZ242" s="492"/>
      <c r="EA242" s="492"/>
      <c r="EB242" s="492"/>
      <c r="EC242" s="492"/>
      <c r="ED242" s="492"/>
      <c r="EE242" s="492"/>
      <c r="EF242" s="492"/>
      <c r="EG242" s="492"/>
      <c r="EH242" s="492"/>
      <c r="EI242" s="492"/>
      <c r="EJ242" s="492"/>
      <c r="EK242" s="492"/>
      <c r="EL242" s="492"/>
      <c r="EM242" s="492"/>
      <c r="EN242" s="492"/>
      <c r="EO242" s="492"/>
      <c r="EP242" s="492"/>
      <c r="EQ242" s="492"/>
      <c r="ER242" s="492"/>
      <c r="ES242" s="492"/>
      <c r="ET242" s="492"/>
      <c r="EU242" s="492"/>
      <c r="EV242" s="492"/>
      <c r="EW242" s="492"/>
      <c r="EX242" s="492"/>
      <c r="EY242" s="492"/>
      <c r="EZ242" s="492"/>
      <c r="FA242" s="492"/>
      <c r="FB242" s="492"/>
      <c r="FC242" s="492"/>
      <c r="FD242" s="492"/>
      <c r="FE242" s="492"/>
      <c r="FF242" s="492"/>
      <c r="FG242" s="492"/>
      <c r="FH242" s="492"/>
      <c r="FI242" s="492"/>
      <c r="FJ242" s="492"/>
      <c r="FK242" s="492"/>
      <c r="FL242" s="492"/>
      <c r="FM242" s="492"/>
      <c r="FN242" s="492"/>
      <c r="FO242" s="492"/>
      <c r="FP242" s="492"/>
      <c r="FQ242" s="492"/>
      <c r="FR242" s="492"/>
      <c r="FS242" s="492"/>
      <c r="FT242" s="492"/>
      <c r="FU242" s="492"/>
      <c r="FV242" s="492"/>
      <c r="FW242" s="492"/>
      <c r="FX242" s="492"/>
      <c r="FY242" s="492"/>
      <c r="FZ242" s="492"/>
      <c r="GA242" s="492"/>
      <c r="GB242" s="492"/>
      <c r="GC242" s="492"/>
      <c r="GD242" s="492"/>
      <c r="GE242" s="492"/>
      <c r="GF242" s="492"/>
      <c r="GG242" s="492"/>
      <c r="GH242" s="492"/>
      <c r="GI242" s="492"/>
      <c r="GJ242" s="492"/>
      <c r="GK242" s="492"/>
      <c r="GL242" s="492"/>
      <c r="GM242" s="492"/>
      <c r="GN242" s="492"/>
      <c r="GO242" s="492"/>
      <c r="GP242" s="492"/>
      <c r="GQ242" s="492"/>
      <c r="GR242" s="492"/>
      <c r="GS242" s="492"/>
      <c r="GT242" s="492"/>
      <c r="GU242" s="492"/>
      <c r="GV242" s="492"/>
      <c r="GW242" s="492"/>
      <c r="GX242" s="492"/>
      <c r="GY242" s="492"/>
      <c r="GZ242" s="492"/>
      <c r="HA242" s="492"/>
      <c r="HB242" s="492"/>
      <c r="HC242" s="492"/>
      <c r="HD242" s="492"/>
      <c r="HE242" s="492"/>
      <c r="HF242" s="492"/>
      <c r="HG242" s="492"/>
      <c r="HH242" s="492"/>
      <c r="HI242" s="492"/>
      <c r="HJ242" s="492"/>
      <c r="HK242" s="492"/>
      <c r="HL242" s="492"/>
      <c r="HM242" s="492"/>
      <c r="HN242" s="492"/>
      <c r="HO242" s="492"/>
      <c r="HP242" s="492"/>
      <c r="HQ242" s="492"/>
      <c r="HR242" s="492"/>
      <c r="HS242" s="492"/>
      <c r="HT242" s="492"/>
      <c r="HU242" s="492"/>
      <c r="HV242" s="492"/>
      <c r="HW242" s="492"/>
      <c r="HX242" s="492"/>
      <c r="HY242" s="492"/>
      <c r="HZ242" s="492"/>
      <c r="IA242" s="492"/>
      <c r="IB242" s="492"/>
      <c r="IC242" s="492"/>
      <c r="ID242" s="492"/>
      <c r="IE242" s="492"/>
      <c r="IF242" s="492"/>
      <c r="IG242" s="492"/>
      <c r="IH242" s="492"/>
      <c r="II242" s="492"/>
      <c r="IJ242" s="492"/>
      <c r="IK242" s="492"/>
      <c r="IL242" s="492"/>
      <c r="IM242" s="492"/>
      <c r="IN242" s="492"/>
      <c r="IO242" s="492"/>
      <c r="IP242" s="492"/>
      <c r="IQ242" s="492"/>
      <c r="IR242" s="492"/>
      <c r="IS242" s="492"/>
      <c r="IT242" s="492"/>
      <c r="IU242" s="492"/>
    </row>
    <row r="243" spans="1:255" hidden="1" outlineLevel="1">
      <c r="A243" s="1109">
        <f t="shared" si="360"/>
        <v>229</v>
      </c>
      <c r="B243" s="10"/>
      <c r="C243" s="317" t="s">
        <v>846</v>
      </c>
      <c r="D243" s="2"/>
      <c r="E243" s="814"/>
      <c r="F243" s="816"/>
      <c r="G243" s="816"/>
      <c r="H243" s="816"/>
      <c r="I243" s="816"/>
      <c r="J243" s="490"/>
      <c r="K243" s="490"/>
      <c r="L243" s="490"/>
      <c r="M243" s="490"/>
      <c r="N243" s="814"/>
      <c r="O243" s="490"/>
      <c r="P243" s="490"/>
      <c r="Q243" s="490"/>
      <c r="R243" s="490"/>
      <c r="S243" s="814"/>
      <c r="T243" s="490"/>
      <c r="U243" s="490"/>
      <c r="V243" s="490"/>
      <c r="W243" s="814"/>
      <c r="X243" s="816"/>
      <c r="Y243" s="490"/>
      <c r="Z243" s="490"/>
      <c r="AA243" s="490"/>
      <c r="AB243" s="814"/>
      <c r="AC243" s="816"/>
      <c r="AD243" s="490"/>
      <c r="AE243" s="490"/>
      <c r="AF243" s="490"/>
      <c r="AG243" s="814"/>
      <c r="AH243" s="816"/>
      <c r="AI243" s="490"/>
      <c r="AJ243" s="490"/>
      <c r="AK243" s="490"/>
      <c r="AL243" s="814"/>
      <c r="AM243" s="816"/>
      <c r="AN243" s="490"/>
      <c r="AO243" s="490"/>
      <c r="AP243" s="490"/>
      <c r="AQ243" s="814"/>
      <c r="AR243" s="816"/>
      <c r="AS243" s="490"/>
      <c r="AT243" s="490"/>
      <c r="AU243" s="490"/>
      <c r="AV243" s="814"/>
      <c r="AW243" s="816"/>
      <c r="AX243" s="490">
        <f t="shared" ref="AX243:CC243" si="386">AX88+AX93-AX254-AX255</f>
        <v>-4958</v>
      </c>
      <c r="AY243" s="490">
        <f t="shared" si="386"/>
        <v>-2934</v>
      </c>
      <c r="AZ243" s="490">
        <f t="shared" si="386"/>
        <v>4054</v>
      </c>
      <c r="BA243" s="814">
        <f t="shared" si="386"/>
        <v>8799</v>
      </c>
      <c r="BB243" s="814">
        <f t="shared" si="386"/>
        <v>8799</v>
      </c>
      <c r="BC243" s="490">
        <f t="shared" si="386"/>
        <v>10547</v>
      </c>
      <c r="BD243" s="490">
        <f t="shared" si="386"/>
        <v>4539</v>
      </c>
      <c r="BE243" s="490">
        <f t="shared" si="386"/>
        <v>2141</v>
      </c>
      <c r="BF243" s="814">
        <f t="shared" si="386"/>
        <v>8679</v>
      </c>
      <c r="BG243" s="816">
        <f t="shared" si="386"/>
        <v>8679</v>
      </c>
      <c r="BH243" s="490">
        <f t="shared" si="386"/>
        <v>8959</v>
      </c>
      <c r="BI243" s="490">
        <f t="shared" si="386"/>
        <v>5417</v>
      </c>
      <c r="BJ243" s="490">
        <f t="shared" si="386"/>
        <v>2469</v>
      </c>
      <c r="BK243" s="814">
        <f t="shared" si="386"/>
        <v>-1431</v>
      </c>
      <c r="BL243" s="816">
        <f t="shared" si="386"/>
        <v>-1431</v>
      </c>
      <c r="BM243" s="490">
        <f t="shared" si="386"/>
        <v>-4766</v>
      </c>
      <c r="BN243" s="490">
        <f t="shared" si="386"/>
        <v>-7959</v>
      </c>
      <c r="BO243" s="490">
        <f t="shared" si="386"/>
        <v>-8122</v>
      </c>
      <c r="BP243" s="814">
        <f t="shared" si="386"/>
        <v>-9855</v>
      </c>
      <c r="BQ243" s="814">
        <f t="shared" si="386"/>
        <v>-9855</v>
      </c>
      <c r="BR243" s="490">
        <f t="shared" si="386"/>
        <v>-9371</v>
      </c>
      <c r="BS243" s="490">
        <f t="shared" si="386"/>
        <v>-9603</v>
      </c>
      <c r="BT243" s="490">
        <f t="shared" si="386"/>
        <v>-9907</v>
      </c>
      <c r="BU243" s="814">
        <f t="shared" si="386"/>
        <v>-10169</v>
      </c>
      <c r="BV243" s="816">
        <f t="shared" si="386"/>
        <v>-10169</v>
      </c>
      <c r="BW243" s="490">
        <f t="shared" si="386"/>
        <v>-8174</v>
      </c>
      <c r="BX243" s="490">
        <f t="shared" si="386"/>
        <v>-9918</v>
      </c>
      <c r="BY243" s="490">
        <f t="shared" si="386"/>
        <v>-10321</v>
      </c>
      <c r="BZ243" s="814">
        <f t="shared" si="386"/>
        <v>-9433</v>
      </c>
      <c r="CA243" s="816">
        <f t="shared" si="386"/>
        <v>-9433</v>
      </c>
      <c r="CB243" s="490">
        <f t="shared" si="386"/>
        <v>-9553</v>
      </c>
      <c r="CC243" s="490">
        <f t="shared" si="386"/>
        <v>-10435</v>
      </c>
      <c r="CD243" s="490">
        <f t="shared" ref="CD243:DC243" si="387">CD88+CD93-CD254-CD255</f>
        <v>-7913</v>
      </c>
      <c r="CE243" s="814">
        <f t="shared" si="387"/>
        <v>-7878</v>
      </c>
      <c r="CF243" s="816">
        <f t="shared" si="387"/>
        <v>-7878</v>
      </c>
      <c r="CG243" s="490">
        <f t="shared" si="387"/>
        <v>-6145</v>
      </c>
      <c r="CH243" s="490">
        <f t="shared" si="387"/>
        <v>-7016</v>
      </c>
      <c r="CI243" s="490">
        <f t="shared" si="387"/>
        <v>-9379</v>
      </c>
      <c r="CJ243" s="814">
        <f t="shared" si="387"/>
        <v>-10728</v>
      </c>
      <c r="CK243" s="816">
        <f t="shared" si="387"/>
        <v>-10728</v>
      </c>
      <c r="CL243" s="490">
        <f t="shared" si="387"/>
        <v>-11229</v>
      </c>
      <c r="CM243" s="490">
        <f t="shared" si="387"/>
        <v>-14139</v>
      </c>
      <c r="CN243" s="490">
        <f t="shared" si="387"/>
        <v>-9629.4381900631251</v>
      </c>
      <c r="CO243" s="814">
        <f t="shared" si="387"/>
        <v>-11555</v>
      </c>
      <c r="CP243" s="816">
        <f t="shared" si="387"/>
        <v>-11555</v>
      </c>
      <c r="CQ243" s="490">
        <f t="shared" si="387"/>
        <v>-10841.45</v>
      </c>
      <c r="CR243" s="490">
        <f t="shared" si="387"/>
        <v>-10474.453874999999</v>
      </c>
      <c r="CS243" s="490">
        <f t="shared" si="387"/>
        <v>-10109.880046562499</v>
      </c>
      <c r="CT243" s="814">
        <f t="shared" si="387"/>
        <v>-10013.656344117968</v>
      </c>
      <c r="CU243" s="816">
        <f t="shared" si="387"/>
        <v>-10013.656344117968</v>
      </c>
      <c r="CV243" s="490">
        <f t="shared" si="387"/>
        <v>-10022.480062999733</v>
      </c>
      <c r="CW243" s="490">
        <f t="shared" si="387"/>
        <v>-10031.316135087935</v>
      </c>
      <c r="CX243" s="490">
        <f t="shared" si="387"/>
        <v>-10040.164577677058</v>
      </c>
      <c r="CY243" s="814">
        <f t="shared" si="387"/>
        <v>-10049.025408085807</v>
      </c>
      <c r="CZ243" s="816">
        <f t="shared" si="387"/>
        <v>-10049.025408085807</v>
      </c>
      <c r="DA243" s="816">
        <f t="shared" si="387"/>
        <v>-9726.4199148142397</v>
      </c>
      <c r="DB243" s="816">
        <f t="shared" si="387"/>
        <v>-9732.4353347290526</v>
      </c>
      <c r="DC243" s="816">
        <f t="shared" si="387"/>
        <v>-9738.4567700637817</v>
      </c>
      <c r="DD243" s="490"/>
      <c r="DE243" s="490"/>
      <c r="DF243" s="490"/>
      <c r="DG243" s="490"/>
      <c r="DH243" s="490"/>
      <c r="DI243" s="491"/>
      <c r="DJ243" s="491"/>
      <c r="DK243" s="490"/>
      <c r="DL243" s="490"/>
      <c r="DM243" s="490"/>
      <c r="DU243" s="492"/>
      <c r="DV243" s="492"/>
      <c r="DW243" s="492"/>
      <c r="DX243" s="492"/>
      <c r="DY243" s="492"/>
      <c r="DZ243" s="492"/>
      <c r="EA243" s="492"/>
      <c r="EB243" s="492"/>
      <c r="EC243" s="492"/>
      <c r="ED243" s="492"/>
      <c r="EE243" s="492"/>
      <c r="EF243" s="492"/>
      <c r="EG243" s="492"/>
      <c r="EH243" s="492"/>
      <c r="EI243" s="492"/>
      <c r="EJ243" s="492"/>
      <c r="EK243" s="492"/>
      <c r="EL243" s="492"/>
      <c r="EM243" s="492"/>
      <c r="EN243" s="492"/>
      <c r="EO243" s="492"/>
      <c r="EP243" s="492"/>
      <c r="EQ243" s="492"/>
      <c r="ER243" s="492"/>
      <c r="ES243" s="492"/>
      <c r="ET243" s="492"/>
      <c r="EU243" s="492"/>
      <c r="EV243" s="492"/>
      <c r="EW243" s="492"/>
      <c r="EX243" s="492"/>
      <c r="EY243" s="492"/>
      <c r="EZ243" s="492"/>
      <c r="FA243" s="492"/>
      <c r="FB243" s="492"/>
      <c r="FC243" s="492"/>
      <c r="FD243" s="492"/>
      <c r="FE243" s="492"/>
      <c r="FF243" s="492"/>
      <c r="FG243" s="492"/>
      <c r="FH243" s="492"/>
      <c r="FI243" s="492"/>
      <c r="FJ243" s="492"/>
      <c r="FK243" s="492"/>
      <c r="FL243" s="492"/>
      <c r="FM243" s="492"/>
      <c r="FN243" s="492"/>
      <c r="FO243" s="492"/>
      <c r="FP243" s="492"/>
      <c r="FQ243" s="492"/>
      <c r="FR243" s="492"/>
      <c r="FS243" s="492"/>
      <c r="FT243" s="492"/>
      <c r="FU243" s="492"/>
      <c r="FV243" s="492"/>
      <c r="FW243" s="492"/>
      <c r="FX243" s="492"/>
      <c r="FY243" s="492"/>
      <c r="FZ243" s="492"/>
      <c r="GA243" s="492"/>
      <c r="GB243" s="492"/>
      <c r="GC243" s="492"/>
      <c r="GD243" s="492"/>
      <c r="GE243" s="492"/>
      <c r="GF243" s="492"/>
      <c r="GG243" s="492"/>
      <c r="GH243" s="492"/>
      <c r="GI243" s="492"/>
      <c r="GJ243" s="492"/>
      <c r="GK243" s="492"/>
      <c r="GL243" s="492"/>
      <c r="GM243" s="492"/>
      <c r="GN243" s="492"/>
      <c r="GO243" s="492"/>
      <c r="GP243" s="492"/>
      <c r="GQ243" s="492"/>
      <c r="GR243" s="492"/>
      <c r="GS243" s="492"/>
      <c r="GT243" s="492"/>
      <c r="GU243" s="492"/>
      <c r="GV243" s="492"/>
      <c r="GW243" s="492"/>
      <c r="GX243" s="492"/>
      <c r="GY243" s="492"/>
      <c r="GZ243" s="492"/>
      <c r="HA243" s="492"/>
      <c r="HB243" s="492"/>
      <c r="HC243" s="492"/>
      <c r="HD243" s="492"/>
      <c r="HE243" s="492"/>
      <c r="HF243" s="492"/>
      <c r="HG243" s="492"/>
      <c r="HH243" s="492"/>
      <c r="HI243" s="492"/>
      <c r="HJ243" s="492"/>
      <c r="HK243" s="492"/>
      <c r="HL243" s="492"/>
      <c r="HM243" s="492"/>
      <c r="HN243" s="492"/>
      <c r="HO243" s="492"/>
      <c r="HP243" s="492"/>
      <c r="HQ243" s="492"/>
      <c r="HR243" s="492"/>
      <c r="HS243" s="492"/>
      <c r="HT243" s="492"/>
      <c r="HU243" s="492"/>
      <c r="HV243" s="492"/>
      <c r="HW243" s="492"/>
      <c r="HX243" s="492"/>
      <c r="HY243" s="492"/>
      <c r="HZ243" s="492"/>
      <c r="IA243" s="492"/>
      <c r="IB243" s="492"/>
      <c r="IC243" s="492"/>
      <c r="ID243" s="492"/>
      <c r="IE243" s="492"/>
      <c r="IF243" s="492"/>
      <c r="IG243" s="492"/>
      <c r="IH243" s="492"/>
      <c r="II243" s="492"/>
      <c r="IJ243" s="492"/>
      <c r="IK243" s="492"/>
      <c r="IL243" s="492"/>
      <c r="IM243" s="492"/>
      <c r="IN243" s="492"/>
      <c r="IO243" s="492"/>
      <c r="IP243" s="492"/>
      <c r="IQ243" s="492"/>
      <c r="IR243" s="492"/>
      <c r="IS243" s="492"/>
      <c r="IT243" s="492"/>
      <c r="IU243" s="492"/>
    </row>
    <row r="244" spans="1:255" hidden="1" outlineLevel="1">
      <c r="A244" s="1109">
        <f t="shared" si="360"/>
        <v>230</v>
      </c>
      <c r="B244" s="10"/>
      <c r="C244" s="317" t="s">
        <v>847</v>
      </c>
      <c r="D244" s="2"/>
      <c r="E244" s="814"/>
      <c r="F244" s="816"/>
      <c r="G244" s="816"/>
      <c r="H244" s="816"/>
      <c r="I244" s="816"/>
      <c r="J244" s="490"/>
      <c r="K244" s="490"/>
      <c r="L244" s="490"/>
      <c r="M244" s="490"/>
      <c r="N244" s="814"/>
      <c r="O244" s="490"/>
      <c r="P244" s="490"/>
      <c r="Q244" s="490"/>
      <c r="R244" s="490"/>
      <c r="S244" s="814"/>
      <c r="T244" s="490"/>
      <c r="U244" s="490"/>
      <c r="V244" s="490"/>
      <c r="W244" s="814"/>
      <c r="X244" s="816"/>
      <c r="Y244" s="490"/>
      <c r="Z244" s="490"/>
      <c r="AA244" s="490"/>
      <c r="AB244" s="814"/>
      <c r="AC244" s="816"/>
      <c r="AD244" s="490"/>
      <c r="AE244" s="490"/>
      <c r="AF244" s="490"/>
      <c r="AG244" s="814"/>
      <c r="AH244" s="816"/>
      <c r="AI244" s="490"/>
      <c r="AJ244" s="490"/>
      <c r="AK244" s="490"/>
      <c r="AL244" s="814"/>
      <c r="AM244" s="816"/>
      <c r="AN244" s="490"/>
      <c r="AO244" s="490"/>
      <c r="AP244" s="490"/>
      <c r="AQ244" s="814"/>
      <c r="AR244" s="816"/>
      <c r="AS244" s="490"/>
      <c r="AT244" s="490"/>
      <c r="AU244" s="490"/>
      <c r="AV244" s="814"/>
      <c r="AW244" s="816"/>
      <c r="AX244" s="490"/>
      <c r="AY244" s="490"/>
      <c r="AZ244" s="490"/>
      <c r="BA244" s="814"/>
      <c r="BB244" s="814">
        <f>-US_Pension!O52-'Non-US_Pension'!O52-OPEB!O45</f>
        <v>27626</v>
      </c>
      <c r="BC244" s="490"/>
      <c r="BD244" s="490"/>
      <c r="BE244" s="490"/>
      <c r="BF244" s="814"/>
      <c r="BG244" s="816">
        <f>-US_Pension!P52-'Non-US_Pension'!P52-OPEB!P45</f>
        <v>17978</v>
      </c>
      <c r="BH244" s="490"/>
      <c r="BI244" s="490"/>
      <c r="BJ244" s="490"/>
      <c r="BK244" s="814"/>
      <c r="BL244" s="816">
        <f>-US_Pension!Q52-'Non-US_Pension'!Q52-OPEB!Q45</f>
        <v>17880</v>
      </c>
      <c r="BM244" s="490"/>
      <c r="BN244" s="490"/>
      <c r="BO244" s="490"/>
      <c r="BP244" s="814"/>
      <c r="BQ244" s="814">
        <f>-US_Pension!R52-'Non-US_Pension'!R52-OPEB!R45</f>
        <v>21960</v>
      </c>
      <c r="BR244" s="490"/>
      <c r="BS244" s="490"/>
      <c r="BT244" s="490"/>
      <c r="BU244" s="814"/>
      <c r="BV244" s="816">
        <f>-US_Pension!S52-'Non-US_Pension'!S52-OPEB!S45</f>
        <v>25529</v>
      </c>
      <c r="BW244" s="490"/>
      <c r="BX244" s="490"/>
      <c r="BY244" s="490"/>
      <c r="BZ244" s="814"/>
      <c r="CA244" s="816">
        <f>-US_Pension!T52-'Non-US_Pension'!T52-OPEB!T45</f>
        <v>14862</v>
      </c>
      <c r="CB244" s="490"/>
      <c r="CC244" s="490"/>
      <c r="CD244" s="490"/>
      <c r="CE244" s="814"/>
      <c r="CF244" s="816">
        <f>-US_Pension!U52-'Non-US_Pension'!U52-OPEB!U45</f>
        <v>16182</v>
      </c>
      <c r="CG244" s="490"/>
      <c r="CH244" s="490"/>
      <c r="CI244" s="490"/>
      <c r="CJ244" s="814"/>
      <c r="CK244" s="816">
        <f>-US_Pension!V52-'Non-US_Pension'!V52-OPEB!V45</f>
        <v>13883</v>
      </c>
      <c r="CL244" s="490"/>
      <c r="CM244" s="490"/>
      <c r="CN244" s="490"/>
      <c r="CO244" s="814"/>
      <c r="CP244" s="816">
        <f>-US_Pension!W52-'Non-US_Pension'!W52-OPEB!W45</f>
        <v>14747</v>
      </c>
      <c r="CQ244" s="490"/>
      <c r="CR244" s="490"/>
      <c r="CS244" s="490"/>
      <c r="CT244" s="814"/>
      <c r="CU244" s="816">
        <f>-US_Pension!X52-'Non-US_Pension'!X52-OPEB!X45</f>
        <v>12801.003900000003</v>
      </c>
      <c r="CV244" s="490"/>
      <c r="CW244" s="490"/>
      <c r="CX244" s="490"/>
      <c r="CY244" s="814"/>
      <c r="CZ244" s="816">
        <f>-US_Pension!Y52-'Non-US_Pension'!Y52-OPEB!Y45</f>
        <v>7944.846750630004</v>
      </c>
      <c r="DA244" s="816">
        <f>-US_Pension!Z52-'Non-US_Pension'!Z52-OPEB!Z45</f>
        <v>4223.3992062496573</v>
      </c>
      <c r="DB244" s="816">
        <f>-US_Pension!AA52-'Non-US_Pension'!AA52-OPEB!AA45</f>
        <v>1283.8253595454744</v>
      </c>
      <c r="DC244" s="816">
        <f>-US_Pension!AB52-'Non-US_Pension'!AB52-OPEB!AB45</f>
        <v>-967.78699237710862</v>
      </c>
      <c r="DD244" s="490"/>
      <c r="DE244" s="490"/>
      <c r="DF244" s="490"/>
      <c r="DG244" s="490"/>
      <c r="DH244" s="490"/>
      <c r="DI244" s="491"/>
      <c r="DJ244" s="491"/>
      <c r="DK244" s="490"/>
      <c r="DL244" s="490"/>
      <c r="DM244" s="490"/>
      <c r="DU244" s="492"/>
      <c r="DV244" s="492"/>
      <c r="DW244" s="492"/>
      <c r="DX244" s="492"/>
      <c r="DY244" s="492"/>
      <c r="DZ244" s="492"/>
      <c r="EA244" s="492"/>
      <c r="EB244" s="492"/>
      <c r="EC244" s="492"/>
      <c r="ED244" s="492"/>
      <c r="EE244" s="492"/>
      <c r="EF244" s="492"/>
      <c r="EG244" s="492"/>
      <c r="EH244" s="492"/>
      <c r="EI244" s="492"/>
      <c r="EJ244" s="492"/>
      <c r="EK244" s="492"/>
      <c r="EL244" s="492"/>
      <c r="EM244" s="492"/>
      <c r="EN244" s="492"/>
      <c r="EO244" s="492"/>
      <c r="EP244" s="492"/>
      <c r="EQ244" s="492"/>
      <c r="ER244" s="492"/>
      <c r="ES244" s="492"/>
      <c r="ET244" s="492"/>
      <c r="EU244" s="492"/>
      <c r="EV244" s="492"/>
      <c r="EW244" s="492"/>
      <c r="EX244" s="492"/>
      <c r="EY244" s="492"/>
      <c r="EZ244" s="492"/>
      <c r="FA244" s="492"/>
      <c r="FB244" s="492"/>
      <c r="FC244" s="492"/>
      <c r="FD244" s="492"/>
      <c r="FE244" s="492"/>
      <c r="FF244" s="492"/>
      <c r="FG244" s="492"/>
      <c r="FH244" s="492"/>
      <c r="FI244" s="492"/>
      <c r="FJ244" s="492"/>
      <c r="FK244" s="492"/>
      <c r="FL244" s="492"/>
      <c r="FM244" s="492"/>
      <c r="FN244" s="492"/>
      <c r="FO244" s="492"/>
      <c r="FP244" s="492"/>
      <c r="FQ244" s="492"/>
      <c r="FR244" s="492"/>
      <c r="FS244" s="492"/>
      <c r="FT244" s="492"/>
      <c r="FU244" s="492"/>
      <c r="FV244" s="492"/>
      <c r="FW244" s="492"/>
      <c r="FX244" s="492"/>
      <c r="FY244" s="492"/>
      <c r="FZ244" s="492"/>
      <c r="GA244" s="492"/>
      <c r="GB244" s="492"/>
      <c r="GC244" s="492"/>
      <c r="GD244" s="492"/>
      <c r="GE244" s="492"/>
      <c r="GF244" s="492"/>
      <c r="GG244" s="492"/>
      <c r="GH244" s="492"/>
      <c r="GI244" s="492"/>
      <c r="GJ244" s="492"/>
      <c r="GK244" s="492"/>
      <c r="GL244" s="492"/>
      <c r="GM244" s="492"/>
      <c r="GN244" s="492"/>
      <c r="GO244" s="492"/>
      <c r="GP244" s="492"/>
      <c r="GQ244" s="492"/>
      <c r="GR244" s="492"/>
      <c r="GS244" s="492"/>
      <c r="GT244" s="492"/>
      <c r="GU244" s="492"/>
      <c r="GV244" s="492"/>
      <c r="GW244" s="492"/>
      <c r="GX244" s="492"/>
      <c r="GY244" s="492"/>
      <c r="GZ244" s="492"/>
      <c r="HA244" s="492"/>
      <c r="HB244" s="492"/>
      <c r="HC244" s="492"/>
      <c r="HD244" s="492"/>
      <c r="HE244" s="492"/>
      <c r="HF244" s="492"/>
      <c r="HG244" s="492"/>
      <c r="HH244" s="492"/>
      <c r="HI244" s="492"/>
      <c r="HJ244" s="492"/>
      <c r="HK244" s="492"/>
      <c r="HL244" s="492"/>
      <c r="HM244" s="492"/>
      <c r="HN244" s="492"/>
      <c r="HO244" s="492"/>
      <c r="HP244" s="492"/>
      <c r="HQ244" s="492"/>
      <c r="HR244" s="492"/>
      <c r="HS244" s="492"/>
      <c r="HT244" s="492"/>
      <c r="HU244" s="492"/>
      <c r="HV244" s="492"/>
      <c r="HW244" s="492"/>
      <c r="HX244" s="492"/>
      <c r="HY244" s="492"/>
      <c r="HZ244" s="492"/>
      <c r="IA244" s="492"/>
      <c r="IB244" s="492"/>
      <c r="IC244" s="492"/>
      <c r="ID244" s="492"/>
      <c r="IE244" s="492"/>
      <c r="IF244" s="492"/>
      <c r="IG244" s="492"/>
      <c r="IH244" s="492"/>
      <c r="II244" s="492"/>
      <c r="IJ244" s="492"/>
      <c r="IK244" s="492"/>
      <c r="IL244" s="492"/>
      <c r="IM244" s="492"/>
      <c r="IN244" s="492"/>
      <c r="IO244" s="492"/>
      <c r="IP244" s="492"/>
      <c r="IQ244" s="492"/>
      <c r="IR244" s="492"/>
      <c r="IS244" s="492"/>
      <c r="IT244" s="492"/>
      <c r="IU244" s="492"/>
    </row>
    <row r="245" spans="1:255" hidden="1" outlineLevel="1">
      <c r="A245" s="1109">
        <f t="shared" si="360"/>
        <v>231</v>
      </c>
      <c r="B245" s="10"/>
      <c r="C245" s="317" t="s">
        <v>848</v>
      </c>
      <c r="D245" s="2"/>
      <c r="E245" s="814"/>
      <c r="F245" s="816"/>
      <c r="G245" s="816"/>
      <c r="H245" s="816"/>
      <c r="I245" s="816"/>
      <c r="J245" s="490"/>
      <c r="K245" s="490"/>
      <c r="L245" s="490"/>
      <c r="M245" s="490"/>
      <c r="N245" s="814"/>
      <c r="O245" s="490"/>
      <c r="P245" s="490"/>
      <c r="Q245" s="490"/>
      <c r="R245" s="490"/>
      <c r="S245" s="814"/>
      <c r="T245" s="490"/>
      <c r="U245" s="490"/>
      <c r="V245" s="490"/>
      <c r="W245" s="814"/>
      <c r="X245" s="816"/>
      <c r="Y245" s="490"/>
      <c r="Z245" s="490"/>
      <c r="AA245" s="490"/>
      <c r="AB245" s="814"/>
      <c r="AC245" s="816"/>
      <c r="AD245" s="490"/>
      <c r="AE245" s="490"/>
      <c r="AF245" s="490"/>
      <c r="AG245" s="814"/>
      <c r="AH245" s="816"/>
      <c r="AI245" s="490"/>
      <c r="AJ245" s="490"/>
      <c r="AK245" s="490"/>
      <c r="AL245" s="814"/>
      <c r="AM245" s="816"/>
      <c r="AN245" s="490"/>
      <c r="AO245" s="490"/>
      <c r="AP245" s="490"/>
      <c r="AQ245" s="814"/>
      <c r="AR245" s="816"/>
      <c r="AS245" s="490"/>
      <c r="AT245" s="490"/>
      <c r="AU245" s="490"/>
      <c r="AV245" s="814"/>
      <c r="AW245" s="816"/>
      <c r="AX245" s="490"/>
      <c r="AY245" s="490"/>
      <c r="AZ245" s="490"/>
      <c r="BA245" s="814"/>
      <c r="BB245" s="814">
        <f>BB243+BB244*(1-BB239)</f>
        <v>26755.9</v>
      </c>
      <c r="BC245" s="490"/>
      <c r="BD245" s="490"/>
      <c r="BE245" s="490"/>
      <c r="BF245" s="814"/>
      <c r="BG245" s="816">
        <f>BG243+BG244*(1-BG239)</f>
        <v>20364.7</v>
      </c>
      <c r="BH245" s="490"/>
      <c r="BI245" s="490"/>
      <c r="BJ245" s="490"/>
      <c r="BK245" s="814"/>
      <c r="BL245" s="816">
        <f>BL243+BL244*(1-BL239)</f>
        <v>10191</v>
      </c>
      <c r="BM245" s="490"/>
      <c r="BN245" s="490"/>
      <c r="BO245" s="490"/>
      <c r="BP245" s="814"/>
      <c r="BQ245" s="814">
        <f>BQ243+BQ244*(1-BQ239)</f>
        <v>4419</v>
      </c>
      <c r="BR245" s="490"/>
      <c r="BS245" s="490"/>
      <c r="BT245" s="490"/>
      <c r="BU245" s="814"/>
      <c r="BV245" s="816">
        <f>BV243+BV244*(1-BV239)</f>
        <v>6424.8500000000022</v>
      </c>
      <c r="BW245" s="490"/>
      <c r="BX245" s="490"/>
      <c r="BY245" s="490"/>
      <c r="BZ245" s="814"/>
      <c r="CA245" s="816">
        <f>CA243+CA244*(1-CA239)</f>
        <v>227.30000000000109</v>
      </c>
      <c r="CB245" s="490"/>
      <c r="CC245" s="490"/>
      <c r="CD245" s="490"/>
      <c r="CE245" s="814"/>
      <c r="CF245" s="816">
        <f>CF243+CF244*(1-CF239)</f>
        <v>2640.3000000000011</v>
      </c>
      <c r="CG245" s="490"/>
      <c r="CH245" s="490"/>
      <c r="CI245" s="490"/>
      <c r="CJ245" s="814"/>
      <c r="CK245" s="816">
        <f>CK243+CK244*(1-CK239)</f>
        <v>-1704.0499999999993</v>
      </c>
      <c r="CL245" s="490"/>
      <c r="CM245" s="490"/>
      <c r="CN245" s="490"/>
      <c r="CO245" s="814"/>
      <c r="CP245" s="816">
        <f>CP243+CP244*(1-CP239)</f>
        <v>-1969.4499999999989</v>
      </c>
      <c r="CQ245" s="490"/>
      <c r="CR245" s="490"/>
      <c r="CS245" s="490"/>
      <c r="CT245" s="814"/>
      <c r="CU245" s="816">
        <f>CU243+CU244*(1-CU239)</f>
        <v>-1693.0038091179649</v>
      </c>
      <c r="CV245" s="490"/>
      <c r="CW245" s="490"/>
      <c r="CX245" s="490"/>
      <c r="CY245" s="814"/>
      <c r="CZ245" s="816">
        <f>CZ243+CZ244*(1-CZ239)</f>
        <v>-4884.8750201763041</v>
      </c>
      <c r="DA245" s="816">
        <f>DA243+DA244*(1-DA239)</f>
        <v>-6981.2104307519621</v>
      </c>
      <c r="DB245" s="816">
        <f>DB243+DB244*(1-DB239)</f>
        <v>-8897.9488510244937</v>
      </c>
      <c r="DC245" s="816">
        <f>DC243+DC244*(1-DC239)</f>
        <v>-10367.518315108902</v>
      </c>
      <c r="DD245" s="490"/>
      <c r="DE245" s="490"/>
      <c r="DF245" s="490"/>
      <c r="DG245" s="490"/>
      <c r="DH245" s="490"/>
      <c r="DI245" s="491"/>
      <c r="DJ245" s="491"/>
      <c r="DK245" s="490"/>
      <c r="DL245" s="490"/>
      <c r="DM245" s="490"/>
      <c r="DU245" s="492"/>
      <c r="DV245" s="492"/>
      <c r="DW245" s="492"/>
      <c r="DX245" s="492"/>
      <c r="DY245" s="492"/>
      <c r="DZ245" s="492"/>
      <c r="EA245" s="492"/>
      <c r="EB245" s="492"/>
      <c r="EC245" s="492"/>
      <c r="ED245" s="492"/>
      <c r="EE245" s="492"/>
      <c r="EF245" s="492"/>
      <c r="EG245" s="492"/>
      <c r="EH245" s="492"/>
      <c r="EI245" s="492"/>
      <c r="EJ245" s="492"/>
      <c r="EK245" s="492"/>
      <c r="EL245" s="492"/>
      <c r="EM245" s="492"/>
      <c r="EN245" s="492"/>
      <c r="EO245" s="492"/>
      <c r="EP245" s="492"/>
      <c r="EQ245" s="492"/>
      <c r="ER245" s="492"/>
      <c r="ES245" s="492"/>
      <c r="ET245" s="492"/>
      <c r="EU245" s="492"/>
      <c r="EV245" s="492"/>
      <c r="EW245" s="492"/>
      <c r="EX245" s="492"/>
      <c r="EY245" s="492"/>
      <c r="EZ245" s="492"/>
      <c r="FA245" s="492"/>
      <c r="FB245" s="492"/>
      <c r="FC245" s="492"/>
      <c r="FD245" s="492"/>
      <c r="FE245" s="492"/>
      <c r="FF245" s="492"/>
      <c r="FG245" s="492"/>
      <c r="FH245" s="492"/>
      <c r="FI245" s="492"/>
      <c r="FJ245" s="492"/>
      <c r="FK245" s="492"/>
      <c r="FL245" s="492"/>
      <c r="FM245" s="492"/>
      <c r="FN245" s="492"/>
      <c r="FO245" s="492"/>
      <c r="FP245" s="492"/>
      <c r="FQ245" s="492"/>
      <c r="FR245" s="492"/>
      <c r="FS245" s="492"/>
      <c r="FT245" s="492"/>
      <c r="FU245" s="492"/>
      <c r="FV245" s="492"/>
      <c r="FW245" s="492"/>
      <c r="FX245" s="492"/>
      <c r="FY245" s="492"/>
      <c r="FZ245" s="492"/>
      <c r="GA245" s="492"/>
      <c r="GB245" s="492"/>
      <c r="GC245" s="492"/>
      <c r="GD245" s="492"/>
      <c r="GE245" s="492"/>
      <c r="GF245" s="492"/>
      <c r="GG245" s="492"/>
      <c r="GH245" s="492"/>
      <c r="GI245" s="492"/>
      <c r="GJ245" s="492"/>
      <c r="GK245" s="492"/>
      <c r="GL245" s="492"/>
      <c r="GM245" s="492"/>
      <c r="GN245" s="492"/>
      <c r="GO245" s="492"/>
      <c r="GP245" s="492"/>
      <c r="GQ245" s="492"/>
      <c r="GR245" s="492"/>
      <c r="GS245" s="492"/>
      <c r="GT245" s="492"/>
      <c r="GU245" s="492"/>
      <c r="GV245" s="492"/>
      <c r="GW245" s="492"/>
      <c r="GX245" s="492"/>
      <c r="GY245" s="492"/>
      <c r="GZ245" s="492"/>
      <c r="HA245" s="492"/>
      <c r="HB245" s="492"/>
      <c r="HC245" s="492"/>
      <c r="HD245" s="492"/>
      <c r="HE245" s="492"/>
      <c r="HF245" s="492"/>
      <c r="HG245" s="492"/>
      <c r="HH245" s="492"/>
      <c r="HI245" s="492"/>
      <c r="HJ245" s="492"/>
      <c r="HK245" s="492"/>
      <c r="HL245" s="492"/>
      <c r="HM245" s="492"/>
      <c r="HN245" s="492"/>
      <c r="HO245" s="492"/>
      <c r="HP245" s="492"/>
      <c r="HQ245" s="492"/>
      <c r="HR245" s="492"/>
      <c r="HS245" s="492"/>
      <c r="HT245" s="492"/>
      <c r="HU245" s="492"/>
      <c r="HV245" s="492"/>
      <c r="HW245" s="492"/>
      <c r="HX245" s="492"/>
      <c r="HY245" s="492"/>
      <c r="HZ245" s="492"/>
      <c r="IA245" s="492"/>
      <c r="IB245" s="492"/>
      <c r="IC245" s="492"/>
      <c r="ID245" s="492"/>
      <c r="IE245" s="492"/>
      <c r="IF245" s="492"/>
      <c r="IG245" s="492"/>
      <c r="IH245" s="492"/>
      <c r="II245" s="492"/>
      <c r="IJ245" s="492"/>
      <c r="IK245" s="492"/>
      <c r="IL245" s="492"/>
      <c r="IM245" s="492"/>
      <c r="IN245" s="492"/>
      <c r="IO245" s="492"/>
      <c r="IP245" s="492"/>
      <c r="IQ245" s="492"/>
      <c r="IR245" s="492"/>
      <c r="IS245" s="492"/>
      <c r="IT245" s="492"/>
      <c r="IU245" s="492"/>
    </row>
    <row r="246" spans="1:255" hidden="1" outlineLevel="1">
      <c r="A246" s="1109">
        <f t="shared" si="360"/>
        <v>232</v>
      </c>
      <c r="B246" s="10"/>
      <c r="C246" s="317" t="s">
        <v>849</v>
      </c>
      <c r="D246" s="2"/>
      <c r="E246" s="814"/>
      <c r="F246" s="816"/>
      <c r="G246" s="816"/>
      <c r="H246" s="816"/>
      <c r="I246" s="816"/>
      <c r="J246" s="490"/>
      <c r="K246" s="490"/>
      <c r="L246" s="490"/>
      <c r="M246" s="490"/>
      <c r="N246" s="814"/>
      <c r="O246" s="490"/>
      <c r="P246" s="490"/>
      <c r="Q246" s="490"/>
      <c r="R246" s="490"/>
      <c r="S246" s="814"/>
      <c r="T246" s="490"/>
      <c r="U246" s="490"/>
      <c r="V246" s="490"/>
      <c r="W246" s="814"/>
      <c r="X246" s="816"/>
      <c r="Y246" s="490">
        <f>(SUM(US_Pension!$J$6:$J$7)/4+SUM('Non-US_Pension'!$J$6:$J$7)/4+SUM(OPEB!$J$6:$J$7)/4)*-1</f>
        <v>248.75</v>
      </c>
      <c r="Z246" s="490">
        <f>(SUM(US_Pension!$J$6:$J$7)/4+SUM('Non-US_Pension'!$J$6:$J$7)/4+SUM(OPEB!$J$6:$J$7)/4)*-1</f>
        <v>248.75</v>
      </c>
      <c r="AA246" s="490">
        <f>(SUM(US_Pension!$J$6:$J$7)/4+SUM('Non-US_Pension'!$J$6:$J$7)/4+SUM(OPEB!$J$6:$J$7)/4)*-1</f>
        <v>248.75</v>
      </c>
      <c r="AB246" s="814">
        <f>(SUM(US_Pension!$J$6:$J$7)/4+SUM('Non-US_Pension'!$J$6:$J$7)/4+SUM(OPEB!$J$6:$J$7)/4)*-1</f>
        <v>248.75</v>
      </c>
      <c r="AC246" s="816">
        <f>SUM(Y246:AB246)</f>
        <v>995</v>
      </c>
      <c r="AD246" s="490">
        <f>(SUM(US_Pension!$K$6:$K$7)/4+SUM('Non-US_Pension'!$K$6:$K$7)/4+SUM(OPEB!$K$6:$K$7)/4)*-1</f>
        <v>145.5</v>
      </c>
      <c r="AE246" s="490">
        <f>(SUM(US_Pension!$K$6:$K$7)/4+SUM('Non-US_Pension'!$K$6:$K$7)/4+SUM(OPEB!$K$6:$K$7)/4)*-1</f>
        <v>145.5</v>
      </c>
      <c r="AF246" s="490">
        <f>(SUM(US_Pension!$K$6:$K$7)/4+SUM('Non-US_Pension'!$K$6:$K$7)/4+SUM(OPEB!$K$6:$K$7)/4)*-1</f>
        <v>145.5</v>
      </c>
      <c r="AG246" s="814">
        <f>(SUM(US_Pension!$K$6:$K$7)/4+SUM('Non-US_Pension'!$K$6:$K$7)/4+SUM(OPEB!$K$6:$K$7)/4)*-1</f>
        <v>145.5</v>
      </c>
      <c r="AH246" s="816">
        <f>SUM(AD246:AG246)</f>
        <v>582</v>
      </c>
      <c r="AI246" s="490">
        <f>(SUM(US_Pension!$L$6:$L$7)/4+SUM('Non-US_Pension'!$L$6:$L$7)/4+SUM(OPEB!$L$6:$L$7)/4)*-1</f>
        <v>124.5</v>
      </c>
      <c r="AJ246" s="490">
        <f>(SUM(US_Pension!$L$6:$L$7)/4+SUM('Non-US_Pension'!$L$6:$L$7)/4+SUM(OPEB!$L$6:$L$7)/4)*-1</f>
        <v>124.5</v>
      </c>
      <c r="AK246" s="490">
        <f>(SUM(US_Pension!$L$6:$L$7)/4+SUM('Non-US_Pension'!$L$6:$L$7)/4+SUM(OPEB!$L$6:$L$7)/4)*-1</f>
        <v>124.5</v>
      </c>
      <c r="AL246" s="814">
        <f>(SUM(US_Pension!$L$6:$L$7)/4+SUM('Non-US_Pension'!$L$6:$L$7)/4+SUM(OPEB!$L$6:$L$7)/4)*-1</f>
        <v>124.5</v>
      </c>
      <c r="AM246" s="816">
        <f>SUM(AI246:AL246)</f>
        <v>498</v>
      </c>
      <c r="AN246" s="490">
        <f>(SUM(US_Pension!$M$6:$M$7)/4+SUM('Non-US_Pension'!$M$6:$M$7)/4+SUM(OPEB!$M$6:$M$7)/4)*-1</f>
        <v>82.5</v>
      </c>
      <c r="AO246" s="490">
        <f>(SUM(US_Pension!$M$6:$M$7)/4+SUM('Non-US_Pension'!$M$6:$M$7)/4+SUM(OPEB!$M$6:$M$7)/4)*-1</f>
        <v>82.5</v>
      </c>
      <c r="AP246" s="490">
        <f>(SUM(US_Pension!$M$6:$M$7)/4+SUM('Non-US_Pension'!$M$6:$M$7)/4+SUM(OPEB!$M$6:$M$7)/4)*-1</f>
        <v>82.5</v>
      </c>
      <c r="AQ246" s="814">
        <f>(SUM(US_Pension!$M$6:$M$7)/4+SUM('Non-US_Pension'!$M$6:$M$7)/4+SUM(OPEB!$M$6:$M$7)/4)*-1</f>
        <v>82.5</v>
      </c>
      <c r="AR246" s="816">
        <f>SUM(AN246:AQ246)</f>
        <v>330</v>
      </c>
      <c r="AS246" s="490">
        <f>(SUM(US_Pension!$N$6:$N$7)/4+SUM('Non-US_Pension'!$N$6:$N$7)/4+SUM(OPEB!$N$6:$N$7)/4)*-1</f>
        <v>109</v>
      </c>
      <c r="AT246" s="490">
        <f>(SUM(US_Pension!$N$6:$N$7)/4+SUM('Non-US_Pension'!$N$6:$N$7)/4+SUM(OPEB!$N$6:$N$7)/4)*-1</f>
        <v>109</v>
      </c>
      <c r="AU246" s="490">
        <f>(SUM(US_Pension!$N$6:$N$7)/4+SUM('Non-US_Pension'!$N$6:$N$7)/4+SUM(OPEB!$N$6:$N$7)/4)*-1</f>
        <v>109</v>
      </c>
      <c r="AV246" s="814">
        <f>(SUM(US_Pension!$N$6:$N$7)/4+SUM('Non-US_Pension'!$N$6:$N$7)/4+SUM(OPEB!$N$6:$N$7)/4)*-1</f>
        <v>109</v>
      </c>
      <c r="AW246" s="816">
        <f>SUM(AS246:AV246)</f>
        <v>436</v>
      </c>
      <c r="AX246" s="490">
        <f>(SUM(US_Pension!$O$6:$O$7)/4+SUM('Non-US_Pension'!$O$6:$O$7)/4+SUM(OPEB!$O$6:$O$7)/4)*-1</f>
        <v>59.25</v>
      </c>
      <c r="AY246" s="490">
        <f>(SUM(US_Pension!$O$6:$O$7)/4+SUM('Non-US_Pension'!$O$6:$O$7)/4+SUM(OPEB!$O$6:$O$7)/4)*-1</f>
        <v>59.25</v>
      </c>
      <c r="AZ246" s="490">
        <f>(SUM(US_Pension!$O$6:$O$7)/4+SUM('Non-US_Pension'!$O$6:$O$7)/4+SUM(OPEB!$O$6:$O$7)/4)*-1</f>
        <v>59.25</v>
      </c>
      <c r="BA246" s="814">
        <f>(SUM(US_Pension!$O$6:$O$7)/4+SUM('Non-US_Pension'!$O$6:$O$7)/4+SUM(OPEB!$O$6:$O$7)/4)*-1</f>
        <v>59.25</v>
      </c>
      <c r="BB246" s="814">
        <f>SUM(AX246:BA246)</f>
        <v>237</v>
      </c>
      <c r="BC246" s="490">
        <f>(SUM(US_Pension!$P$6:$P$7)/4+SUM('Non-US_Pension'!$P$6:$P$7)/4+SUM(OPEB!$P$6:$P$7)/4)*-1</f>
        <v>30.75</v>
      </c>
      <c r="BD246" s="490">
        <f>(SUM(US_Pension!$P$6:$P$7)/4+SUM('Non-US_Pension'!$P$6:$P$7)/4+SUM(OPEB!$P$6:$P$7)/4)*-1</f>
        <v>30.75</v>
      </c>
      <c r="BE246" s="490">
        <f>(SUM(US_Pension!$P$6:$P$7)/4+SUM('Non-US_Pension'!$P$6:$P$7)/4+SUM(OPEB!$P$6:$P$7)/4)*-1</f>
        <v>30.75</v>
      </c>
      <c r="BF246" s="814">
        <f>(SUM(US_Pension!$P$6:$P$7)/4+SUM('Non-US_Pension'!$P$6:$P$7)/4+SUM(OPEB!$P$6:$P$7)/4)*-1</f>
        <v>30.75</v>
      </c>
      <c r="BG246" s="816">
        <f>SUM(BC246:BF246)</f>
        <v>123</v>
      </c>
      <c r="BH246" s="490">
        <f>(SUM(US_Pension!$Q$6:$Q$7)/4+SUM('Non-US_Pension'!$Q$6:$Q$7)/4+SUM(OPEB!$Q$6:$Q$7)/4)*-1</f>
        <v>-98</v>
      </c>
      <c r="BI246" s="490">
        <f>(SUM(US_Pension!$Q$6:$Q$7)/4+SUM('Non-US_Pension'!$Q$6:$Q$7)/4+SUM(OPEB!$Q$6:$Q$7)/4)*-1</f>
        <v>-98</v>
      </c>
      <c r="BJ246" s="490">
        <f>(SUM(US_Pension!$Q$6:$Q$7)/4+SUM('Non-US_Pension'!$Q$6:$Q$7)/4+SUM(OPEB!$Q$6:$Q$7)/4)*-1</f>
        <v>-98</v>
      </c>
      <c r="BK246" s="814">
        <f>(SUM(US_Pension!$Q$6:$Q$7)/4+SUM('Non-US_Pension'!$Q$6:$Q$7)/4+SUM(OPEB!$Q$6:$Q$7)/4)*-1</f>
        <v>-98</v>
      </c>
      <c r="BL246" s="816">
        <f>SUM(BH246:BK246)</f>
        <v>-392</v>
      </c>
      <c r="BM246" s="490">
        <f>(SUM(US_Pension!$R$6:$R$7)/4+SUM('Non-US_Pension'!$R$6:$R$7)/4+SUM(OPEB!$R$6:$R$7)/4)*-1</f>
        <v>-126</v>
      </c>
      <c r="BN246" s="490">
        <f>(SUM(US_Pension!$R$6:$R$7)/4+SUM('Non-US_Pension'!$R$6:$R$7)/4+SUM(OPEB!$R$6:$R$7)/4)*-1</f>
        <v>-126</v>
      </c>
      <c r="BO246" s="490">
        <f>(SUM(US_Pension!$R$6:$R$7)/4+SUM('Non-US_Pension'!$R$6:$R$7)/4+SUM(OPEB!$R$6:$R$7)/4)*-1</f>
        <v>-126</v>
      </c>
      <c r="BP246" s="814">
        <f>(SUM(US_Pension!$R$6:$R$7)/4+SUM('Non-US_Pension'!$R$6:$R$7)/4+SUM(OPEB!$R$6:$R$7)/4)*-1</f>
        <v>-126</v>
      </c>
      <c r="BQ246" s="814">
        <f>SUM(BM246:BP246)</f>
        <v>-504</v>
      </c>
      <c r="BR246" s="490">
        <f>(SUM(US_Pension!$S$6:$S$7)/4+SUM('Non-US_Pension'!$S$6:$S$7)/4+SUM(OPEB!$S$6:$S$7)/4)*-1</f>
        <v>-131.5</v>
      </c>
      <c r="BS246" s="490">
        <f>(SUM(US_Pension!$S$6:$S$7)/4+SUM('Non-US_Pension'!$S$6:$S$7)/4+SUM(OPEB!$S$6:$S$7)/4)*-1</f>
        <v>-131.5</v>
      </c>
      <c r="BT246" s="490">
        <f>(SUM(US_Pension!$S$6:$S$7)/4+SUM('Non-US_Pension'!$S$6:$S$7)/4+SUM(OPEB!$S$6:$S$7)/4)*-1</f>
        <v>-131.5</v>
      </c>
      <c r="BU246" s="814">
        <f>(SUM(US_Pension!$S$6:$S$7)/4+SUM('Non-US_Pension'!$S$6:$S$7)/4+SUM(OPEB!$S$6:$S$7)/4)*-1</f>
        <v>-131.5</v>
      </c>
      <c r="BV246" s="816">
        <f>SUM(BR246:BU246)</f>
        <v>-526</v>
      </c>
      <c r="BW246" s="490">
        <f>(SUM(US_Pension!$T$6:$T$7)/4+SUM('Non-US_Pension'!$T$6:$T$7)/4+SUM(OPEB!$T$6:$T$7)/4)*-1</f>
        <v>-222.75</v>
      </c>
      <c r="BX246" s="490">
        <f>(SUM(US_Pension!$T$6:$T$7)/4+SUM('Non-US_Pension'!$T$6:$T$7)/4+SUM(OPEB!$T$6:$T$7)/4)*-1</f>
        <v>-222.75</v>
      </c>
      <c r="BY246" s="490">
        <f>(SUM(US_Pension!$T$6:$T$7)/4+SUM('Non-US_Pension'!$T$6:$T$7)/4+SUM(OPEB!$T$6:$T$7)/4)*-1</f>
        <v>-222.75</v>
      </c>
      <c r="BZ246" s="814">
        <f>(SUM(US_Pension!$T$6:$T$7)/4+SUM('Non-US_Pension'!$T$6:$T$7)/4+SUM(OPEB!$T$6:$T$7)/4)*-1</f>
        <v>-222.75</v>
      </c>
      <c r="CA246" s="816">
        <f>(SUM(US_Pension!T6:T7)+SUM('Non-US_Pension'!T6:T7)+SUM(OPEB!T6:T7))*-1</f>
        <v>-891</v>
      </c>
      <c r="CB246" s="490">
        <f>(SUM(US_Pension!$U$6:$U$7)/4+SUM('Non-US_Pension'!$U$6:$U$7)/4+SUM(OPEB!$U$6:$U$7)/4)*-1</f>
        <v>-204.75</v>
      </c>
      <c r="CC246" s="490">
        <f>(SUM(US_Pension!$U$6:$U$7)/4+SUM('Non-US_Pension'!$U$6:$U$7)/4+SUM(OPEB!$U$6:$U$7)/4)*-1</f>
        <v>-204.75</v>
      </c>
      <c r="CD246" s="490">
        <f>(SUM(US_Pension!$U$6:$U$7)/4+SUM('Non-US_Pension'!$U$6:$U$7)/4+SUM(OPEB!$U$6:$U$7)/4)*-1</f>
        <v>-204.75</v>
      </c>
      <c r="CE246" s="814">
        <f>(SUM(US_Pension!$U$6:$U$7)/4+SUM('Non-US_Pension'!$U$6:$U$7)/4+SUM(OPEB!$U$6:$U$7)/4)*-1</f>
        <v>-204.75</v>
      </c>
      <c r="CF246" s="816">
        <f>(SUM(US_Pension!U6:U7)+SUM('Non-US_Pension'!U6:U7)+SUM(OPEB!U6:U7))*-1</f>
        <v>-819</v>
      </c>
      <c r="CG246" s="490">
        <f>(SUM(US_Pension!$V$6:$V$7)/4+SUM('Non-US_Pension'!$V$6:$V$7)/4+SUM(OPEB!$V$6:$V$7)/4)*-1</f>
        <v>-354.75</v>
      </c>
      <c r="CH246" s="490">
        <f>(SUM(US_Pension!$V$6:$V$7)/4+SUM('Non-US_Pension'!$V$6:$V$7)/4+SUM(OPEB!$V$6:$V$7)/4)*-1</f>
        <v>-354.75</v>
      </c>
      <c r="CI246" s="490">
        <f>(SUM(US_Pension!$V$6:$V$7)/4+SUM('Non-US_Pension'!$V$6:$V$7)/4+SUM(OPEB!$V$6:$V$7)/4)*-1</f>
        <v>-354.75</v>
      </c>
      <c r="CJ246" s="814">
        <f>(SUM(US_Pension!$V$6:$V$7)/4+SUM('Non-US_Pension'!$V$6:$V$7)/4+SUM(OPEB!$V$6:$V$7)/4)*-1</f>
        <v>-354.75</v>
      </c>
      <c r="CK246" s="816">
        <f>(SUM(US_Pension!V6:V7)+SUM('Non-US_Pension'!V6:V7)+SUM(OPEB!V6:V7))*-1</f>
        <v>-1419</v>
      </c>
      <c r="CL246" s="490">
        <f>(SUM(US_Pension!$W$6:$W$7)/4+SUM('Non-US_Pension'!$W$6:$W$7)/4+SUM(OPEB!$W$6:$W$7)/4)*-1</f>
        <v>-383</v>
      </c>
      <c r="CM246" s="490">
        <f>(SUM(US_Pension!$W$6:$W$7)/4+SUM('Non-US_Pension'!$W$6:$W$7)/4+SUM(OPEB!$W$6:$W$7)/4)*-1</f>
        <v>-383</v>
      </c>
      <c r="CN246" s="490">
        <f>(SUM(US_Pension!$W$6:$W$7)/4+SUM('Non-US_Pension'!$W$6:$W$7)/4+SUM(OPEB!$W$6:$W$7)/4)*-1</f>
        <v>-383</v>
      </c>
      <c r="CO246" s="814">
        <f>(SUM(US_Pension!$W$6:$W$7)/4+SUM('Non-US_Pension'!$W$6:$W$7)/4+SUM(OPEB!$W$6:$W$7)/4)*-1</f>
        <v>-383</v>
      </c>
      <c r="CP246" s="816">
        <f>(SUM(US_Pension!W6:W7)+SUM('Non-US_Pension'!W6:W7)+SUM(OPEB!W6:W7))*-1</f>
        <v>-1532</v>
      </c>
      <c r="CQ246" s="490">
        <f>(SUM(US_Pension!$X$6:$X$7)/4+SUM('Non-US_Pension'!$X$6:$X$7)/4+SUM(OPEB!$X$6:$X$7)/4)*-1</f>
        <v>-358.41437499999995</v>
      </c>
      <c r="CR246" s="490">
        <f>(SUM(US_Pension!$X$6:$X$7)/4+SUM('Non-US_Pension'!$X$6:$X$7)/4+SUM(OPEB!$X$6:$X$7)/4)*-1</f>
        <v>-358.41437499999995</v>
      </c>
      <c r="CS246" s="490">
        <f>(SUM(US_Pension!$X$6:$X$7)/4+SUM('Non-US_Pension'!$X$6:$X$7)/4+SUM(OPEB!$X$6:$X$7)/4)*-1</f>
        <v>-358.41437499999995</v>
      </c>
      <c r="CT246" s="814">
        <f>(SUM(US_Pension!$X$6:$X$7)/4+SUM('Non-US_Pension'!$X$6:$X$7)/4+SUM(OPEB!$X$6:$X$7)/4)*-1</f>
        <v>-358.41437499999995</v>
      </c>
      <c r="CU246" s="816">
        <f>(SUM(US_Pension!X6:X7)+SUM('Non-US_Pension'!X6:X7)+SUM(OPEB!X6:X7))*-1</f>
        <v>-1433.6574999999998</v>
      </c>
      <c r="CV246" s="490">
        <f>(SUM(US_Pension!$Y$6:$Y$7)/4+SUM('Non-US_Pension'!$Y$6:$Y$7)/4+SUM(OPEB!$Y$6:$Y$7)/4)*-1</f>
        <v>-427.35653929000006</v>
      </c>
      <c r="CW246" s="490">
        <f>(SUM(US_Pension!$Y$6:$Y$7)/4+SUM('Non-US_Pension'!$Y$6:$Y$7)/4+SUM(OPEB!$Y$6:$Y$7)/4)*-1</f>
        <v>-427.35653929000006</v>
      </c>
      <c r="CX246" s="490">
        <f>(SUM(US_Pension!$Y$6:$Y$7)/4+SUM('Non-US_Pension'!$Y$6:$Y$7)/4+SUM(OPEB!$Y$6:$Y$7)/4)*-1</f>
        <v>-427.35653929000006</v>
      </c>
      <c r="CY246" s="814">
        <f>(SUM(US_Pension!$Y$6:$Y$7)/4+SUM('Non-US_Pension'!$Y$6:$Y$7)/4+SUM(OPEB!$Y$6:$Y$7)/4)*-1</f>
        <v>-427.35653929000006</v>
      </c>
      <c r="CZ246" s="816">
        <f>(SUM(US_Pension!Y6:Y7)+SUM('Non-US_Pension'!Y6:Y7)+SUM(OPEB!Y6:Y7))*-1</f>
        <v>-1709.4261571600002</v>
      </c>
      <c r="DA246" s="816">
        <f>(SUM(US_Pension!Z6:Z7)+SUM('Non-US_Pension'!Z6:Z7)+SUM(OPEB!Z6:Z7))*-1</f>
        <v>-1700.9228651242438</v>
      </c>
      <c r="DB246" s="816">
        <f>(SUM(US_Pension!AA6:AA7)+SUM('Non-US_Pension'!AA6:AA7)+SUM(OPEB!AA6:AA7))*-1</f>
        <v>-1719.4183340590398</v>
      </c>
      <c r="DC246" s="816">
        <f>(SUM(US_Pension!AB6:AB7)+SUM('Non-US_Pension'!AB6:AB7)+SUM(OPEB!AB6:AB7))*-1</f>
        <v>-1794.4281401966741</v>
      </c>
      <c r="DD246" s="490"/>
      <c r="DE246" s="490"/>
      <c r="DF246" s="490"/>
      <c r="DG246" s="490"/>
      <c r="DH246" s="490"/>
      <c r="DI246" s="491"/>
      <c r="DJ246" s="491"/>
      <c r="DK246" s="490"/>
      <c r="DL246" s="490"/>
      <c r="DM246" s="490"/>
      <c r="DU246" s="492"/>
      <c r="DV246" s="492"/>
      <c r="DW246" s="492"/>
      <c r="DX246" s="492"/>
      <c r="DY246" s="492"/>
      <c r="DZ246" s="492"/>
      <c r="EA246" s="492"/>
      <c r="EB246" s="492"/>
      <c r="EC246" s="492"/>
      <c r="ED246" s="492"/>
      <c r="EE246" s="492"/>
      <c r="EF246" s="492"/>
      <c r="EG246" s="492"/>
      <c r="EH246" s="492"/>
      <c r="EI246" s="492"/>
      <c r="EJ246" s="492"/>
      <c r="EK246" s="492"/>
      <c r="EL246" s="492"/>
      <c r="EM246" s="492"/>
      <c r="EN246" s="492"/>
      <c r="EO246" s="492"/>
      <c r="EP246" s="492"/>
      <c r="EQ246" s="492"/>
      <c r="ER246" s="492"/>
      <c r="ES246" s="492"/>
      <c r="ET246" s="492"/>
      <c r="EU246" s="492"/>
      <c r="EV246" s="492"/>
      <c r="EW246" s="492"/>
      <c r="EX246" s="492"/>
      <c r="EY246" s="492"/>
      <c r="EZ246" s="492"/>
      <c r="FA246" s="492"/>
      <c r="FB246" s="492"/>
      <c r="FC246" s="492"/>
      <c r="FD246" s="492"/>
      <c r="FE246" s="492"/>
      <c r="FF246" s="492"/>
      <c r="FG246" s="492"/>
      <c r="FH246" s="492"/>
      <c r="FI246" s="492"/>
      <c r="FJ246" s="492"/>
      <c r="FK246" s="492"/>
      <c r="FL246" s="492"/>
      <c r="FM246" s="492"/>
      <c r="FN246" s="492"/>
      <c r="FO246" s="492"/>
      <c r="FP246" s="492"/>
      <c r="FQ246" s="492"/>
      <c r="FR246" s="492"/>
      <c r="FS246" s="492"/>
      <c r="FT246" s="492"/>
      <c r="FU246" s="492"/>
      <c r="FV246" s="492"/>
      <c r="FW246" s="492"/>
      <c r="FX246" s="492"/>
      <c r="FY246" s="492"/>
      <c r="FZ246" s="492"/>
      <c r="GA246" s="492"/>
      <c r="GB246" s="492"/>
      <c r="GC246" s="492"/>
      <c r="GD246" s="492"/>
      <c r="GE246" s="492"/>
      <c r="GF246" s="492"/>
      <c r="GG246" s="492"/>
      <c r="GH246" s="492"/>
      <c r="GI246" s="492"/>
      <c r="GJ246" s="492"/>
      <c r="GK246" s="492"/>
      <c r="GL246" s="492"/>
      <c r="GM246" s="492"/>
      <c r="GN246" s="492"/>
      <c r="GO246" s="492"/>
      <c r="GP246" s="492"/>
      <c r="GQ246" s="492"/>
      <c r="GR246" s="492"/>
      <c r="GS246" s="492"/>
      <c r="GT246" s="492"/>
      <c r="GU246" s="492"/>
      <c r="GV246" s="492"/>
      <c r="GW246" s="492"/>
      <c r="GX246" s="492"/>
      <c r="GY246" s="492"/>
      <c r="GZ246" s="492"/>
      <c r="HA246" s="492"/>
      <c r="HB246" s="492"/>
      <c r="HC246" s="492"/>
      <c r="HD246" s="492"/>
      <c r="HE246" s="492"/>
      <c r="HF246" s="492"/>
      <c r="HG246" s="492"/>
      <c r="HH246" s="492"/>
      <c r="HI246" s="492"/>
      <c r="HJ246" s="492"/>
      <c r="HK246" s="492"/>
      <c r="HL246" s="492"/>
      <c r="HM246" s="492"/>
      <c r="HN246" s="492"/>
      <c r="HO246" s="492"/>
      <c r="HP246" s="492"/>
      <c r="HQ246" s="492"/>
      <c r="HR246" s="492"/>
      <c r="HS246" s="492"/>
      <c r="HT246" s="492"/>
      <c r="HU246" s="492"/>
      <c r="HV246" s="492"/>
      <c r="HW246" s="492"/>
      <c r="HX246" s="492"/>
      <c r="HY246" s="492"/>
      <c r="HZ246" s="492"/>
      <c r="IA246" s="492"/>
      <c r="IB246" s="492"/>
      <c r="IC246" s="492"/>
      <c r="ID246" s="492"/>
      <c r="IE246" s="492"/>
      <c r="IF246" s="492"/>
      <c r="IG246" s="492"/>
      <c r="IH246" s="492"/>
      <c r="II246" s="492"/>
      <c r="IJ246" s="492"/>
      <c r="IK246" s="492"/>
      <c r="IL246" s="492"/>
      <c r="IM246" s="492"/>
      <c r="IN246" s="492"/>
      <c r="IO246" s="492"/>
      <c r="IP246" s="492"/>
      <c r="IQ246" s="492"/>
      <c r="IR246" s="492"/>
      <c r="IS246" s="492"/>
      <c r="IT246" s="492"/>
      <c r="IU246" s="492"/>
    </row>
    <row r="247" spans="1:255" hidden="1" outlineLevel="1">
      <c r="A247" s="1109">
        <f t="shared" si="360"/>
        <v>233</v>
      </c>
      <c r="B247" s="10"/>
      <c r="C247" s="317" t="s">
        <v>199</v>
      </c>
      <c r="D247" s="2"/>
      <c r="E247" s="814"/>
      <c r="F247" s="816"/>
      <c r="G247" s="816"/>
      <c r="H247" s="816"/>
      <c r="I247" s="816"/>
      <c r="J247" s="490"/>
      <c r="K247" s="490"/>
      <c r="L247" s="490"/>
      <c r="M247" s="490"/>
      <c r="N247" s="814"/>
      <c r="O247" s="490"/>
      <c r="P247" s="490"/>
      <c r="Q247" s="490"/>
      <c r="R247" s="490"/>
      <c r="S247" s="814"/>
      <c r="T247" s="490"/>
      <c r="U247" s="490"/>
      <c r="V247" s="490"/>
      <c r="W247" s="814"/>
      <c r="X247" s="816"/>
      <c r="Y247" s="490"/>
      <c r="Z247" s="490"/>
      <c r="AA247" s="490"/>
      <c r="AB247" s="814"/>
      <c r="AC247" s="816"/>
      <c r="AD247" s="490"/>
      <c r="AE247" s="490"/>
      <c r="AF247" s="490"/>
      <c r="AG247" s="814"/>
      <c r="AH247" s="816"/>
      <c r="AI247" s="490"/>
      <c r="AJ247" s="490"/>
      <c r="AK247" s="490"/>
      <c r="AL247" s="814"/>
      <c r="AM247" s="816"/>
      <c r="AN247" s="490"/>
      <c r="AO247" s="490"/>
      <c r="AP247" s="490"/>
      <c r="AQ247" s="814"/>
      <c r="AR247" s="816"/>
      <c r="AS247" s="490"/>
      <c r="AT247" s="490"/>
      <c r="AU247" s="490"/>
      <c r="AV247" s="814"/>
      <c r="AW247" s="816"/>
      <c r="AX247" s="490"/>
      <c r="AY247" s="490"/>
      <c r="AZ247" s="490"/>
      <c r="BA247" s="814"/>
      <c r="BB247" s="814"/>
      <c r="BC247" s="490"/>
      <c r="BD247" s="490"/>
      <c r="BE247" s="490"/>
      <c r="BF247" s="814"/>
      <c r="BG247" s="816"/>
      <c r="BH247" s="490"/>
      <c r="BI247" s="490"/>
      <c r="BJ247" s="490"/>
      <c r="BK247" s="814"/>
      <c r="BL247" s="816"/>
      <c r="BM247" s="490"/>
      <c r="BN247" s="490"/>
      <c r="BO247" s="490"/>
      <c r="BP247" s="814"/>
      <c r="BQ247" s="814"/>
      <c r="BR247" s="490"/>
      <c r="BS247" s="490"/>
      <c r="BT247" s="490"/>
      <c r="BU247" s="814"/>
      <c r="BV247" s="816"/>
      <c r="BW247" s="490" t="e">
        <f>+Drivers!#REF!+Drivers!#REF!+Drivers!#REF!+Drivers!#REF!</f>
        <v>#REF!</v>
      </c>
      <c r="BX247" s="490" t="e">
        <f>+Drivers!#REF!+Drivers!#REF!+Drivers!#REF!+Drivers!#REF!</f>
        <v>#REF!</v>
      </c>
      <c r="BY247" s="490" t="e">
        <f>+Drivers!#REF!+Drivers!#REF!+Drivers!#REF!+Drivers!#REF!</f>
        <v>#REF!</v>
      </c>
      <c r="BZ247" s="814" t="e">
        <f>+Drivers!#REF!+Drivers!#REF!+Drivers!#REF!+Drivers!#REF!</f>
        <v>#REF!</v>
      </c>
      <c r="CA247" s="816" t="e">
        <f>+Drivers!#REF!+Drivers!#REF!+Drivers!#REF!+Drivers!#REF!</f>
        <v>#REF!</v>
      </c>
      <c r="CB247" s="490" t="e">
        <f>+Drivers!#REF!+Drivers!#REF!+Drivers!#REF!+Drivers!#REF!</f>
        <v>#REF!</v>
      </c>
      <c r="CC247" s="490" t="e">
        <f>+Drivers!#REF!+Drivers!#REF!+Drivers!#REF!+Drivers!#REF!</f>
        <v>#REF!</v>
      </c>
      <c r="CD247" s="490" t="e">
        <f>+Drivers!#REF!+Drivers!#REF!+Drivers!#REF!+Drivers!#REF!</f>
        <v>#REF!</v>
      </c>
      <c r="CE247" s="814" t="e">
        <f>+Drivers!#REF!+Drivers!#REF!+Drivers!#REF!+Drivers!#REF!</f>
        <v>#REF!</v>
      </c>
      <c r="CF247" s="816" t="e">
        <f>+Drivers!#REF!+Drivers!#REF!+Drivers!#REF!+Drivers!#REF!</f>
        <v>#REF!</v>
      </c>
      <c r="CG247" s="490" t="e">
        <f>+Drivers!#REF!+Drivers!#REF!+Drivers!#REF!+Drivers!#REF!</f>
        <v>#REF!</v>
      </c>
      <c r="CH247" s="490" t="e">
        <f>+Drivers!#REF!+Drivers!#REF!+Drivers!#REF!+Drivers!#REF!</f>
        <v>#REF!</v>
      </c>
      <c r="CI247" s="490" t="e">
        <f>+Drivers!#REF!+Drivers!#REF!+Drivers!#REF!+Drivers!#REF!</f>
        <v>#REF!</v>
      </c>
      <c r="CJ247" s="814" t="e">
        <f>+Drivers!#REF!+Drivers!#REF!+Drivers!#REF!+Drivers!#REF!</f>
        <v>#REF!</v>
      </c>
      <c r="CK247" s="816" t="e">
        <f>+Drivers!#REF!+Drivers!#REF!+Drivers!#REF!+Drivers!#REF!</f>
        <v>#REF!</v>
      </c>
      <c r="CL247" s="490" t="e">
        <f>+Drivers!#REF!+Drivers!#REF!+Drivers!#REF!+Drivers!#REF!</f>
        <v>#REF!</v>
      </c>
      <c r="CM247" s="490" t="e">
        <f>+Drivers!#REF!+Drivers!#REF!+Drivers!#REF!+Drivers!#REF!</f>
        <v>#REF!</v>
      </c>
      <c r="CN247" s="490" t="e">
        <f>+Drivers!#REF!+Drivers!#REF!+Drivers!#REF!+Drivers!#REF!</f>
        <v>#REF!</v>
      </c>
      <c r="CO247" s="814" t="e">
        <f>+Drivers!#REF!+Drivers!#REF!+Drivers!#REF!+Drivers!#REF!</f>
        <v>#REF!</v>
      </c>
      <c r="CP247" s="816" t="e">
        <f>+Drivers!#REF!+Drivers!#REF!+Drivers!#REF!+Drivers!#REF!</f>
        <v>#REF!</v>
      </c>
      <c r="CQ247" s="490" t="e">
        <f>+Drivers!#REF!+Drivers!#REF!+Drivers!#REF!+Drivers!#REF!</f>
        <v>#REF!</v>
      </c>
      <c r="CR247" s="490" t="e">
        <f>+Drivers!#REF!+Drivers!#REF!+Drivers!#REF!+Drivers!#REF!</f>
        <v>#REF!</v>
      </c>
      <c r="CS247" s="490" t="e">
        <f>+Drivers!#REF!+Drivers!#REF!+Drivers!#REF!+Drivers!#REF!</f>
        <v>#REF!</v>
      </c>
      <c r="CT247" s="814" t="e">
        <f>+Drivers!#REF!+Drivers!#REF!+Drivers!#REF!+Drivers!#REF!</f>
        <v>#REF!</v>
      </c>
      <c r="CU247" s="816" t="e">
        <f>+Drivers!#REF!+Drivers!#REF!+Drivers!#REF!+Drivers!#REF!</f>
        <v>#REF!</v>
      </c>
      <c r="CV247" s="490" t="e">
        <f>+Drivers!#REF!+Drivers!#REF!+Drivers!#REF!+Drivers!#REF!</f>
        <v>#REF!</v>
      </c>
      <c r="CW247" s="490" t="e">
        <f>+Drivers!#REF!+Drivers!#REF!+Drivers!#REF!+Drivers!#REF!</f>
        <v>#REF!</v>
      </c>
      <c r="CX247" s="490" t="e">
        <f>+Drivers!#REF!+Drivers!#REF!+Drivers!#REF!+Drivers!#REF!</f>
        <v>#REF!</v>
      </c>
      <c r="CY247" s="814" t="e">
        <f>+Drivers!#REF!+Drivers!#REF!+Drivers!#REF!+Drivers!#REF!</f>
        <v>#REF!</v>
      </c>
      <c r="CZ247" s="816" t="e">
        <f>+Drivers!#REF!+Drivers!#REF!+Drivers!#REF!+Drivers!#REF!</f>
        <v>#REF!</v>
      </c>
      <c r="DA247" s="816" t="e">
        <f>+Drivers!#REF!+Drivers!#REF!+Drivers!#REF!+Drivers!#REF!</f>
        <v>#REF!</v>
      </c>
      <c r="DB247" s="816" t="e">
        <f>+Drivers!#REF!+Drivers!#REF!+Drivers!#REF!+Drivers!#REF!</f>
        <v>#REF!</v>
      </c>
      <c r="DC247" s="816" t="e">
        <f>+Drivers!#REF!+Drivers!#REF!+Drivers!#REF!+Drivers!#REF!</f>
        <v>#REF!</v>
      </c>
      <c r="DD247" s="490"/>
      <c r="DE247" s="490"/>
      <c r="DF247" s="490"/>
      <c r="DG247" s="490"/>
      <c r="DH247" s="490"/>
      <c r="DI247" s="491"/>
      <c r="DJ247" s="491"/>
      <c r="DK247" s="490"/>
      <c r="DL247" s="490"/>
      <c r="DM247" s="490"/>
      <c r="DU247" s="492"/>
      <c r="DV247" s="492"/>
      <c r="DW247" s="492"/>
      <c r="DX247" s="492"/>
      <c r="DY247" s="492"/>
      <c r="DZ247" s="492"/>
      <c r="EA247" s="492"/>
      <c r="EB247" s="492"/>
      <c r="EC247" s="492"/>
      <c r="ED247" s="492"/>
      <c r="EE247" s="492"/>
      <c r="EF247" s="492"/>
      <c r="EG247" s="492"/>
      <c r="EH247" s="492"/>
      <c r="EI247" s="492"/>
      <c r="EJ247" s="492"/>
      <c r="EK247" s="492"/>
      <c r="EL247" s="492"/>
      <c r="EM247" s="492"/>
      <c r="EN247" s="492"/>
      <c r="EO247" s="492"/>
      <c r="EP247" s="492"/>
      <c r="EQ247" s="492"/>
      <c r="ER247" s="492"/>
      <c r="ES247" s="492"/>
      <c r="ET247" s="492"/>
      <c r="EU247" s="492"/>
      <c r="EV247" s="492"/>
      <c r="EW247" s="492"/>
      <c r="EX247" s="492"/>
      <c r="EY247" s="492"/>
      <c r="EZ247" s="492"/>
      <c r="FA247" s="492"/>
      <c r="FB247" s="492"/>
      <c r="FC247" s="492"/>
      <c r="FD247" s="492"/>
      <c r="FE247" s="492"/>
      <c r="FF247" s="492"/>
      <c r="FG247" s="492"/>
      <c r="FH247" s="492"/>
      <c r="FI247" s="492"/>
      <c r="FJ247" s="492"/>
      <c r="FK247" s="492"/>
      <c r="FL247" s="492"/>
      <c r="FM247" s="492"/>
      <c r="FN247" s="492"/>
      <c r="FO247" s="492"/>
      <c r="FP247" s="492"/>
      <c r="FQ247" s="492"/>
      <c r="FR247" s="492"/>
      <c r="FS247" s="492"/>
      <c r="FT247" s="492"/>
      <c r="FU247" s="492"/>
      <c r="FV247" s="492"/>
      <c r="FW247" s="492"/>
      <c r="FX247" s="492"/>
      <c r="FY247" s="492"/>
      <c r="FZ247" s="492"/>
      <c r="GA247" s="492"/>
      <c r="GB247" s="492"/>
      <c r="GC247" s="492"/>
      <c r="GD247" s="492"/>
      <c r="GE247" s="492"/>
      <c r="GF247" s="492"/>
      <c r="GG247" s="492"/>
      <c r="GH247" s="492"/>
      <c r="GI247" s="492"/>
      <c r="GJ247" s="492"/>
      <c r="GK247" s="492"/>
      <c r="GL247" s="492"/>
      <c r="GM247" s="492"/>
      <c r="GN247" s="492"/>
      <c r="GO247" s="492"/>
      <c r="GP247" s="492"/>
      <c r="GQ247" s="492"/>
      <c r="GR247" s="492"/>
      <c r="GS247" s="492"/>
      <c r="GT247" s="492"/>
      <c r="GU247" s="492"/>
      <c r="GV247" s="492"/>
      <c r="GW247" s="492"/>
      <c r="GX247" s="492"/>
      <c r="GY247" s="492"/>
      <c r="GZ247" s="492"/>
      <c r="HA247" s="492"/>
      <c r="HB247" s="492"/>
      <c r="HC247" s="492"/>
      <c r="HD247" s="492"/>
      <c r="HE247" s="492"/>
      <c r="HF247" s="492"/>
      <c r="HG247" s="492"/>
      <c r="HH247" s="492"/>
      <c r="HI247" s="492"/>
      <c r="HJ247" s="492"/>
      <c r="HK247" s="492"/>
      <c r="HL247" s="492"/>
      <c r="HM247" s="492"/>
      <c r="HN247" s="492"/>
      <c r="HO247" s="492"/>
      <c r="HP247" s="492"/>
      <c r="HQ247" s="492"/>
      <c r="HR247" s="492"/>
      <c r="HS247" s="492"/>
      <c r="HT247" s="492"/>
      <c r="HU247" s="492"/>
      <c r="HV247" s="492"/>
      <c r="HW247" s="492"/>
      <c r="HX247" s="492"/>
      <c r="HY247" s="492"/>
      <c r="HZ247" s="492"/>
      <c r="IA247" s="492"/>
      <c r="IB247" s="492"/>
      <c r="IC247" s="492"/>
      <c r="ID247" s="492"/>
      <c r="IE247" s="492"/>
      <c r="IF247" s="492"/>
      <c r="IG247" s="492"/>
      <c r="IH247" s="492"/>
      <c r="II247" s="492"/>
      <c r="IJ247" s="492"/>
      <c r="IK247" s="492"/>
      <c r="IL247" s="492"/>
      <c r="IM247" s="492"/>
      <c r="IN247" s="492"/>
      <c r="IO247" s="492"/>
      <c r="IP247" s="492"/>
      <c r="IQ247" s="492"/>
      <c r="IR247" s="492"/>
      <c r="IS247" s="492"/>
      <c r="IT247" s="492"/>
      <c r="IU247" s="492"/>
    </row>
    <row r="248" spans="1:255" hidden="1" outlineLevel="1">
      <c r="A248" s="1109">
        <f t="shared" si="360"/>
        <v>234</v>
      </c>
      <c r="B248" s="10"/>
      <c r="C248" s="317" t="s">
        <v>850</v>
      </c>
      <c r="D248" s="2"/>
      <c r="E248" s="814"/>
      <c r="F248" s="816"/>
      <c r="G248" s="816"/>
      <c r="H248" s="816"/>
      <c r="I248" s="816"/>
      <c r="J248" s="490"/>
      <c r="K248" s="490"/>
      <c r="L248" s="490"/>
      <c r="M248" s="490"/>
      <c r="N248" s="814"/>
      <c r="O248" s="490"/>
      <c r="P248" s="490"/>
      <c r="Q248" s="490"/>
      <c r="R248" s="490"/>
      <c r="S248" s="814"/>
      <c r="T248" s="490"/>
      <c r="U248" s="490"/>
      <c r="V248" s="490"/>
      <c r="W248" s="814"/>
      <c r="X248" s="816"/>
      <c r="Y248" s="490"/>
      <c r="Z248" s="490"/>
      <c r="AA248" s="490"/>
      <c r="AB248" s="814"/>
      <c r="AC248" s="816"/>
      <c r="AD248" s="490"/>
      <c r="AE248" s="490"/>
      <c r="AF248" s="490"/>
      <c r="AG248" s="814"/>
      <c r="AH248" s="816"/>
      <c r="AI248" s="490"/>
      <c r="AJ248" s="490"/>
      <c r="AK248" s="490"/>
      <c r="AL248" s="814"/>
      <c r="AM248" s="816"/>
      <c r="AN248" s="490"/>
      <c r="AO248" s="490"/>
      <c r="AP248" s="490"/>
      <c r="AQ248" s="814"/>
      <c r="AR248" s="816"/>
      <c r="AS248" s="490"/>
      <c r="AT248" s="490"/>
      <c r="AU248" s="490"/>
      <c r="AV248" s="814"/>
      <c r="AW248" s="816"/>
      <c r="AX248" s="490"/>
      <c r="AY248" s="490"/>
      <c r="AZ248" s="490"/>
      <c r="BA248" s="814"/>
      <c r="BB248" s="814"/>
      <c r="BC248" s="490"/>
      <c r="BD248" s="490"/>
      <c r="BE248" s="490"/>
      <c r="BF248" s="814"/>
      <c r="BG248" s="816"/>
      <c r="BH248" s="490"/>
      <c r="BI248" s="490"/>
      <c r="BJ248" s="490"/>
      <c r="BK248" s="814"/>
      <c r="BL248" s="816"/>
      <c r="BM248" s="490"/>
      <c r="BN248" s="490"/>
      <c r="BO248" s="490"/>
      <c r="BP248" s="814"/>
      <c r="BQ248" s="814"/>
      <c r="BR248" s="490"/>
      <c r="BS248" s="490"/>
      <c r="BT248" s="490"/>
      <c r="BU248" s="814"/>
      <c r="BV248" s="816"/>
      <c r="BW248" s="490" t="e">
        <f>+BW247+BW256+BW257</f>
        <v>#REF!</v>
      </c>
      <c r="BX248" s="490" t="e">
        <f t="shared" ref="BX248:CX248" si="388">+BX247+BX256+BX257</f>
        <v>#REF!</v>
      </c>
      <c r="BY248" s="490" t="e">
        <f t="shared" si="388"/>
        <v>#REF!</v>
      </c>
      <c r="BZ248" s="814" t="e">
        <f t="shared" si="388"/>
        <v>#REF!</v>
      </c>
      <c r="CA248" s="816" t="e">
        <f t="shared" si="388"/>
        <v>#REF!</v>
      </c>
      <c r="CB248" s="490" t="e">
        <f t="shared" si="388"/>
        <v>#REF!</v>
      </c>
      <c r="CC248" s="490" t="e">
        <f t="shared" si="388"/>
        <v>#REF!</v>
      </c>
      <c r="CD248" s="490" t="e">
        <f t="shared" si="388"/>
        <v>#REF!</v>
      </c>
      <c r="CE248" s="814" t="e">
        <f t="shared" si="388"/>
        <v>#REF!</v>
      </c>
      <c r="CF248" s="816" t="e">
        <f t="shared" si="388"/>
        <v>#REF!</v>
      </c>
      <c r="CG248" s="490" t="e">
        <f t="shared" si="388"/>
        <v>#REF!</v>
      </c>
      <c r="CH248" s="490" t="e">
        <f t="shared" si="388"/>
        <v>#REF!</v>
      </c>
      <c r="CI248" s="490" t="e">
        <f t="shared" si="388"/>
        <v>#REF!</v>
      </c>
      <c r="CJ248" s="814" t="e">
        <f t="shared" si="388"/>
        <v>#REF!</v>
      </c>
      <c r="CK248" s="816" t="e">
        <f t="shared" si="388"/>
        <v>#REF!</v>
      </c>
      <c r="CL248" s="490" t="e">
        <f t="shared" si="388"/>
        <v>#REF!</v>
      </c>
      <c r="CM248" s="490" t="e">
        <f t="shared" si="388"/>
        <v>#REF!</v>
      </c>
      <c r="CN248" s="490" t="e">
        <f t="shared" si="388"/>
        <v>#REF!</v>
      </c>
      <c r="CO248" s="814" t="e">
        <f t="shared" si="388"/>
        <v>#REF!</v>
      </c>
      <c r="CP248" s="816" t="e">
        <f t="shared" si="388"/>
        <v>#REF!</v>
      </c>
      <c r="CQ248" s="490" t="e">
        <f t="shared" si="388"/>
        <v>#REF!</v>
      </c>
      <c r="CR248" s="490" t="e">
        <f t="shared" si="388"/>
        <v>#REF!</v>
      </c>
      <c r="CS248" s="490" t="e">
        <f t="shared" si="388"/>
        <v>#REF!</v>
      </c>
      <c r="CT248" s="814" t="e">
        <f t="shared" si="388"/>
        <v>#REF!</v>
      </c>
      <c r="CU248" s="816" t="e">
        <f t="shared" si="388"/>
        <v>#REF!</v>
      </c>
      <c r="CV248" s="490" t="e">
        <f t="shared" si="388"/>
        <v>#REF!</v>
      </c>
      <c r="CW248" s="490" t="e">
        <f t="shared" si="388"/>
        <v>#REF!</v>
      </c>
      <c r="CX248" s="490" t="e">
        <f t="shared" si="388"/>
        <v>#REF!</v>
      </c>
      <c r="CY248" s="814" t="e">
        <f>+CY247+CY256+CY257</f>
        <v>#REF!</v>
      </c>
      <c r="CZ248" s="816" t="e">
        <f>+CZ247+CZ256+CZ257</f>
        <v>#REF!</v>
      </c>
      <c r="DA248" s="816" t="e">
        <f>+DA247+DA256+DA257</f>
        <v>#REF!</v>
      </c>
      <c r="DB248" s="816" t="e">
        <f>+DB247+DB256+DB257</f>
        <v>#REF!</v>
      </c>
      <c r="DC248" s="816" t="e">
        <f>+DC247+DC256+DC257</f>
        <v>#REF!</v>
      </c>
      <c r="DD248" s="490"/>
      <c r="DE248" s="490"/>
      <c r="DF248" s="490"/>
      <c r="DG248" s="490"/>
      <c r="DH248" s="490"/>
      <c r="DI248" s="491"/>
      <c r="DJ248" s="491"/>
      <c r="DK248" s="490"/>
      <c r="DL248" s="490"/>
      <c r="DM248" s="490"/>
      <c r="DU248" s="492"/>
      <c r="DV248" s="492"/>
      <c r="DW248" s="492"/>
      <c r="DX248" s="492"/>
      <c r="DY248" s="492"/>
      <c r="DZ248" s="492"/>
      <c r="EA248" s="492"/>
      <c r="EB248" s="492"/>
      <c r="EC248" s="492"/>
      <c r="ED248" s="492"/>
      <c r="EE248" s="492"/>
      <c r="EF248" s="492"/>
      <c r="EG248" s="492"/>
      <c r="EH248" s="492"/>
      <c r="EI248" s="492"/>
      <c r="EJ248" s="492"/>
      <c r="EK248" s="492"/>
      <c r="EL248" s="492"/>
      <c r="EM248" s="492"/>
      <c r="EN248" s="492"/>
      <c r="EO248" s="492"/>
      <c r="EP248" s="492"/>
      <c r="EQ248" s="492"/>
      <c r="ER248" s="492"/>
      <c r="ES248" s="492"/>
      <c r="ET248" s="492"/>
      <c r="EU248" s="492"/>
      <c r="EV248" s="492"/>
      <c r="EW248" s="492"/>
      <c r="EX248" s="492"/>
      <c r="EY248" s="492"/>
      <c r="EZ248" s="492"/>
      <c r="FA248" s="492"/>
      <c r="FB248" s="492"/>
      <c r="FC248" s="492"/>
      <c r="FD248" s="492"/>
      <c r="FE248" s="492"/>
      <c r="FF248" s="492"/>
      <c r="FG248" s="492"/>
      <c r="FH248" s="492"/>
      <c r="FI248" s="492"/>
      <c r="FJ248" s="492"/>
      <c r="FK248" s="492"/>
      <c r="FL248" s="492"/>
      <c r="FM248" s="492"/>
      <c r="FN248" s="492"/>
      <c r="FO248" s="492"/>
      <c r="FP248" s="492"/>
      <c r="FQ248" s="492"/>
      <c r="FR248" s="492"/>
      <c r="FS248" s="492"/>
      <c r="FT248" s="492"/>
      <c r="FU248" s="492"/>
      <c r="FV248" s="492"/>
      <c r="FW248" s="492"/>
      <c r="FX248" s="492"/>
      <c r="FY248" s="492"/>
      <c r="FZ248" s="492"/>
      <c r="GA248" s="492"/>
      <c r="GB248" s="492"/>
      <c r="GC248" s="492"/>
      <c r="GD248" s="492"/>
      <c r="GE248" s="492"/>
      <c r="GF248" s="492"/>
      <c r="GG248" s="492"/>
      <c r="GH248" s="492"/>
      <c r="GI248" s="492"/>
      <c r="GJ248" s="492"/>
      <c r="GK248" s="492"/>
      <c r="GL248" s="492"/>
      <c r="GM248" s="492"/>
      <c r="GN248" s="492"/>
      <c r="GO248" s="492"/>
      <c r="GP248" s="492"/>
      <c r="GQ248" s="492"/>
      <c r="GR248" s="492"/>
      <c r="GS248" s="492"/>
      <c r="GT248" s="492"/>
      <c r="GU248" s="492"/>
      <c r="GV248" s="492"/>
      <c r="GW248" s="492"/>
      <c r="GX248" s="492"/>
      <c r="GY248" s="492"/>
      <c r="GZ248" s="492"/>
      <c r="HA248" s="492"/>
      <c r="HB248" s="492"/>
      <c r="HC248" s="492"/>
      <c r="HD248" s="492"/>
      <c r="HE248" s="492"/>
      <c r="HF248" s="492"/>
      <c r="HG248" s="492"/>
      <c r="HH248" s="492"/>
      <c r="HI248" s="492"/>
      <c r="HJ248" s="492"/>
      <c r="HK248" s="492"/>
      <c r="HL248" s="492"/>
      <c r="HM248" s="492"/>
      <c r="HN248" s="492"/>
      <c r="HO248" s="492"/>
      <c r="HP248" s="492"/>
      <c r="HQ248" s="492"/>
      <c r="HR248" s="492"/>
      <c r="HS248" s="492"/>
      <c r="HT248" s="492"/>
      <c r="HU248" s="492"/>
      <c r="HV248" s="492"/>
      <c r="HW248" s="492"/>
      <c r="HX248" s="492"/>
      <c r="HY248" s="492"/>
      <c r="HZ248" s="492"/>
      <c r="IA248" s="492"/>
      <c r="IB248" s="492"/>
      <c r="IC248" s="492"/>
      <c r="ID248" s="492"/>
      <c r="IE248" s="492"/>
      <c r="IF248" s="492"/>
      <c r="IG248" s="492"/>
      <c r="IH248" s="492"/>
      <c r="II248" s="492"/>
      <c r="IJ248" s="492"/>
      <c r="IK248" s="492"/>
      <c r="IL248" s="492"/>
      <c r="IM248" s="492"/>
      <c r="IN248" s="492"/>
      <c r="IO248" s="492"/>
      <c r="IP248" s="492"/>
      <c r="IQ248" s="492"/>
      <c r="IR248" s="492"/>
      <c r="IS248" s="492"/>
      <c r="IT248" s="492"/>
      <c r="IU248" s="492"/>
    </row>
    <row r="249" spans="1:255" hidden="1" outlineLevel="1">
      <c r="A249" s="1109">
        <f t="shared" si="360"/>
        <v>235</v>
      </c>
      <c r="B249" s="10"/>
      <c r="C249" s="317" t="s">
        <v>851</v>
      </c>
      <c r="D249" s="2"/>
      <c r="E249" s="814"/>
      <c r="F249" s="816"/>
      <c r="G249" s="816"/>
      <c r="H249" s="816"/>
      <c r="I249" s="816"/>
      <c r="J249" s="490"/>
      <c r="K249" s="490"/>
      <c r="L249" s="490"/>
      <c r="M249" s="490"/>
      <c r="N249" s="814"/>
      <c r="O249" s="490"/>
      <c r="P249" s="490"/>
      <c r="Q249" s="490"/>
      <c r="R249" s="490"/>
      <c r="S249" s="814"/>
      <c r="T249" s="490"/>
      <c r="U249" s="490"/>
      <c r="V249" s="490"/>
      <c r="W249" s="814"/>
      <c r="X249" s="816"/>
      <c r="Y249" s="490"/>
      <c r="Z249" s="490"/>
      <c r="AA249" s="490"/>
      <c r="AB249" s="814"/>
      <c r="AC249" s="816"/>
      <c r="AD249" s="490"/>
      <c r="AE249" s="490"/>
      <c r="AF249" s="490"/>
      <c r="AG249" s="814"/>
      <c r="AH249" s="816"/>
      <c r="AI249" s="490"/>
      <c r="AJ249" s="490"/>
      <c r="AK249" s="490"/>
      <c r="AL249" s="814"/>
      <c r="AM249" s="816"/>
      <c r="AN249" s="490"/>
      <c r="AO249" s="490"/>
      <c r="AP249" s="490"/>
      <c r="AQ249" s="814"/>
      <c r="AR249" s="816"/>
      <c r="AS249" s="490"/>
      <c r="AT249" s="490"/>
      <c r="AU249" s="490"/>
      <c r="AV249" s="814"/>
      <c r="AW249" s="816"/>
      <c r="AX249" s="490"/>
      <c r="AY249" s="490"/>
      <c r="AZ249" s="490"/>
      <c r="BA249" s="814"/>
      <c r="BB249" s="814"/>
      <c r="BC249" s="490"/>
      <c r="BD249" s="490"/>
      <c r="BE249" s="490"/>
      <c r="BF249" s="814"/>
      <c r="BG249" s="816"/>
      <c r="BH249" s="490"/>
      <c r="BI249" s="490"/>
      <c r="BJ249" s="490"/>
      <c r="BK249" s="814"/>
      <c r="BL249" s="816"/>
      <c r="BM249" s="490"/>
      <c r="BN249" s="490"/>
      <c r="BO249" s="490"/>
      <c r="BP249" s="814"/>
      <c r="BQ249" s="814"/>
      <c r="BR249" s="490"/>
      <c r="BS249" s="490"/>
      <c r="BT249" s="490"/>
      <c r="BU249" s="814"/>
      <c r="BV249" s="816"/>
      <c r="BW249" s="490" t="e">
        <f t="shared" ref="BW249:CJ249" si="389">BW248+BW246</f>
        <v>#REF!</v>
      </c>
      <c r="BX249" s="490" t="e">
        <f t="shared" si="389"/>
        <v>#REF!</v>
      </c>
      <c r="BY249" s="490" t="e">
        <f t="shared" si="389"/>
        <v>#REF!</v>
      </c>
      <c r="BZ249" s="814" t="e">
        <f t="shared" si="389"/>
        <v>#REF!</v>
      </c>
      <c r="CA249" s="816" t="e">
        <f t="shared" si="389"/>
        <v>#REF!</v>
      </c>
      <c r="CB249" s="490" t="e">
        <f t="shared" si="389"/>
        <v>#REF!</v>
      </c>
      <c r="CC249" s="490" t="e">
        <f t="shared" si="389"/>
        <v>#REF!</v>
      </c>
      <c r="CD249" s="490" t="e">
        <f t="shared" si="389"/>
        <v>#REF!</v>
      </c>
      <c r="CE249" s="814" t="e">
        <f t="shared" si="389"/>
        <v>#REF!</v>
      </c>
      <c r="CF249" s="816" t="e">
        <f t="shared" si="389"/>
        <v>#REF!</v>
      </c>
      <c r="CG249" s="490" t="e">
        <f t="shared" si="389"/>
        <v>#REF!</v>
      </c>
      <c r="CH249" s="490" t="e">
        <f t="shared" si="389"/>
        <v>#REF!</v>
      </c>
      <c r="CI249" s="490" t="e">
        <f t="shared" si="389"/>
        <v>#REF!</v>
      </c>
      <c r="CJ249" s="814" t="e">
        <f t="shared" si="389"/>
        <v>#REF!</v>
      </c>
      <c r="CK249" s="816" t="e">
        <f t="shared" ref="CK249:CU249" si="390">CK248+CK246</f>
        <v>#REF!</v>
      </c>
      <c r="CL249" s="490" t="e">
        <f t="shared" si="390"/>
        <v>#REF!</v>
      </c>
      <c r="CM249" s="490" t="e">
        <f t="shared" si="390"/>
        <v>#REF!</v>
      </c>
      <c r="CN249" s="490" t="e">
        <f t="shared" si="390"/>
        <v>#REF!</v>
      </c>
      <c r="CO249" s="814" t="e">
        <f t="shared" si="390"/>
        <v>#REF!</v>
      </c>
      <c r="CP249" s="816" t="e">
        <f t="shared" si="390"/>
        <v>#REF!</v>
      </c>
      <c r="CQ249" s="490" t="e">
        <f t="shared" si="390"/>
        <v>#REF!</v>
      </c>
      <c r="CR249" s="490" t="e">
        <f t="shared" si="390"/>
        <v>#REF!</v>
      </c>
      <c r="CS249" s="490" t="e">
        <f t="shared" si="390"/>
        <v>#REF!</v>
      </c>
      <c r="CT249" s="814" t="e">
        <f t="shared" si="390"/>
        <v>#REF!</v>
      </c>
      <c r="CU249" s="816" t="e">
        <f t="shared" si="390"/>
        <v>#REF!</v>
      </c>
      <c r="CV249" s="490" t="e">
        <f t="shared" ref="CV249:DC249" si="391">CV248+CV246</f>
        <v>#REF!</v>
      </c>
      <c r="CW249" s="490" t="e">
        <f t="shared" si="391"/>
        <v>#REF!</v>
      </c>
      <c r="CX249" s="490" t="e">
        <f t="shared" si="391"/>
        <v>#REF!</v>
      </c>
      <c r="CY249" s="814" t="e">
        <f t="shared" si="391"/>
        <v>#REF!</v>
      </c>
      <c r="CZ249" s="816" t="e">
        <f t="shared" si="391"/>
        <v>#REF!</v>
      </c>
      <c r="DA249" s="816" t="e">
        <f t="shared" si="391"/>
        <v>#REF!</v>
      </c>
      <c r="DB249" s="816" t="e">
        <f t="shared" si="391"/>
        <v>#REF!</v>
      </c>
      <c r="DC249" s="816" t="e">
        <f t="shared" si="391"/>
        <v>#REF!</v>
      </c>
      <c r="DD249" s="490"/>
      <c r="DE249" s="490"/>
      <c r="DF249" s="490"/>
      <c r="DG249" s="490"/>
      <c r="DH249" s="490"/>
      <c r="DI249" s="491"/>
      <c r="DJ249" s="491"/>
      <c r="DK249" s="490"/>
      <c r="DL249" s="490"/>
      <c r="DM249" s="490"/>
      <c r="DU249" s="492"/>
      <c r="DV249" s="492"/>
      <c r="DW249" s="492"/>
      <c r="DX249" s="492"/>
      <c r="DY249" s="492"/>
      <c r="DZ249" s="492"/>
      <c r="EA249" s="492"/>
      <c r="EB249" s="492"/>
      <c r="EC249" s="492"/>
      <c r="ED249" s="492"/>
      <c r="EE249" s="492"/>
      <c r="EF249" s="492"/>
      <c r="EG249" s="492"/>
      <c r="EH249" s="492"/>
      <c r="EI249" s="492"/>
      <c r="EJ249" s="492"/>
      <c r="EK249" s="492"/>
      <c r="EL249" s="492"/>
      <c r="EM249" s="492"/>
      <c r="EN249" s="492"/>
      <c r="EO249" s="492"/>
      <c r="EP249" s="492"/>
      <c r="EQ249" s="492"/>
      <c r="ER249" s="492"/>
      <c r="ES249" s="492"/>
      <c r="ET249" s="492"/>
      <c r="EU249" s="492"/>
      <c r="EV249" s="492"/>
      <c r="EW249" s="492"/>
      <c r="EX249" s="492"/>
      <c r="EY249" s="492"/>
      <c r="EZ249" s="492"/>
      <c r="FA249" s="492"/>
      <c r="FB249" s="492"/>
      <c r="FC249" s="492"/>
      <c r="FD249" s="492"/>
      <c r="FE249" s="492"/>
      <c r="FF249" s="492"/>
      <c r="FG249" s="492"/>
      <c r="FH249" s="492"/>
      <c r="FI249" s="492"/>
      <c r="FJ249" s="492"/>
      <c r="FK249" s="492"/>
      <c r="FL249" s="492"/>
      <c r="FM249" s="492"/>
      <c r="FN249" s="492"/>
      <c r="FO249" s="492"/>
      <c r="FP249" s="492"/>
      <c r="FQ249" s="492"/>
      <c r="FR249" s="492"/>
      <c r="FS249" s="492"/>
      <c r="FT249" s="492"/>
      <c r="FU249" s="492"/>
      <c r="FV249" s="492"/>
      <c r="FW249" s="492"/>
      <c r="FX249" s="492"/>
      <c r="FY249" s="492"/>
      <c r="FZ249" s="492"/>
      <c r="GA249" s="492"/>
      <c r="GB249" s="492"/>
      <c r="GC249" s="492"/>
      <c r="GD249" s="492"/>
      <c r="GE249" s="492"/>
      <c r="GF249" s="492"/>
      <c r="GG249" s="492"/>
      <c r="GH249" s="492"/>
      <c r="GI249" s="492"/>
      <c r="GJ249" s="492"/>
      <c r="GK249" s="492"/>
      <c r="GL249" s="492"/>
      <c r="GM249" s="492"/>
      <c r="GN249" s="492"/>
      <c r="GO249" s="492"/>
      <c r="GP249" s="492"/>
      <c r="GQ249" s="492"/>
      <c r="GR249" s="492"/>
      <c r="GS249" s="492"/>
      <c r="GT249" s="492"/>
      <c r="GU249" s="492"/>
      <c r="GV249" s="492"/>
      <c r="GW249" s="492"/>
      <c r="GX249" s="492"/>
      <c r="GY249" s="492"/>
      <c r="GZ249" s="492"/>
      <c r="HA249" s="492"/>
      <c r="HB249" s="492"/>
      <c r="HC249" s="492"/>
      <c r="HD249" s="492"/>
      <c r="HE249" s="492"/>
      <c r="HF249" s="492"/>
      <c r="HG249" s="492"/>
      <c r="HH249" s="492"/>
      <c r="HI249" s="492"/>
      <c r="HJ249" s="492"/>
      <c r="HK249" s="492"/>
      <c r="HL249" s="492"/>
      <c r="HM249" s="492"/>
      <c r="HN249" s="492"/>
      <c r="HO249" s="492"/>
      <c r="HP249" s="492"/>
      <c r="HQ249" s="492"/>
      <c r="HR249" s="492"/>
      <c r="HS249" s="492"/>
      <c r="HT249" s="492"/>
      <c r="HU249" s="492"/>
      <c r="HV249" s="492"/>
      <c r="HW249" s="492"/>
      <c r="HX249" s="492"/>
      <c r="HY249" s="492"/>
      <c r="HZ249" s="492"/>
      <c r="IA249" s="492"/>
      <c r="IB249" s="492"/>
      <c r="IC249" s="492"/>
      <c r="ID249" s="492"/>
      <c r="IE249" s="492"/>
      <c r="IF249" s="492"/>
      <c r="IG249" s="492"/>
      <c r="IH249" s="492"/>
      <c r="II249" s="492"/>
      <c r="IJ249" s="492"/>
      <c r="IK249" s="492"/>
      <c r="IL249" s="492"/>
      <c r="IM249" s="492"/>
      <c r="IN249" s="492"/>
      <c r="IO249" s="492"/>
      <c r="IP249" s="492"/>
      <c r="IQ249" s="492"/>
      <c r="IR249" s="492"/>
      <c r="IS249" s="492"/>
      <c r="IT249" s="492"/>
      <c r="IU249" s="492"/>
    </row>
    <row r="250" spans="1:255" hidden="1" outlineLevel="1">
      <c r="A250" s="1109">
        <f t="shared" si="360"/>
        <v>236</v>
      </c>
      <c r="B250" s="10"/>
      <c r="C250" s="317" t="s">
        <v>852</v>
      </c>
      <c r="D250" s="2"/>
      <c r="E250" s="814"/>
      <c r="F250" s="816"/>
      <c r="G250" s="816"/>
      <c r="H250" s="816"/>
      <c r="I250" s="816"/>
      <c r="J250" s="490"/>
      <c r="K250" s="490"/>
      <c r="L250" s="490"/>
      <c r="M250" s="490"/>
      <c r="N250" s="814"/>
      <c r="O250" s="490"/>
      <c r="P250" s="490"/>
      <c r="Q250" s="490"/>
      <c r="R250" s="490"/>
      <c r="S250" s="814"/>
      <c r="T250" s="490"/>
      <c r="U250" s="490"/>
      <c r="V250" s="490"/>
      <c r="W250" s="814"/>
      <c r="X250" s="816"/>
      <c r="Y250" s="490"/>
      <c r="Z250" s="490"/>
      <c r="AA250" s="490"/>
      <c r="AB250" s="814"/>
      <c r="AC250" s="816"/>
      <c r="AD250" s="490"/>
      <c r="AE250" s="490"/>
      <c r="AF250" s="490"/>
      <c r="AG250" s="814"/>
      <c r="AH250" s="816"/>
      <c r="AI250" s="490"/>
      <c r="AJ250" s="490"/>
      <c r="AK250" s="490"/>
      <c r="AL250" s="814"/>
      <c r="AM250" s="816"/>
      <c r="AN250" s="490"/>
      <c r="AO250" s="490"/>
      <c r="AP250" s="490"/>
      <c r="AQ250" s="814"/>
      <c r="AR250" s="816"/>
      <c r="AS250" s="490"/>
      <c r="AT250" s="490"/>
      <c r="AU250" s="490"/>
      <c r="AV250" s="814"/>
      <c r="AW250" s="816"/>
      <c r="AX250" s="490"/>
      <c r="AY250" s="490"/>
      <c r="AZ250" s="490"/>
      <c r="BA250" s="814"/>
      <c r="BB250" s="814"/>
      <c r="BC250" s="490"/>
      <c r="BD250" s="490"/>
      <c r="BE250" s="490"/>
      <c r="BF250" s="814"/>
      <c r="BG250" s="816"/>
      <c r="BH250" s="490"/>
      <c r="BI250" s="490"/>
      <c r="BJ250" s="490"/>
      <c r="BK250" s="814"/>
      <c r="BL250" s="816"/>
      <c r="BM250" s="490"/>
      <c r="BN250" s="490"/>
      <c r="BO250" s="490"/>
      <c r="BP250" s="814"/>
      <c r="BQ250" s="814"/>
      <c r="BR250" s="490"/>
      <c r="BS250" s="490"/>
      <c r="BT250" s="490"/>
      <c r="BU250" s="814"/>
      <c r="BV250" s="816"/>
      <c r="BW250" s="490" t="e">
        <f>+Drivers!#REF!*(1-'Financial Model'!BW239)</f>
        <v>#REF!</v>
      </c>
      <c r="BX250" s="490" t="e">
        <f>+Drivers!#REF!*(1-'Financial Model'!BX239)</f>
        <v>#REF!</v>
      </c>
      <c r="BY250" s="490" t="e">
        <f>+Drivers!#REF!*(1-'Financial Model'!BY239)</f>
        <v>#REF!</v>
      </c>
      <c r="BZ250" s="814" t="e">
        <f>+Drivers!#REF!*(1-'Financial Model'!BZ239)</f>
        <v>#REF!</v>
      </c>
      <c r="CA250" s="816" t="e">
        <f>+Drivers!#REF!*(1-'Financial Model'!CA239)</f>
        <v>#REF!</v>
      </c>
      <c r="CB250" s="490" t="e">
        <f>+Drivers!#REF!*(1-'Financial Model'!CB239)</f>
        <v>#REF!</v>
      </c>
      <c r="CC250" s="490" t="e">
        <f>+Drivers!#REF!*(1-'Financial Model'!CC239)</f>
        <v>#REF!</v>
      </c>
      <c r="CD250" s="490" t="e">
        <f>+Drivers!#REF!*(1-'Financial Model'!CD239)</f>
        <v>#REF!</v>
      </c>
      <c r="CE250" s="814" t="e">
        <f>+Drivers!#REF!*(1-'Financial Model'!CE239)</f>
        <v>#REF!</v>
      </c>
      <c r="CF250" s="816" t="e">
        <f>+Drivers!#REF!*(1-'Financial Model'!CF239)</f>
        <v>#REF!</v>
      </c>
      <c r="CG250" s="490" t="e">
        <f>+Drivers!#REF!*(1-'Financial Model'!CG239)</f>
        <v>#REF!</v>
      </c>
      <c r="CH250" s="490" t="e">
        <f>+Drivers!#REF!*(1-'Financial Model'!CH239)</f>
        <v>#REF!</v>
      </c>
      <c r="CI250" s="490" t="e">
        <f>+Drivers!#REF!*(1-'Financial Model'!CI239)</f>
        <v>#REF!</v>
      </c>
      <c r="CJ250" s="814" t="e">
        <f>+Drivers!#REF!*(1-'Financial Model'!CJ239)</f>
        <v>#REF!</v>
      </c>
      <c r="CK250" s="816" t="e">
        <f>+Drivers!#REF!*(1-'Financial Model'!CK239)</f>
        <v>#REF!</v>
      </c>
      <c r="CL250" s="490" t="e">
        <f>+Drivers!#REF!*(1-'Financial Model'!CL239)</f>
        <v>#REF!</v>
      </c>
      <c r="CM250" s="490" t="e">
        <f>+Drivers!#REF!*(1-'Financial Model'!CM239)</f>
        <v>#REF!</v>
      </c>
      <c r="CN250" s="490" t="e">
        <f>+Drivers!#REF!*(1-'Financial Model'!CN239)</f>
        <v>#REF!</v>
      </c>
      <c r="CO250" s="814" t="e">
        <f>+Drivers!#REF!*(1-'Financial Model'!CO239)</f>
        <v>#REF!</v>
      </c>
      <c r="CP250" s="816" t="e">
        <f>+Drivers!#REF!*(1-'Financial Model'!CP239)</f>
        <v>#REF!</v>
      </c>
      <c r="CQ250" s="490" t="e">
        <f>+Drivers!#REF!*(1-'Financial Model'!CQ239)</f>
        <v>#REF!</v>
      </c>
      <c r="CR250" s="490" t="e">
        <f>+Drivers!#REF!*(1-'Financial Model'!CR239)</f>
        <v>#REF!</v>
      </c>
      <c r="CS250" s="490" t="e">
        <f>+Drivers!#REF!*(1-'Financial Model'!CS239)</f>
        <v>#REF!</v>
      </c>
      <c r="CT250" s="814" t="e">
        <f>+Drivers!#REF!*(1-'Financial Model'!CT239)</f>
        <v>#REF!</v>
      </c>
      <c r="CU250" s="816" t="e">
        <f>+Drivers!#REF!*(1-'Financial Model'!CU239)</f>
        <v>#REF!</v>
      </c>
      <c r="CV250" s="490" t="e">
        <f>+Drivers!#REF!*(1-'Financial Model'!CV239)</f>
        <v>#REF!</v>
      </c>
      <c r="CW250" s="490" t="e">
        <f>+Drivers!#REF!*(1-'Financial Model'!CW239)</f>
        <v>#REF!</v>
      </c>
      <c r="CX250" s="490" t="e">
        <f>+Drivers!#REF!*(1-'Financial Model'!CX239)</f>
        <v>#REF!</v>
      </c>
      <c r="CY250" s="814" t="e">
        <f>+Drivers!#REF!*(1-'Financial Model'!CY239)</f>
        <v>#REF!</v>
      </c>
      <c r="CZ250" s="816" t="e">
        <f>+Drivers!#REF!*(1-'Financial Model'!CZ239)</f>
        <v>#REF!</v>
      </c>
      <c r="DA250" s="816" t="e">
        <f>+Drivers!#REF!*(1-'Financial Model'!DA239)</f>
        <v>#REF!</v>
      </c>
      <c r="DB250" s="816" t="e">
        <f>+Drivers!#REF!*(1-'Financial Model'!DB239)</f>
        <v>#REF!</v>
      </c>
      <c r="DC250" s="816" t="e">
        <f>+Drivers!#REF!*(1-'Financial Model'!DC239)</f>
        <v>#REF!</v>
      </c>
      <c r="DD250" s="490"/>
      <c r="DE250" s="490"/>
      <c r="DF250" s="490"/>
      <c r="DG250" s="490"/>
      <c r="DH250" s="490"/>
      <c r="DI250" s="491"/>
      <c r="DJ250" s="491"/>
      <c r="DK250" s="490"/>
      <c r="DL250" s="490"/>
      <c r="DM250" s="490"/>
      <c r="DU250" s="492"/>
      <c r="DV250" s="492"/>
      <c r="DW250" s="492"/>
      <c r="DX250" s="492"/>
      <c r="DY250" s="492"/>
      <c r="DZ250" s="492"/>
      <c r="EA250" s="492"/>
      <c r="EB250" s="492"/>
      <c r="EC250" s="492"/>
      <c r="ED250" s="492"/>
      <c r="EE250" s="492"/>
      <c r="EF250" s="492"/>
      <c r="EG250" s="492"/>
      <c r="EH250" s="492"/>
      <c r="EI250" s="492"/>
      <c r="EJ250" s="492"/>
      <c r="EK250" s="492"/>
      <c r="EL250" s="492"/>
      <c r="EM250" s="492"/>
      <c r="EN250" s="492"/>
      <c r="EO250" s="492"/>
      <c r="EP250" s="492"/>
      <c r="EQ250" s="492"/>
      <c r="ER250" s="492"/>
      <c r="ES250" s="492"/>
      <c r="ET250" s="492"/>
      <c r="EU250" s="492"/>
      <c r="EV250" s="492"/>
      <c r="EW250" s="492"/>
      <c r="EX250" s="492"/>
      <c r="EY250" s="492"/>
      <c r="EZ250" s="492"/>
      <c r="FA250" s="492"/>
      <c r="FB250" s="492"/>
      <c r="FC250" s="492"/>
      <c r="FD250" s="492"/>
      <c r="FE250" s="492"/>
      <c r="FF250" s="492"/>
      <c r="FG250" s="492"/>
      <c r="FH250" s="492"/>
      <c r="FI250" s="492"/>
      <c r="FJ250" s="492"/>
      <c r="FK250" s="492"/>
      <c r="FL250" s="492"/>
      <c r="FM250" s="492"/>
      <c r="FN250" s="492"/>
      <c r="FO250" s="492"/>
      <c r="FP250" s="492"/>
      <c r="FQ250" s="492"/>
      <c r="FR250" s="492"/>
      <c r="FS250" s="492"/>
      <c r="FT250" s="492"/>
      <c r="FU250" s="492"/>
      <c r="FV250" s="492"/>
      <c r="FW250" s="492"/>
      <c r="FX250" s="492"/>
      <c r="FY250" s="492"/>
      <c r="FZ250" s="492"/>
      <c r="GA250" s="492"/>
      <c r="GB250" s="492"/>
      <c r="GC250" s="492"/>
      <c r="GD250" s="492"/>
      <c r="GE250" s="492"/>
      <c r="GF250" s="492"/>
      <c r="GG250" s="492"/>
      <c r="GH250" s="492"/>
      <c r="GI250" s="492"/>
      <c r="GJ250" s="492"/>
      <c r="GK250" s="492"/>
      <c r="GL250" s="492"/>
      <c r="GM250" s="492"/>
      <c r="GN250" s="492"/>
      <c r="GO250" s="492"/>
      <c r="GP250" s="492"/>
      <c r="GQ250" s="492"/>
      <c r="GR250" s="492"/>
      <c r="GS250" s="492"/>
      <c r="GT250" s="492"/>
      <c r="GU250" s="492"/>
      <c r="GV250" s="492"/>
      <c r="GW250" s="492"/>
      <c r="GX250" s="492"/>
      <c r="GY250" s="492"/>
      <c r="GZ250" s="492"/>
      <c r="HA250" s="492"/>
      <c r="HB250" s="492"/>
      <c r="HC250" s="492"/>
      <c r="HD250" s="492"/>
      <c r="HE250" s="492"/>
      <c r="HF250" s="492"/>
      <c r="HG250" s="492"/>
      <c r="HH250" s="492"/>
      <c r="HI250" s="492"/>
      <c r="HJ250" s="492"/>
      <c r="HK250" s="492"/>
      <c r="HL250" s="492"/>
      <c r="HM250" s="492"/>
      <c r="HN250" s="492"/>
      <c r="HO250" s="492"/>
      <c r="HP250" s="492"/>
      <c r="HQ250" s="492"/>
      <c r="HR250" s="492"/>
      <c r="HS250" s="492"/>
      <c r="HT250" s="492"/>
      <c r="HU250" s="492"/>
      <c r="HV250" s="492"/>
      <c r="HW250" s="492"/>
      <c r="HX250" s="492"/>
      <c r="HY250" s="492"/>
      <c r="HZ250" s="492"/>
      <c r="IA250" s="492"/>
      <c r="IB250" s="492"/>
      <c r="IC250" s="492"/>
      <c r="ID250" s="492"/>
      <c r="IE250" s="492"/>
      <c r="IF250" s="492"/>
      <c r="IG250" s="492"/>
      <c r="IH250" s="492"/>
      <c r="II250" s="492"/>
      <c r="IJ250" s="492"/>
      <c r="IK250" s="492"/>
      <c r="IL250" s="492"/>
      <c r="IM250" s="492"/>
      <c r="IN250" s="492"/>
      <c r="IO250" s="492"/>
      <c r="IP250" s="492"/>
      <c r="IQ250" s="492"/>
      <c r="IR250" s="492"/>
      <c r="IS250" s="492"/>
      <c r="IT250" s="492"/>
      <c r="IU250" s="492"/>
    </row>
    <row r="251" spans="1:255" hidden="1" outlineLevel="1">
      <c r="A251" s="1109">
        <f t="shared" si="360"/>
        <v>237</v>
      </c>
      <c r="B251" s="10"/>
      <c r="C251" s="317" t="s">
        <v>853</v>
      </c>
      <c r="D251" s="2"/>
      <c r="E251" s="814"/>
      <c r="F251" s="816"/>
      <c r="G251" s="816"/>
      <c r="H251" s="816"/>
      <c r="I251" s="816"/>
      <c r="J251" s="490"/>
      <c r="K251" s="490"/>
      <c r="L251" s="490"/>
      <c r="M251" s="490"/>
      <c r="N251" s="814"/>
      <c r="O251" s="490"/>
      <c r="P251" s="490"/>
      <c r="Q251" s="490"/>
      <c r="R251" s="490"/>
      <c r="S251" s="814"/>
      <c r="T251" s="490"/>
      <c r="U251" s="490"/>
      <c r="V251" s="490"/>
      <c r="W251" s="814"/>
      <c r="X251" s="816"/>
      <c r="Y251" s="490"/>
      <c r="Z251" s="490"/>
      <c r="AA251" s="490"/>
      <c r="AB251" s="814"/>
      <c r="AC251" s="816"/>
      <c r="AD251" s="490"/>
      <c r="AE251" s="490"/>
      <c r="AF251" s="490"/>
      <c r="AG251" s="814"/>
      <c r="AH251" s="816"/>
      <c r="AI251" s="490"/>
      <c r="AJ251" s="490"/>
      <c r="AK251" s="490"/>
      <c r="AL251" s="814"/>
      <c r="AM251" s="816"/>
      <c r="AN251" s="490"/>
      <c r="AO251" s="490"/>
      <c r="AP251" s="490"/>
      <c r="AQ251" s="814"/>
      <c r="AR251" s="816"/>
      <c r="AS251" s="490"/>
      <c r="AT251" s="490"/>
      <c r="AU251" s="490"/>
      <c r="AV251" s="814"/>
      <c r="AW251" s="816"/>
      <c r="AX251" s="490"/>
      <c r="AY251" s="490"/>
      <c r="AZ251" s="490"/>
      <c r="BA251" s="814"/>
      <c r="BB251" s="814"/>
      <c r="BC251" s="490"/>
      <c r="BD251" s="490"/>
      <c r="BE251" s="490"/>
      <c r="BF251" s="814"/>
      <c r="BG251" s="816"/>
      <c r="BH251" s="490"/>
      <c r="BI251" s="490"/>
      <c r="BJ251" s="490"/>
      <c r="BK251" s="814"/>
      <c r="BL251" s="816"/>
      <c r="BM251" s="490"/>
      <c r="BN251" s="490"/>
      <c r="BO251" s="490"/>
      <c r="BP251" s="814"/>
      <c r="BQ251" s="814"/>
      <c r="BR251" s="490"/>
      <c r="BS251" s="490"/>
      <c r="BT251" s="490"/>
      <c r="BU251" s="814"/>
      <c r="BV251" s="816"/>
      <c r="BW251" s="490">
        <f t="shared" ref="BW251:DC251" si="392">+BW252+BW107</f>
        <v>33600</v>
      </c>
      <c r="BX251" s="490">
        <f t="shared" si="392"/>
        <v>34996</v>
      </c>
      <c r="BY251" s="490">
        <f t="shared" si="392"/>
        <v>36291</v>
      </c>
      <c r="BZ251" s="814">
        <f t="shared" si="392"/>
        <v>41795</v>
      </c>
      <c r="CA251" s="816">
        <f t="shared" si="392"/>
        <v>41795</v>
      </c>
      <c r="CB251" s="490">
        <f t="shared" si="392"/>
        <v>42482</v>
      </c>
      <c r="CC251" s="490">
        <f t="shared" si="392"/>
        <v>42153</v>
      </c>
      <c r="CD251" s="490">
        <f t="shared" si="392"/>
        <v>41079</v>
      </c>
      <c r="CE251" s="814">
        <f t="shared" si="392"/>
        <v>38262</v>
      </c>
      <c r="CF251" s="816">
        <f t="shared" si="392"/>
        <v>38262</v>
      </c>
      <c r="CG251" s="490">
        <f t="shared" si="392"/>
        <v>38344</v>
      </c>
      <c r="CH251" s="490">
        <f t="shared" si="392"/>
        <v>40047</v>
      </c>
      <c r="CI251" s="490">
        <f t="shared" si="392"/>
        <v>40263</v>
      </c>
      <c r="CJ251" s="814">
        <f t="shared" si="392"/>
        <v>41481</v>
      </c>
      <c r="CK251" s="816">
        <f t="shared" si="392"/>
        <v>41481</v>
      </c>
      <c r="CL251" s="490">
        <f t="shared" si="392"/>
        <v>42627</v>
      </c>
      <c r="CM251" s="490">
        <f t="shared" si="392"/>
        <v>44212</v>
      </c>
      <c r="CN251" s="490">
        <f t="shared" si="392"/>
        <v>44631</v>
      </c>
      <c r="CO251" s="814">
        <f t="shared" si="392"/>
        <v>45077</v>
      </c>
      <c r="CP251" s="816">
        <f t="shared" si="392"/>
        <v>45077</v>
      </c>
      <c r="CQ251" s="490">
        <f t="shared" si="392"/>
        <v>46829</v>
      </c>
      <c r="CR251" s="490">
        <f t="shared" si="392"/>
        <v>48432</v>
      </c>
      <c r="CS251" s="490">
        <f t="shared" si="392"/>
        <v>49422</v>
      </c>
      <c r="CT251" s="814">
        <f t="shared" si="392"/>
        <v>50821</v>
      </c>
      <c r="CU251" s="816">
        <f t="shared" si="392"/>
        <v>50821</v>
      </c>
      <c r="CV251" s="490">
        <f t="shared" si="392"/>
        <v>51204.472709039997</v>
      </c>
      <c r="CW251" s="490">
        <f t="shared" si="392"/>
        <v>52280.791137990003</v>
      </c>
      <c r="CX251" s="490">
        <f t="shared" si="392"/>
        <v>53018.46706694</v>
      </c>
      <c r="CY251" s="814">
        <f t="shared" si="392"/>
        <v>53608.88049589</v>
      </c>
      <c r="CZ251" s="816">
        <f t="shared" si="392"/>
        <v>53608.88049589</v>
      </c>
      <c r="DA251" s="816">
        <f t="shared" si="392"/>
        <v>57463.790841528535</v>
      </c>
      <c r="DB251" s="816">
        <f t="shared" si="392"/>
        <v>61592.645769057846</v>
      </c>
      <c r="DC251" s="816">
        <f t="shared" si="392"/>
        <v>66105.157489097328</v>
      </c>
      <c r="DD251" s="490"/>
      <c r="DE251" s="490"/>
      <c r="DF251" s="490"/>
      <c r="DG251" s="490"/>
      <c r="DH251" s="490"/>
      <c r="DI251" s="491"/>
      <c r="DJ251" s="491"/>
      <c r="DK251" s="490"/>
      <c r="DL251" s="490"/>
      <c r="DM251" s="490"/>
      <c r="DU251" s="492"/>
      <c r="DV251" s="492"/>
      <c r="DW251" s="492"/>
      <c r="DX251" s="492"/>
      <c r="DY251" s="492"/>
      <c r="DZ251" s="492"/>
      <c r="EA251" s="492"/>
      <c r="EB251" s="492"/>
      <c r="EC251" s="492"/>
      <c r="ED251" s="492"/>
      <c r="EE251" s="492"/>
      <c r="EF251" s="492"/>
      <c r="EG251" s="492"/>
      <c r="EH251" s="492"/>
      <c r="EI251" s="492"/>
      <c r="EJ251" s="492"/>
      <c r="EK251" s="492"/>
      <c r="EL251" s="492"/>
      <c r="EM251" s="492"/>
      <c r="EN251" s="492"/>
      <c r="EO251" s="492"/>
      <c r="EP251" s="492"/>
      <c r="EQ251" s="492"/>
      <c r="ER251" s="492"/>
      <c r="ES251" s="492"/>
      <c r="ET251" s="492"/>
      <c r="EU251" s="492"/>
      <c r="EV251" s="492"/>
      <c r="EW251" s="492"/>
      <c r="EX251" s="492"/>
      <c r="EY251" s="492"/>
      <c r="EZ251" s="492"/>
      <c r="FA251" s="492"/>
      <c r="FB251" s="492"/>
      <c r="FC251" s="492"/>
      <c r="FD251" s="492"/>
      <c r="FE251" s="492"/>
      <c r="FF251" s="492"/>
      <c r="FG251" s="492"/>
      <c r="FH251" s="492"/>
      <c r="FI251" s="492"/>
      <c r="FJ251" s="492"/>
      <c r="FK251" s="492"/>
      <c r="FL251" s="492"/>
      <c r="FM251" s="492"/>
      <c r="FN251" s="492"/>
      <c r="FO251" s="492"/>
      <c r="FP251" s="492"/>
      <c r="FQ251" s="492"/>
      <c r="FR251" s="492"/>
      <c r="FS251" s="492"/>
      <c r="FT251" s="492"/>
      <c r="FU251" s="492"/>
      <c r="FV251" s="492"/>
      <c r="FW251" s="492"/>
      <c r="FX251" s="492"/>
      <c r="FY251" s="492"/>
      <c r="FZ251" s="492"/>
      <c r="GA251" s="492"/>
      <c r="GB251" s="492"/>
      <c r="GC251" s="492"/>
      <c r="GD251" s="492"/>
      <c r="GE251" s="492"/>
      <c r="GF251" s="492"/>
      <c r="GG251" s="492"/>
      <c r="GH251" s="492"/>
      <c r="GI251" s="492"/>
      <c r="GJ251" s="492"/>
      <c r="GK251" s="492"/>
      <c r="GL251" s="492"/>
      <c r="GM251" s="492"/>
      <c r="GN251" s="492"/>
      <c r="GO251" s="492"/>
      <c r="GP251" s="492"/>
      <c r="GQ251" s="492"/>
      <c r="GR251" s="492"/>
      <c r="GS251" s="492"/>
      <c r="GT251" s="492"/>
      <c r="GU251" s="492"/>
      <c r="GV251" s="492"/>
      <c r="GW251" s="492"/>
      <c r="GX251" s="492"/>
      <c r="GY251" s="492"/>
      <c r="GZ251" s="492"/>
      <c r="HA251" s="492"/>
      <c r="HB251" s="492"/>
      <c r="HC251" s="492"/>
      <c r="HD251" s="492"/>
      <c r="HE251" s="492"/>
      <c r="HF251" s="492"/>
      <c r="HG251" s="492"/>
      <c r="HH251" s="492"/>
      <c r="HI251" s="492"/>
      <c r="HJ251" s="492"/>
      <c r="HK251" s="492"/>
      <c r="HL251" s="492"/>
      <c r="HM251" s="492"/>
      <c r="HN251" s="492"/>
      <c r="HO251" s="492"/>
      <c r="HP251" s="492"/>
      <c r="HQ251" s="492"/>
      <c r="HR251" s="492"/>
      <c r="HS251" s="492"/>
      <c r="HT251" s="492"/>
      <c r="HU251" s="492"/>
      <c r="HV251" s="492"/>
      <c r="HW251" s="492"/>
      <c r="HX251" s="492"/>
      <c r="HY251" s="492"/>
      <c r="HZ251" s="492"/>
      <c r="IA251" s="492"/>
      <c r="IB251" s="492"/>
      <c r="IC251" s="492"/>
      <c r="ID251" s="492"/>
      <c r="IE251" s="492"/>
      <c r="IF251" s="492"/>
      <c r="IG251" s="492"/>
      <c r="IH251" s="492"/>
      <c r="II251" s="492"/>
      <c r="IJ251" s="492"/>
      <c r="IK251" s="492"/>
      <c r="IL251" s="492"/>
      <c r="IM251" s="492"/>
      <c r="IN251" s="492"/>
      <c r="IO251" s="492"/>
      <c r="IP251" s="492"/>
      <c r="IQ251" s="492"/>
      <c r="IR251" s="492"/>
      <c r="IS251" s="492"/>
      <c r="IT251" s="492"/>
      <c r="IU251" s="492"/>
    </row>
    <row r="252" spans="1:255" hidden="1" outlineLevel="1">
      <c r="A252" s="1109">
        <f t="shared" si="360"/>
        <v>238</v>
      </c>
      <c r="B252" s="10"/>
      <c r="C252" s="317" t="s">
        <v>854</v>
      </c>
      <c r="D252" s="2"/>
      <c r="E252" s="814"/>
      <c r="F252" s="816"/>
      <c r="G252" s="816"/>
      <c r="H252" s="816"/>
      <c r="I252" s="816"/>
      <c r="J252" s="490"/>
      <c r="K252" s="490"/>
      <c r="L252" s="490"/>
      <c r="M252" s="490"/>
      <c r="N252" s="814"/>
      <c r="O252" s="490"/>
      <c r="P252" s="490"/>
      <c r="Q252" s="490"/>
      <c r="R252" s="490"/>
      <c r="S252" s="814"/>
      <c r="T252" s="490"/>
      <c r="U252" s="490"/>
      <c r="V252" s="490"/>
      <c r="W252" s="814"/>
      <c r="X252" s="816"/>
      <c r="Y252" s="490"/>
      <c r="Z252" s="490"/>
      <c r="AA252" s="490"/>
      <c r="AB252" s="814"/>
      <c r="AC252" s="816"/>
      <c r="AD252" s="490"/>
      <c r="AE252" s="490"/>
      <c r="AF252" s="490"/>
      <c r="AG252" s="814"/>
      <c r="AH252" s="816"/>
      <c r="AI252" s="490"/>
      <c r="AJ252" s="490"/>
      <c r="AK252" s="490"/>
      <c r="AL252" s="814"/>
      <c r="AM252" s="816"/>
      <c r="AN252" s="490"/>
      <c r="AO252" s="490"/>
      <c r="AP252" s="490"/>
      <c r="AQ252" s="814"/>
      <c r="AR252" s="816"/>
      <c r="AS252" s="490"/>
      <c r="AT252" s="490"/>
      <c r="AU252" s="490"/>
      <c r="AV252" s="814"/>
      <c r="AW252" s="816"/>
      <c r="AX252" s="490"/>
      <c r="AY252" s="490"/>
      <c r="AZ252" s="490"/>
      <c r="BA252" s="814"/>
      <c r="BB252" s="814"/>
      <c r="BC252" s="490"/>
      <c r="BD252" s="490"/>
      <c r="BE252" s="490"/>
      <c r="BF252" s="814"/>
      <c r="BG252" s="816"/>
      <c r="BH252" s="490"/>
      <c r="BI252" s="490"/>
      <c r="BJ252" s="490"/>
      <c r="BK252" s="814"/>
      <c r="BL252" s="816"/>
      <c r="BM252" s="490"/>
      <c r="BN252" s="490"/>
      <c r="BO252" s="490"/>
      <c r="BP252" s="814"/>
      <c r="BQ252" s="814"/>
      <c r="BR252" s="490"/>
      <c r="BS252" s="490"/>
      <c r="BT252" s="490"/>
      <c r="BU252" s="814"/>
      <c r="BV252" s="816"/>
      <c r="BW252" s="490">
        <f t="shared" ref="BW252:DC252" si="393">+BW88+BW93</f>
        <v>16005</v>
      </c>
      <c r="BX252" s="490">
        <f t="shared" si="393"/>
        <v>15817</v>
      </c>
      <c r="BY252" s="490">
        <f t="shared" si="393"/>
        <v>15824</v>
      </c>
      <c r="BZ252" s="814">
        <f t="shared" si="393"/>
        <v>15683</v>
      </c>
      <c r="CA252" s="816">
        <f t="shared" si="393"/>
        <v>15683</v>
      </c>
      <c r="CB252" s="490">
        <f t="shared" si="393"/>
        <v>15709</v>
      </c>
      <c r="CC252" s="490">
        <f t="shared" si="393"/>
        <v>15377</v>
      </c>
      <c r="CD252" s="490">
        <f t="shared" si="393"/>
        <v>14943</v>
      </c>
      <c r="CE252" s="814">
        <f t="shared" si="393"/>
        <v>13824</v>
      </c>
      <c r="CF252" s="816">
        <f t="shared" si="393"/>
        <v>13824</v>
      </c>
      <c r="CG252" s="490">
        <f t="shared" si="393"/>
        <v>13397</v>
      </c>
      <c r="CH252" s="490">
        <f t="shared" si="393"/>
        <v>13713</v>
      </c>
      <c r="CI252" s="490">
        <f t="shared" si="393"/>
        <v>12798</v>
      </c>
      <c r="CJ252" s="814">
        <f t="shared" si="393"/>
        <v>12839</v>
      </c>
      <c r="CK252" s="816">
        <f t="shared" si="393"/>
        <v>12839</v>
      </c>
      <c r="CL252" s="490">
        <f t="shared" si="393"/>
        <v>13022</v>
      </c>
      <c r="CM252" s="490">
        <f t="shared" si="393"/>
        <v>13071</v>
      </c>
      <c r="CN252" s="490">
        <f t="shared" si="393"/>
        <v>13147</v>
      </c>
      <c r="CO252" s="814">
        <f t="shared" si="393"/>
        <v>15907</v>
      </c>
      <c r="CP252" s="816">
        <f t="shared" si="393"/>
        <v>15907</v>
      </c>
      <c r="CQ252" s="490">
        <f t="shared" si="393"/>
        <v>16210</v>
      </c>
      <c r="CR252" s="490">
        <f t="shared" si="393"/>
        <v>16188</v>
      </c>
      <c r="CS252" s="490">
        <f t="shared" si="393"/>
        <v>16184</v>
      </c>
      <c r="CT252" s="814">
        <f t="shared" si="393"/>
        <v>15931</v>
      </c>
      <c r="CU252" s="816">
        <f t="shared" si="393"/>
        <v>15931</v>
      </c>
      <c r="CV252" s="490">
        <f t="shared" si="393"/>
        <v>15931</v>
      </c>
      <c r="CW252" s="490">
        <f t="shared" si="393"/>
        <v>15931</v>
      </c>
      <c r="CX252" s="490">
        <f t="shared" si="393"/>
        <v>15931</v>
      </c>
      <c r="CY252" s="814">
        <f t="shared" si="393"/>
        <v>15931</v>
      </c>
      <c r="CZ252" s="816">
        <f t="shared" si="393"/>
        <v>15931</v>
      </c>
      <c r="DA252" s="816">
        <f t="shared" si="393"/>
        <v>15931</v>
      </c>
      <c r="DB252" s="816">
        <f t="shared" si="393"/>
        <v>15931</v>
      </c>
      <c r="DC252" s="816">
        <f t="shared" si="393"/>
        <v>15931</v>
      </c>
      <c r="DD252" s="490"/>
      <c r="DE252" s="490"/>
      <c r="DF252" s="490"/>
      <c r="DG252" s="490"/>
      <c r="DH252" s="490"/>
      <c r="DI252" s="491"/>
      <c r="DJ252" s="491"/>
      <c r="DK252" s="490"/>
      <c r="DL252" s="490"/>
      <c r="DM252" s="490"/>
      <c r="DU252" s="492"/>
      <c r="DV252" s="492"/>
      <c r="DW252" s="492"/>
      <c r="DX252" s="492"/>
      <c r="DY252" s="492"/>
      <c r="DZ252" s="492"/>
      <c r="EA252" s="492"/>
      <c r="EB252" s="492"/>
      <c r="EC252" s="492"/>
      <c r="ED252" s="492"/>
      <c r="EE252" s="492"/>
      <c r="EF252" s="492"/>
      <c r="EG252" s="492"/>
      <c r="EH252" s="492"/>
      <c r="EI252" s="492"/>
      <c r="EJ252" s="492"/>
      <c r="EK252" s="492"/>
      <c r="EL252" s="492"/>
      <c r="EM252" s="492"/>
      <c r="EN252" s="492"/>
      <c r="EO252" s="492"/>
      <c r="EP252" s="492"/>
      <c r="EQ252" s="492"/>
      <c r="ER252" s="492"/>
      <c r="ES252" s="492"/>
      <c r="ET252" s="492"/>
      <c r="EU252" s="492"/>
      <c r="EV252" s="492"/>
      <c r="EW252" s="492"/>
      <c r="EX252" s="492"/>
      <c r="EY252" s="492"/>
      <c r="EZ252" s="492"/>
      <c r="FA252" s="492"/>
      <c r="FB252" s="492"/>
      <c r="FC252" s="492"/>
      <c r="FD252" s="492"/>
      <c r="FE252" s="492"/>
      <c r="FF252" s="492"/>
      <c r="FG252" s="492"/>
      <c r="FH252" s="492"/>
      <c r="FI252" s="492"/>
      <c r="FJ252" s="492"/>
      <c r="FK252" s="492"/>
      <c r="FL252" s="492"/>
      <c r="FM252" s="492"/>
      <c r="FN252" s="492"/>
      <c r="FO252" s="492"/>
      <c r="FP252" s="492"/>
      <c r="FQ252" s="492"/>
      <c r="FR252" s="492"/>
      <c r="FS252" s="492"/>
      <c r="FT252" s="492"/>
      <c r="FU252" s="492"/>
      <c r="FV252" s="492"/>
      <c r="FW252" s="492"/>
      <c r="FX252" s="492"/>
      <c r="FY252" s="492"/>
      <c r="FZ252" s="492"/>
      <c r="GA252" s="492"/>
      <c r="GB252" s="492"/>
      <c r="GC252" s="492"/>
      <c r="GD252" s="492"/>
      <c r="GE252" s="492"/>
      <c r="GF252" s="492"/>
      <c r="GG252" s="492"/>
      <c r="GH252" s="492"/>
      <c r="GI252" s="492"/>
      <c r="GJ252" s="492"/>
      <c r="GK252" s="492"/>
      <c r="GL252" s="492"/>
      <c r="GM252" s="492"/>
      <c r="GN252" s="492"/>
      <c r="GO252" s="492"/>
      <c r="GP252" s="492"/>
      <c r="GQ252" s="492"/>
      <c r="GR252" s="492"/>
      <c r="GS252" s="492"/>
      <c r="GT252" s="492"/>
      <c r="GU252" s="492"/>
      <c r="GV252" s="492"/>
      <c r="GW252" s="492"/>
      <c r="GX252" s="492"/>
      <c r="GY252" s="492"/>
      <c r="GZ252" s="492"/>
      <c r="HA252" s="492"/>
      <c r="HB252" s="492"/>
      <c r="HC252" s="492"/>
      <c r="HD252" s="492"/>
      <c r="HE252" s="492"/>
      <c r="HF252" s="492"/>
      <c r="HG252" s="492"/>
      <c r="HH252" s="492"/>
      <c r="HI252" s="492"/>
      <c r="HJ252" s="492"/>
      <c r="HK252" s="492"/>
      <c r="HL252" s="492"/>
      <c r="HM252" s="492"/>
      <c r="HN252" s="492"/>
      <c r="HO252" s="492"/>
      <c r="HP252" s="492"/>
      <c r="HQ252" s="492"/>
      <c r="HR252" s="492"/>
      <c r="HS252" s="492"/>
      <c r="HT252" s="492"/>
      <c r="HU252" s="492"/>
      <c r="HV252" s="492"/>
      <c r="HW252" s="492"/>
      <c r="HX252" s="492"/>
      <c r="HY252" s="492"/>
      <c r="HZ252" s="492"/>
      <c r="IA252" s="492"/>
      <c r="IB252" s="492"/>
      <c r="IC252" s="492"/>
      <c r="ID252" s="492"/>
      <c r="IE252" s="492"/>
      <c r="IF252" s="492"/>
      <c r="IG252" s="492"/>
      <c r="IH252" s="492"/>
      <c r="II252" s="492"/>
      <c r="IJ252" s="492"/>
      <c r="IK252" s="492"/>
      <c r="IL252" s="492"/>
      <c r="IM252" s="492"/>
      <c r="IN252" s="492"/>
      <c r="IO252" s="492"/>
      <c r="IP252" s="492"/>
      <c r="IQ252" s="492"/>
      <c r="IR252" s="492"/>
      <c r="IS252" s="492"/>
      <c r="IT252" s="492"/>
      <c r="IU252" s="492"/>
    </row>
    <row r="253" spans="1:255" hidden="1" outlineLevel="1">
      <c r="A253" s="1109">
        <f t="shared" si="360"/>
        <v>239</v>
      </c>
      <c r="B253" s="10"/>
      <c r="C253" s="317"/>
      <c r="D253" s="2"/>
      <c r="E253" s="814"/>
      <c r="F253" s="816"/>
      <c r="G253" s="816"/>
      <c r="H253" s="816"/>
      <c r="I253" s="816"/>
      <c r="J253" s="490"/>
      <c r="K253" s="490"/>
      <c r="L253" s="490"/>
      <c r="M253" s="490"/>
      <c r="N253" s="814"/>
      <c r="O253" s="490"/>
      <c r="P253" s="490"/>
      <c r="Q253" s="490"/>
      <c r="R253" s="490"/>
      <c r="S253" s="814"/>
      <c r="T253" s="490"/>
      <c r="U253" s="490"/>
      <c r="V253" s="490"/>
      <c r="W253" s="814"/>
      <c r="X253" s="816"/>
      <c r="Y253" s="490"/>
      <c r="Z253" s="490"/>
      <c r="AA253" s="490"/>
      <c r="AB253" s="814"/>
      <c r="AC253" s="816"/>
      <c r="AD253" s="490"/>
      <c r="AE253" s="490"/>
      <c r="AF253" s="490"/>
      <c r="AG253" s="814"/>
      <c r="AH253" s="816"/>
      <c r="AI253" s="490"/>
      <c r="AJ253" s="490"/>
      <c r="AK253" s="490"/>
      <c r="AL253" s="814"/>
      <c r="AM253" s="816"/>
      <c r="AN253" s="490"/>
      <c r="AO253" s="490"/>
      <c r="AP253" s="490"/>
      <c r="AQ253" s="814"/>
      <c r="AR253" s="816"/>
      <c r="AS253" s="490"/>
      <c r="AT253" s="490"/>
      <c r="AU253" s="490"/>
      <c r="AV253" s="814"/>
      <c r="AW253" s="816"/>
      <c r="AX253" s="490"/>
      <c r="AY253" s="490"/>
      <c r="AZ253" s="490"/>
      <c r="BA253" s="814"/>
      <c r="BB253" s="814"/>
      <c r="BC253" s="490"/>
      <c r="BD253" s="490"/>
      <c r="BE253" s="490"/>
      <c r="BF253" s="814"/>
      <c r="BG253" s="816"/>
      <c r="BH253" s="490"/>
      <c r="BI253" s="490"/>
      <c r="BJ253" s="490"/>
      <c r="BK253" s="814"/>
      <c r="BL253" s="816"/>
      <c r="BM253" s="490"/>
      <c r="BN253" s="490"/>
      <c r="BO253" s="490"/>
      <c r="BP253" s="814"/>
      <c r="BQ253" s="814"/>
      <c r="BR253" s="490"/>
      <c r="BS253" s="490"/>
      <c r="BT253" s="490"/>
      <c r="BU253" s="814"/>
      <c r="BV253" s="816"/>
      <c r="BW253" s="490"/>
      <c r="BX253" s="490"/>
      <c r="BY253" s="490"/>
      <c r="BZ253" s="814"/>
      <c r="CA253" s="816"/>
      <c r="CB253" s="490"/>
      <c r="CC253" s="490"/>
      <c r="CD253" s="490"/>
      <c r="CE253" s="814"/>
      <c r="CF253" s="816"/>
      <c r="CG253" s="490"/>
      <c r="CH253" s="490"/>
      <c r="CI253" s="490"/>
      <c r="CJ253" s="814"/>
      <c r="CK253" s="816"/>
      <c r="CL253" s="490"/>
      <c r="CM253" s="490"/>
      <c r="CN253" s="490"/>
      <c r="CO253" s="814"/>
      <c r="CP253" s="816"/>
      <c r="CQ253" s="490"/>
      <c r="CR253" s="490"/>
      <c r="CS253" s="490"/>
      <c r="CT253" s="814"/>
      <c r="CU253" s="816"/>
      <c r="CV253" s="490"/>
      <c r="CW253" s="490"/>
      <c r="CX253" s="490"/>
      <c r="CY253" s="814"/>
      <c r="CZ253" s="816"/>
      <c r="DA253" s="816"/>
      <c r="DB253" s="816"/>
      <c r="DC253" s="816"/>
      <c r="DD253" s="490"/>
      <c r="DE253" s="490"/>
      <c r="DF253" s="490"/>
      <c r="DG253" s="490"/>
      <c r="DH253" s="490"/>
      <c r="DI253" s="491"/>
      <c r="DJ253" s="491"/>
      <c r="DK253" s="490"/>
      <c r="DL253" s="490"/>
      <c r="DM253" s="490"/>
      <c r="DU253" s="492"/>
      <c r="DV253" s="492"/>
      <c r="DW253" s="492"/>
      <c r="DX253" s="492"/>
      <c r="DY253" s="492"/>
      <c r="DZ253" s="492"/>
      <c r="EA253" s="492"/>
      <c r="EB253" s="492"/>
      <c r="EC253" s="492"/>
      <c r="ED253" s="492"/>
      <c r="EE253" s="492"/>
      <c r="EF253" s="492"/>
      <c r="EG253" s="492"/>
      <c r="EH253" s="492"/>
      <c r="EI253" s="492"/>
      <c r="EJ253" s="492"/>
      <c r="EK253" s="492"/>
      <c r="EL253" s="492"/>
      <c r="EM253" s="492"/>
      <c r="EN253" s="492"/>
      <c r="EO253" s="492"/>
      <c r="EP253" s="492"/>
      <c r="EQ253" s="492"/>
      <c r="ER253" s="492"/>
      <c r="ES253" s="492"/>
      <c r="ET253" s="492"/>
      <c r="EU253" s="492"/>
      <c r="EV253" s="492"/>
      <c r="EW253" s="492"/>
      <c r="EX253" s="492"/>
      <c r="EY253" s="492"/>
      <c r="EZ253" s="492"/>
      <c r="FA253" s="492"/>
      <c r="FB253" s="492"/>
      <c r="FC253" s="492"/>
      <c r="FD253" s="492"/>
      <c r="FE253" s="492"/>
      <c r="FF253" s="492"/>
      <c r="FG253" s="492"/>
      <c r="FH253" s="492"/>
      <c r="FI253" s="492"/>
      <c r="FJ253" s="492"/>
      <c r="FK253" s="492"/>
      <c r="FL253" s="492"/>
      <c r="FM253" s="492"/>
      <c r="FN253" s="492"/>
      <c r="FO253" s="492"/>
      <c r="FP253" s="492"/>
      <c r="FQ253" s="492"/>
      <c r="FR253" s="492"/>
      <c r="FS253" s="492"/>
      <c r="FT253" s="492"/>
      <c r="FU253" s="492"/>
      <c r="FV253" s="492"/>
      <c r="FW253" s="492"/>
      <c r="FX253" s="492"/>
      <c r="FY253" s="492"/>
      <c r="FZ253" s="492"/>
      <c r="GA253" s="492"/>
      <c r="GB253" s="492"/>
      <c r="GC253" s="492"/>
      <c r="GD253" s="492"/>
      <c r="GE253" s="492"/>
      <c r="GF253" s="492"/>
      <c r="GG253" s="492"/>
      <c r="GH253" s="492"/>
      <c r="GI253" s="492"/>
      <c r="GJ253" s="492"/>
      <c r="GK253" s="492"/>
      <c r="GL253" s="492"/>
      <c r="GM253" s="492"/>
      <c r="GN253" s="492"/>
      <c r="GO253" s="492"/>
      <c r="GP253" s="492"/>
      <c r="GQ253" s="492"/>
      <c r="GR253" s="492"/>
      <c r="GS253" s="492"/>
      <c r="GT253" s="492"/>
      <c r="GU253" s="492"/>
      <c r="GV253" s="492"/>
      <c r="GW253" s="492"/>
      <c r="GX253" s="492"/>
      <c r="GY253" s="492"/>
      <c r="GZ253" s="492"/>
      <c r="HA253" s="492"/>
      <c r="HB253" s="492"/>
      <c r="HC253" s="492"/>
      <c r="HD253" s="492"/>
      <c r="HE253" s="492"/>
      <c r="HF253" s="492"/>
      <c r="HG253" s="492"/>
      <c r="HH253" s="492"/>
      <c r="HI253" s="492"/>
      <c r="HJ253" s="492"/>
      <c r="HK253" s="492"/>
      <c r="HL253" s="492"/>
      <c r="HM253" s="492"/>
      <c r="HN253" s="492"/>
      <c r="HO253" s="492"/>
      <c r="HP253" s="492"/>
      <c r="HQ253" s="492"/>
      <c r="HR253" s="492"/>
      <c r="HS253" s="492"/>
      <c r="HT253" s="492"/>
      <c r="HU253" s="492"/>
      <c r="HV253" s="492"/>
      <c r="HW253" s="492"/>
      <c r="HX253" s="492"/>
      <c r="HY253" s="492"/>
      <c r="HZ253" s="492"/>
      <c r="IA253" s="492"/>
      <c r="IB253" s="492"/>
      <c r="IC253" s="492"/>
      <c r="ID253" s="492"/>
      <c r="IE253" s="492"/>
      <c r="IF253" s="492"/>
      <c r="IG253" s="492"/>
      <c r="IH253" s="492"/>
      <c r="II253" s="492"/>
      <c r="IJ253" s="492"/>
      <c r="IK253" s="492"/>
      <c r="IL253" s="492"/>
      <c r="IM253" s="492"/>
      <c r="IN253" s="492"/>
      <c r="IO253" s="492"/>
      <c r="IP253" s="492"/>
      <c r="IQ253" s="492"/>
      <c r="IR253" s="492"/>
      <c r="IS253" s="492"/>
      <c r="IT253" s="492"/>
      <c r="IU253" s="492"/>
    </row>
    <row r="254" spans="1:255" hidden="1" outlineLevel="1">
      <c r="A254" s="1109">
        <f t="shared" si="360"/>
        <v>240</v>
      </c>
      <c r="B254" s="10"/>
      <c r="C254" s="317" t="s">
        <v>1029</v>
      </c>
      <c r="D254" s="2"/>
      <c r="E254" s="883">
        <v>3875</v>
      </c>
      <c r="F254" s="884">
        <v>3578</v>
      </c>
      <c r="G254" s="884">
        <v>6316</v>
      </c>
      <c r="H254" s="884">
        <v>3685</v>
      </c>
      <c r="I254" s="884">
        <v>2793</v>
      </c>
      <c r="J254" s="885">
        <v>3875</v>
      </c>
      <c r="K254" s="885">
        <v>6989</v>
      </c>
      <c r="L254" s="885">
        <v>3352</v>
      </c>
      <c r="M254" s="885">
        <v>3360</v>
      </c>
      <c r="N254" s="883">
        <v>3360</v>
      </c>
      <c r="O254" s="885">
        <v>3953</v>
      </c>
      <c r="P254" s="885">
        <v>4703</v>
      </c>
      <c r="Q254" s="885">
        <v>6127</v>
      </c>
      <c r="R254" s="885">
        <v>4064</v>
      </c>
      <c r="S254" s="883">
        <v>4064</v>
      </c>
      <c r="T254" s="885">
        <v>8073</v>
      </c>
      <c r="U254" s="885">
        <v>8480</v>
      </c>
      <c r="V254" s="885">
        <v>8682</v>
      </c>
      <c r="W254" s="883">
        <v>5180</v>
      </c>
      <c r="X254" s="884">
        <v>5180</v>
      </c>
      <c r="Y254" s="885">
        <v>7138</v>
      </c>
      <c r="Z254" s="885">
        <v>7486</v>
      </c>
      <c r="AA254" s="885">
        <v>6817</v>
      </c>
      <c r="AB254" s="883">
        <v>6856</v>
      </c>
      <c r="AC254" s="884">
        <v>6856</v>
      </c>
      <c r="AD254" s="885">
        <v>4664</v>
      </c>
      <c r="AE254" s="885">
        <v>5937</v>
      </c>
      <c r="AF254" s="885">
        <v>6713</v>
      </c>
      <c r="AG254" s="883">
        <v>10142</v>
      </c>
      <c r="AH254" s="884">
        <v>10142</v>
      </c>
      <c r="AI254" s="885">
        <v>9532</v>
      </c>
      <c r="AJ254" s="885">
        <v>10812</v>
      </c>
      <c r="AK254" s="885">
        <v>9096</v>
      </c>
      <c r="AL254" s="883">
        <v>13388</v>
      </c>
      <c r="AM254" s="884">
        <v>13388</v>
      </c>
      <c r="AN254" s="885">
        <v>10104</v>
      </c>
      <c r="AO254" s="885">
        <v>14700</v>
      </c>
      <c r="AP254" s="885">
        <v>13531</v>
      </c>
      <c r="AQ254" s="883">
        <v>16022</v>
      </c>
      <c r="AR254" s="884">
        <v>16022</v>
      </c>
      <c r="AS254" s="885">
        <v>15692</v>
      </c>
      <c r="AT254" s="885">
        <v>17069</v>
      </c>
      <c r="AU254" s="885">
        <v>18945</v>
      </c>
      <c r="AV254" s="883">
        <v>20678</v>
      </c>
      <c r="AW254" s="884">
        <v>20678</v>
      </c>
      <c r="AX254" s="885">
        <v>18663</v>
      </c>
      <c r="AY254" s="885">
        <v>16948</v>
      </c>
      <c r="AZ254" s="885">
        <v>10607</v>
      </c>
      <c r="BA254" s="883">
        <v>6132</v>
      </c>
      <c r="BB254" s="883">
        <v>6132</v>
      </c>
      <c r="BC254" s="885">
        <v>8102</v>
      </c>
      <c r="BD254" s="885">
        <v>11857</v>
      </c>
      <c r="BE254" s="885">
        <v>10176</v>
      </c>
      <c r="BF254" s="883">
        <v>9762</v>
      </c>
      <c r="BG254" s="884">
        <v>9762</v>
      </c>
      <c r="BH254" s="885">
        <v>12801</v>
      </c>
      <c r="BI254" s="885">
        <v>8647</v>
      </c>
      <c r="BJ254" s="885">
        <v>9040</v>
      </c>
      <c r="BK254" s="883">
        <v>6301</v>
      </c>
      <c r="BL254" s="884">
        <v>6301</v>
      </c>
      <c r="BM254" s="885">
        <v>12544</v>
      </c>
      <c r="BN254" s="885">
        <v>9822</v>
      </c>
      <c r="BO254" s="885">
        <v>8089</v>
      </c>
      <c r="BP254" s="883">
        <v>7965</v>
      </c>
      <c r="BQ254" s="883">
        <v>7965</v>
      </c>
      <c r="BR254" s="885">
        <v>7261</v>
      </c>
      <c r="BS254" s="885">
        <v>7180</v>
      </c>
      <c r="BT254" s="885">
        <v>6220</v>
      </c>
      <c r="BU254" s="883">
        <v>6247</v>
      </c>
      <c r="BV254" s="884">
        <v>6247</v>
      </c>
      <c r="BW254" s="871">
        <v>5989</v>
      </c>
      <c r="BX254" s="871">
        <v>5475</v>
      </c>
      <c r="BY254" s="871">
        <v>5660</v>
      </c>
      <c r="BZ254" s="886">
        <v>4959</v>
      </c>
      <c r="CA254" s="887">
        <v>4959</v>
      </c>
      <c r="CB254" s="871">
        <v>4533</v>
      </c>
      <c r="CC254" s="871">
        <v>4736</v>
      </c>
      <c r="CD254" s="871">
        <v>5980</v>
      </c>
      <c r="CE254" s="886">
        <v>4567</v>
      </c>
      <c r="CF254" s="887">
        <v>4567</v>
      </c>
      <c r="CG254" s="871">
        <v>5074</v>
      </c>
      <c r="CH254" s="871">
        <v>6130</v>
      </c>
      <c r="CI254" s="871">
        <v>7773</v>
      </c>
      <c r="CJ254" s="886">
        <v>5386</v>
      </c>
      <c r="CK254" s="887">
        <v>5386</v>
      </c>
      <c r="CL254" s="871">
        <v>5567</v>
      </c>
      <c r="CM254" s="871">
        <v>9493</v>
      </c>
      <c r="CN254" s="871">
        <v>5059.4381900631251</v>
      </c>
      <c r="CO254" s="886">
        <v>7820</v>
      </c>
      <c r="CP254" s="887">
        <v>7820</v>
      </c>
      <c r="CQ254" s="872">
        <f>CP254*(1-5.25%)</f>
        <v>7409.45</v>
      </c>
      <c r="CR254" s="872">
        <f>CQ254*(1-5.25%)</f>
        <v>7020.4538750000002</v>
      </c>
      <c r="CS254" s="872">
        <f>CR254*(1-5.25%)</f>
        <v>6651.8800465625</v>
      </c>
      <c r="CT254" s="888">
        <f>CS254*(1-5.25%)</f>
        <v>6302.6563441179687</v>
      </c>
      <c r="CU254" s="889">
        <f>CT254</f>
        <v>6302.6563441179687</v>
      </c>
      <c r="CV254" s="872">
        <f>CU254*(1+0.14%)</f>
        <v>6311.4800629997344</v>
      </c>
      <c r="CW254" s="872">
        <f>CV254*(1+0.14%)</f>
        <v>6320.3161350879345</v>
      </c>
      <c r="CX254" s="872">
        <f>CW254*(1+0.14%)</f>
        <v>6329.1645776770583</v>
      </c>
      <c r="CY254" s="888">
        <f>CX254*(1+0.14%)</f>
        <v>6338.0254080858067</v>
      </c>
      <c r="CZ254" s="889">
        <f>CY254</f>
        <v>6338.0254080858067</v>
      </c>
      <c r="DA254" s="889">
        <f>CZ254*(1-5.09%)</f>
        <v>6015.4199148142397</v>
      </c>
      <c r="DB254" s="889">
        <f>DA254*(1+0.1%)</f>
        <v>6021.4353347290535</v>
      </c>
      <c r="DC254" s="889">
        <f>DB254*(1+0.1%)</f>
        <v>6027.4567700637817</v>
      </c>
      <c r="DD254" s="2"/>
      <c r="DE254" s="2"/>
      <c r="DF254" s="871"/>
      <c r="DG254" s="871"/>
      <c r="DH254" s="871"/>
      <c r="DI254" s="890"/>
      <c r="DJ254" s="890"/>
      <c r="DK254" s="2"/>
      <c r="DL254" s="2"/>
      <c r="DM254" s="2"/>
    </row>
    <row r="255" spans="1:255" hidden="1" outlineLevel="1">
      <c r="A255" s="1109">
        <f t="shared" si="360"/>
        <v>241</v>
      </c>
      <c r="B255" s="10"/>
      <c r="C255" s="317" t="s">
        <v>1030</v>
      </c>
      <c r="D255" s="2"/>
      <c r="E255" s="883">
        <v>18973</v>
      </c>
      <c r="F255" s="884">
        <v>11836</v>
      </c>
      <c r="G255" s="884">
        <v>14519</v>
      </c>
      <c r="H255" s="884">
        <v>20120</v>
      </c>
      <c r="I255" s="884">
        <v>18943</v>
      </c>
      <c r="J255" s="885">
        <v>18973</v>
      </c>
      <c r="K255" s="885">
        <v>18568</v>
      </c>
      <c r="L255" s="885">
        <v>15247</v>
      </c>
      <c r="M255" s="885">
        <v>13130</v>
      </c>
      <c r="N255" s="883">
        <v>13130</v>
      </c>
      <c r="O255" s="885">
        <v>11814</v>
      </c>
      <c r="P255" s="885">
        <v>11502</v>
      </c>
      <c r="Q255" s="885">
        <v>6875</v>
      </c>
      <c r="R255" s="885">
        <v>10949</v>
      </c>
      <c r="S255" s="883">
        <v>10949</v>
      </c>
      <c r="T255" s="885">
        <v>11433</v>
      </c>
      <c r="U255" s="885">
        <v>14945</v>
      </c>
      <c r="V255" s="885">
        <v>16137</v>
      </c>
      <c r="W255" s="883">
        <v>17464</v>
      </c>
      <c r="X255" s="884">
        <v>17464</v>
      </c>
      <c r="Y255" s="885">
        <v>17315</v>
      </c>
      <c r="Z255" s="885">
        <v>19639</v>
      </c>
      <c r="AA255" s="885">
        <v>19168</v>
      </c>
      <c r="AB255" s="883">
        <v>14983</v>
      </c>
      <c r="AC255" s="884">
        <v>14983</v>
      </c>
      <c r="AD255" s="885">
        <v>17749</v>
      </c>
      <c r="AE255" s="885">
        <v>16854</v>
      </c>
      <c r="AF255" s="885">
        <v>12652</v>
      </c>
      <c r="AG255" s="883">
        <v>9349</v>
      </c>
      <c r="AH255" s="884">
        <v>9349</v>
      </c>
      <c r="AI255" s="885">
        <v>10049</v>
      </c>
      <c r="AJ255" s="885">
        <v>8341</v>
      </c>
      <c r="AK255" s="885">
        <v>8479</v>
      </c>
      <c r="AL255" s="883">
        <v>10321</v>
      </c>
      <c r="AM255" s="884">
        <v>10321</v>
      </c>
      <c r="AN255" s="885">
        <v>12204</v>
      </c>
      <c r="AO255" s="885">
        <v>8920</v>
      </c>
      <c r="AP255" s="885">
        <v>8332</v>
      </c>
      <c r="AQ255" s="883">
        <v>16566</v>
      </c>
      <c r="AR255" s="884">
        <v>16566</v>
      </c>
      <c r="AS255" s="885">
        <v>17475</v>
      </c>
      <c r="AT255" s="885">
        <v>18315</v>
      </c>
      <c r="AU255" s="885">
        <v>14908</v>
      </c>
      <c r="AV255" s="883">
        <v>12359</v>
      </c>
      <c r="AW255" s="884">
        <v>12359</v>
      </c>
      <c r="AX255" s="885">
        <v>13348</v>
      </c>
      <c r="AY255" s="885">
        <v>12446</v>
      </c>
      <c r="AZ255" s="885">
        <v>11477</v>
      </c>
      <c r="BA255" s="883">
        <v>9296</v>
      </c>
      <c r="BB255" s="883">
        <v>9296</v>
      </c>
      <c r="BC255" s="885">
        <v>13483</v>
      </c>
      <c r="BD255" s="885">
        <v>9703</v>
      </c>
      <c r="BE255" s="885">
        <v>14572</v>
      </c>
      <c r="BF255" s="883">
        <v>15169</v>
      </c>
      <c r="BG255" s="884">
        <v>15169</v>
      </c>
      <c r="BH255" s="885">
        <v>12491</v>
      </c>
      <c r="BI255" s="885">
        <v>13240</v>
      </c>
      <c r="BJ255" s="885">
        <v>14848</v>
      </c>
      <c r="BK255" s="883">
        <v>14207</v>
      </c>
      <c r="BL255" s="884">
        <v>14207</v>
      </c>
      <c r="BM255" s="885">
        <v>8822</v>
      </c>
      <c r="BN255" s="885">
        <v>12139</v>
      </c>
      <c r="BO255" s="885">
        <v>12687</v>
      </c>
      <c r="BP255" s="883">
        <v>14984</v>
      </c>
      <c r="BQ255" s="883">
        <v>14984</v>
      </c>
      <c r="BR255" s="885">
        <v>15801</v>
      </c>
      <c r="BS255" s="885">
        <v>16613</v>
      </c>
      <c r="BT255" s="885">
        <v>17885</v>
      </c>
      <c r="BU255" s="883">
        <v>18178</v>
      </c>
      <c r="BV255" s="884">
        <v>18178</v>
      </c>
      <c r="BW255" s="871">
        <v>18190</v>
      </c>
      <c r="BX255" s="871">
        <v>20260</v>
      </c>
      <c r="BY255" s="871">
        <v>20485</v>
      </c>
      <c r="BZ255" s="886">
        <v>20157</v>
      </c>
      <c r="CA255" s="887">
        <v>20157</v>
      </c>
      <c r="CB255" s="871">
        <v>20729</v>
      </c>
      <c r="CC255" s="871">
        <v>21076</v>
      </c>
      <c r="CD255" s="871">
        <v>16876</v>
      </c>
      <c r="CE255" s="886">
        <v>17135</v>
      </c>
      <c r="CF255" s="887">
        <v>17135</v>
      </c>
      <c r="CG255" s="871">
        <v>14468</v>
      </c>
      <c r="CH255" s="871">
        <v>14599</v>
      </c>
      <c r="CI255" s="871">
        <v>14404</v>
      </c>
      <c r="CJ255" s="886">
        <v>18181</v>
      </c>
      <c r="CK255" s="887">
        <v>18181</v>
      </c>
      <c r="CL255" s="871">
        <v>18684</v>
      </c>
      <c r="CM255" s="871">
        <v>17717</v>
      </c>
      <c r="CN255" s="871">
        <v>17717</v>
      </c>
      <c r="CO255" s="886">
        <v>19642</v>
      </c>
      <c r="CP255" s="887">
        <v>19642</v>
      </c>
      <c r="CQ255" s="872">
        <f>CP255</f>
        <v>19642</v>
      </c>
      <c r="CR255" s="872">
        <f t="shared" ref="CR255:DC255" si="394">CQ255</f>
        <v>19642</v>
      </c>
      <c r="CS255" s="872">
        <f t="shared" si="394"/>
        <v>19642</v>
      </c>
      <c r="CT255" s="888">
        <f t="shared" si="394"/>
        <v>19642</v>
      </c>
      <c r="CU255" s="889">
        <f t="shared" si="394"/>
        <v>19642</v>
      </c>
      <c r="CV255" s="872">
        <f t="shared" si="394"/>
        <v>19642</v>
      </c>
      <c r="CW255" s="872">
        <f t="shared" si="394"/>
        <v>19642</v>
      </c>
      <c r="CX255" s="872">
        <f t="shared" si="394"/>
        <v>19642</v>
      </c>
      <c r="CY255" s="888">
        <f t="shared" si="394"/>
        <v>19642</v>
      </c>
      <c r="CZ255" s="889">
        <f t="shared" si="394"/>
        <v>19642</v>
      </c>
      <c r="DA255" s="889">
        <f t="shared" si="394"/>
        <v>19642</v>
      </c>
      <c r="DB255" s="889">
        <f t="shared" si="394"/>
        <v>19642</v>
      </c>
      <c r="DC255" s="889">
        <f t="shared" si="394"/>
        <v>19642</v>
      </c>
      <c r="DD255" s="2"/>
      <c r="DE255" s="2"/>
      <c r="DF255" s="871"/>
      <c r="DG255" s="871"/>
      <c r="DH255" s="871"/>
      <c r="DI255" s="890"/>
      <c r="DJ255" s="890"/>
      <c r="DK255" s="2"/>
      <c r="DL255" s="2"/>
      <c r="DM255" s="2"/>
    </row>
    <row r="256" spans="1:255" hidden="1" outlineLevel="1">
      <c r="A256" s="1109">
        <f t="shared" si="360"/>
        <v>242</v>
      </c>
      <c r="B256" s="10"/>
      <c r="C256" s="317" t="s">
        <v>1031</v>
      </c>
      <c r="D256" s="2"/>
      <c r="E256" s="883">
        <v>2454</v>
      </c>
      <c r="F256" s="884">
        <v>2644</v>
      </c>
      <c r="G256" s="884">
        <v>2759</v>
      </c>
      <c r="H256" s="884">
        <v>2804</v>
      </c>
      <c r="I256" s="884">
        <v>2592</v>
      </c>
      <c r="J256" s="885">
        <v>694</v>
      </c>
      <c r="K256" s="885">
        <v>718</v>
      </c>
      <c r="L256" s="885">
        <v>734</v>
      </c>
      <c r="M256" s="885">
        <v>643</v>
      </c>
      <c r="N256" s="883">
        <v>2789</v>
      </c>
      <c r="O256" s="885">
        <v>675</v>
      </c>
      <c r="P256" s="885">
        <v>682</v>
      </c>
      <c r="Q256" s="885">
        <v>632</v>
      </c>
      <c r="R256" s="885">
        <v>623</v>
      </c>
      <c r="S256" s="883">
        <v>2612</v>
      </c>
      <c r="T256" s="885">
        <v>588</v>
      </c>
      <c r="U256" s="885">
        <v>633</v>
      </c>
      <c r="V256" s="885">
        <v>645</v>
      </c>
      <c r="W256" s="883">
        <v>572</v>
      </c>
      <c r="X256" s="884">
        <v>2438</v>
      </c>
      <c r="Y256" s="885">
        <v>693</v>
      </c>
      <c r="Z256" s="885">
        <v>644</v>
      </c>
      <c r="AA256" s="885">
        <v>722</v>
      </c>
      <c r="AB256" s="883">
        <v>755</v>
      </c>
      <c r="AC256" s="884">
        <v>2814</v>
      </c>
      <c r="AD256" s="885">
        <v>799</v>
      </c>
      <c r="AE256" s="885">
        <v>811</v>
      </c>
      <c r="AF256" s="885">
        <v>922</v>
      </c>
      <c r="AG256" s="883">
        <v>726</v>
      </c>
      <c r="AH256" s="884">
        <v>3258</v>
      </c>
      <c r="AI256" s="885">
        <v>849</v>
      </c>
      <c r="AJ256" s="885">
        <v>814</v>
      </c>
      <c r="AK256" s="885">
        <v>870</v>
      </c>
      <c r="AL256" s="883">
        <v>1648</v>
      </c>
      <c r="AM256" s="884">
        <v>4181</v>
      </c>
      <c r="AN256" s="885">
        <v>1187</v>
      </c>
      <c r="AO256" s="885">
        <v>918</v>
      </c>
      <c r="AP256" s="885">
        <v>967</v>
      </c>
      <c r="AQ256" s="883">
        <v>3416</v>
      </c>
      <c r="AR256" s="884">
        <v>6488</v>
      </c>
      <c r="AS256" s="885">
        <v>900</v>
      </c>
      <c r="AT256" s="885">
        <v>963</v>
      </c>
      <c r="AU256" s="885">
        <v>812</v>
      </c>
      <c r="AV256" s="883">
        <v>799</v>
      </c>
      <c r="AW256" s="884">
        <v>3474</v>
      </c>
      <c r="AX256" s="885">
        <v>744</v>
      </c>
      <c r="AY256" s="885">
        <v>761</v>
      </c>
      <c r="AZ256" s="885">
        <v>741</v>
      </c>
      <c r="BA256" s="883">
        <v>807</v>
      </c>
      <c r="BB256" s="883">
        <v>3053</v>
      </c>
      <c r="BC256" s="885">
        <v>498</v>
      </c>
      <c r="BD256" s="885">
        <v>487</v>
      </c>
      <c r="BE256" s="885">
        <v>538</v>
      </c>
      <c r="BF256" s="883">
        <v>547</v>
      </c>
      <c r="BG256" s="884">
        <v>2070</v>
      </c>
      <c r="BH256" s="885">
        <v>492</v>
      </c>
      <c r="BI256" s="885">
        <v>511</v>
      </c>
      <c r="BJ256" s="885">
        <v>476</v>
      </c>
      <c r="BK256" s="883">
        <v>477</v>
      </c>
      <c r="BL256" s="884">
        <v>1956</v>
      </c>
      <c r="BM256" s="885">
        <v>436</v>
      </c>
      <c r="BN256" s="885">
        <v>444</v>
      </c>
      <c r="BO256" s="885">
        <v>433</v>
      </c>
      <c r="BP256" s="883">
        <v>554.125</v>
      </c>
      <c r="BQ256" s="883">
        <v>1867.125</v>
      </c>
      <c r="BR256" s="885">
        <v>611.29750000000001</v>
      </c>
      <c r="BS256" s="885">
        <v>324.72500000000002</v>
      </c>
      <c r="BT256" s="885">
        <v>233.17499999999995</v>
      </c>
      <c r="BU256" s="883">
        <v>605.32500000000005</v>
      </c>
      <c r="BV256" s="884">
        <v>1774.5225</v>
      </c>
      <c r="BW256" s="871">
        <v>317.64250000000004</v>
      </c>
      <c r="BX256" s="871">
        <v>458.22499999999991</v>
      </c>
      <c r="BY256" s="871">
        <v>356.5</v>
      </c>
      <c r="BZ256" s="886">
        <v>229.39249999999993</v>
      </c>
      <c r="CA256" s="887">
        <v>1361.7599999999998</v>
      </c>
      <c r="CB256" s="871">
        <v>243.97000000000003</v>
      </c>
      <c r="CC256" s="871">
        <v>139.22900000000004</v>
      </c>
      <c r="CD256" s="871">
        <v>214.79849999999999</v>
      </c>
      <c r="CE256" s="886">
        <v>244.96050000000014</v>
      </c>
      <c r="CF256" s="887">
        <v>842.9580000000002</v>
      </c>
      <c r="CG256" s="871">
        <v>191.25250000000005</v>
      </c>
      <c r="CH256" s="871">
        <v>100.46350000000007</v>
      </c>
      <c r="CI256" s="871">
        <v>165.99850000000004</v>
      </c>
      <c r="CJ256" s="886">
        <v>184.9085</v>
      </c>
      <c r="CK256" s="887">
        <v>642.62300000000016</v>
      </c>
      <c r="CL256" s="871">
        <v>274.42250000000001</v>
      </c>
      <c r="CM256" s="871">
        <v>387.67500000000001</v>
      </c>
      <c r="CN256" s="871">
        <v>399.25</v>
      </c>
      <c r="CO256" s="886">
        <v>406.57648749999998</v>
      </c>
      <c r="CP256" s="887">
        <v>1467.9239875000001</v>
      </c>
      <c r="CQ256" s="872">
        <f>+CP256*(1+3.4%)</f>
        <v>1517.8334030750002</v>
      </c>
      <c r="CR256" s="872">
        <f>+CQ256*(1+3.4%)</f>
        <v>1569.4397387795502</v>
      </c>
      <c r="CS256" s="872">
        <f>+CR256*(1+3.4%)</f>
        <v>1622.800689898055</v>
      </c>
      <c r="CT256" s="888">
        <f>+CS256*(1+3.4%)</f>
        <v>1677.975913354589</v>
      </c>
      <c r="CU256" s="889">
        <f>CT256</f>
        <v>1677.975913354589</v>
      </c>
      <c r="CV256" s="872">
        <f t="shared" ref="CV256:CY257" si="395">CU256*(1+0.1%)</f>
        <v>1679.6538892679434</v>
      </c>
      <c r="CW256" s="872">
        <f t="shared" si="395"/>
        <v>1681.3335431572111</v>
      </c>
      <c r="CX256" s="872">
        <f t="shared" si="395"/>
        <v>1683.0148767003682</v>
      </c>
      <c r="CY256" s="888">
        <f t="shared" si="395"/>
        <v>1684.6978915770683</v>
      </c>
      <c r="CZ256" s="889">
        <f>CY256</f>
        <v>1684.6978915770683</v>
      </c>
      <c r="DA256" s="889">
        <f>+CZ256*(1+4.8%)</f>
        <v>1765.5633903727676</v>
      </c>
      <c r="DB256" s="889">
        <f>+DA256*(1+2.9%)</f>
        <v>1816.7647286935776</v>
      </c>
      <c r="DC256" s="889">
        <f>+DB256*(1+2.9%)</f>
        <v>1869.4509058256913</v>
      </c>
      <c r="DD256" s="2"/>
      <c r="DE256" s="2"/>
      <c r="DF256" s="871"/>
      <c r="DG256" s="871"/>
      <c r="DH256" s="871"/>
      <c r="DI256" s="890"/>
      <c r="DJ256" s="890"/>
      <c r="DK256" s="2"/>
      <c r="DL256" s="2"/>
      <c r="DM256" s="2"/>
    </row>
    <row r="257" spans="1:255" hidden="1" outlineLevel="1">
      <c r="A257" s="1109">
        <f t="shared" si="360"/>
        <v>243</v>
      </c>
      <c r="B257" s="10"/>
      <c r="C257" s="891" t="s">
        <v>1032</v>
      </c>
      <c r="D257" s="97"/>
      <c r="E257" s="892">
        <v>2762</v>
      </c>
      <c r="F257" s="893">
        <v>3272</v>
      </c>
      <c r="G257" s="893">
        <v>3179</v>
      </c>
      <c r="H257" s="893">
        <v>2936</v>
      </c>
      <c r="I257" s="893">
        <v>2459</v>
      </c>
      <c r="J257" s="894">
        <v>574</v>
      </c>
      <c r="K257" s="894">
        <v>628</v>
      </c>
      <c r="L257" s="894">
        <v>574</v>
      </c>
      <c r="M257" s="894">
        <v>527</v>
      </c>
      <c r="N257" s="892">
        <v>2303</v>
      </c>
      <c r="O257" s="894">
        <v>726</v>
      </c>
      <c r="P257" s="894">
        <v>624</v>
      </c>
      <c r="Q257" s="894">
        <v>482</v>
      </c>
      <c r="R257" s="894">
        <v>583</v>
      </c>
      <c r="S257" s="892">
        <v>2415</v>
      </c>
      <c r="T257" s="894">
        <v>572</v>
      </c>
      <c r="U257" s="894">
        <v>651</v>
      </c>
      <c r="V257" s="894">
        <v>580</v>
      </c>
      <c r="W257" s="892">
        <v>658</v>
      </c>
      <c r="X257" s="893">
        <v>2461</v>
      </c>
      <c r="Y257" s="894">
        <v>685</v>
      </c>
      <c r="Z257" s="894">
        <v>667</v>
      </c>
      <c r="AA257" s="894">
        <v>580</v>
      </c>
      <c r="AB257" s="892">
        <v>726</v>
      </c>
      <c r="AC257" s="893">
        <v>2658</v>
      </c>
      <c r="AD257" s="894">
        <v>811</v>
      </c>
      <c r="AE257" s="894">
        <v>799</v>
      </c>
      <c r="AF257" s="894">
        <v>698</v>
      </c>
      <c r="AG257" s="892">
        <v>854</v>
      </c>
      <c r="AH257" s="893">
        <v>3162</v>
      </c>
      <c r="AI257" s="894">
        <v>889</v>
      </c>
      <c r="AJ257" s="894">
        <v>904</v>
      </c>
      <c r="AK257" s="894">
        <v>743</v>
      </c>
      <c r="AL257" s="892">
        <v>1440</v>
      </c>
      <c r="AM257" s="893">
        <v>3976</v>
      </c>
      <c r="AN257" s="894">
        <v>818</v>
      </c>
      <c r="AO257" s="894">
        <v>820</v>
      </c>
      <c r="AP257" s="894">
        <v>808</v>
      </c>
      <c r="AQ257" s="892">
        <v>2224</v>
      </c>
      <c r="AR257" s="893">
        <v>4670</v>
      </c>
      <c r="AS257" s="894">
        <v>874</v>
      </c>
      <c r="AT257" s="894">
        <v>796</v>
      </c>
      <c r="AU257" s="894">
        <v>780</v>
      </c>
      <c r="AV257" s="892">
        <v>839</v>
      </c>
      <c r="AW257" s="893">
        <v>3289</v>
      </c>
      <c r="AX257" s="894">
        <v>766</v>
      </c>
      <c r="AY257" s="894">
        <v>788</v>
      </c>
      <c r="AZ257" s="894">
        <v>613</v>
      </c>
      <c r="BA257" s="892">
        <v>601</v>
      </c>
      <c r="BB257" s="892">
        <v>2768</v>
      </c>
      <c r="BC257" s="894">
        <v>497</v>
      </c>
      <c r="BD257" s="894">
        <v>475</v>
      </c>
      <c r="BE257" s="894">
        <v>464</v>
      </c>
      <c r="BF257" s="892">
        <v>502</v>
      </c>
      <c r="BG257" s="893">
        <v>1938</v>
      </c>
      <c r="BH257" s="894">
        <v>423</v>
      </c>
      <c r="BI257" s="894">
        <v>511</v>
      </c>
      <c r="BJ257" s="894">
        <v>489</v>
      </c>
      <c r="BK257" s="892">
        <v>497</v>
      </c>
      <c r="BL257" s="893">
        <v>1920</v>
      </c>
      <c r="BM257" s="894">
        <v>425</v>
      </c>
      <c r="BN257" s="894">
        <v>460</v>
      </c>
      <c r="BO257" s="894">
        <v>454</v>
      </c>
      <c r="BP257" s="892">
        <v>609.53750000000002</v>
      </c>
      <c r="BQ257" s="892">
        <v>1948.5374999999999</v>
      </c>
      <c r="BR257" s="894">
        <v>611.29750000000001</v>
      </c>
      <c r="BS257" s="894">
        <v>575.27499999999998</v>
      </c>
      <c r="BT257" s="894">
        <v>566.82500000000005</v>
      </c>
      <c r="BU257" s="892">
        <v>665.85749999999996</v>
      </c>
      <c r="BV257" s="893">
        <v>2419.2550000000001</v>
      </c>
      <c r="BW257" s="895">
        <v>682.35749999999996</v>
      </c>
      <c r="BX257" s="895">
        <v>641.77500000000009</v>
      </c>
      <c r="BY257" s="895">
        <v>643.5</v>
      </c>
      <c r="BZ257" s="896">
        <v>734.60749999999996</v>
      </c>
      <c r="CA257" s="897">
        <v>2702.2400000000002</v>
      </c>
      <c r="CB257" s="895">
        <v>756.03</v>
      </c>
      <c r="CC257" s="895">
        <v>860.77099999999996</v>
      </c>
      <c r="CD257" s="895">
        <v>885.20150000000001</v>
      </c>
      <c r="CE257" s="896">
        <v>907.03949999999998</v>
      </c>
      <c r="CF257" s="897">
        <v>3409.0419999999999</v>
      </c>
      <c r="CG257" s="895">
        <v>908.74749999999995</v>
      </c>
      <c r="CH257" s="895">
        <v>899.53649999999993</v>
      </c>
      <c r="CI257" s="895">
        <v>934.00149999999996</v>
      </c>
      <c r="CJ257" s="896">
        <v>915.0915</v>
      </c>
      <c r="CK257" s="897">
        <v>3657.377</v>
      </c>
      <c r="CL257" s="895">
        <v>825.57749999999999</v>
      </c>
      <c r="CM257" s="895">
        <v>852.88499999999999</v>
      </c>
      <c r="CN257" s="895">
        <v>878.35</v>
      </c>
      <c r="CO257" s="896">
        <v>894.46827250000001</v>
      </c>
      <c r="CP257" s="897">
        <v>3451.2807725000002</v>
      </c>
      <c r="CQ257" s="898">
        <f>+CP257*(1+1.7%)</f>
        <v>3509.9525456325</v>
      </c>
      <c r="CR257" s="898">
        <f>+CQ257*(1+1.7%)</f>
        <v>3569.6217389082522</v>
      </c>
      <c r="CS257" s="898">
        <f>+CR257*(1+1.7%)</f>
        <v>3630.3053084696921</v>
      </c>
      <c r="CT257" s="899">
        <f>+CS257*(1+1.7%)</f>
        <v>3692.0204987136767</v>
      </c>
      <c r="CU257" s="900">
        <f>CT257</f>
        <v>3692.0204987136767</v>
      </c>
      <c r="CV257" s="898">
        <f t="shared" si="395"/>
        <v>3695.7125192123899</v>
      </c>
      <c r="CW257" s="898">
        <f t="shared" si="395"/>
        <v>3699.408231731602</v>
      </c>
      <c r="CX257" s="898">
        <f t="shared" si="395"/>
        <v>3703.107639963333</v>
      </c>
      <c r="CY257" s="899">
        <f t="shared" si="395"/>
        <v>3706.810747603296</v>
      </c>
      <c r="CZ257" s="900">
        <f>CY257</f>
        <v>3706.810747603296</v>
      </c>
      <c r="DA257" s="900">
        <f>+CZ257*(1+4.8%)</f>
        <v>3884.7376634882544</v>
      </c>
      <c r="DB257" s="900">
        <f>+DA257*(1+2.9%)</f>
        <v>3997.3950557294133</v>
      </c>
      <c r="DC257" s="900">
        <f>+DB257*(1+2.9%)</f>
        <v>4113.3195123455662</v>
      </c>
      <c r="DD257" s="2"/>
      <c r="DE257" s="2"/>
      <c r="DF257" s="871"/>
      <c r="DG257" s="871"/>
      <c r="DH257" s="871"/>
      <c r="DI257" s="890"/>
      <c r="DJ257" s="890"/>
      <c r="DK257" s="2"/>
      <c r="DL257" s="2"/>
      <c r="DM257" s="2"/>
    </row>
    <row r="258" spans="1:255" collapsed="1">
      <c r="A258" s="1109">
        <f t="shared" si="360"/>
        <v>244</v>
      </c>
      <c r="B258" s="10"/>
      <c r="C258" s="2"/>
      <c r="D258" s="2"/>
      <c r="E258" s="490"/>
      <c r="F258" s="490"/>
      <c r="G258" s="871"/>
      <c r="H258" s="490"/>
      <c r="I258" s="490"/>
      <c r="J258" s="490"/>
      <c r="K258" s="490"/>
      <c r="L258" s="490"/>
      <c r="M258" s="490"/>
      <c r="N258" s="490"/>
      <c r="O258" s="490"/>
      <c r="P258" s="490"/>
      <c r="Q258" s="490"/>
      <c r="R258" s="490"/>
      <c r="S258" s="490"/>
      <c r="T258" s="490"/>
      <c r="U258" s="490"/>
      <c r="V258" s="490"/>
      <c r="W258" s="490"/>
      <c r="X258" s="490"/>
      <c r="Y258" s="490"/>
      <c r="Z258" s="490"/>
      <c r="AA258" s="490"/>
      <c r="AB258" s="490"/>
      <c r="AC258" s="490"/>
      <c r="AD258" s="490"/>
      <c r="AE258" s="490"/>
      <c r="AF258" s="490"/>
      <c r="AG258" s="490"/>
      <c r="AH258" s="490"/>
      <c r="AI258" s="490"/>
      <c r="AJ258" s="490"/>
      <c r="AK258" s="490"/>
      <c r="AL258" s="490"/>
      <c r="AM258" s="490"/>
      <c r="AN258" s="490"/>
      <c r="AO258" s="490"/>
      <c r="AP258" s="490"/>
      <c r="AQ258" s="490"/>
      <c r="AR258" s="490"/>
      <c r="AS258" s="490"/>
      <c r="AT258" s="490"/>
      <c r="AU258" s="490"/>
      <c r="AV258" s="490"/>
      <c r="AW258" s="490"/>
      <c r="AX258" s="490"/>
      <c r="AY258" s="490"/>
      <c r="AZ258" s="490"/>
      <c r="BA258" s="490"/>
      <c r="BB258" s="490"/>
      <c r="BC258" s="490"/>
      <c r="BD258" s="490"/>
      <c r="BE258" s="490"/>
      <c r="BF258" s="490"/>
      <c r="BG258" s="490"/>
      <c r="BH258" s="490"/>
      <c r="BI258" s="490"/>
      <c r="BJ258" s="490"/>
      <c r="BK258" s="490"/>
      <c r="BL258" s="490"/>
      <c r="BM258" s="490"/>
      <c r="BN258" s="490"/>
      <c r="BO258" s="490"/>
      <c r="BP258" s="490"/>
      <c r="BQ258" s="490"/>
      <c r="BR258" s="490"/>
      <c r="BS258" s="490"/>
      <c r="BT258" s="490"/>
      <c r="BU258" s="490"/>
      <c r="BV258" s="490"/>
      <c r="BW258" s="490"/>
      <c r="BX258" s="490"/>
      <c r="BY258" s="490"/>
      <c r="BZ258" s="490"/>
      <c r="CA258" s="490"/>
      <c r="CB258" s="490"/>
      <c r="CC258" s="490"/>
      <c r="CD258" s="490"/>
      <c r="CE258" s="490"/>
      <c r="CF258" s="490"/>
      <c r="CG258" s="490"/>
      <c r="CH258" s="490"/>
      <c r="CI258" s="490"/>
      <c r="CJ258" s="490"/>
      <c r="CK258" s="490"/>
      <c r="CL258" s="490"/>
      <c r="CM258" s="490"/>
      <c r="CN258" s="490"/>
      <c r="CO258" s="490"/>
      <c r="CP258" s="490"/>
      <c r="CQ258" s="490"/>
      <c r="CR258" s="490"/>
      <c r="CS258" s="490"/>
      <c r="CT258" s="490"/>
      <c r="CU258" s="490"/>
      <c r="CV258" s="490"/>
      <c r="CW258" s="490"/>
      <c r="CX258" s="490"/>
      <c r="CY258" s="490"/>
      <c r="CZ258" s="490"/>
      <c r="DA258" s="490"/>
      <c r="DB258" s="490"/>
      <c r="DC258" s="490"/>
      <c r="DD258" s="490"/>
      <c r="DE258" s="490"/>
      <c r="DF258" s="490"/>
      <c r="DG258" s="490"/>
      <c r="DH258" s="490"/>
      <c r="DI258" s="491"/>
      <c r="DJ258" s="491"/>
      <c r="DK258" s="490"/>
      <c r="DL258" s="490"/>
      <c r="DM258" s="490"/>
      <c r="DU258" s="492"/>
      <c r="DV258" s="492"/>
      <c r="DW258" s="492"/>
      <c r="DX258" s="492"/>
      <c r="DY258" s="492"/>
      <c r="DZ258" s="492"/>
      <c r="EA258" s="492"/>
      <c r="EB258" s="492"/>
      <c r="EC258" s="492"/>
      <c r="ED258" s="492"/>
      <c r="EE258" s="492"/>
      <c r="EF258" s="492"/>
      <c r="EG258" s="492"/>
      <c r="EH258" s="492"/>
      <c r="EI258" s="492"/>
      <c r="EJ258" s="492"/>
      <c r="EK258" s="492"/>
      <c r="EL258" s="492"/>
      <c r="EM258" s="492"/>
      <c r="EN258" s="492"/>
      <c r="EO258" s="492"/>
      <c r="EP258" s="492"/>
      <c r="EQ258" s="492"/>
      <c r="ER258" s="492"/>
      <c r="ES258" s="492"/>
      <c r="ET258" s="492"/>
      <c r="EU258" s="492"/>
      <c r="EV258" s="492"/>
      <c r="EW258" s="492"/>
      <c r="EX258" s="492"/>
      <c r="EY258" s="492"/>
      <c r="EZ258" s="492"/>
      <c r="FA258" s="492"/>
      <c r="FB258" s="492"/>
      <c r="FC258" s="492"/>
      <c r="FD258" s="492"/>
      <c r="FE258" s="492"/>
      <c r="FF258" s="492"/>
      <c r="FG258" s="492"/>
      <c r="FH258" s="492"/>
      <c r="FI258" s="492"/>
      <c r="FJ258" s="492"/>
      <c r="FK258" s="492"/>
      <c r="FL258" s="492"/>
      <c r="FM258" s="492"/>
      <c r="FN258" s="492"/>
      <c r="FO258" s="492"/>
      <c r="FP258" s="492"/>
      <c r="FQ258" s="492"/>
      <c r="FR258" s="492"/>
      <c r="FS258" s="492"/>
      <c r="FT258" s="492"/>
      <c r="FU258" s="492"/>
      <c r="FV258" s="492"/>
      <c r="FW258" s="492"/>
      <c r="FX258" s="492"/>
      <c r="FY258" s="492"/>
      <c r="FZ258" s="492"/>
      <c r="GA258" s="492"/>
      <c r="GB258" s="492"/>
      <c r="GC258" s="492"/>
      <c r="GD258" s="492"/>
      <c r="GE258" s="492"/>
      <c r="GF258" s="492"/>
      <c r="GG258" s="492"/>
      <c r="GH258" s="492"/>
      <c r="GI258" s="492"/>
      <c r="GJ258" s="492"/>
      <c r="GK258" s="492"/>
      <c r="GL258" s="492"/>
      <c r="GM258" s="492"/>
      <c r="GN258" s="492"/>
      <c r="GO258" s="492"/>
      <c r="GP258" s="492"/>
      <c r="GQ258" s="492"/>
      <c r="GR258" s="492"/>
      <c r="GS258" s="492"/>
      <c r="GT258" s="492"/>
      <c r="GU258" s="492"/>
      <c r="GV258" s="492"/>
      <c r="GW258" s="492"/>
      <c r="GX258" s="492"/>
      <c r="GY258" s="492"/>
      <c r="GZ258" s="492"/>
      <c r="HA258" s="492"/>
      <c r="HB258" s="492"/>
      <c r="HC258" s="492"/>
      <c r="HD258" s="492"/>
      <c r="HE258" s="492"/>
      <c r="HF258" s="492"/>
      <c r="HG258" s="492"/>
      <c r="HH258" s="492"/>
      <c r="HI258" s="492"/>
      <c r="HJ258" s="492"/>
      <c r="HK258" s="492"/>
      <c r="HL258" s="492"/>
      <c r="HM258" s="492"/>
      <c r="HN258" s="492"/>
      <c r="HO258" s="492"/>
      <c r="HP258" s="492"/>
      <c r="HQ258" s="492"/>
      <c r="HR258" s="492"/>
      <c r="HS258" s="492"/>
      <c r="HT258" s="492"/>
      <c r="HU258" s="492"/>
      <c r="HV258" s="492"/>
      <c r="HW258" s="492"/>
      <c r="HX258" s="492"/>
      <c r="HY258" s="492"/>
      <c r="HZ258" s="492"/>
      <c r="IA258" s="492"/>
      <c r="IB258" s="492"/>
      <c r="IC258" s="492"/>
      <c r="ID258" s="492"/>
      <c r="IE258" s="492"/>
      <c r="IF258" s="492"/>
      <c r="IG258" s="492"/>
      <c r="IH258" s="492"/>
      <c r="II258" s="492"/>
      <c r="IJ258" s="492"/>
      <c r="IK258" s="492"/>
      <c r="IL258" s="492"/>
      <c r="IM258" s="492"/>
      <c r="IN258" s="492"/>
      <c r="IO258" s="492"/>
      <c r="IP258" s="492"/>
      <c r="IQ258" s="492"/>
      <c r="IR258" s="492"/>
      <c r="IS258" s="492"/>
      <c r="IT258" s="492"/>
      <c r="IU258" s="492"/>
    </row>
    <row r="259" spans="1:255">
      <c r="A259" s="1109">
        <f t="shared" si="360"/>
        <v>245</v>
      </c>
      <c r="B259" s="10"/>
      <c r="C259" s="2" t="s">
        <v>1048</v>
      </c>
      <c r="D259" s="2"/>
      <c r="E259" s="871">
        <v>5219</v>
      </c>
      <c r="F259" s="871">
        <v>5916</v>
      </c>
      <c r="G259" s="871">
        <v>5938</v>
      </c>
      <c r="H259" s="871">
        <v>5844</v>
      </c>
      <c r="I259" s="871">
        <v>5244</v>
      </c>
      <c r="J259" s="871">
        <f>5092/4</f>
        <v>1273</v>
      </c>
      <c r="K259" s="871">
        <f>5092/4</f>
        <v>1273</v>
      </c>
      <c r="L259" s="871">
        <f>5092/4</f>
        <v>1273</v>
      </c>
      <c r="M259" s="871">
        <f>5092/4</f>
        <v>1273</v>
      </c>
      <c r="N259" s="872">
        <f>SUM(J259:M259)</f>
        <v>5092</v>
      </c>
      <c r="O259" s="871">
        <f>4999/4</f>
        <v>1249.75</v>
      </c>
      <c r="P259" s="871">
        <f>4999/4</f>
        <v>1249.75</v>
      </c>
      <c r="Q259" s="871">
        <f>4999/4</f>
        <v>1249.75</v>
      </c>
      <c r="R259" s="871">
        <f>4999/4</f>
        <v>1249.75</v>
      </c>
      <c r="S259" s="872">
        <f>SUM(O259:R259)</f>
        <v>4999</v>
      </c>
      <c r="T259" s="871">
        <f>4896/4</f>
        <v>1224</v>
      </c>
      <c r="U259" s="871">
        <f>4896/4</f>
        <v>1224</v>
      </c>
      <c r="V259" s="871">
        <f>4896/4</f>
        <v>1224</v>
      </c>
      <c r="W259" s="871">
        <f>4896/4</f>
        <v>1224</v>
      </c>
      <c r="X259" s="872">
        <f>SUM(T259:W259)</f>
        <v>4896</v>
      </c>
      <c r="Y259" s="871">
        <f>5460/4</f>
        <v>1365</v>
      </c>
      <c r="Z259" s="871">
        <f>5460/4</f>
        <v>1365</v>
      </c>
      <c r="AA259" s="871">
        <f>5460/4</f>
        <v>1365</v>
      </c>
      <c r="AB259" s="871">
        <f>5460/4</f>
        <v>1365</v>
      </c>
      <c r="AC259" s="872">
        <f>SUM(Y259:AB259)</f>
        <v>5460</v>
      </c>
      <c r="AD259" s="871">
        <f>6420/4</f>
        <v>1605</v>
      </c>
      <c r="AE259" s="871">
        <f>6420/4</f>
        <v>1605</v>
      </c>
      <c r="AF259" s="871">
        <f>6420/4</f>
        <v>1605</v>
      </c>
      <c r="AG259" s="871">
        <f>6420/4</f>
        <v>1605</v>
      </c>
      <c r="AH259" s="872">
        <f>SUM(AD259:AG259)</f>
        <v>6420</v>
      </c>
      <c r="AI259" s="871">
        <f>8157/4</f>
        <v>2039.25</v>
      </c>
      <c r="AJ259" s="871">
        <f>8157/4</f>
        <v>2039.25</v>
      </c>
      <c r="AK259" s="871">
        <f>8157/4</f>
        <v>2039.25</v>
      </c>
      <c r="AL259" s="871">
        <f>8157/4</f>
        <v>2039.25</v>
      </c>
      <c r="AM259" s="872">
        <f>SUM(AI259:AL259)</f>
        <v>8157</v>
      </c>
      <c r="AN259" s="871">
        <f>11158/4</f>
        <v>2789.5</v>
      </c>
      <c r="AO259" s="871">
        <f>11158/4</f>
        <v>2789.5</v>
      </c>
      <c r="AP259" s="871">
        <f>11158/4</f>
        <v>2789.5</v>
      </c>
      <c r="AQ259" s="871">
        <f>11158/4</f>
        <v>2789.5</v>
      </c>
      <c r="AR259" s="872">
        <f>SUM(AN259:AQ259)</f>
        <v>11158</v>
      </c>
      <c r="AS259" s="871">
        <f>6763/4</f>
        <v>1690.75</v>
      </c>
      <c r="AT259" s="871">
        <f>6763/4</f>
        <v>1690.75</v>
      </c>
      <c r="AU259" s="871">
        <f>6763/4</f>
        <v>1690.75</v>
      </c>
      <c r="AV259" s="871">
        <f>6763/4</f>
        <v>1690.75</v>
      </c>
      <c r="AW259" s="872">
        <f>SUM(AS259:AV259)</f>
        <v>6763</v>
      </c>
      <c r="AX259" s="871">
        <f>5803/4</f>
        <v>1450.75</v>
      </c>
      <c r="AY259" s="871">
        <f>5803/4</f>
        <v>1450.75</v>
      </c>
      <c r="AZ259" s="871">
        <f>5803/4</f>
        <v>1450.75</v>
      </c>
      <c r="BA259" s="871">
        <f>5803/4</f>
        <v>1450.75</v>
      </c>
      <c r="BB259" s="872">
        <f>SUM(AX259:BA259)</f>
        <v>5803</v>
      </c>
      <c r="BC259" s="871">
        <f>3743/4</f>
        <v>935.75</v>
      </c>
      <c r="BD259" s="871">
        <f>3743/4</f>
        <v>935.75</v>
      </c>
      <c r="BE259" s="871">
        <f>3743/4</f>
        <v>935.75</v>
      </c>
      <c r="BF259" s="871">
        <f>3743/4</f>
        <v>935.75</v>
      </c>
      <c r="BG259" s="872">
        <f>SUM(BC259:BF259)</f>
        <v>3743</v>
      </c>
      <c r="BH259" s="871">
        <f>3876/4</f>
        <v>969</v>
      </c>
      <c r="BI259" s="871">
        <f>3876/4</f>
        <v>969</v>
      </c>
      <c r="BJ259" s="871">
        <f>3876/4</f>
        <v>969</v>
      </c>
      <c r="BK259" s="871">
        <f>3876/4</f>
        <v>969</v>
      </c>
      <c r="BL259" s="872">
        <f>SUM(BH259:BK259)</f>
        <v>3876</v>
      </c>
      <c r="BM259" s="871">
        <f>3533/4</f>
        <v>883.25</v>
      </c>
      <c r="BN259" s="871">
        <f>3533/4</f>
        <v>883.25</v>
      </c>
      <c r="BO259" s="871">
        <f>3533/4</f>
        <v>883.25</v>
      </c>
      <c r="BP259" s="871">
        <f>3533/4</f>
        <v>883.25</v>
      </c>
      <c r="BQ259" s="872">
        <f>SUM(BM259:BP259)</f>
        <v>3533</v>
      </c>
      <c r="BR259" s="871">
        <f>3655/4</f>
        <v>913.75</v>
      </c>
      <c r="BS259" s="871">
        <f>3655/4</f>
        <v>913.75</v>
      </c>
      <c r="BT259" s="871">
        <f>3655/4</f>
        <v>913.75</v>
      </c>
      <c r="BU259" s="871">
        <f>3655/4</f>
        <v>913.75</v>
      </c>
      <c r="BV259" s="872">
        <f>SUM(BR259:BU259)</f>
        <v>3655</v>
      </c>
      <c r="BW259" s="871">
        <f>4064/4</f>
        <v>1016</v>
      </c>
      <c r="BX259" s="871">
        <f>4064/4</f>
        <v>1016</v>
      </c>
      <c r="BY259" s="871">
        <f>4064/4</f>
        <v>1016</v>
      </c>
      <c r="BZ259" s="871">
        <f>4064/4</f>
        <v>1016</v>
      </c>
      <c r="CA259" s="872">
        <f>SUM(BW259:BZ259)</f>
        <v>4064</v>
      </c>
      <c r="CB259" s="871">
        <f>4252/4</f>
        <v>1063</v>
      </c>
      <c r="CC259" s="871">
        <f>4252/4</f>
        <v>1063</v>
      </c>
      <c r="CD259" s="871">
        <f>4252/4</f>
        <v>1063</v>
      </c>
      <c r="CE259" s="871">
        <f>4252/4</f>
        <v>1063</v>
      </c>
      <c r="CF259" s="872">
        <f>SUM(CB259:CE259)</f>
        <v>4252</v>
      </c>
      <c r="CG259" s="871">
        <f>4332/4</f>
        <v>1083</v>
      </c>
      <c r="CH259" s="871">
        <f>4332/4</f>
        <v>1083</v>
      </c>
      <c r="CI259" s="871">
        <f>4332/4</f>
        <v>1083</v>
      </c>
      <c r="CJ259" s="871">
        <f>4332/4</f>
        <v>1083</v>
      </c>
      <c r="CK259" s="872">
        <f>SUM(CG259:CJ259)</f>
        <v>4332</v>
      </c>
      <c r="CL259" s="871">
        <f>4667/4</f>
        <v>1166.75</v>
      </c>
      <c r="CM259" s="871">
        <f>4667/4</f>
        <v>1166.75</v>
      </c>
      <c r="CN259" s="871">
        <f>4667/4</f>
        <v>1166.75</v>
      </c>
      <c r="CO259" s="871">
        <f>4667/4</f>
        <v>1166.75</v>
      </c>
      <c r="CP259" s="872">
        <f>SUM(CL259:CO259)</f>
        <v>4667</v>
      </c>
      <c r="CQ259" s="317">
        <v>1200</v>
      </c>
      <c r="CR259" s="863">
        <v>1200</v>
      </c>
      <c r="CS259" s="863">
        <v>1200</v>
      </c>
      <c r="CT259" s="1029">
        <f>4963-SUM(CQ259:CS259)</f>
        <v>1363</v>
      </c>
      <c r="CU259" s="882">
        <f>SUM(CQ259:CT259)</f>
        <v>4963</v>
      </c>
      <c r="CV259" s="1024">
        <f>CV208*Drivers!CV43</f>
        <v>0</v>
      </c>
      <c r="CW259" s="490">
        <f>CW208*Drivers!CW43</f>
        <v>0</v>
      </c>
      <c r="CX259" s="490">
        <f>CX208*Drivers!CX43</f>
        <v>0</v>
      </c>
      <c r="CY259" s="814">
        <f>CY208*Drivers!CY43</f>
        <v>0</v>
      </c>
      <c r="CZ259" s="882">
        <f>SUM(CV259:CY259)</f>
        <v>0</v>
      </c>
      <c r="DA259" s="882">
        <f>DA208*Drivers!DA43</f>
        <v>0</v>
      </c>
      <c r="DB259" s="882">
        <f>DB208*Drivers!DB43</f>
        <v>0</v>
      </c>
      <c r="DC259" s="882">
        <f>DC208*Drivers!DC43</f>
        <v>0</v>
      </c>
      <c r="DD259" s="2"/>
      <c r="DE259" s="2"/>
      <c r="DF259" s="2"/>
      <c r="DG259" s="2"/>
      <c r="DH259" s="2"/>
      <c r="DI259" s="446"/>
      <c r="DJ259" s="446"/>
      <c r="DK259" s="2"/>
      <c r="DL259" s="2"/>
      <c r="DM259" s="2"/>
    </row>
    <row r="260" spans="1:255">
      <c r="A260" s="1109">
        <f t="shared" si="360"/>
        <v>246</v>
      </c>
      <c r="B260" s="10"/>
      <c r="C260" s="2" t="s">
        <v>1049</v>
      </c>
      <c r="D260" s="2"/>
      <c r="E260" s="871">
        <v>6500</v>
      </c>
      <c r="F260" s="871">
        <v>6875</v>
      </c>
      <c r="G260" s="871">
        <v>7645</v>
      </c>
      <c r="H260" s="871">
        <v>8624</v>
      </c>
      <c r="I260" s="871">
        <v>9298</v>
      </c>
      <c r="J260" s="871">
        <f>9408/4</f>
        <v>2352</v>
      </c>
      <c r="K260" s="871">
        <f>9408/4</f>
        <v>2352</v>
      </c>
      <c r="L260" s="871">
        <f>9408/4</f>
        <v>2352</v>
      </c>
      <c r="M260" s="871">
        <f>9408/4</f>
        <v>2352</v>
      </c>
      <c r="N260" s="872">
        <f>SUM(J260:M260)</f>
        <v>9408</v>
      </c>
      <c r="O260" s="871">
        <f>10164/4</f>
        <v>2541</v>
      </c>
      <c r="P260" s="871">
        <f>10164/4</f>
        <v>2541</v>
      </c>
      <c r="Q260" s="871">
        <f>10164/4</f>
        <v>2541</v>
      </c>
      <c r="R260" s="871">
        <f>10164/4</f>
        <v>2541</v>
      </c>
      <c r="S260" s="872">
        <f>SUM(O260:R260)</f>
        <v>10164</v>
      </c>
      <c r="T260" s="871">
        <f>10181/4</f>
        <v>2545.25</v>
      </c>
      <c r="U260" s="871">
        <f>10181/4</f>
        <v>2545.25</v>
      </c>
      <c r="V260" s="871">
        <f>10181/4</f>
        <v>2545.25</v>
      </c>
      <c r="W260" s="871">
        <f>10181/4</f>
        <v>2545.25</v>
      </c>
      <c r="X260" s="872">
        <f>SUM(T260:W260)</f>
        <v>10181</v>
      </c>
      <c r="Y260" s="871">
        <f>8771/4</f>
        <v>2192.75</v>
      </c>
      <c r="Z260" s="871">
        <f>8771/4</f>
        <v>2192.75</v>
      </c>
      <c r="AA260" s="871">
        <f>8771/4</f>
        <v>2192.75</v>
      </c>
      <c r="AB260" s="871">
        <f>8771/4</f>
        <v>2192.75</v>
      </c>
      <c r="AC260" s="872">
        <f>SUM(Y260:AB260)</f>
        <v>8771</v>
      </c>
      <c r="AD260" s="871">
        <f>6618/4</f>
        <v>1654.5</v>
      </c>
      <c r="AE260" s="871">
        <f>6618/4</f>
        <v>1654.5</v>
      </c>
      <c r="AF260" s="871">
        <f>6618/4</f>
        <v>1654.5</v>
      </c>
      <c r="AG260" s="871">
        <f>6618/4</f>
        <v>1654.5</v>
      </c>
      <c r="AH260" s="872">
        <f>SUM(AD260:AG260)</f>
        <v>6618</v>
      </c>
      <c r="AI260" s="871">
        <f>5854/4</f>
        <v>1463.5</v>
      </c>
      <c r="AJ260" s="871">
        <f>5854/4</f>
        <v>1463.5</v>
      </c>
      <c r="AK260" s="871">
        <f>5854/4</f>
        <v>1463.5</v>
      </c>
      <c r="AL260" s="871">
        <f>5854/4</f>
        <v>1463.5</v>
      </c>
      <c r="AM260" s="872">
        <f>SUM(AI260:AL260)</f>
        <v>5854</v>
      </c>
      <c r="AN260" s="871">
        <f>5295/4</f>
        <v>1323.75</v>
      </c>
      <c r="AO260" s="871">
        <f>5295/4</f>
        <v>1323.75</v>
      </c>
      <c r="AP260" s="871">
        <f>5295/4</f>
        <v>1323.75</v>
      </c>
      <c r="AQ260" s="871">
        <f>5295/4</f>
        <v>1323.75</v>
      </c>
      <c r="AR260" s="872">
        <f>SUM(AN260:AQ260)</f>
        <v>5295</v>
      </c>
      <c r="AS260" s="871">
        <f>6289/4</f>
        <v>1572.25</v>
      </c>
      <c r="AT260" s="871">
        <f>6289/4</f>
        <v>1572.25</v>
      </c>
      <c r="AU260" s="871">
        <f>6289/4</f>
        <v>1572.25</v>
      </c>
      <c r="AV260" s="871">
        <f>6289/4</f>
        <v>1572.25</v>
      </c>
      <c r="AW260" s="872">
        <f>SUM(AS260:AV260)</f>
        <v>6289</v>
      </c>
      <c r="AX260" s="871">
        <f>7023/4</f>
        <v>1755.75</v>
      </c>
      <c r="AY260" s="871">
        <f>7023/4</f>
        <v>1755.75</v>
      </c>
      <c r="AZ260" s="871">
        <f>7023/4</f>
        <v>1755.75</v>
      </c>
      <c r="BA260" s="871">
        <f>7023/4</f>
        <v>1755.75</v>
      </c>
      <c r="BB260" s="872">
        <f>SUM(AX260:BA260)</f>
        <v>7023</v>
      </c>
      <c r="BC260" s="871">
        <f>3924/4</f>
        <v>981</v>
      </c>
      <c r="BD260" s="871">
        <f>3924/4</f>
        <v>981</v>
      </c>
      <c r="BE260" s="871">
        <f>3924/4</f>
        <v>981</v>
      </c>
      <c r="BF260" s="871">
        <f>3924/4</f>
        <v>981</v>
      </c>
      <c r="BG260" s="872">
        <f>SUM(BC260:BF260)</f>
        <v>3924</v>
      </c>
      <c r="BH260" s="871">
        <f>2024/4</f>
        <v>506</v>
      </c>
      <c r="BI260" s="871">
        <f>2024/4</f>
        <v>506</v>
      </c>
      <c r="BJ260" s="871">
        <f>2024/4</f>
        <v>506</v>
      </c>
      <c r="BK260" s="871">
        <f>2024/4</f>
        <v>506</v>
      </c>
      <c r="BL260" s="872">
        <f>SUM(BH260:BK260)</f>
        <v>2024</v>
      </c>
      <c r="BM260" s="871">
        <f>1843/4</f>
        <v>460.75</v>
      </c>
      <c r="BN260" s="871">
        <f>1843/4</f>
        <v>460.75</v>
      </c>
      <c r="BO260" s="871">
        <f>1843/4</f>
        <v>460.75</v>
      </c>
      <c r="BP260" s="871">
        <f>1843/4</f>
        <v>460.75</v>
      </c>
      <c r="BQ260" s="872">
        <f>SUM(BM260:BP260)</f>
        <v>1843</v>
      </c>
      <c r="BR260" s="871">
        <f>1831/4</f>
        <v>457.75</v>
      </c>
      <c r="BS260" s="871">
        <f>1831/4</f>
        <v>457.75</v>
      </c>
      <c r="BT260" s="871">
        <f>1831/4</f>
        <v>457.75</v>
      </c>
      <c r="BU260" s="871">
        <f>1831/4</f>
        <v>457.75</v>
      </c>
      <c r="BV260" s="872">
        <f>SUM(BR260:BU260)</f>
        <v>1831</v>
      </c>
      <c r="BW260" s="871">
        <f>2440/4</f>
        <v>610</v>
      </c>
      <c r="BX260" s="871">
        <f>2440/4</f>
        <v>610</v>
      </c>
      <c r="BY260" s="871">
        <f>2440/4</f>
        <v>610</v>
      </c>
      <c r="BZ260" s="871">
        <f>2440/4</f>
        <v>610</v>
      </c>
      <c r="CA260" s="872">
        <f>SUM(BW260:BZ260)</f>
        <v>2440</v>
      </c>
      <c r="CB260" s="871">
        <f>3133/4</f>
        <v>783.25</v>
      </c>
      <c r="CC260" s="871">
        <f>3133/4</f>
        <v>783.25</v>
      </c>
      <c r="CD260" s="871">
        <f>3133/4</f>
        <v>783.25</v>
      </c>
      <c r="CE260" s="871">
        <f>3133/4</f>
        <v>783.25</v>
      </c>
      <c r="CF260" s="872">
        <f>SUM(CB260:CE260)</f>
        <v>3133</v>
      </c>
      <c r="CG260" s="871">
        <f>3661/4</f>
        <v>915.25</v>
      </c>
      <c r="CH260" s="871">
        <f>3661/4</f>
        <v>915.25</v>
      </c>
      <c r="CI260" s="871">
        <f>3661/4</f>
        <v>915.25</v>
      </c>
      <c r="CJ260" s="871">
        <f>3661/4</f>
        <v>915.25</v>
      </c>
      <c r="CK260" s="872">
        <f>SUM(CG260:CJ260)</f>
        <v>3661</v>
      </c>
      <c r="CL260" s="871">
        <f>4356/4</f>
        <v>1089</v>
      </c>
      <c r="CM260" s="871">
        <f>4356/4</f>
        <v>1089</v>
      </c>
      <c r="CN260" s="871">
        <f>4356/4</f>
        <v>1089</v>
      </c>
      <c r="CO260" s="871">
        <f>4356/4</f>
        <v>1089</v>
      </c>
      <c r="CP260" s="872">
        <f>SUM(CL260:CO260)</f>
        <v>4356</v>
      </c>
      <c r="CQ260" s="317"/>
      <c r="CR260" s="2"/>
      <c r="CS260" s="2"/>
      <c r="CT260" s="142"/>
      <c r="CU260" s="62"/>
      <c r="CV260" s="317"/>
      <c r="CY260" s="142"/>
      <c r="CZ260" s="62"/>
      <c r="DA260" s="62"/>
      <c r="DB260" s="62"/>
      <c r="DC260" s="62"/>
      <c r="DD260" s="2"/>
      <c r="DE260" s="2"/>
      <c r="DF260" s="2"/>
      <c r="DG260" s="2"/>
      <c r="DH260" s="2"/>
      <c r="DI260" s="446"/>
      <c r="DJ260" s="446"/>
      <c r="DK260" s="2"/>
      <c r="DL260" s="2"/>
      <c r="DM260" s="2"/>
    </row>
    <row r="261" spans="1:255">
      <c r="A261" s="1109">
        <f>A260+1</f>
        <v>247</v>
      </c>
      <c r="C261" s="1" t="s">
        <v>1050</v>
      </c>
      <c r="E261" s="873">
        <f t="shared" ref="E261:J261" si="396">SUM(E259:E260)</f>
        <v>11719</v>
      </c>
      <c r="F261" s="873">
        <f t="shared" si="396"/>
        <v>12791</v>
      </c>
      <c r="G261" s="873">
        <f t="shared" si="396"/>
        <v>13583</v>
      </c>
      <c r="H261" s="873">
        <f t="shared" si="396"/>
        <v>14468</v>
      </c>
      <c r="I261" s="873">
        <f t="shared" si="396"/>
        <v>14542</v>
      </c>
      <c r="J261" s="873">
        <f t="shared" si="396"/>
        <v>3625</v>
      </c>
      <c r="K261" s="873">
        <f t="shared" ref="K261:AH261" si="397">SUM(K259:K260)</f>
        <v>3625</v>
      </c>
      <c r="L261" s="873">
        <f t="shared" si="397"/>
        <v>3625</v>
      </c>
      <c r="M261" s="873">
        <f t="shared" si="397"/>
        <v>3625</v>
      </c>
      <c r="N261" s="873">
        <f t="shared" si="397"/>
        <v>14500</v>
      </c>
      <c r="O261" s="873">
        <f t="shared" si="397"/>
        <v>3790.75</v>
      </c>
      <c r="P261" s="873">
        <f t="shared" si="397"/>
        <v>3790.75</v>
      </c>
      <c r="Q261" s="873">
        <f t="shared" si="397"/>
        <v>3790.75</v>
      </c>
      <c r="R261" s="873">
        <f t="shared" si="397"/>
        <v>3790.75</v>
      </c>
      <c r="S261" s="873">
        <f t="shared" si="397"/>
        <v>15163</v>
      </c>
      <c r="T261" s="873">
        <f t="shared" si="397"/>
        <v>3769.25</v>
      </c>
      <c r="U261" s="873">
        <f t="shared" si="397"/>
        <v>3769.25</v>
      </c>
      <c r="V261" s="873">
        <f t="shared" si="397"/>
        <v>3769.25</v>
      </c>
      <c r="W261" s="873">
        <f t="shared" si="397"/>
        <v>3769.25</v>
      </c>
      <c r="X261" s="873">
        <f t="shared" si="397"/>
        <v>15077</v>
      </c>
      <c r="Y261" s="873">
        <f t="shared" si="397"/>
        <v>3557.75</v>
      </c>
      <c r="Z261" s="873">
        <f t="shared" si="397"/>
        <v>3557.75</v>
      </c>
      <c r="AA261" s="873">
        <f t="shared" si="397"/>
        <v>3557.75</v>
      </c>
      <c r="AB261" s="873">
        <f t="shared" si="397"/>
        <v>3557.75</v>
      </c>
      <c r="AC261" s="873">
        <f t="shared" si="397"/>
        <v>14231</v>
      </c>
      <c r="AD261" s="873">
        <f t="shared" si="397"/>
        <v>3259.5</v>
      </c>
      <c r="AE261" s="873">
        <f t="shared" si="397"/>
        <v>3259.5</v>
      </c>
      <c r="AF261" s="873">
        <f t="shared" si="397"/>
        <v>3259.5</v>
      </c>
      <c r="AG261" s="873">
        <f t="shared" si="397"/>
        <v>3259.5</v>
      </c>
      <c r="AH261" s="873">
        <f t="shared" si="397"/>
        <v>13038</v>
      </c>
      <c r="AI261" s="873">
        <f t="shared" ref="AI261:BN261" si="398">SUM(AI259:AI260)</f>
        <v>3502.75</v>
      </c>
      <c r="AJ261" s="873">
        <f t="shared" si="398"/>
        <v>3502.75</v>
      </c>
      <c r="AK261" s="873">
        <f t="shared" si="398"/>
        <v>3502.75</v>
      </c>
      <c r="AL261" s="873">
        <f t="shared" si="398"/>
        <v>3502.75</v>
      </c>
      <c r="AM261" s="873">
        <f t="shared" si="398"/>
        <v>14011</v>
      </c>
      <c r="AN261" s="873">
        <f t="shared" si="398"/>
        <v>4113.25</v>
      </c>
      <c r="AO261" s="873">
        <f t="shared" si="398"/>
        <v>4113.25</v>
      </c>
      <c r="AP261" s="873">
        <f t="shared" si="398"/>
        <v>4113.25</v>
      </c>
      <c r="AQ261" s="873">
        <f t="shared" si="398"/>
        <v>4113.25</v>
      </c>
      <c r="AR261" s="873">
        <f t="shared" si="398"/>
        <v>16453</v>
      </c>
      <c r="AS261" s="873">
        <f t="shared" si="398"/>
        <v>3263</v>
      </c>
      <c r="AT261" s="873">
        <f t="shared" si="398"/>
        <v>3263</v>
      </c>
      <c r="AU261" s="873">
        <f t="shared" si="398"/>
        <v>3263</v>
      </c>
      <c r="AV261" s="873">
        <f t="shared" si="398"/>
        <v>3263</v>
      </c>
      <c r="AW261" s="873">
        <f t="shared" si="398"/>
        <v>13052</v>
      </c>
      <c r="AX261" s="873">
        <f t="shared" si="398"/>
        <v>3206.5</v>
      </c>
      <c r="AY261" s="873">
        <f t="shared" si="398"/>
        <v>3206.5</v>
      </c>
      <c r="AZ261" s="873">
        <f t="shared" si="398"/>
        <v>3206.5</v>
      </c>
      <c r="BA261" s="873">
        <f t="shared" si="398"/>
        <v>3206.5</v>
      </c>
      <c r="BB261" s="873">
        <f t="shared" si="398"/>
        <v>12826</v>
      </c>
      <c r="BC261" s="873">
        <f t="shared" si="398"/>
        <v>1916.75</v>
      </c>
      <c r="BD261" s="873">
        <f t="shared" si="398"/>
        <v>1916.75</v>
      </c>
      <c r="BE261" s="873">
        <f t="shared" si="398"/>
        <v>1916.75</v>
      </c>
      <c r="BF261" s="873">
        <f t="shared" si="398"/>
        <v>1916.75</v>
      </c>
      <c r="BG261" s="873">
        <f t="shared" si="398"/>
        <v>7667</v>
      </c>
      <c r="BH261" s="873">
        <f t="shared" si="398"/>
        <v>1475</v>
      </c>
      <c r="BI261" s="873">
        <f t="shared" si="398"/>
        <v>1475</v>
      </c>
      <c r="BJ261" s="873">
        <f t="shared" si="398"/>
        <v>1475</v>
      </c>
      <c r="BK261" s="873">
        <f t="shared" si="398"/>
        <v>1475</v>
      </c>
      <c r="BL261" s="873">
        <f t="shared" si="398"/>
        <v>5900</v>
      </c>
      <c r="BM261" s="873">
        <f t="shared" si="398"/>
        <v>1344</v>
      </c>
      <c r="BN261" s="873">
        <f t="shared" si="398"/>
        <v>1344</v>
      </c>
      <c r="BO261" s="873">
        <f t="shared" ref="BO261:CP261" si="399">SUM(BO259:BO260)</f>
        <v>1344</v>
      </c>
      <c r="BP261" s="873">
        <f t="shared" si="399"/>
        <v>1344</v>
      </c>
      <c r="BQ261" s="873">
        <f t="shared" si="399"/>
        <v>5376</v>
      </c>
      <c r="BR261" s="873">
        <f t="shared" si="399"/>
        <v>1371.5</v>
      </c>
      <c r="BS261" s="873">
        <f t="shared" si="399"/>
        <v>1371.5</v>
      </c>
      <c r="BT261" s="873">
        <f t="shared" si="399"/>
        <v>1371.5</v>
      </c>
      <c r="BU261" s="873">
        <f t="shared" si="399"/>
        <v>1371.5</v>
      </c>
      <c r="BV261" s="873">
        <f t="shared" si="399"/>
        <v>5486</v>
      </c>
      <c r="BW261" s="873">
        <f t="shared" si="399"/>
        <v>1626</v>
      </c>
      <c r="BX261" s="873">
        <f t="shared" si="399"/>
        <v>1626</v>
      </c>
      <c r="BY261" s="873">
        <f t="shared" si="399"/>
        <v>1626</v>
      </c>
      <c r="BZ261" s="873">
        <f t="shared" si="399"/>
        <v>1626</v>
      </c>
      <c r="CA261" s="873">
        <f t="shared" si="399"/>
        <v>6504</v>
      </c>
      <c r="CB261" s="873">
        <f t="shared" si="399"/>
        <v>1846.25</v>
      </c>
      <c r="CC261" s="873">
        <f t="shared" si="399"/>
        <v>1846.25</v>
      </c>
      <c r="CD261" s="873">
        <f t="shared" si="399"/>
        <v>1846.25</v>
      </c>
      <c r="CE261" s="873">
        <f t="shared" si="399"/>
        <v>1846.25</v>
      </c>
      <c r="CF261" s="873">
        <f t="shared" si="399"/>
        <v>7385</v>
      </c>
      <c r="CG261" s="873">
        <f t="shared" si="399"/>
        <v>1998.25</v>
      </c>
      <c r="CH261" s="873">
        <f t="shared" si="399"/>
        <v>1998.25</v>
      </c>
      <c r="CI261" s="873">
        <f t="shared" si="399"/>
        <v>1998.25</v>
      </c>
      <c r="CJ261" s="873">
        <f t="shared" si="399"/>
        <v>1998.25</v>
      </c>
      <c r="CK261" s="873">
        <f t="shared" si="399"/>
        <v>7993</v>
      </c>
      <c r="CL261" s="873">
        <f t="shared" si="399"/>
        <v>2255.75</v>
      </c>
      <c r="CM261" s="873">
        <f t="shared" si="399"/>
        <v>2255.75</v>
      </c>
      <c r="CN261" s="873">
        <f t="shared" si="399"/>
        <v>2255.75</v>
      </c>
      <c r="CO261" s="873">
        <f t="shared" si="399"/>
        <v>2255.75</v>
      </c>
      <c r="CP261" s="873">
        <f t="shared" si="399"/>
        <v>9023</v>
      </c>
      <c r="CQ261" s="318"/>
      <c r="CT261" s="880"/>
      <c r="CU261" s="64"/>
      <c r="CV261" s="317"/>
      <c r="CY261" s="142"/>
      <c r="CZ261" s="64"/>
      <c r="DA261" s="64"/>
      <c r="DB261" s="64"/>
      <c r="DC261" s="64"/>
      <c r="DD261" s="2"/>
      <c r="DE261" s="2"/>
      <c r="DI261" s="447"/>
      <c r="DJ261" s="447"/>
      <c r="DK261" s="2"/>
      <c r="DL261" s="2"/>
      <c r="DM261" s="2"/>
    </row>
    <row r="262" spans="1:255" ht="15.75" customHeight="1">
      <c r="A262" s="1109"/>
      <c r="C262" s="1" t="s">
        <v>31</v>
      </c>
      <c r="E262" s="191">
        <f t="shared" ref="E262:AJ262" si="400">E261-E133</f>
        <v>0</v>
      </c>
      <c r="F262" s="191">
        <f t="shared" si="400"/>
        <v>0</v>
      </c>
      <c r="G262" s="191">
        <f t="shared" si="400"/>
        <v>0</v>
      </c>
      <c r="H262" s="191">
        <f t="shared" si="400"/>
        <v>0</v>
      </c>
      <c r="I262" s="191">
        <f t="shared" si="400"/>
        <v>0</v>
      </c>
      <c r="J262" s="191">
        <f t="shared" si="400"/>
        <v>0</v>
      </c>
      <c r="K262" s="191">
        <f t="shared" si="400"/>
        <v>0</v>
      </c>
      <c r="L262" s="191">
        <f t="shared" si="400"/>
        <v>0</v>
      </c>
      <c r="M262" s="191">
        <f t="shared" si="400"/>
        <v>0</v>
      </c>
      <c r="N262" s="191">
        <f t="shared" si="400"/>
        <v>0</v>
      </c>
      <c r="O262" s="191">
        <f t="shared" si="400"/>
        <v>0</v>
      </c>
      <c r="P262" s="191">
        <f t="shared" si="400"/>
        <v>0</v>
      </c>
      <c r="Q262" s="191">
        <f t="shared" si="400"/>
        <v>0</v>
      </c>
      <c r="R262" s="191">
        <f t="shared" si="400"/>
        <v>0</v>
      </c>
      <c r="S262" s="191">
        <f t="shared" si="400"/>
        <v>0</v>
      </c>
      <c r="T262" s="191">
        <f t="shared" si="400"/>
        <v>0</v>
      </c>
      <c r="U262" s="191">
        <f t="shared" si="400"/>
        <v>0</v>
      </c>
      <c r="V262" s="191">
        <f t="shared" si="400"/>
        <v>0</v>
      </c>
      <c r="W262" s="191">
        <f t="shared" si="400"/>
        <v>0</v>
      </c>
      <c r="X262" s="191">
        <f t="shared" si="400"/>
        <v>0</v>
      </c>
      <c r="Y262" s="191">
        <f t="shared" si="400"/>
        <v>0</v>
      </c>
      <c r="Z262" s="191">
        <f t="shared" si="400"/>
        <v>0</v>
      </c>
      <c r="AA262" s="191">
        <f t="shared" si="400"/>
        <v>0</v>
      </c>
      <c r="AB262" s="191">
        <f t="shared" si="400"/>
        <v>0</v>
      </c>
      <c r="AC262" s="191">
        <f t="shared" si="400"/>
        <v>0</v>
      </c>
      <c r="AD262" s="191">
        <f t="shared" si="400"/>
        <v>0</v>
      </c>
      <c r="AE262" s="191">
        <f t="shared" si="400"/>
        <v>0</v>
      </c>
      <c r="AF262" s="191">
        <f t="shared" si="400"/>
        <v>0</v>
      </c>
      <c r="AG262" s="191">
        <f t="shared" si="400"/>
        <v>0</v>
      </c>
      <c r="AH262" s="191">
        <f t="shared" si="400"/>
        <v>0</v>
      </c>
      <c r="AI262" s="191">
        <f t="shared" si="400"/>
        <v>0</v>
      </c>
      <c r="AJ262" s="191">
        <f t="shared" si="400"/>
        <v>0</v>
      </c>
      <c r="AK262" s="191">
        <f t="shared" ref="AK262:BP262" si="401">AK261-AK133</f>
        <v>0</v>
      </c>
      <c r="AL262" s="191">
        <f t="shared" si="401"/>
        <v>0</v>
      </c>
      <c r="AM262" s="191">
        <f t="shared" si="401"/>
        <v>0</v>
      </c>
      <c r="AN262" s="191">
        <f t="shared" si="401"/>
        <v>0</v>
      </c>
      <c r="AO262" s="191">
        <f t="shared" si="401"/>
        <v>0</v>
      </c>
      <c r="AP262" s="191">
        <f t="shared" si="401"/>
        <v>0</v>
      </c>
      <c r="AQ262" s="191">
        <f t="shared" si="401"/>
        <v>0</v>
      </c>
      <c r="AR262" s="191">
        <f t="shared" si="401"/>
        <v>0</v>
      </c>
      <c r="AS262" s="191">
        <f t="shared" si="401"/>
        <v>0</v>
      </c>
      <c r="AT262" s="191">
        <f t="shared" si="401"/>
        <v>0</v>
      </c>
      <c r="AU262" s="191">
        <f t="shared" si="401"/>
        <v>0</v>
      </c>
      <c r="AV262" s="191">
        <f t="shared" si="401"/>
        <v>0</v>
      </c>
      <c r="AW262" s="191">
        <f t="shared" si="401"/>
        <v>0</v>
      </c>
      <c r="AX262" s="191">
        <f t="shared" si="401"/>
        <v>0</v>
      </c>
      <c r="AY262" s="191">
        <f t="shared" si="401"/>
        <v>0</v>
      </c>
      <c r="AZ262" s="191">
        <f t="shared" si="401"/>
        <v>0</v>
      </c>
      <c r="BA262" s="191">
        <f t="shared" si="401"/>
        <v>0</v>
      </c>
      <c r="BB262" s="191">
        <f t="shared" si="401"/>
        <v>0</v>
      </c>
      <c r="BC262" s="191">
        <f t="shared" si="401"/>
        <v>0</v>
      </c>
      <c r="BD262" s="191">
        <f t="shared" si="401"/>
        <v>0</v>
      </c>
      <c r="BE262" s="191">
        <f t="shared" si="401"/>
        <v>0</v>
      </c>
      <c r="BF262" s="191">
        <f t="shared" si="401"/>
        <v>0</v>
      </c>
      <c r="BG262" s="191">
        <f t="shared" si="401"/>
        <v>0</v>
      </c>
      <c r="BH262" s="191">
        <f t="shared" si="401"/>
        <v>0</v>
      </c>
      <c r="BI262" s="191">
        <f t="shared" si="401"/>
        <v>0</v>
      </c>
      <c r="BJ262" s="191">
        <f t="shared" si="401"/>
        <v>0</v>
      </c>
      <c r="BK262" s="191">
        <f t="shared" si="401"/>
        <v>0</v>
      </c>
      <c r="BL262" s="191">
        <f t="shared" si="401"/>
        <v>0</v>
      </c>
      <c r="BM262" s="191">
        <f t="shared" si="401"/>
        <v>0</v>
      </c>
      <c r="BN262" s="191">
        <f t="shared" si="401"/>
        <v>0</v>
      </c>
      <c r="BO262" s="191">
        <f t="shared" si="401"/>
        <v>0</v>
      </c>
      <c r="BP262" s="191">
        <f t="shared" si="401"/>
        <v>0</v>
      </c>
      <c r="BQ262" s="191">
        <f t="shared" ref="BQ262:CP262" si="402">BQ261-BQ133</f>
        <v>0</v>
      </c>
      <c r="BR262" s="191">
        <f t="shared" si="402"/>
        <v>0</v>
      </c>
      <c r="BS262" s="191">
        <f t="shared" si="402"/>
        <v>0</v>
      </c>
      <c r="BT262" s="191">
        <f t="shared" si="402"/>
        <v>0</v>
      </c>
      <c r="BU262" s="191">
        <f t="shared" si="402"/>
        <v>0</v>
      </c>
      <c r="BV262" s="191">
        <f t="shared" si="402"/>
        <v>0</v>
      </c>
      <c r="BW262" s="191">
        <f t="shared" si="402"/>
        <v>0</v>
      </c>
      <c r="BX262" s="191">
        <f t="shared" si="402"/>
        <v>0</v>
      </c>
      <c r="BY262" s="191">
        <f t="shared" si="402"/>
        <v>0</v>
      </c>
      <c r="BZ262" s="191">
        <f t="shared" si="402"/>
        <v>0</v>
      </c>
      <c r="CA262" s="191">
        <f t="shared" si="402"/>
        <v>0</v>
      </c>
      <c r="CB262" s="191">
        <f t="shared" si="402"/>
        <v>0</v>
      </c>
      <c r="CC262" s="191">
        <f t="shared" si="402"/>
        <v>0</v>
      </c>
      <c r="CD262" s="191">
        <f t="shared" si="402"/>
        <v>0</v>
      </c>
      <c r="CE262" s="191">
        <f t="shared" si="402"/>
        <v>0</v>
      </c>
      <c r="CF262" s="191">
        <f t="shared" si="402"/>
        <v>0</v>
      </c>
      <c r="CG262" s="191">
        <f t="shared" si="402"/>
        <v>0</v>
      </c>
      <c r="CH262" s="191">
        <f t="shared" si="402"/>
        <v>0</v>
      </c>
      <c r="CI262" s="191">
        <f t="shared" si="402"/>
        <v>0</v>
      </c>
      <c r="CJ262" s="191">
        <f t="shared" si="402"/>
        <v>0</v>
      </c>
      <c r="CK262" s="191">
        <f t="shared" si="402"/>
        <v>0</v>
      </c>
      <c r="CL262" s="191">
        <f t="shared" si="402"/>
        <v>0</v>
      </c>
      <c r="CM262" s="191">
        <f t="shared" si="402"/>
        <v>0</v>
      </c>
      <c r="CN262" s="191">
        <f t="shared" si="402"/>
        <v>0</v>
      </c>
      <c r="CO262" s="191">
        <f t="shared" si="402"/>
        <v>0</v>
      </c>
      <c r="CP262" s="191">
        <f t="shared" si="402"/>
        <v>0</v>
      </c>
      <c r="DD262" s="2"/>
      <c r="DE262" s="2"/>
      <c r="DI262" s="447"/>
      <c r="DJ262" s="447"/>
      <c r="DK262" s="2"/>
      <c r="DL262" s="2"/>
      <c r="DM262" s="2"/>
    </row>
    <row r="263" spans="1:255" customFormat="1" ht="12"/>
    <row r="264" spans="1:255">
      <c r="A264" s="1109"/>
      <c r="AY264" s="2"/>
      <c r="AZ264" s="2"/>
      <c r="BA264" s="2"/>
      <c r="BC264" s="2"/>
      <c r="BD264" s="2"/>
      <c r="BE264" s="2"/>
      <c r="BF264" s="2"/>
      <c r="BH264" s="2"/>
      <c r="BI264" s="2"/>
      <c r="DD264" s="2"/>
      <c r="DE264" s="2"/>
      <c r="DI264" s="447"/>
      <c r="DJ264" s="447"/>
      <c r="DK264" s="2"/>
      <c r="DL264" s="2"/>
      <c r="DM264" s="2"/>
    </row>
    <row r="265" spans="1:255">
      <c r="A265" s="1109"/>
      <c r="AY265" s="2"/>
      <c r="AZ265" s="2"/>
      <c r="BA265" s="2"/>
      <c r="BC265" s="2"/>
      <c r="BD265" s="2"/>
      <c r="BE265" s="2"/>
      <c r="BF265" s="2"/>
      <c r="BH265" s="2"/>
      <c r="BI265" s="2"/>
      <c r="DD265" s="2"/>
      <c r="DE265" s="2"/>
      <c r="DI265" s="447"/>
      <c r="DJ265" s="447"/>
      <c r="DK265" s="2"/>
      <c r="DL265" s="2"/>
      <c r="DM265" s="2"/>
    </row>
    <row r="266" spans="1:255">
      <c r="A266" s="1109"/>
      <c r="AY266" s="2"/>
      <c r="AZ266" s="2"/>
      <c r="BA266" s="2"/>
      <c r="BC266" s="2"/>
      <c r="BD266" s="2"/>
      <c r="BE266" s="2"/>
      <c r="BF266" s="2"/>
      <c r="BH266" s="2"/>
      <c r="BI266" s="2"/>
      <c r="DD266" s="2"/>
      <c r="DE266" s="2"/>
      <c r="DI266" s="447"/>
      <c r="DJ266" s="447"/>
      <c r="DK266" s="2"/>
      <c r="DL266" s="2"/>
      <c r="DM266" s="2"/>
    </row>
    <row r="267" spans="1:255">
      <c r="A267" s="1109"/>
      <c r="AY267" s="2"/>
      <c r="AZ267" s="2"/>
      <c r="BA267" s="2"/>
      <c r="BC267" s="2"/>
      <c r="BD267" s="2"/>
      <c r="BE267" s="2"/>
      <c r="BF267" s="2"/>
      <c r="BH267" s="2"/>
      <c r="BI267" s="2"/>
      <c r="DD267" s="2"/>
      <c r="DE267" s="2"/>
      <c r="DI267" s="447"/>
      <c r="DJ267" s="447"/>
      <c r="DK267" s="2"/>
      <c r="DL267" s="2"/>
      <c r="DM267" s="2"/>
    </row>
    <row r="268" spans="1:255">
      <c r="A268" s="1109"/>
      <c r="AY268" s="2"/>
      <c r="AZ268" s="2"/>
      <c r="BA268" s="2"/>
      <c r="BC268" s="2"/>
      <c r="BD268" s="2"/>
      <c r="BE268" s="2"/>
      <c r="BF268" s="2"/>
      <c r="BH268" s="2"/>
      <c r="BI268" s="2"/>
      <c r="DD268" s="2"/>
      <c r="DE268" s="2"/>
      <c r="DI268" s="447"/>
      <c r="DJ268" s="447"/>
      <c r="DK268" s="2"/>
      <c r="DL268" s="2"/>
      <c r="DM268" s="2"/>
    </row>
    <row r="269" spans="1:255">
      <c r="A269" s="1109"/>
      <c r="AY269" s="2"/>
      <c r="AZ269" s="2"/>
      <c r="BA269" s="2"/>
      <c r="BC269" s="2"/>
      <c r="BD269" s="2"/>
      <c r="BE269" s="2"/>
      <c r="BF269" s="2"/>
      <c r="BH269" s="2"/>
      <c r="BI269" s="2"/>
      <c r="DD269" s="2"/>
      <c r="DE269" s="2"/>
      <c r="DI269" s="447"/>
      <c r="DJ269" s="447"/>
      <c r="DK269" s="2"/>
      <c r="DL269" s="2"/>
      <c r="DM269" s="2"/>
    </row>
    <row r="270" spans="1:255">
      <c r="A270" s="1109"/>
      <c r="AY270" s="2"/>
      <c r="AZ270" s="2"/>
      <c r="BA270" s="2"/>
      <c r="BC270" s="2"/>
      <c r="BD270" s="2"/>
      <c r="BE270" s="2"/>
      <c r="BF270" s="2"/>
      <c r="BH270" s="2"/>
      <c r="BI270" s="2"/>
      <c r="DD270" s="2"/>
      <c r="DE270" s="2"/>
      <c r="DI270" s="447"/>
      <c r="DJ270" s="447"/>
      <c r="DK270" s="2"/>
      <c r="DL270" s="2"/>
      <c r="DM270" s="2"/>
    </row>
    <row r="271" spans="1:255">
      <c r="A271" s="1109"/>
      <c r="AY271" s="2"/>
      <c r="AZ271" s="2"/>
      <c r="BA271" s="2"/>
      <c r="BC271" s="2"/>
      <c r="BD271" s="2"/>
      <c r="BE271" s="2"/>
      <c r="BF271" s="2"/>
      <c r="BH271" s="2"/>
      <c r="BI271" s="2"/>
      <c r="DD271" s="2"/>
      <c r="DE271" s="2"/>
      <c r="DI271" s="447"/>
      <c r="DJ271" s="447"/>
      <c r="DK271" s="2"/>
      <c r="DL271" s="2"/>
      <c r="DM271" s="2"/>
    </row>
    <row r="272" spans="1:255">
      <c r="A272" s="1109"/>
      <c r="AY272" s="2"/>
      <c r="AZ272" s="2"/>
      <c r="BA272" s="2"/>
      <c r="BC272" s="2"/>
      <c r="BD272" s="2"/>
      <c r="BE272" s="2"/>
      <c r="BF272" s="2"/>
      <c r="BH272" s="2"/>
      <c r="BI272" s="2"/>
      <c r="DD272" s="2"/>
      <c r="DE272" s="2"/>
      <c r="DI272" s="447"/>
      <c r="DJ272" s="447"/>
      <c r="DK272" s="2"/>
      <c r="DL272" s="2"/>
      <c r="DM272" s="2"/>
    </row>
    <row r="273" spans="1:117">
      <c r="A273" s="1109"/>
      <c r="AY273" s="2"/>
      <c r="AZ273" s="2"/>
      <c r="BA273" s="2"/>
      <c r="BC273" s="2"/>
      <c r="BD273" s="2"/>
      <c r="BE273" s="2"/>
      <c r="BF273" s="2"/>
      <c r="BH273" s="2"/>
      <c r="BI273" s="2"/>
      <c r="DD273" s="2"/>
      <c r="DE273" s="2"/>
      <c r="DI273" s="447"/>
      <c r="DJ273" s="447"/>
      <c r="DK273" s="2"/>
      <c r="DL273" s="2"/>
      <c r="DM273" s="2"/>
    </row>
    <row r="274" spans="1:117">
      <c r="A274" s="1109"/>
      <c r="AY274" s="2"/>
      <c r="AZ274" s="2"/>
      <c r="BA274" s="2"/>
      <c r="BC274" s="2"/>
      <c r="BD274" s="2"/>
      <c r="BE274" s="2"/>
      <c r="BF274" s="2"/>
      <c r="BH274" s="2"/>
      <c r="BI274" s="2"/>
      <c r="DD274" s="2"/>
      <c r="DE274" s="2"/>
      <c r="DI274" s="447"/>
      <c r="DJ274" s="447"/>
      <c r="DK274" s="2"/>
      <c r="DL274" s="2"/>
      <c r="DM274" s="2"/>
    </row>
    <row r="275" spans="1:117">
      <c r="A275" s="1109"/>
      <c r="AY275" s="2"/>
      <c r="AZ275" s="2"/>
      <c r="BA275" s="2"/>
      <c r="BC275" s="2"/>
      <c r="BD275" s="2"/>
      <c r="BE275" s="2"/>
      <c r="BF275" s="2"/>
      <c r="BH275" s="2"/>
      <c r="BI275" s="2"/>
      <c r="DD275" s="2"/>
      <c r="DE275" s="2"/>
      <c r="DI275" s="447"/>
      <c r="DJ275" s="447"/>
      <c r="DK275" s="2"/>
      <c r="DL275" s="2"/>
      <c r="DM275" s="2"/>
    </row>
    <row r="276" spans="1:117">
      <c r="A276" s="1109"/>
      <c r="AY276" s="2"/>
      <c r="AZ276" s="2"/>
      <c r="BA276" s="2"/>
      <c r="BC276" s="2"/>
      <c r="BD276" s="2"/>
      <c r="BE276" s="2"/>
      <c r="BF276" s="2"/>
      <c r="BH276" s="2"/>
      <c r="BI276" s="2"/>
      <c r="DD276" s="2"/>
      <c r="DE276" s="2"/>
      <c r="DI276" s="447"/>
      <c r="DJ276" s="447"/>
      <c r="DK276" s="2"/>
      <c r="DL276" s="2"/>
      <c r="DM276" s="2"/>
    </row>
    <row r="277" spans="1:117">
      <c r="A277" s="1109"/>
      <c r="AY277" s="2"/>
      <c r="AZ277" s="2"/>
      <c r="BA277" s="2"/>
      <c r="BC277" s="2"/>
      <c r="BD277" s="2"/>
      <c r="BE277" s="2"/>
      <c r="BF277" s="2"/>
      <c r="BH277" s="2"/>
      <c r="BI277" s="2"/>
      <c r="DD277" s="2"/>
      <c r="DE277" s="2"/>
      <c r="DI277" s="447"/>
      <c r="DJ277" s="447"/>
      <c r="DK277" s="2"/>
      <c r="DL277" s="2"/>
      <c r="DM277" s="2"/>
    </row>
    <row r="278" spans="1:117">
      <c r="A278" s="1109"/>
      <c r="AY278" s="2"/>
      <c r="AZ278" s="2"/>
      <c r="BA278" s="2"/>
      <c r="BC278" s="2"/>
      <c r="BD278" s="2"/>
      <c r="BE278" s="2"/>
      <c r="BF278" s="2"/>
      <c r="BH278" s="2"/>
      <c r="BI278" s="2"/>
      <c r="DD278" s="2"/>
      <c r="DE278" s="2"/>
      <c r="DI278" s="447"/>
      <c r="DJ278" s="447"/>
      <c r="DK278" s="2"/>
      <c r="DL278" s="2"/>
      <c r="DM278" s="2"/>
    </row>
    <row r="279" spans="1:117">
      <c r="A279" s="1109"/>
      <c r="AY279" s="2"/>
      <c r="AZ279" s="2"/>
      <c r="BA279" s="2"/>
      <c r="BC279" s="2"/>
      <c r="BD279" s="2"/>
      <c r="BE279" s="2"/>
      <c r="BF279" s="2"/>
      <c r="BH279" s="2"/>
      <c r="BI279" s="2"/>
      <c r="DD279" s="2"/>
      <c r="DE279" s="2"/>
      <c r="DI279" s="447"/>
      <c r="DJ279" s="447"/>
      <c r="DK279" s="2"/>
      <c r="DL279" s="2"/>
      <c r="DM279" s="2"/>
    </row>
    <row r="280" spans="1:117">
      <c r="A280" s="1109"/>
      <c r="AY280" s="2"/>
      <c r="AZ280" s="2"/>
      <c r="BA280" s="2"/>
      <c r="BC280" s="2"/>
      <c r="BD280" s="2"/>
      <c r="BE280" s="2"/>
      <c r="BF280" s="2"/>
      <c r="BH280" s="2"/>
      <c r="BI280" s="2"/>
      <c r="DD280" s="2"/>
      <c r="DE280" s="2"/>
      <c r="DI280" s="447"/>
      <c r="DJ280" s="447"/>
      <c r="DK280" s="2"/>
      <c r="DL280" s="2"/>
      <c r="DM280" s="2"/>
    </row>
    <row r="281" spans="1:117">
      <c r="A281" s="1109"/>
      <c r="AY281" s="2"/>
      <c r="AZ281" s="2"/>
      <c r="BA281" s="2"/>
      <c r="BC281" s="2"/>
      <c r="BD281" s="2"/>
      <c r="BE281" s="2"/>
      <c r="BF281" s="2"/>
      <c r="BH281" s="2"/>
      <c r="BI281" s="2"/>
      <c r="DD281" s="2"/>
      <c r="DE281" s="2"/>
      <c r="DI281" s="447"/>
      <c r="DJ281" s="447"/>
      <c r="DK281" s="2"/>
      <c r="DL281" s="2"/>
      <c r="DM281" s="2"/>
    </row>
    <row r="282" spans="1:117">
      <c r="A282" s="1109"/>
      <c r="AY282" s="2"/>
      <c r="AZ282" s="2"/>
      <c r="BA282" s="2"/>
      <c r="BC282" s="2"/>
      <c r="BD282" s="2"/>
      <c r="BE282" s="2"/>
      <c r="BF282" s="2"/>
      <c r="BH282" s="2"/>
      <c r="BI282" s="2"/>
      <c r="DD282" s="2"/>
      <c r="DE282" s="2"/>
      <c r="DI282" s="447"/>
      <c r="DJ282" s="447"/>
      <c r="DK282" s="2"/>
      <c r="DL282" s="2"/>
      <c r="DM282" s="2"/>
    </row>
    <row r="283" spans="1:117">
      <c r="A283" s="1109"/>
      <c r="AY283" s="2"/>
      <c r="AZ283" s="2"/>
      <c r="BA283" s="2"/>
      <c r="BC283" s="2"/>
      <c r="BD283" s="2"/>
      <c r="BE283" s="2"/>
      <c r="BF283" s="2"/>
      <c r="BH283" s="2"/>
      <c r="BI283" s="2"/>
      <c r="DD283" s="2"/>
      <c r="DE283" s="2"/>
      <c r="DI283" s="447"/>
      <c r="DJ283" s="447"/>
      <c r="DK283" s="2"/>
      <c r="DL283" s="2"/>
      <c r="DM283" s="2"/>
    </row>
    <row r="284" spans="1:117">
      <c r="A284" s="1109"/>
      <c r="AY284" s="2"/>
      <c r="AZ284" s="2"/>
      <c r="BA284" s="2"/>
      <c r="BC284" s="2"/>
      <c r="BD284" s="2"/>
      <c r="BE284" s="2"/>
      <c r="BF284" s="2"/>
      <c r="BH284" s="2"/>
      <c r="BI284" s="2"/>
      <c r="DD284" s="2"/>
      <c r="DE284" s="2"/>
      <c r="DI284" s="447"/>
      <c r="DJ284" s="447"/>
      <c r="DK284" s="2"/>
      <c r="DL284" s="2"/>
      <c r="DM284" s="2"/>
    </row>
    <row r="285" spans="1:117">
      <c r="A285" s="1109"/>
      <c r="AY285" s="2"/>
      <c r="AZ285" s="2"/>
      <c r="BA285" s="2"/>
      <c r="BC285" s="2"/>
      <c r="BD285" s="2"/>
      <c r="BE285" s="2"/>
      <c r="BF285" s="2"/>
      <c r="BH285" s="2"/>
      <c r="BI285" s="2"/>
      <c r="DD285" s="2"/>
      <c r="DE285" s="2"/>
      <c r="DI285" s="447"/>
      <c r="DJ285" s="447"/>
      <c r="DK285" s="2"/>
      <c r="DL285" s="2"/>
      <c r="DM285" s="2"/>
    </row>
    <row r="286" spans="1:117">
      <c r="A286" s="1109"/>
      <c r="AY286" s="2"/>
      <c r="AZ286" s="2"/>
      <c r="BA286" s="2"/>
      <c r="BC286" s="2"/>
      <c r="BD286" s="2"/>
      <c r="BE286" s="2"/>
      <c r="BF286" s="2"/>
      <c r="BH286" s="2"/>
      <c r="BI286" s="2"/>
      <c r="DD286" s="2"/>
      <c r="DE286" s="2"/>
      <c r="DI286" s="447"/>
      <c r="DJ286" s="447"/>
      <c r="DK286" s="2"/>
      <c r="DL286" s="2"/>
      <c r="DM286" s="2"/>
    </row>
    <row r="287" spans="1:117">
      <c r="A287" s="1109"/>
      <c r="AY287" s="2"/>
      <c r="AZ287" s="2"/>
      <c r="BA287" s="2"/>
      <c r="BC287" s="2"/>
      <c r="BD287" s="2"/>
      <c r="BE287" s="2"/>
      <c r="BF287" s="2"/>
      <c r="BH287" s="2"/>
      <c r="BI287" s="2"/>
      <c r="DD287" s="2"/>
      <c r="DE287" s="2"/>
      <c r="DI287" s="447"/>
      <c r="DJ287" s="447"/>
      <c r="DK287" s="2"/>
      <c r="DL287" s="2"/>
      <c r="DM287" s="2"/>
    </row>
    <row r="288" spans="1:117">
      <c r="A288" s="1109"/>
      <c r="AY288" s="2"/>
      <c r="AZ288" s="2"/>
      <c r="BA288" s="2"/>
      <c r="BC288" s="2"/>
      <c r="BD288" s="2"/>
      <c r="BE288" s="2"/>
      <c r="BF288" s="2"/>
      <c r="BH288" s="2"/>
      <c r="BI288" s="2"/>
      <c r="DD288" s="2"/>
      <c r="DE288" s="2"/>
      <c r="DI288" s="447"/>
      <c r="DJ288" s="447"/>
      <c r="DK288" s="2"/>
      <c r="DL288" s="2"/>
      <c r="DM288" s="2"/>
    </row>
    <row r="289" spans="1:117">
      <c r="A289" s="1109"/>
      <c r="AY289" s="2"/>
      <c r="AZ289" s="2"/>
      <c r="BA289" s="2"/>
      <c r="BC289" s="2"/>
      <c r="BD289" s="2"/>
      <c r="BE289" s="2"/>
      <c r="BF289" s="2"/>
      <c r="BH289" s="2"/>
      <c r="BI289" s="2"/>
      <c r="DD289" s="2"/>
      <c r="DE289" s="2"/>
      <c r="DI289" s="447"/>
      <c r="DJ289" s="447"/>
      <c r="DK289" s="2"/>
      <c r="DL289" s="2"/>
      <c r="DM289" s="2"/>
    </row>
    <row r="290" spans="1:117">
      <c r="A290" s="1109"/>
      <c r="AY290" s="2"/>
      <c r="AZ290" s="2"/>
      <c r="BA290" s="2"/>
      <c r="BC290" s="2"/>
      <c r="BD290" s="2"/>
      <c r="BE290" s="2"/>
      <c r="BF290" s="2"/>
      <c r="BH290" s="2"/>
      <c r="BI290" s="2"/>
      <c r="DD290" s="2"/>
      <c r="DE290" s="2"/>
      <c r="DI290" s="447"/>
      <c r="DJ290" s="447"/>
      <c r="DK290" s="2"/>
      <c r="DL290" s="2"/>
      <c r="DM290" s="2"/>
    </row>
    <row r="291" spans="1:117">
      <c r="A291" s="1109"/>
      <c r="AY291" s="2"/>
      <c r="AZ291" s="2"/>
      <c r="BA291" s="2"/>
      <c r="BC291" s="2"/>
      <c r="BD291" s="2"/>
      <c r="BE291" s="2"/>
      <c r="BF291" s="2"/>
      <c r="BH291" s="2"/>
      <c r="BI291" s="2"/>
      <c r="DD291" s="2"/>
      <c r="DE291" s="2"/>
      <c r="DI291" s="447"/>
      <c r="DJ291" s="447"/>
      <c r="DK291" s="2"/>
      <c r="DL291" s="2"/>
      <c r="DM291" s="2"/>
    </row>
    <row r="292" spans="1:117">
      <c r="A292" s="1109"/>
      <c r="AY292" s="2"/>
      <c r="AZ292" s="2"/>
      <c r="BA292" s="2"/>
      <c r="BC292" s="2"/>
      <c r="BD292" s="2"/>
      <c r="BE292" s="2"/>
      <c r="BF292" s="2"/>
      <c r="BH292" s="2"/>
      <c r="BI292" s="2"/>
      <c r="DD292" s="2"/>
      <c r="DE292" s="2"/>
      <c r="DI292" s="447"/>
      <c r="DJ292" s="447"/>
      <c r="DK292" s="2"/>
      <c r="DL292" s="2"/>
      <c r="DM292" s="2"/>
    </row>
    <row r="293" spans="1:117">
      <c r="A293" s="1109"/>
      <c r="AY293" s="2"/>
      <c r="AZ293" s="2"/>
      <c r="BA293" s="2"/>
      <c r="BC293" s="2"/>
      <c r="BD293" s="2"/>
      <c r="BE293" s="2"/>
      <c r="BF293" s="2"/>
      <c r="BH293" s="2"/>
      <c r="BI293" s="2"/>
      <c r="DD293" s="2"/>
      <c r="DE293" s="2"/>
      <c r="DI293" s="447"/>
      <c r="DJ293" s="447"/>
      <c r="DK293" s="2"/>
      <c r="DL293" s="2"/>
      <c r="DM293" s="2"/>
    </row>
    <row r="294" spans="1:117">
      <c r="A294" s="1109"/>
      <c r="AY294" s="2"/>
      <c r="AZ294" s="2"/>
      <c r="BA294" s="2"/>
      <c r="BC294" s="2"/>
      <c r="BD294" s="2"/>
      <c r="BE294" s="2"/>
      <c r="BF294" s="2"/>
      <c r="BH294" s="2"/>
      <c r="BI294" s="2"/>
      <c r="DD294" s="2"/>
      <c r="DE294" s="2"/>
      <c r="DI294" s="447"/>
      <c r="DJ294" s="447"/>
      <c r="DK294" s="2"/>
      <c r="DL294" s="2"/>
      <c r="DM294" s="2"/>
    </row>
    <row r="295" spans="1:117">
      <c r="A295" s="1109"/>
      <c r="AY295" s="2"/>
      <c r="AZ295" s="2"/>
      <c r="BA295" s="2"/>
      <c r="BC295" s="2"/>
      <c r="BD295" s="2"/>
      <c r="BE295" s="2"/>
      <c r="BF295" s="2"/>
      <c r="BH295" s="2"/>
      <c r="BI295" s="2"/>
      <c r="DD295" s="2"/>
      <c r="DE295" s="2"/>
      <c r="DI295" s="447"/>
      <c r="DJ295" s="447"/>
      <c r="DK295" s="2"/>
      <c r="DL295" s="2"/>
      <c r="DM295" s="2"/>
    </row>
    <row r="296" spans="1:117">
      <c r="A296" s="1109"/>
      <c r="AY296" s="2"/>
      <c r="AZ296" s="2"/>
      <c r="BA296" s="2"/>
      <c r="BC296" s="2"/>
      <c r="BD296" s="2"/>
      <c r="BE296" s="2"/>
      <c r="BF296" s="2"/>
      <c r="BH296" s="2"/>
      <c r="BI296" s="2"/>
      <c r="DD296" s="2"/>
      <c r="DE296" s="2"/>
      <c r="DI296" s="447"/>
      <c r="DJ296" s="447"/>
      <c r="DK296" s="2"/>
      <c r="DL296" s="2"/>
      <c r="DM296" s="2"/>
    </row>
    <row r="297" spans="1:117">
      <c r="A297" s="1109"/>
      <c r="AY297" s="2"/>
      <c r="AZ297" s="2"/>
      <c r="BA297" s="2"/>
      <c r="BC297" s="2"/>
      <c r="BD297" s="2"/>
      <c r="BE297" s="2"/>
      <c r="BF297" s="2"/>
      <c r="BH297" s="2"/>
      <c r="BI297" s="2"/>
      <c r="DD297" s="2"/>
      <c r="DE297" s="2"/>
      <c r="DI297" s="447"/>
      <c r="DJ297" s="447"/>
      <c r="DK297" s="2"/>
      <c r="DL297" s="2"/>
      <c r="DM297" s="2"/>
    </row>
    <row r="298" spans="1:117">
      <c r="A298" s="1109"/>
      <c r="AY298" s="2"/>
      <c r="AZ298" s="2"/>
      <c r="BA298" s="2"/>
      <c r="BC298" s="2"/>
      <c r="BD298" s="2"/>
      <c r="BE298" s="2"/>
      <c r="BF298" s="2"/>
      <c r="BH298" s="2"/>
      <c r="BI298" s="2"/>
      <c r="DD298" s="2"/>
      <c r="DE298" s="2"/>
      <c r="DI298" s="447"/>
      <c r="DJ298" s="447"/>
      <c r="DK298" s="2"/>
      <c r="DL298" s="2"/>
      <c r="DM298" s="2"/>
    </row>
    <row r="299" spans="1:117">
      <c r="A299" s="1109"/>
      <c r="AY299" s="2"/>
      <c r="AZ299" s="2"/>
      <c r="BA299" s="2"/>
      <c r="BC299" s="2"/>
      <c r="BD299" s="2"/>
      <c r="BE299" s="2"/>
      <c r="BF299" s="2"/>
      <c r="BH299" s="2"/>
      <c r="BI299" s="2"/>
      <c r="DD299" s="2"/>
      <c r="DE299" s="2"/>
      <c r="DI299" s="447"/>
      <c r="DJ299" s="447"/>
      <c r="DK299" s="2"/>
      <c r="DL299" s="2"/>
      <c r="DM299" s="2"/>
    </row>
    <row r="300" spans="1:117">
      <c r="A300" s="1109"/>
      <c r="AY300" s="2"/>
      <c r="AZ300" s="2"/>
      <c r="BA300" s="2"/>
      <c r="BC300" s="2"/>
      <c r="BD300" s="2"/>
      <c r="BE300" s="2"/>
      <c r="BF300" s="2"/>
      <c r="BH300" s="2"/>
      <c r="BI300" s="2"/>
      <c r="DD300" s="2"/>
      <c r="DE300" s="2"/>
      <c r="DI300" s="447"/>
      <c r="DJ300" s="447"/>
      <c r="DK300" s="2"/>
      <c r="DL300" s="2"/>
      <c r="DM300" s="2"/>
    </row>
    <row r="301" spans="1:117">
      <c r="A301" s="1109"/>
      <c r="AY301" s="2"/>
      <c r="AZ301" s="2"/>
      <c r="BA301" s="2"/>
      <c r="BC301" s="2"/>
      <c r="BD301" s="2"/>
      <c r="BE301" s="2"/>
      <c r="BF301" s="2"/>
      <c r="BH301" s="2"/>
      <c r="BI301" s="2"/>
      <c r="DD301" s="2"/>
      <c r="DE301" s="2"/>
      <c r="DI301" s="447"/>
      <c r="DJ301" s="447"/>
      <c r="DK301" s="2"/>
      <c r="DL301" s="2"/>
      <c r="DM301" s="2"/>
    </row>
    <row r="302" spans="1:117">
      <c r="A302" s="1109"/>
      <c r="AY302" s="2"/>
      <c r="AZ302" s="2"/>
      <c r="BA302" s="2"/>
      <c r="BC302" s="2"/>
      <c r="BD302" s="2"/>
      <c r="BE302" s="2"/>
      <c r="BF302" s="2"/>
      <c r="BH302" s="2"/>
      <c r="BI302" s="2"/>
      <c r="DD302" s="2"/>
      <c r="DE302" s="2"/>
      <c r="DI302" s="447"/>
      <c r="DJ302" s="447"/>
      <c r="DK302" s="2"/>
      <c r="DL302" s="2"/>
      <c r="DM302" s="2"/>
    </row>
    <row r="303" spans="1:117">
      <c r="A303" s="1109"/>
      <c r="AY303" s="2"/>
      <c r="AZ303" s="2"/>
      <c r="BA303" s="2"/>
      <c r="BC303" s="2"/>
      <c r="BD303" s="2"/>
      <c r="BE303" s="2"/>
      <c r="BF303" s="2"/>
      <c r="BH303" s="2"/>
      <c r="BI303" s="2"/>
      <c r="DD303" s="2"/>
      <c r="DE303" s="2"/>
      <c r="DI303" s="447"/>
      <c r="DJ303" s="447"/>
      <c r="DK303" s="2"/>
      <c r="DL303" s="2"/>
      <c r="DM303" s="2"/>
    </row>
    <row r="304" spans="1:117">
      <c r="A304" s="1109"/>
      <c r="AY304" s="2"/>
      <c r="AZ304" s="2"/>
      <c r="BA304" s="2"/>
      <c r="BC304" s="2"/>
      <c r="BD304" s="2"/>
      <c r="BE304" s="2"/>
      <c r="BF304" s="2"/>
      <c r="BH304" s="2"/>
      <c r="BI304" s="2"/>
      <c r="DD304" s="2"/>
      <c r="DE304" s="2"/>
      <c r="DI304" s="447"/>
      <c r="DJ304" s="447"/>
      <c r="DK304" s="2"/>
      <c r="DL304" s="2"/>
      <c r="DM304" s="2"/>
    </row>
    <row r="305" spans="1:117">
      <c r="A305" s="1109"/>
      <c r="AY305" s="2"/>
      <c r="AZ305" s="2"/>
      <c r="BA305" s="2"/>
      <c r="BC305" s="2"/>
      <c r="BD305" s="2"/>
      <c r="BE305" s="2"/>
      <c r="BF305" s="2"/>
      <c r="BH305" s="2"/>
      <c r="BI305" s="2"/>
      <c r="DD305" s="2"/>
      <c r="DE305" s="2"/>
      <c r="DI305" s="447"/>
      <c r="DJ305" s="447"/>
      <c r="DK305" s="2"/>
      <c r="DL305" s="2"/>
      <c r="DM305" s="2"/>
    </row>
    <row r="306" spans="1:117">
      <c r="A306" s="1109"/>
      <c r="AY306" s="2"/>
      <c r="AZ306" s="2"/>
      <c r="BA306" s="2"/>
      <c r="BC306" s="2"/>
      <c r="BD306" s="2"/>
      <c r="BE306" s="2"/>
      <c r="BF306" s="2"/>
      <c r="BH306" s="2"/>
      <c r="BI306" s="2"/>
      <c r="DD306" s="2"/>
      <c r="DE306" s="2"/>
      <c r="DI306" s="447"/>
      <c r="DJ306" s="447"/>
      <c r="DK306" s="2"/>
      <c r="DL306" s="2"/>
      <c r="DM306" s="2"/>
    </row>
    <row r="307" spans="1:117">
      <c r="A307" s="1109"/>
      <c r="AY307" s="2"/>
      <c r="AZ307" s="2"/>
      <c r="BA307" s="2"/>
      <c r="BC307" s="2"/>
      <c r="BD307" s="2"/>
      <c r="BE307" s="2"/>
      <c r="BF307" s="2"/>
      <c r="BH307" s="2"/>
      <c r="BI307" s="2"/>
      <c r="DD307" s="2"/>
      <c r="DE307" s="2"/>
      <c r="DI307" s="447"/>
      <c r="DJ307" s="447"/>
      <c r="DK307" s="2"/>
      <c r="DL307" s="2"/>
      <c r="DM307" s="2"/>
    </row>
    <row r="308" spans="1:117">
      <c r="A308" s="1109"/>
      <c r="AY308" s="2"/>
      <c r="AZ308" s="2"/>
      <c r="BA308" s="2"/>
      <c r="BC308" s="2"/>
      <c r="BD308" s="2"/>
      <c r="BE308" s="2"/>
      <c r="BF308" s="2"/>
      <c r="BH308" s="2"/>
      <c r="BI308" s="2"/>
      <c r="DD308" s="2"/>
      <c r="DE308" s="2"/>
      <c r="DI308" s="447"/>
      <c r="DJ308" s="447"/>
      <c r="DK308" s="2"/>
      <c r="DL308" s="2"/>
      <c r="DM308" s="2"/>
    </row>
    <row r="309" spans="1:117">
      <c r="A309" s="1109"/>
      <c r="AY309" s="2"/>
      <c r="AZ309" s="2"/>
      <c r="BA309" s="2"/>
      <c r="BC309" s="2"/>
      <c r="BD309" s="2"/>
      <c r="BE309" s="2"/>
      <c r="BF309" s="2"/>
      <c r="BH309" s="2"/>
      <c r="BI309" s="2"/>
      <c r="DD309" s="2"/>
      <c r="DE309" s="2"/>
      <c r="DI309" s="447"/>
      <c r="DJ309" s="447"/>
      <c r="DK309" s="2"/>
      <c r="DL309" s="2"/>
      <c r="DM309" s="2"/>
    </row>
    <row r="310" spans="1:117">
      <c r="A310" s="1109"/>
      <c r="AY310" s="2"/>
      <c r="AZ310" s="2"/>
      <c r="BA310" s="2"/>
      <c r="BC310" s="2"/>
      <c r="BD310" s="2"/>
      <c r="BE310" s="2"/>
      <c r="BF310" s="2"/>
      <c r="BH310" s="2"/>
      <c r="BI310" s="2"/>
      <c r="DD310" s="2"/>
      <c r="DE310" s="2"/>
      <c r="DI310" s="447"/>
      <c r="DJ310" s="447"/>
      <c r="DK310" s="2"/>
      <c r="DL310" s="2"/>
      <c r="DM310" s="2"/>
    </row>
    <row r="311" spans="1:117">
      <c r="A311" s="1109"/>
      <c r="AY311" s="2"/>
      <c r="AZ311" s="2"/>
      <c r="BA311" s="2"/>
      <c r="BC311" s="2"/>
      <c r="BD311" s="2"/>
      <c r="BE311" s="2"/>
      <c r="BF311" s="2"/>
      <c r="BH311" s="2"/>
      <c r="BI311" s="2"/>
      <c r="DD311" s="2"/>
      <c r="DE311" s="2"/>
      <c r="DI311" s="447"/>
      <c r="DJ311" s="447"/>
      <c r="DK311" s="2"/>
      <c r="DL311" s="2"/>
      <c r="DM311" s="2"/>
    </row>
    <row r="312" spans="1:117">
      <c r="A312" s="1109"/>
      <c r="AY312" s="2"/>
      <c r="AZ312" s="2"/>
      <c r="BA312" s="2"/>
      <c r="BC312" s="2"/>
      <c r="BD312" s="2"/>
      <c r="BE312" s="2"/>
      <c r="BF312" s="2"/>
      <c r="BH312" s="2"/>
      <c r="BI312" s="2"/>
      <c r="DD312" s="2"/>
      <c r="DE312" s="2"/>
      <c r="DI312" s="447"/>
      <c r="DJ312" s="447"/>
      <c r="DK312" s="2"/>
      <c r="DL312" s="2"/>
      <c r="DM312" s="2"/>
    </row>
    <row r="313" spans="1:117">
      <c r="A313" s="1109"/>
      <c r="AY313" s="2"/>
      <c r="AZ313" s="2"/>
      <c r="BA313" s="2"/>
      <c r="BC313" s="2"/>
      <c r="BD313" s="2"/>
      <c r="BE313" s="2"/>
      <c r="BF313" s="2"/>
      <c r="BH313" s="2"/>
      <c r="BI313" s="2"/>
      <c r="DD313" s="2"/>
      <c r="DE313" s="2"/>
      <c r="DI313" s="447"/>
      <c r="DJ313" s="447"/>
      <c r="DK313" s="2"/>
      <c r="DL313" s="2"/>
      <c r="DM313" s="2"/>
    </row>
    <row r="314" spans="1:117">
      <c r="A314" s="1109"/>
      <c r="AY314" s="2"/>
      <c r="AZ314" s="2"/>
      <c r="BA314" s="2"/>
      <c r="BC314" s="2"/>
      <c r="BD314" s="2"/>
      <c r="BE314" s="2"/>
      <c r="BF314" s="2"/>
      <c r="BH314" s="2"/>
      <c r="BI314" s="2"/>
      <c r="DD314" s="2"/>
      <c r="DE314" s="2"/>
      <c r="DI314" s="447"/>
      <c r="DJ314" s="447"/>
      <c r="DK314" s="2"/>
      <c r="DL314" s="2"/>
      <c r="DM314" s="2"/>
    </row>
    <row r="315" spans="1:117">
      <c r="A315" s="1109"/>
      <c r="AY315" s="2"/>
      <c r="AZ315" s="2"/>
      <c r="BA315" s="2"/>
      <c r="BC315" s="2"/>
      <c r="BD315" s="2"/>
      <c r="BE315" s="2"/>
      <c r="BF315" s="2"/>
      <c r="BH315" s="2"/>
      <c r="BI315" s="2"/>
      <c r="DD315" s="2"/>
      <c r="DE315" s="2"/>
      <c r="DI315" s="447"/>
      <c r="DJ315" s="447"/>
      <c r="DK315" s="2"/>
      <c r="DL315" s="2"/>
      <c r="DM315" s="2"/>
    </row>
    <row r="316" spans="1:117">
      <c r="A316" s="1109"/>
      <c r="AY316" s="2"/>
      <c r="AZ316" s="2"/>
      <c r="BA316" s="2"/>
      <c r="BC316" s="2"/>
      <c r="BD316" s="2"/>
      <c r="BE316" s="2"/>
      <c r="BF316" s="2"/>
      <c r="BH316" s="2"/>
      <c r="BI316" s="2"/>
      <c r="DD316" s="2"/>
      <c r="DE316" s="2"/>
      <c r="DI316" s="447"/>
      <c r="DJ316" s="447"/>
      <c r="DK316" s="2"/>
      <c r="DL316" s="2"/>
      <c r="DM316" s="2"/>
    </row>
    <row r="317" spans="1:117">
      <c r="A317" s="1109"/>
      <c r="AY317" s="2"/>
      <c r="AZ317" s="2"/>
      <c r="BA317" s="2"/>
      <c r="BC317" s="2"/>
      <c r="BD317" s="2"/>
      <c r="BE317" s="2"/>
      <c r="BF317" s="2"/>
      <c r="BH317" s="2"/>
      <c r="BI317" s="2"/>
      <c r="DD317" s="2"/>
      <c r="DE317" s="2"/>
      <c r="DI317" s="447"/>
      <c r="DJ317" s="447"/>
      <c r="DK317" s="2"/>
      <c r="DL317" s="2"/>
      <c r="DM317" s="2"/>
    </row>
    <row r="318" spans="1:117">
      <c r="A318" s="1109"/>
      <c r="AY318" s="2"/>
      <c r="AZ318" s="2"/>
      <c r="BA318" s="2"/>
      <c r="BC318" s="2"/>
      <c r="BD318" s="2"/>
      <c r="BE318" s="2"/>
      <c r="BF318" s="2"/>
      <c r="BH318" s="2"/>
      <c r="BI318" s="2"/>
      <c r="DD318" s="2"/>
      <c r="DE318" s="2"/>
      <c r="DI318" s="447"/>
      <c r="DJ318" s="447"/>
      <c r="DK318" s="2"/>
      <c r="DL318" s="2"/>
      <c r="DM318" s="2"/>
    </row>
    <row r="319" spans="1:117">
      <c r="A319" s="1109"/>
      <c r="AY319" s="2"/>
      <c r="AZ319" s="2"/>
      <c r="BA319" s="2"/>
      <c r="BC319" s="2"/>
      <c r="BD319" s="2"/>
      <c r="BE319" s="2"/>
      <c r="BF319" s="2"/>
      <c r="BH319" s="2"/>
      <c r="BI319" s="2"/>
      <c r="DD319" s="2"/>
      <c r="DE319" s="2"/>
      <c r="DI319" s="447"/>
      <c r="DJ319" s="447"/>
      <c r="DK319" s="2"/>
      <c r="DL319" s="2"/>
      <c r="DM319" s="2"/>
    </row>
    <row r="320" spans="1:117">
      <c r="A320" s="1109"/>
      <c r="AY320" s="2"/>
      <c r="AZ320" s="2"/>
      <c r="BA320" s="2"/>
      <c r="BC320" s="2"/>
      <c r="BD320" s="2"/>
      <c r="BE320" s="2"/>
      <c r="BF320" s="2"/>
      <c r="BH320" s="2"/>
      <c r="BI320" s="2"/>
      <c r="DD320" s="2"/>
      <c r="DE320" s="2"/>
      <c r="DI320" s="447"/>
      <c r="DJ320" s="447"/>
      <c r="DK320" s="2"/>
      <c r="DL320" s="2"/>
      <c r="DM320" s="2"/>
    </row>
    <row r="321" spans="1:117">
      <c r="A321" s="1109"/>
      <c r="AY321" s="2"/>
      <c r="AZ321" s="2"/>
      <c r="BA321" s="2"/>
      <c r="BC321" s="2"/>
      <c r="BD321" s="2"/>
      <c r="BE321" s="2"/>
      <c r="BF321" s="2"/>
      <c r="BH321" s="2"/>
      <c r="BI321" s="2"/>
      <c r="DD321" s="2"/>
      <c r="DE321" s="2"/>
      <c r="DI321" s="447"/>
      <c r="DJ321" s="447"/>
      <c r="DK321" s="2"/>
      <c r="DL321" s="2"/>
      <c r="DM321" s="2"/>
    </row>
    <row r="322" spans="1:117">
      <c r="A322" s="1109"/>
      <c r="AY322" s="2"/>
      <c r="AZ322" s="2"/>
      <c r="BA322" s="2"/>
      <c r="BC322" s="2"/>
      <c r="BD322" s="2"/>
      <c r="BE322" s="2"/>
      <c r="BF322" s="2"/>
      <c r="BH322" s="2"/>
      <c r="BI322" s="2"/>
      <c r="DD322" s="2"/>
      <c r="DE322" s="2"/>
      <c r="DI322" s="447"/>
      <c r="DJ322" s="447"/>
      <c r="DK322" s="2"/>
      <c r="DL322" s="2"/>
      <c r="DM322" s="2"/>
    </row>
    <row r="323" spans="1:117">
      <c r="A323" s="1109"/>
      <c r="AY323" s="2"/>
      <c r="AZ323" s="2"/>
      <c r="BA323" s="2"/>
      <c r="BC323" s="2"/>
      <c r="BD323" s="2"/>
      <c r="BE323" s="2"/>
      <c r="BF323" s="2"/>
      <c r="BH323" s="2"/>
      <c r="BI323" s="2"/>
      <c r="DD323" s="2"/>
      <c r="DE323" s="2"/>
      <c r="DI323" s="447"/>
      <c r="DJ323" s="447"/>
      <c r="DK323" s="2"/>
      <c r="DL323" s="2"/>
      <c r="DM323" s="2"/>
    </row>
    <row r="324" spans="1:117">
      <c r="A324" s="1109"/>
      <c r="AY324" s="2"/>
      <c r="AZ324" s="2"/>
      <c r="BA324" s="2"/>
      <c r="BC324" s="2"/>
      <c r="BD324" s="2"/>
      <c r="BE324" s="2"/>
      <c r="BF324" s="2"/>
      <c r="BH324" s="2"/>
      <c r="BI324" s="2"/>
      <c r="DD324" s="2"/>
      <c r="DE324" s="2"/>
      <c r="DI324" s="447"/>
      <c r="DJ324" s="447"/>
      <c r="DK324" s="2"/>
      <c r="DL324" s="2"/>
      <c r="DM324" s="2"/>
    </row>
    <row r="325" spans="1:117">
      <c r="A325" s="1109"/>
      <c r="AY325" s="2"/>
      <c r="AZ325" s="2"/>
      <c r="BA325" s="2"/>
      <c r="BC325" s="2"/>
      <c r="BD325" s="2"/>
      <c r="BE325" s="2"/>
      <c r="BF325" s="2"/>
      <c r="BH325" s="2"/>
      <c r="BI325" s="2"/>
      <c r="DD325" s="2"/>
      <c r="DE325" s="2"/>
      <c r="DI325" s="447"/>
      <c r="DJ325" s="447"/>
      <c r="DK325" s="2"/>
      <c r="DL325" s="2"/>
      <c r="DM325" s="2"/>
    </row>
    <row r="326" spans="1:117">
      <c r="A326" s="1109"/>
      <c r="AY326" s="2"/>
      <c r="AZ326" s="2"/>
      <c r="BA326" s="2"/>
      <c r="BC326" s="2"/>
      <c r="BD326" s="2"/>
      <c r="BE326" s="2"/>
      <c r="BF326" s="2"/>
      <c r="BH326" s="2"/>
      <c r="BI326" s="2"/>
      <c r="DD326" s="2"/>
      <c r="DE326" s="2"/>
      <c r="DK326" s="2"/>
      <c r="DL326" s="2"/>
      <c r="DM326" s="2"/>
    </row>
  </sheetData>
  <dataConsolidate function="countNums">
    <dataRefs count="1">
      <dataRef ref="DF26:DF31" sheet="Financial Model"/>
    </dataRefs>
  </dataConsolidate>
  <customSheetViews>
    <customSheetView guid="{2A82A09C-3BBB-4611-B6AA-7AE8EB9D6C99}" fitToPage="1" printArea="1" hiddenRows="1" hiddenColumns="1" showRuler="0">
      <pane xSplit="2" topLeftCell="C1" activePane="topRight" state="frozen"/>
      <selection pane="topRight" activeCell="H93" sqref="B5:H93"/>
      <pageMargins left="0.75" right="0.75" top="1" bottom="1" header="0.5" footer="0.5"/>
      <pageSetup scale="65" orientation="portrait" horizontalDpi="300" verticalDpi="300" r:id="rId1"/>
      <headerFooter alignWithMargins="0"/>
    </customSheetView>
  </customSheetViews>
  <phoneticPr fontId="2" type="noConversion"/>
  <pageMargins left="0" right="0" top="0" bottom="0" header="0" footer="0"/>
  <pageSetup paperSize="5" scale="11" orientation="landscape" horizontalDpi="300" verticalDpi="300" r:id="rId2"/>
  <headerFooter alignWithMargins="0"/>
  <ignoredErrors>
    <ignoredError sqref="DC81 CU78:DB81 CU68:DB69 CU82:DB102 CV44:DA44 CV49:DA52 CV47:CY47 DA47 CZ48:DA48 DC78 DI78:DL78 DC79 DI79:DL79 DC80 DI80:DL80 DI81:DL81 CS80:CT80 CU105:DB108 CU104:CZ104 DB104 CU132:CZ132 CU163:CZ167 CU136:CZ140 CU135 CW135:CZ135 CU71:DB77 CU70 CW70:DB70 CV55:DA55 CV53:DA53 CV54:DA54 CU142:CZ146 CV141:CZ141 CU161 CW161:CY161 CU162:CV162 CX162:CZ162 DE81 DE78 DE79 DE80 CU103 CZ103 CU134:CZ134 CU133 CZ133 CW46:DA46 CW45:DA45 E115:BQ140 BV117:BV140" formula="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sheetPr>
  <dimension ref="A1:DJ237"/>
  <sheetViews>
    <sheetView showGridLines="0" zoomScale="90" zoomScaleNormal="90" workbookViewId="0">
      <pane xSplit="4" ySplit="8" topLeftCell="CA69" activePane="bottomRight" state="frozen"/>
      <selection pane="topRight" activeCell="C1" sqref="C1"/>
      <selection pane="bottomLeft" activeCell="A9" sqref="A9"/>
      <selection pane="bottomRight" activeCell="DD126" sqref="DD126"/>
    </sheetView>
  </sheetViews>
  <sheetFormatPr defaultRowHeight="12.75" outlineLevelRow="1" outlineLevelCol="3"/>
  <cols>
    <col min="1" max="1" width="0.5703125" style="2" hidden="1" customWidth="1"/>
    <col min="2" max="2" width="0.42578125" style="2" hidden="1" customWidth="1"/>
    <col min="3" max="3" width="4.28515625" style="232" customWidth="1"/>
    <col min="4" max="4" width="26.5703125" style="231" customWidth="1"/>
    <col min="5" max="9" width="9.85546875" style="64" hidden="1" customWidth="1" outlineLevel="2"/>
    <col min="10" max="12" width="9.28515625" style="2" hidden="1" customWidth="1" outlineLevel="3"/>
    <col min="13" max="13" width="9.28515625" style="142" hidden="1" customWidth="1" outlineLevel="3"/>
    <col min="14" max="14" width="9.85546875" style="64" hidden="1" customWidth="1" outlineLevel="2"/>
    <col min="15" max="17" width="9.28515625" style="2" hidden="1" customWidth="1" outlineLevel="3"/>
    <col min="18" max="18" width="9.28515625" style="142" hidden="1" customWidth="1" outlineLevel="3"/>
    <col min="19" max="19" width="9.85546875" style="64" hidden="1" customWidth="1" outlineLevel="2"/>
    <col min="20" max="22" width="9.28515625" style="2" hidden="1" customWidth="1" outlineLevel="3"/>
    <col min="23" max="23" width="9.28515625" style="142" hidden="1" customWidth="1" outlineLevel="3"/>
    <col min="24" max="24" width="9.85546875" style="64" hidden="1" customWidth="1" outlineLevel="2"/>
    <col min="25" max="27" width="9.28515625" style="2" hidden="1" customWidth="1" outlineLevel="3"/>
    <col min="28" max="28" width="9.28515625" style="142" hidden="1" customWidth="1" outlineLevel="3"/>
    <col min="29" max="29" width="9.85546875" style="64" hidden="1" customWidth="1" outlineLevel="2"/>
    <col min="30" max="32" width="9.28515625" style="2" hidden="1" customWidth="1" outlineLevel="3"/>
    <col min="33" max="33" width="9.28515625" style="142" hidden="1" customWidth="1" outlineLevel="3"/>
    <col min="34" max="34" width="9.85546875" style="64" hidden="1" customWidth="1" outlineLevel="2"/>
    <col min="35" max="37" width="9.28515625" style="2" hidden="1" customWidth="1" outlineLevel="3"/>
    <col min="38" max="38" width="9.28515625" style="142" hidden="1" customWidth="1" outlineLevel="3"/>
    <col min="39" max="39" width="9.85546875" style="64" hidden="1" customWidth="1" outlineLevel="2"/>
    <col min="40" max="42" width="9.28515625" style="2" hidden="1" customWidth="1" outlineLevel="3"/>
    <col min="43" max="43" width="9.28515625" style="142" hidden="1" customWidth="1" outlineLevel="3"/>
    <col min="44" max="44" width="9.85546875" style="64" hidden="1" customWidth="1" outlineLevel="2"/>
    <col min="45" max="47" width="9.28515625" style="2" hidden="1" customWidth="1" outlineLevel="3"/>
    <col min="48" max="48" width="9.28515625" style="142" hidden="1" customWidth="1" outlineLevel="3"/>
    <col min="49" max="49" width="11.28515625" style="64" hidden="1" customWidth="1" outlineLevel="2"/>
    <col min="50" max="52" width="9.28515625" style="2" hidden="1" customWidth="1" outlineLevel="3"/>
    <col min="53" max="53" width="9.28515625" style="142" hidden="1" customWidth="1" outlineLevel="3"/>
    <col min="54" max="54" width="9.85546875" style="64" hidden="1" customWidth="1" outlineLevel="2"/>
    <col min="55" max="57" width="9.28515625" style="2" hidden="1" customWidth="1" outlineLevel="3"/>
    <col min="58" max="58" width="9.28515625" style="142" hidden="1" customWidth="1" outlineLevel="3"/>
    <col min="59" max="59" width="9.85546875" style="64" hidden="1" customWidth="1" outlineLevel="2"/>
    <col min="60" max="62" width="9.28515625" style="2" hidden="1" customWidth="1" outlineLevel="1"/>
    <col min="63" max="63" width="9.28515625" style="142" hidden="1" customWidth="1" outlineLevel="1"/>
    <col min="64" max="64" width="9.85546875" style="64" hidden="1" customWidth="1" outlineLevel="2" collapsed="1"/>
    <col min="65" max="67" width="9.28515625" style="2" hidden="1" customWidth="1" outlineLevel="3"/>
    <col min="68" max="68" width="9.28515625" style="142" hidden="1" customWidth="1" outlineLevel="3"/>
    <col min="69" max="69" width="9.85546875" style="64" hidden="1" customWidth="1" outlineLevel="2"/>
    <col min="70" max="72" width="9.28515625" style="2" hidden="1" customWidth="1" outlineLevel="3"/>
    <col min="73" max="73" width="9.28515625" style="142" hidden="1" customWidth="1" outlineLevel="3"/>
    <col min="74" max="74" width="9.85546875" style="64" hidden="1" customWidth="1" outlineLevel="2"/>
    <col min="75" max="77" width="9.28515625" style="2" hidden="1" customWidth="1" outlineLevel="1"/>
    <col min="78" max="78" width="9.28515625" style="142" hidden="1" customWidth="1" outlineLevel="1"/>
    <col min="79" max="79" width="9.85546875" style="64" customWidth="1" collapsed="1"/>
    <col min="80" max="82" width="9.28515625" style="2" hidden="1" customWidth="1" outlineLevel="1"/>
    <col min="83" max="83" width="9.28515625" style="142" hidden="1" customWidth="1" outlineLevel="1"/>
    <col min="84" max="84" width="9.85546875" style="64" customWidth="1" collapsed="1"/>
    <col min="85" max="87" width="9.28515625" style="2" hidden="1" customWidth="1" outlineLevel="1"/>
    <col min="88" max="88" width="9.28515625" style="142" hidden="1" customWidth="1" outlineLevel="1"/>
    <col min="89" max="89" width="9.85546875" style="64" customWidth="1" collapsed="1"/>
    <col min="90" max="92" width="9.28515625" style="2" hidden="1" customWidth="1" outlineLevel="1"/>
    <col min="93" max="93" width="9.28515625" style="142" hidden="1" customWidth="1" outlineLevel="1"/>
    <col min="94" max="94" width="9.85546875" style="64" customWidth="1" collapsed="1"/>
    <col min="95" max="95" width="9.28515625" style="2" customWidth="1" outlineLevel="1"/>
    <col min="96" max="96" width="10" style="2" customWidth="1" outlineLevel="1"/>
    <col min="97" max="97" width="9.28515625" style="2" customWidth="1" outlineLevel="1"/>
    <col min="98" max="98" width="9.28515625" style="142" customWidth="1" outlineLevel="1"/>
    <col min="99" max="99" width="10.5703125" style="64" customWidth="1"/>
    <col min="100" max="102" width="9.28515625" style="2" customWidth="1" outlineLevel="1"/>
    <col min="103" max="103" width="9.28515625" style="142" customWidth="1" outlineLevel="1"/>
    <col min="104" max="105" width="10.42578125" style="64" customWidth="1"/>
    <col min="106" max="106" width="10.42578125" style="1" customWidth="1"/>
    <col min="107" max="107" width="10.85546875" style="1" customWidth="1"/>
    <col min="108" max="108" width="13.42578125" style="2" bestFit="1" customWidth="1"/>
    <col min="109" max="109" width="9.140625" style="2"/>
    <col min="110" max="114" width="10.28515625" style="1" customWidth="1"/>
    <col min="115" max="16384" width="9.140625" style="2"/>
  </cols>
  <sheetData>
    <row r="1" spans="3:114" s="6" customFormat="1" ht="18">
      <c r="C1" s="37" t="s">
        <v>725</v>
      </c>
      <c r="D1" s="37"/>
      <c r="E1" s="198"/>
      <c r="F1" s="198"/>
      <c r="G1" s="198"/>
      <c r="H1" s="198"/>
      <c r="I1" s="198"/>
      <c r="J1" s="116"/>
      <c r="K1" s="112"/>
      <c r="L1" s="112"/>
      <c r="M1" s="112"/>
      <c r="N1" s="198"/>
      <c r="O1" s="116"/>
      <c r="P1" s="112"/>
      <c r="Q1" s="112"/>
      <c r="R1" s="112"/>
      <c r="S1" s="198"/>
      <c r="T1" s="116"/>
      <c r="U1" s="112"/>
      <c r="V1" s="112"/>
      <c r="W1" s="112"/>
      <c r="X1" s="198"/>
      <c r="Y1" s="116"/>
      <c r="Z1" s="112"/>
      <c r="AA1" s="112"/>
      <c r="AB1" s="112"/>
      <c r="AC1" s="198"/>
      <c r="AD1" s="116"/>
      <c r="AE1" s="112"/>
      <c r="AF1" s="112"/>
      <c r="AG1" s="112"/>
      <c r="AH1" s="198"/>
      <c r="AI1" s="116"/>
      <c r="AJ1" s="112"/>
      <c r="AK1" s="112"/>
      <c r="AL1" s="112"/>
      <c r="AM1" s="198"/>
      <c r="AN1" s="116"/>
      <c r="AO1" s="112"/>
      <c r="AP1" s="112"/>
      <c r="AQ1" s="112"/>
      <c r="AR1" s="198"/>
      <c r="AS1" s="116"/>
      <c r="AT1" s="112"/>
      <c r="AU1" s="112"/>
      <c r="AV1" s="112"/>
      <c r="AW1" s="198"/>
      <c r="AX1" s="116"/>
      <c r="AY1" s="112"/>
      <c r="AZ1" s="112"/>
      <c r="BA1" s="112"/>
      <c r="BB1" s="198"/>
      <c r="BC1" s="116"/>
      <c r="BD1" s="112"/>
      <c r="BE1" s="112"/>
      <c r="BF1" s="112"/>
      <c r="BG1" s="198"/>
      <c r="BH1" s="116"/>
      <c r="BI1" s="112"/>
      <c r="BJ1" s="112"/>
      <c r="BK1" s="112"/>
      <c r="BL1" s="198"/>
      <c r="BM1" s="116"/>
      <c r="BN1" s="112"/>
      <c r="BO1" s="112"/>
      <c r="BP1" s="112"/>
      <c r="BQ1" s="198"/>
      <c r="BR1" s="116"/>
      <c r="BS1" s="112"/>
      <c r="BT1" s="112"/>
      <c r="BU1" s="112"/>
      <c r="BV1" s="198"/>
      <c r="BW1" s="116"/>
      <c r="BX1" s="112"/>
      <c r="BY1" s="112"/>
      <c r="BZ1" s="112"/>
      <c r="CA1" s="198"/>
      <c r="CB1" s="116"/>
      <c r="CC1" s="112"/>
      <c r="CD1" s="112"/>
      <c r="CE1" s="112"/>
      <c r="CF1" s="198"/>
      <c r="CG1" s="116"/>
      <c r="CH1" s="112"/>
      <c r="CI1" s="112"/>
      <c r="CJ1" s="112"/>
      <c r="CK1" s="198"/>
      <c r="CL1" s="112"/>
      <c r="CM1" s="112"/>
      <c r="CN1" s="112"/>
      <c r="CO1" s="116"/>
      <c r="CP1" s="198"/>
      <c r="CQ1" s="112"/>
      <c r="CR1" s="112"/>
      <c r="CS1" s="112"/>
      <c r="CT1" s="116"/>
      <c r="CU1" s="198"/>
      <c r="CV1" s="112"/>
      <c r="CW1" s="112"/>
      <c r="CX1" s="112"/>
      <c r="CY1" s="112"/>
      <c r="CZ1" s="198"/>
      <c r="DA1" s="198"/>
      <c r="DB1" s="323"/>
      <c r="DC1" s="198"/>
      <c r="DF1" s="107"/>
      <c r="DG1" s="107"/>
      <c r="DH1" s="107"/>
      <c r="DI1" s="107"/>
      <c r="DJ1" s="107"/>
    </row>
    <row r="2" spans="3:114" s="6" customFormat="1">
      <c r="C2" s="8" t="s">
        <v>49</v>
      </c>
      <c r="D2" s="8"/>
      <c r="E2" s="198"/>
      <c r="F2" s="198"/>
      <c r="G2" s="198"/>
      <c r="H2" s="198"/>
      <c r="I2" s="198"/>
      <c r="J2" s="116"/>
      <c r="K2" s="112"/>
      <c r="L2" s="112"/>
      <c r="M2" s="112"/>
      <c r="N2" s="198"/>
      <c r="O2" s="116"/>
      <c r="P2" s="112"/>
      <c r="Q2" s="112"/>
      <c r="R2" s="112"/>
      <c r="S2" s="198"/>
      <c r="T2" s="116"/>
      <c r="U2" s="112"/>
      <c r="V2" s="112"/>
      <c r="W2" s="112"/>
      <c r="X2" s="198"/>
      <c r="Y2" s="116"/>
      <c r="Z2" s="112"/>
      <c r="AA2" s="112"/>
      <c r="AB2" s="112"/>
      <c r="AC2" s="198"/>
      <c r="AD2" s="116"/>
      <c r="AE2" s="112"/>
      <c r="AF2" s="112"/>
      <c r="AG2" s="112"/>
      <c r="AH2" s="198"/>
      <c r="AI2" s="116"/>
      <c r="AJ2" s="112"/>
      <c r="AK2" s="112"/>
      <c r="AL2" s="112"/>
      <c r="AM2" s="198"/>
      <c r="AN2" s="116"/>
      <c r="AO2" s="112"/>
      <c r="AP2" s="112"/>
      <c r="AQ2" s="112"/>
      <c r="AR2" s="198"/>
      <c r="AS2" s="116"/>
      <c r="AT2" s="112"/>
      <c r="AU2" s="112"/>
      <c r="AV2" s="112"/>
      <c r="AW2" s="198"/>
      <c r="AX2" s="116"/>
      <c r="AY2" s="112"/>
      <c r="AZ2" s="112"/>
      <c r="BA2" s="112"/>
      <c r="BB2" s="198"/>
      <c r="BC2" s="116"/>
      <c r="BD2" s="112"/>
      <c r="BE2" s="112"/>
      <c r="BF2" s="112"/>
      <c r="BG2" s="198"/>
      <c r="BH2" s="116"/>
      <c r="BI2" s="112"/>
      <c r="BJ2" s="112"/>
      <c r="BK2" s="112"/>
      <c r="BL2" s="198"/>
      <c r="BM2" s="116"/>
      <c r="BN2" s="112"/>
      <c r="BO2" s="112"/>
      <c r="BP2" s="112"/>
      <c r="BQ2" s="198"/>
      <c r="BR2" s="116"/>
      <c r="BS2" s="112"/>
      <c r="BT2" s="112"/>
      <c r="BU2" s="112"/>
      <c r="BV2" s="198"/>
      <c r="BW2" s="116"/>
      <c r="BX2" s="112"/>
      <c r="BY2" s="112"/>
      <c r="BZ2" s="112"/>
      <c r="CA2" s="198"/>
      <c r="CB2" s="116"/>
      <c r="CC2" s="112"/>
      <c r="CD2" s="112"/>
      <c r="CE2" s="112"/>
      <c r="CF2" s="198"/>
      <c r="CG2" s="116"/>
      <c r="CH2" s="112"/>
      <c r="CI2" s="112"/>
      <c r="CJ2" s="112"/>
      <c r="CK2" s="198"/>
      <c r="CL2" s="112"/>
      <c r="CM2" s="112"/>
      <c r="CN2" s="112"/>
      <c r="CO2" s="116"/>
      <c r="CP2" s="198"/>
      <c r="CQ2" s="112"/>
      <c r="CR2" s="112"/>
      <c r="CS2" s="112"/>
      <c r="CT2" s="116"/>
      <c r="CU2" s="198"/>
      <c r="CV2" s="112"/>
      <c r="CW2" s="112"/>
      <c r="CX2" s="112"/>
      <c r="CY2" s="112"/>
      <c r="CZ2" s="198"/>
      <c r="DA2" s="198"/>
      <c r="DB2" s="323"/>
      <c r="DC2" s="198"/>
      <c r="DF2" s="107"/>
      <c r="DG2" s="107"/>
      <c r="DH2" s="107"/>
      <c r="DI2" s="107"/>
      <c r="DJ2" s="107"/>
    </row>
    <row r="3" spans="3:114" s="6" customFormat="1" ht="13.5" customHeight="1">
      <c r="C3" s="36"/>
      <c r="D3" s="36"/>
      <c r="E3" s="198"/>
      <c r="F3" s="198"/>
      <c r="G3" s="198"/>
      <c r="H3" s="198"/>
      <c r="I3" s="198"/>
      <c r="J3" s="116"/>
      <c r="K3" s="112"/>
      <c r="L3" s="112"/>
      <c r="M3" s="112"/>
      <c r="N3" s="198"/>
      <c r="O3" s="116"/>
      <c r="P3" s="112"/>
      <c r="Q3" s="112"/>
      <c r="R3" s="112"/>
      <c r="S3" s="198"/>
      <c r="T3" s="116"/>
      <c r="U3" s="112"/>
      <c r="V3" s="112"/>
      <c r="W3" s="112"/>
      <c r="X3" s="198"/>
      <c r="Y3" s="116"/>
      <c r="Z3" s="112"/>
      <c r="AA3" s="112"/>
      <c r="AB3" s="112"/>
      <c r="AC3" s="198"/>
      <c r="AD3" s="116"/>
      <c r="AE3" s="112"/>
      <c r="AF3" s="112"/>
      <c r="AG3" s="112"/>
      <c r="AH3" s="198"/>
      <c r="AI3" s="116"/>
      <c r="AJ3" s="112"/>
      <c r="AK3" s="112"/>
      <c r="AL3" s="112"/>
      <c r="AM3" s="198"/>
      <c r="AN3" s="116"/>
      <c r="AO3" s="112"/>
      <c r="AP3" s="112"/>
      <c r="AQ3" s="112"/>
      <c r="AR3" s="198"/>
      <c r="AS3" s="116"/>
      <c r="AT3" s="112"/>
      <c r="AU3" s="112"/>
      <c r="AV3" s="112"/>
      <c r="AW3" s="198"/>
      <c r="AX3" s="116"/>
      <c r="AY3" s="112"/>
      <c r="AZ3" s="112"/>
      <c r="BA3" s="112"/>
      <c r="BB3" s="198"/>
      <c r="BC3" s="116"/>
      <c r="BD3" s="112"/>
      <c r="BE3" s="112"/>
      <c r="BF3" s="112"/>
      <c r="BG3" s="198"/>
      <c r="BH3" s="116"/>
      <c r="BI3" s="112"/>
      <c r="BJ3" s="112"/>
      <c r="BK3" s="112"/>
      <c r="BL3" s="198"/>
      <c r="BM3" s="116"/>
      <c r="BN3" s="112"/>
      <c r="BO3" s="112"/>
      <c r="BP3" s="112"/>
      <c r="BQ3" s="198"/>
      <c r="BR3" s="116"/>
      <c r="BS3" s="112"/>
      <c r="BT3" s="112"/>
      <c r="BU3" s="112"/>
      <c r="BV3" s="198"/>
      <c r="BW3" s="116"/>
      <c r="BX3" s="112"/>
      <c r="BY3" s="112"/>
      <c r="BZ3" s="112"/>
      <c r="CA3" s="198"/>
      <c r="CB3" s="116"/>
      <c r="CC3" s="112"/>
      <c r="CD3" s="112"/>
      <c r="CE3" s="112"/>
      <c r="CF3" s="198"/>
      <c r="CG3" s="116"/>
      <c r="CH3" s="112"/>
      <c r="CI3" s="112"/>
      <c r="CJ3" s="112"/>
      <c r="CK3" s="198"/>
      <c r="CL3" s="112"/>
      <c r="CM3" s="112"/>
      <c r="CN3" s="112"/>
      <c r="CO3" s="116"/>
      <c r="CP3" s="198"/>
      <c r="CQ3" s="112"/>
      <c r="CR3" s="112"/>
      <c r="CS3" s="112"/>
      <c r="CT3" s="116"/>
      <c r="CU3" s="198"/>
      <c r="CV3" s="112"/>
      <c r="CW3" s="112"/>
      <c r="CX3" s="112"/>
      <c r="CY3" s="112"/>
      <c r="CZ3" s="198"/>
      <c r="DA3" s="198"/>
      <c r="DB3" s="323"/>
      <c r="DC3" s="198"/>
      <c r="DF3" s="108"/>
      <c r="DG3" s="108"/>
      <c r="DH3" s="108"/>
      <c r="DI3" s="108"/>
      <c r="DJ3" s="108"/>
    </row>
    <row r="4" spans="3:114" s="6" customFormat="1" ht="13.5" customHeight="1">
      <c r="C4" s="104">
        <v>1</v>
      </c>
      <c r="D4" s="199" t="s">
        <v>50</v>
      </c>
      <c r="E4" s="113" t="s">
        <v>71</v>
      </c>
      <c r="F4" s="113" t="s">
        <v>70</v>
      </c>
      <c r="G4" s="113" t="s">
        <v>69</v>
      </c>
      <c r="H4" s="113" t="s">
        <v>68</v>
      </c>
      <c r="I4" s="113" t="s">
        <v>284</v>
      </c>
      <c r="J4" s="116" t="s">
        <v>301</v>
      </c>
      <c r="K4" s="112" t="s">
        <v>298</v>
      </c>
      <c r="L4" s="112" t="s">
        <v>299</v>
      </c>
      <c r="M4" s="112" t="s">
        <v>300</v>
      </c>
      <c r="N4" s="113" t="s">
        <v>279</v>
      </c>
      <c r="O4" s="116" t="s">
        <v>297</v>
      </c>
      <c r="P4" s="112" t="s">
        <v>294</v>
      </c>
      <c r="Q4" s="112" t="s">
        <v>295</v>
      </c>
      <c r="R4" s="112" t="s">
        <v>296</v>
      </c>
      <c r="S4" s="113" t="s">
        <v>280</v>
      </c>
      <c r="T4" s="116" t="s">
        <v>285</v>
      </c>
      <c r="U4" s="112" t="s">
        <v>286</v>
      </c>
      <c r="V4" s="112" t="s">
        <v>287</v>
      </c>
      <c r="W4" s="112" t="s">
        <v>288</v>
      </c>
      <c r="X4" s="113" t="s">
        <v>281</v>
      </c>
      <c r="Y4" s="116" t="s">
        <v>290</v>
      </c>
      <c r="Z4" s="112" t="s">
        <v>291</v>
      </c>
      <c r="AA4" s="112" t="s">
        <v>292</v>
      </c>
      <c r="AB4" s="112" t="s">
        <v>293</v>
      </c>
      <c r="AC4" s="113" t="s">
        <v>282</v>
      </c>
      <c r="AD4" s="116" t="s">
        <v>17</v>
      </c>
      <c r="AE4" s="112" t="s">
        <v>18</v>
      </c>
      <c r="AF4" s="112" t="s">
        <v>19</v>
      </c>
      <c r="AG4" s="112" t="s">
        <v>20</v>
      </c>
      <c r="AH4" s="113" t="s">
        <v>328</v>
      </c>
      <c r="AI4" s="116" t="s">
        <v>35</v>
      </c>
      <c r="AJ4" s="112" t="s">
        <v>40</v>
      </c>
      <c r="AK4" s="112" t="s">
        <v>278</v>
      </c>
      <c r="AL4" s="112" t="s">
        <v>33</v>
      </c>
      <c r="AM4" s="113" t="s">
        <v>329</v>
      </c>
      <c r="AN4" s="116" t="s">
        <v>34</v>
      </c>
      <c r="AO4" s="112" t="s">
        <v>336</v>
      </c>
      <c r="AP4" s="112" t="s">
        <v>337</v>
      </c>
      <c r="AQ4" s="112" t="s">
        <v>338</v>
      </c>
      <c r="AR4" s="113" t="s">
        <v>330</v>
      </c>
      <c r="AS4" s="116" t="s">
        <v>21</v>
      </c>
      <c r="AT4" s="112" t="s">
        <v>23</v>
      </c>
      <c r="AU4" s="112" t="s">
        <v>24</v>
      </c>
      <c r="AV4" s="112" t="s">
        <v>25</v>
      </c>
      <c r="AW4" s="113" t="s">
        <v>331</v>
      </c>
      <c r="AX4" s="116" t="s">
        <v>274</v>
      </c>
      <c r="AY4" s="112" t="s">
        <v>275</v>
      </c>
      <c r="AZ4" s="112" t="s">
        <v>276</v>
      </c>
      <c r="BA4" s="112" t="s">
        <v>277</v>
      </c>
      <c r="BB4" s="113" t="s">
        <v>332</v>
      </c>
      <c r="BC4" s="116" t="s">
        <v>32</v>
      </c>
      <c r="BD4" s="112" t="s">
        <v>339</v>
      </c>
      <c r="BE4" s="112" t="s">
        <v>340</v>
      </c>
      <c r="BF4" s="112" t="s">
        <v>341</v>
      </c>
      <c r="BG4" s="113" t="s">
        <v>333</v>
      </c>
      <c r="BH4" s="116" t="s">
        <v>215</v>
      </c>
      <c r="BI4" s="112" t="s">
        <v>216</v>
      </c>
      <c r="BJ4" s="112" t="s">
        <v>217</v>
      </c>
      <c r="BK4" s="112" t="s">
        <v>218</v>
      </c>
      <c r="BL4" s="113" t="s">
        <v>334</v>
      </c>
      <c r="BM4" s="116" t="s">
        <v>41</v>
      </c>
      <c r="BN4" s="112" t="s">
        <v>42</v>
      </c>
      <c r="BO4" s="112" t="s">
        <v>43</v>
      </c>
      <c r="BP4" s="112" t="s">
        <v>44</v>
      </c>
      <c r="BQ4" s="113" t="s">
        <v>272</v>
      </c>
      <c r="BR4" s="116" t="s">
        <v>56</v>
      </c>
      <c r="BS4" s="112" t="s">
        <v>57</v>
      </c>
      <c r="BT4" s="112" t="s">
        <v>58</v>
      </c>
      <c r="BU4" s="112" t="s">
        <v>59</v>
      </c>
      <c r="BV4" s="113" t="s">
        <v>273</v>
      </c>
      <c r="BW4" s="116" t="s">
        <v>183</v>
      </c>
      <c r="BX4" s="112" t="s">
        <v>184</v>
      </c>
      <c r="BY4" s="112" t="s">
        <v>185</v>
      </c>
      <c r="BZ4" s="112" t="s">
        <v>186</v>
      </c>
      <c r="CA4" s="113" t="s">
        <v>219</v>
      </c>
      <c r="CB4" s="116" t="s">
        <v>194</v>
      </c>
      <c r="CC4" s="112" t="s">
        <v>195</v>
      </c>
      <c r="CD4" s="112" t="s">
        <v>196</v>
      </c>
      <c r="CE4" s="112" t="s">
        <v>197</v>
      </c>
      <c r="CF4" s="113" t="s">
        <v>220</v>
      </c>
      <c r="CG4" s="116" t="s">
        <v>252</v>
      </c>
      <c r="CH4" s="112" t="s">
        <v>253</v>
      </c>
      <c r="CI4" s="112" t="s">
        <v>254</v>
      </c>
      <c r="CJ4" s="112" t="s">
        <v>255</v>
      </c>
      <c r="CK4" s="113" t="s">
        <v>221</v>
      </c>
      <c r="CL4" s="112" t="s">
        <v>256</v>
      </c>
      <c r="CM4" s="112" t="s">
        <v>257</v>
      </c>
      <c r="CN4" s="112" t="s">
        <v>258</v>
      </c>
      <c r="CO4" s="116" t="s">
        <v>259</v>
      </c>
      <c r="CP4" s="113" t="s">
        <v>48</v>
      </c>
      <c r="CQ4" s="112" t="s">
        <v>260</v>
      </c>
      <c r="CR4" s="112" t="s">
        <v>261</v>
      </c>
      <c r="CS4" s="112" t="s">
        <v>262</v>
      </c>
      <c r="CT4" s="116" t="s">
        <v>263</v>
      </c>
      <c r="CU4" s="113" t="s">
        <v>53</v>
      </c>
      <c r="CV4" s="112" t="s">
        <v>803</v>
      </c>
      <c r="CW4" s="112" t="s">
        <v>804</v>
      </c>
      <c r="CX4" s="112" t="s">
        <v>805</v>
      </c>
      <c r="CY4" s="112" t="s">
        <v>806</v>
      </c>
      <c r="CZ4" s="113" t="s">
        <v>361</v>
      </c>
      <c r="DA4" s="113" t="s">
        <v>362</v>
      </c>
      <c r="DB4" s="372" t="s">
        <v>363</v>
      </c>
      <c r="DC4" s="113" t="s">
        <v>383</v>
      </c>
      <c r="DF4" s="108" t="s">
        <v>198</v>
      </c>
      <c r="DG4" s="108" t="s">
        <v>201</v>
      </c>
      <c r="DH4" s="108" t="s">
        <v>202</v>
      </c>
      <c r="DI4" s="108" t="s">
        <v>203</v>
      </c>
      <c r="DJ4" s="108" t="s">
        <v>322</v>
      </c>
    </row>
    <row r="5" spans="3:114" s="6" customFormat="1" ht="13.5" customHeight="1">
      <c r="C5" s="105">
        <f>C4+1</f>
        <v>2</v>
      </c>
      <c r="D5" s="199" t="s">
        <v>47</v>
      </c>
      <c r="E5" s="113" t="s">
        <v>66</v>
      </c>
      <c r="F5" s="113" t="s">
        <v>65</v>
      </c>
      <c r="G5" s="113" t="s">
        <v>64</v>
      </c>
      <c r="H5" s="113" t="s">
        <v>63</v>
      </c>
      <c r="I5" s="113" t="s">
        <v>317</v>
      </c>
      <c r="J5" s="116" t="s">
        <v>312</v>
      </c>
      <c r="K5" s="112" t="s">
        <v>313</v>
      </c>
      <c r="L5" s="112" t="s">
        <v>314</v>
      </c>
      <c r="M5" s="112" t="s">
        <v>315</v>
      </c>
      <c r="N5" s="113" t="s">
        <v>316</v>
      </c>
      <c r="O5" s="116" t="s">
        <v>307</v>
      </c>
      <c r="P5" s="112" t="s">
        <v>308</v>
      </c>
      <c r="Q5" s="112" t="s">
        <v>309</v>
      </c>
      <c r="R5" s="112" t="s">
        <v>310</v>
      </c>
      <c r="S5" s="113" t="s">
        <v>311</v>
      </c>
      <c r="T5" s="116" t="s">
        <v>222</v>
      </c>
      <c r="U5" s="112" t="s">
        <v>223</v>
      </c>
      <c r="V5" s="112" t="s">
        <v>224</v>
      </c>
      <c r="W5" s="112" t="s">
        <v>225</v>
      </c>
      <c r="X5" s="113" t="s">
        <v>226</v>
      </c>
      <c r="Y5" s="116" t="s">
        <v>227</v>
      </c>
      <c r="Z5" s="112" t="s">
        <v>228</v>
      </c>
      <c r="AA5" s="112" t="s">
        <v>229</v>
      </c>
      <c r="AB5" s="112" t="s">
        <v>230</v>
      </c>
      <c r="AC5" s="113" t="s">
        <v>231</v>
      </c>
      <c r="AD5" s="116" t="s">
        <v>7</v>
      </c>
      <c r="AE5" s="112" t="s">
        <v>8</v>
      </c>
      <c r="AF5" s="112" t="s">
        <v>9</v>
      </c>
      <c r="AG5" s="112" t="s">
        <v>6</v>
      </c>
      <c r="AH5" s="113" t="s">
        <v>232</v>
      </c>
      <c r="AI5" s="116" t="s">
        <v>233</v>
      </c>
      <c r="AJ5" s="112" t="s">
        <v>10</v>
      </c>
      <c r="AK5" s="112" t="s">
        <v>234</v>
      </c>
      <c r="AL5" s="112" t="s">
        <v>11</v>
      </c>
      <c r="AM5" s="113" t="s">
        <v>235</v>
      </c>
      <c r="AN5" s="116" t="s">
        <v>236</v>
      </c>
      <c r="AO5" s="112" t="s">
        <v>237</v>
      </c>
      <c r="AP5" s="112" t="s">
        <v>238</v>
      </c>
      <c r="AQ5" s="112" t="s">
        <v>239</v>
      </c>
      <c r="AR5" s="113" t="s">
        <v>240</v>
      </c>
      <c r="AS5" s="116" t="s">
        <v>3</v>
      </c>
      <c r="AT5" s="112" t="s">
        <v>4</v>
      </c>
      <c r="AU5" s="112" t="s">
        <v>5</v>
      </c>
      <c r="AV5" s="112" t="s">
        <v>346</v>
      </c>
      <c r="AW5" s="113" t="s">
        <v>241</v>
      </c>
      <c r="AX5" s="116" t="s">
        <v>347</v>
      </c>
      <c r="AY5" s="112" t="s">
        <v>348</v>
      </c>
      <c r="AZ5" s="112" t="s">
        <v>349</v>
      </c>
      <c r="BA5" s="112" t="s">
        <v>350</v>
      </c>
      <c r="BB5" s="113" t="s">
        <v>242</v>
      </c>
      <c r="BC5" s="116" t="s">
        <v>351</v>
      </c>
      <c r="BD5" s="112" t="s">
        <v>352</v>
      </c>
      <c r="BE5" s="112" t="s">
        <v>327</v>
      </c>
      <c r="BF5" s="112" t="s">
        <v>15</v>
      </c>
      <c r="BG5" s="113" t="s">
        <v>306</v>
      </c>
      <c r="BH5" s="116" t="s">
        <v>305</v>
      </c>
      <c r="BI5" s="112" t="s">
        <v>78</v>
      </c>
      <c r="BJ5" s="112" t="s">
        <v>212</v>
      </c>
      <c r="BK5" s="112" t="s">
        <v>269</v>
      </c>
      <c r="BL5" s="113" t="s">
        <v>270</v>
      </c>
      <c r="BM5" s="116" t="s">
        <v>211</v>
      </c>
      <c r="BN5" s="112" t="s">
        <v>141</v>
      </c>
      <c r="BO5" s="112" t="s">
        <v>142</v>
      </c>
      <c r="BP5" s="112" t="s">
        <v>214</v>
      </c>
      <c r="BQ5" s="113" t="s">
        <v>55</v>
      </c>
      <c r="BR5" s="116" t="s">
        <v>175</v>
      </c>
      <c r="BS5" s="112" t="s">
        <v>250</v>
      </c>
      <c r="BT5" s="112" t="s">
        <v>128</v>
      </c>
      <c r="BU5" s="112" t="s">
        <v>12</v>
      </c>
      <c r="BV5" s="113" t="s">
        <v>13</v>
      </c>
      <c r="BW5" s="116" t="s">
        <v>60</v>
      </c>
      <c r="BX5" s="112" t="s">
        <v>172</v>
      </c>
      <c r="BY5" s="112" t="s">
        <v>283</v>
      </c>
      <c r="BZ5" s="112" t="s">
        <v>22</v>
      </c>
      <c r="CA5" s="113" t="s">
        <v>358</v>
      </c>
      <c r="CB5" s="116" t="s">
        <v>210</v>
      </c>
      <c r="CC5" s="112" t="s">
        <v>359</v>
      </c>
      <c r="CD5" s="112" t="s">
        <v>360</v>
      </c>
      <c r="CE5" s="112" t="s">
        <v>367</v>
      </c>
      <c r="CF5" s="113" t="s">
        <v>801</v>
      </c>
      <c r="CG5" s="116" t="s">
        <v>368</v>
      </c>
      <c r="CH5" s="112" t="s">
        <v>369</v>
      </c>
      <c r="CI5" s="112" t="s">
        <v>370</v>
      </c>
      <c r="CJ5" s="112" t="s">
        <v>371</v>
      </c>
      <c r="CK5" s="113" t="s">
        <v>382</v>
      </c>
      <c r="CL5" s="112" t="s">
        <v>372</v>
      </c>
      <c r="CM5" s="112" t="s">
        <v>373</v>
      </c>
      <c r="CN5" s="112" t="s">
        <v>375</v>
      </c>
      <c r="CO5" s="116" t="s">
        <v>380</v>
      </c>
      <c r="CP5" s="113" t="s">
        <v>381</v>
      </c>
      <c r="CQ5" s="112" t="s">
        <v>376</v>
      </c>
      <c r="CR5" s="112" t="s">
        <v>377</v>
      </c>
      <c r="CS5" s="112" t="s">
        <v>378</v>
      </c>
      <c r="CT5" s="116" t="s">
        <v>379</v>
      </c>
      <c r="CU5" s="113" t="s">
        <v>54</v>
      </c>
      <c r="CV5" s="112" t="s">
        <v>807</v>
      </c>
      <c r="CW5" s="112" t="s">
        <v>808</v>
      </c>
      <c r="CX5" s="112" t="s">
        <v>809</v>
      </c>
      <c r="CY5" s="112" t="s">
        <v>810</v>
      </c>
      <c r="CZ5" s="113" t="s">
        <v>364</v>
      </c>
      <c r="DA5" s="113" t="s">
        <v>365</v>
      </c>
      <c r="DB5" s="372" t="s">
        <v>366</v>
      </c>
      <c r="DC5" s="113" t="s">
        <v>384</v>
      </c>
      <c r="DF5" s="108" t="str">
        <f>CT5</f>
        <v>4Q17</v>
      </c>
      <c r="DG5" s="108" t="s">
        <v>379</v>
      </c>
      <c r="DH5" s="108" t="str">
        <f>CO5</f>
        <v>4Q16</v>
      </c>
      <c r="DI5" s="108"/>
      <c r="DJ5" s="108"/>
    </row>
    <row r="6" spans="3:114" s="6" customFormat="1" ht="13.5" customHeight="1">
      <c r="C6" s="105">
        <f>C5+1</f>
        <v>3</v>
      </c>
      <c r="D6" s="199" t="s">
        <v>51</v>
      </c>
      <c r="E6" s="113"/>
      <c r="F6" s="113"/>
      <c r="G6" s="113"/>
      <c r="H6" s="113"/>
      <c r="I6" s="113"/>
      <c r="J6" s="200">
        <v>36616</v>
      </c>
      <c r="K6" s="201">
        <f>EOMONTH(J6,3)</f>
        <v>36707</v>
      </c>
      <c r="L6" s="201">
        <f>EOMONTH(K6,3)</f>
        <v>36799</v>
      </c>
      <c r="M6" s="201">
        <f>EOMONTH(L6,3)</f>
        <v>36891</v>
      </c>
      <c r="N6" s="113"/>
      <c r="O6" s="200">
        <f>EOMONTH(M6,3)</f>
        <v>36981</v>
      </c>
      <c r="P6" s="201">
        <f>EOMONTH(O6,3)</f>
        <v>37072</v>
      </c>
      <c r="Q6" s="201">
        <f>EOMONTH(P6,3)</f>
        <v>37164</v>
      </c>
      <c r="R6" s="201">
        <f>EOMONTH(Q6,3)</f>
        <v>37256</v>
      </c>
      <c r="S6" s="113"/>
      <c r="T6" s="200">
        <f>EOMONTH(R6,3)</f>
        <v>37346</v>
      </c>
      <c r="U6" s="201">
        <f>EOMONTH(T6,3)</f>
        <v>37437</v>
      </c>
      <c r="V6" s="201">
        <f>EOMONTH(U6,3)</f>
        <v>37529</v>
      </c>
      <c r="W6" s="201">
        <f>EOMONTH(V6,3)</f>
        <v>37621</v>
      </c>
      <c r="X6" s="113"/>
      <c r="Y6" s="200">
        <f>EOMONTH(W6,3)</f>
        <v>37711</v>
      </c>
      <c r="Z6" s="201">
        <f>EOMONTH(Y6,3)</f>
        <v>37802</v>
      </c>
      <c r="AA6" s="201">
        <f>EOMONTH(Z6,3)</f>
        <v>37894</v>
      </c>
      <c r="AB6" s="201">
        <f>EOMONTH(AA6,3)</f>
        <v>37986</v>
      </c>
      <c r="AC6" s="113"/>
      <c r="AD6" s="200">
        <f>EOMONTH(AB6,3)</f>
        <v>38077</v>
      </c>
      <c r="AE6" s="201">
        <f>EOMONTH(AD6,3)</f>
        <v>38168</v>
      </c>
      <c r="AF6" s="201">
        <f>EOMONTH(AE6,3)</f>
        <v>38260</v>
      </c>
      <c r="AG6" s="201">
        <f>EOMONTH(AF6,3)</f>
        <v>38352</v>
      </c>
      <c r="AH6" s="113"/>
      <c r="AI6" s="200">
        <f>EOMONTH(AG6,3)</f>
        <v>38442</v>
      </c>
      <c r="AJ6" s="201">
        <f>EOMONTH(AI6,3)</f>
        <v>38533</v>
      </c>
      <c r="AK6" s="201">
        <f>EOMONTH(AJ6,3)</f>
        <v>38625</v>
      </c>
      <c r="AL6" s="201">
        <f>EOMONTH(AK6,3)</f>
        <v>38717</v>
      </c>
      <c r="AM6" s="113"/>
      <c r="AN6" s="200">
        <f>EOMONTH(AL6,3)</f>
        <v>38807</v>
      </c>
      <c r="AO6" s="201">
        <f>EOMONTH(AN6,3)</f>
        <v>38898</v>
      </c>
      <c r="AP6" s="201">
        <f>EOMONTH(AO6,3)</f>
        <v>38990</v>
      </c>
      <c r="AQ6" s="201">
        <f>EOMONTH(AP6,3)</f>
        <v>39082</v>
      </c>
      <c r="AR6" s="113"/>
      <c r="AS6" s="200">
        <f>EOMONTH(AQ6,3)</f>
        <v>39172</v>
      </c>
      <c r="AT6" s="201">
        <f>EOMONTH(AS6,3)</f>
        <v>39263</v>
      </c>
      <c r="AU6" s="201">
        <f>EOMONTH(AT6,3)</f>
        <v>39355</v>
      </c>
      <c r="AV6" s="201">
        <f>EOMONTH(AU6,3)</f>
        <v>39447</v>
      </c>
      <c r="AW6" s="113"/>
      <c r="AX6" s="200">
        <f>EOMONTH(AV6,3)</f>
        <v>39538</v>
      </c>
      <c r="AY6" s="201">
        <f>EOMONTH(AX6,3)</f>
        <v>39629</v>
      </c>
      <c r="AZ6" s="201">
        <f>EOMONTH(AY6,3)</f>
        <v>39721</v>
      </c>
      <c r="BA6" s="201">
        <f>EOMONTH(AZ6,3)</f>
        <v>39813</v>
      </c>
      <c r="BB6" s="113"/>
      <c r="BC6" s="200">
        <f>EOMONTH(BA6,3)</f>
        <v>39903</v>
      </c>
      <c r="BD6" s="201">
        <f>EOMONTH(BC6,3)</f>
        <v>39994</v>
      </c>
      <c r="BE6" s="201">
        <f>EOMONTH(BD6,3)</f>
        <v>40086</v>
      </c>
      <c r="BF6" s="201">
        <f>EOMONTH(BE6,3)</f>
        <v>40178</v>
      </c>
      <c r="BG6" s="113"/>
      <c r="BH6" s="200">
        <f>EOMONTH(BF6,3)</f>
        <v>40268</v>
      </c>
      <c r="BI6" s="201">
        <f>EOMONTH(BH6,3)</f>
        <v>40359</v>
      </c>
      <c r="BJ6" s="201">
        <f>EOMONTH(BI6,3)</f>
        <v>40451</v>
      </c>
      <c r="BK6" s="201">
        <f>EOMONTH(BJ6,3)</f>
        <v>40543</v>
      </c>
      <c r="BL6" s="113"/>
      <c r="BM6" s="200">
        <f>EOMONTH(BK6,3)</f>
        <v>40633</v>
      </c>
      <c r="BN6" s="201">
        <f>EOMONTH(BM6,3)</f>
        <v>40724</v>
      </c>
      <c r="BO6" s="201">
        <f>EOMONTH(BN6,3)</f>
        <v>40816</v>
      </c>
      <c r="BP6" s="201">
        <f>EOMONTH(BO6,3)</f>
        <v>40908</v>
      </c>
      <c r="BQ6" s="113"/>
      <c r="BR6" s="200">
        <f>EOMONTH(BP6,3)</f>
        <v>40999</v>
      </c>
      <c r="BS6" s="201">
        <f>EOMONTH(BR6,3)</f>
        <v>41090</v>
      </c>
      <c r="BT6" s="201">
        <f>EOMONTH(BS6,3)</f>
        <v>41182</v>
      </c>
      <c r="BU6" s="201">
        <f>EOMONTH(BT6,3)</f>
        <v>41274</v>
      </c>
      <c r="BV6" s="113"/>
      <c r="BW6" s="200">
        <f>EOMONTH(BU6,3)</f>
        <v>41364</v>
      </c>
      <c r="BX6" s="201">
        <f>EOMONTH(BW6,3)</f>
        <v>41455</v>
      </c>
      <c r="BY6" s="201">
        <f>EOMONTH(BX6,3)</f>
        <v>41547</v>
      </c>
      <c r="BZ6" s="201">
        <f>EOMONTH(BY6,3)</f>
        <v>41639</v>
      </c>
      <c r="CA6" s="113"/>
      <c r="CB6" s="200">
        <f>EOMONTH(BZ6,3)</f>
        <v>41729</v>
      </c>
      <c r="CC6" s="201">
        <f>EOMONTH(CB6,3)</f>
        <v>41820</v>
      </c>
      <c r="CD6" s="201">
        <f>EOMONTH(CC6,3)</f>
        <v>41912</v>
      </c>
      <c r="CE6" s="201">
        <f>EOMONTH(CD6,3)</f>
        <v>42004</v>
      </c>
      <c r="CF6" s="113"/>
      <c r="CG6" s="200">
        <f>EOMONTH(CE6,3)</f>
        <v>42094</v>
      </c>
      <c r="CH6" s="201">
        <f>EOMONTH(CG6,3)</f>
        <v>42185</v>
      </c>
      <c r="CI6" s="201">
        <f>EOMONTH(CH6,3)</f>
        <v>42277</v>
      </c>
      <c r="CJ6" s="201">
        <f>EOMONTH(CI6,3)</f>
        <v>42369</v>
      </c>
      <c r="CK6" s="113"/>
      <c r="CL6" s="201">
        <f>EOMONTH(CJ6,3)</f>
        <v>42460</v>
      </c>
      <c r="CM6" s="201">
        <f>EOMONTH(CL6,3)</f>
        <v>42551</v>
      </c>
      <c r="CN6" s="201">
        <f>EOMONTH(CM6,3)</f>
        <v>42643</v>
      </c>
      <c r="CO6" s="200">
        <f>EOMONTH(CN6,3)</f>
        <v>42735</v>
      </c>
      <c r="CP6" s="113"/>
      <c r="CQ6" s="201">
        <f>EOMONTH(CO6,3)</f>
        <v>42825</v>
      </c>
      <c r="CR6" s="201">
        <f>EOMONTH(CQ6,3)</f>
        <v>42916</v>
      </c>
      <c r="CS6" s="201">
        <f>EOMONTH(CR6,3)</f>
        <v>43008</v>
      </c>
      <c r="CT6" s="200">
        <f>EOMONTH(CS6,3)</f>
        <v>43100</v>
      </c>
      <c r="CU6" s="198"/>
      <c r="CV6" s="201">
        <f>EOMONTH(CT6,3)</f>
        <v>43190</v>
      </c>
      <c r="CW6" s="201">
        <f>EOMONTH(CV6,3)</f>
        <v>43281</v>
      </c>
      <c r="CX6" s="201">
        <f>EOMONTH(CW6,3)</f>
        <v>43373</v>
      </c>
      <c r="CY6" s="201">
        <f>EOMONTH(CX6,3)</f>
        <v>43465</v>
      </c>
      <c r="CZ6" s="198"/>
      <c r="DA6" s="198"/>
      <c r="DB6" s="323"/>
      <c r="DC6" s="198"/>
      <c r="DF6" s="110">
        <f>CT6</f>
        <v>43100</v>
      </c>
      <c r="DG6" s="110">
        <v>43100</v>
      </c>
      <c r="DH6" s="110">
        <f>CO6</f>
        <v>42735</v>
      </c>
      <c r="DI6" s="110"/>
      <c r="DJ6" s="110"/>
    </row>
    <row r="7" spans="3:114" s="6" customFormat="1" ht="13.5" customHeight="1">
      <c r="C7" s="105">
        <f>C6+1</f>
        <v>4</v>
      </c>
      <c r="D7" s="199" t="s">
        <v>52</v>
      </c>
      <c r="E7" s="113"/>
      <c r="F7" s="113"/>
      <c r="G7" s="113"/>
      <c r="H7" s="113"/>
      <c r="I7" s="113"/>
      <c r="J7" s="202">
        <f>J6-EOMONTH(J6,-3)</f>
        <v>91</v>
      </c>
      <c r="K7" s="203">
        <f>K6-EOMONTH(K6,-3)</f>
        <v>91</v>
      </c>
      <c r="L7" s="203">
        <f>L6-EOMONTH(L6,-3)</f>
        <v>92</v>
      </c>
      <c r="M7" s="203">
        <f>M6-EOMONTH(M6,-3)</f>
        <v>92</v>
      </c>
      <c r="N7" s="113"/>
      <c r="O7" s="202">
        <f>O6-EOMONTH(O6,-3)</f>
        <v>90</v>
      </c>
      <c r="P7" s="203">
        <f>P6-EOMONTH(P6,-3)</f>
        <v>91</v>
      </c>
      <c r="Q7" s="203">
        <f>Q6-EOMONTH(Q6,-3)</f>
        <v>92</v>
      </c>
      <c r="R7" s="203">
        <f>R6-EOMONTH(R6,-3)</f>
        <v>92</v>
      </c>
      <c r="S7" s="113"/>
      <c r="T7" s="202">
        <f>T6-EOMONTH(T6,-3)</f>
        <v>90</v>
      </c>
      <c r="U7" s="203">
        <f>U6-EOMONTH(U6,-3)</f>
        <v>91</v>
      </c>
      <c r="V7" s="203">
        <f>V6-EOMONTH(V6,-3)</f>
        <v>92</v>
      </c>
      <c r="W7" s="203">
        <f>W6-EOMONTH(W6,-3)</f>
        <v>92</v>
      </c>
      <c r="X7" s="113"/>
      <c r="Y7" s="202">
        <f>Y6-EOMONTH(Y6,-3)</f>
        <v>90</v>
      </c>
      <c r="Z7" s="203">
        <f>Z6-EOMONTH(Z6,-3)</f>
        <v>91</v>
      </c>
      <c r="AA7" s="203">
        <f>AA6-EOMONTH(AA6,-3)</f>
        <v>92</v>
      </c>
      <c r="AB7" s="203">
        <f>AB6-EOMONTH(AB6,-3)</f>
        <v>92</v>
      </c>
      <c r="AC7" s="113"/>
      <c r="AD7" s="202">
        <f>AD6-EOMONTH(AD6,-3)</f>
        <v>91</v>
      </c>
      <c r="AE7" s="203">
        <f>AE6-EOMONTH(AE6,-3)</f>
        <v>91</v>
      </c>
      <c r="AF7" s="203">
        <f>AF6-EOMONTH(AF6,-3)</f>
        <v>92</v>
      </c>
      <c r="AG7" s="203">
        <f>AG6-EOMONTH(AG6,-3)</f>
        <v>92</v>
      </c>
      <c r="AH7" s="113"/>
      <c r="AI7" s="202">
        <f>AI6-EOMONTH(AI6,-3)</f>
        <v>90</v>
      </c>
      <c r="AJ7" s="203">
        <f>AJ6-EOMONTH(AJ6,-3)</f>
        <v>91</v>
      </c>
      <c r="AK7" s="203">
        <f>AK6-EOMONTH(AK6,-3)</f>
        <v>92</v>
      </c>
      <c r="AL7" s="203">
        <f>AL6-EOMONTH(AL6,-3)</f>
        <v>92</v>
      </c>
      <c r="AM7" s="113"/>
      <c r="AN7" s="202">
        <f>AN6-EOMONTH(AN6,-3)</f>
        <v>90</v>
      </c>
      <c r="AO7" s="203">
        <f>AO6-EOMONTH(AO6,-3)</f>
        <v>91</v>
      </c>
      <c r="AP7" s="203">
        <f>AP6-EOMONTH(AP6,-3)</f>
        <v>92</v>
      </c>
      <c r="AQ7" s="203">
        <f>AQ6-EOMONTH(AQ6,-3)</f>
        <v>92</v>
      </c>
      <c r="AR7" s="113"/>
      <c r="AS7" s="202">
        <f>AS6-EOMONTH(AS6,-3)</f>
        <v>90</v>
      </c>
      <c r="AT7" s="203">
        <f>AT6-EOMONTH(AT6,-3)</f>
        <v>91</v>
      </c>
      <c r="AU7" s="203">
        <f>AU6-EOMONTH(AU6,-3)</f>
        <v>92</v>
      </c>
      <c r="AV7" s="203">
        <f>AV6-EOMONTH(AV6,-3)</f>
        <v>92</v>
      </c>
      <c r="AW7" s="113"/>
      <c r="AX7" s="202">
        <f>AX6-EOMONTH(AX6,-3)</f>
        <v>91</v>
      </c>
      <c r="AY7" s="203">
        <f>AY6-EOMONTH(AY6,-3)</f>
        <v>91</v>
      </c>
      <c r="AZ7" s="203">
        <f>AZ6-EOMONTH(AZ6,-3)</f>
        <v>92</v>
      </c>
      <c r="BA7" s="203">
        <f>BA6-EOMONTH(BA6,-3)</f>
        <v>92</v>
      </c>
      <c r="BB7" s="113"/>
      <c r="BC7" s="202">
        <f>BC6-EOMONTH(BC6,-3)</f>
        <v>90</v>
      </c>
      <c r="BD7" s="203">
        <f>BD6-EOMONTH(BD6,-3)</f>
        <v>91</v>
      </c>
      <c r="BE7" s="203">
        <f>BE6-EOMONTH(BE6,-3)</f>
        <v>92</v>
      </c>
      <c r="BF7" s="203">
        <f>BF6-EOMONTH(BF6,-3)</f>
        <v>92</v>
      </c>
      <c r="BG7" s="113"/>
      <c r="BH7" s="202">
        <f>BH6-EOMONTH(BH6,-3)</f>
        <v>90</v>
      </c>
      <c r="BI7" s="203">
        <f>BI6-EOMONTH(BI6,-3)</f>
        <v>91</v>
      </c>
      <c r="BJ7" s="203">
        <f>BJ6-EOMONTH(BJ6,-3)</f>
        <v>92</v>
      </c>
      <c r="BK7" s="203">
        <f>BK6-EOMONTH(BK6,-3)</f>
        <v>92</v>
      </c>
      <c r="BL7" s="113"/>
      <c r="BM7" s="202">
        <f>BM6-EOMONTH(BM6,-3)</f>
        <v>90</v>
      </c>
      <c r="BN7" s="203">
        <f>BN6-EOMONTH(BN6,-3)</f>
        <v>91</v>
      </c>
      <c r="BO7" s="203">
        <f>BO6-EOMONTH(BO6,-3)</f>
        <v>92</v>
      </c>
      <c r="BP7" s="203">
        <f>BP6-EOMONTH(BP6,-3)</f>
        <v>92</v>
      </c>
      <c r="BQ7" s="113"/>
      <c r="BR7" s="202">
        <f>BR6-EOMONTH(BR6,-3)</f>
        <v>91</v>
      </c>
      <c r="BS7" s="203">
        <f>BS6-EOMONTH(BS6,-3)</f>
        <v>91</v>
      </c>
      <c r="BT7" s="203">
        <f>BT6-EOMONTH(BT6,-3)</f>
        <v>92</v>
      </c>
      <c r="BU7" s="203">
        <f>BU6-EOMONTH(BU6,-3)</f>
        <v>92</v>
      </c>
      <c r="BV7" s="113"/>
      <c r="BW7" s="202">
        <f>BW6-EOMONTH(BW6,-3)</f>
        <v>90</v>
      </c>
      <c r="BX7" s="203">
        <f>BX6-EOMONTH(BX6,-3)</f>
        <v>91</v>
      </c>
      <c r="BY7" s="203">
        <f>BY6-EOMONTH(BY6,-3)</f>
        <v>92</v>
      </c>
      <c r="BZ7" s="203">
        <f>BZ6-EOMONTH(BZ6,-3)</f>
        <v>92</v>
      </c>
      <c r="CA7" s="113"/>
      <c r="CB7" s="202">
        <f>CB6-EOMONTH(CB6,-3)</f>
        <v>90</v>
      </c>
      <c r="CC7" s="203">
        <f>CC6-EOMONTH(CC6,-3)</f>
        <v>91</v>
      </c>
      <c r="CD7" s="203">
        <f>CD6-EOMONTH(CD6,-3)</f>
        <v>92</v>
      </c>
      <c r="CE7" s="203">
        <f>CE6-EOMONTH(CE6,-3)</f>
        <v>92</v>
      </c>
      <c r="CF7" s="113"/>
      <c r="CG7" s="202">
        <f>CG6-EOMONTH(CG6,-3)</f>
        <v>90</v>
      </c>
      <c r="CH7" s="203">
        <f>CH6-EOMONTH(CH6,-3)</f>
        <v>91</v>
      </c>
      <c r="CI7" s="203">
        <f>CI6-EOMONTH(CI6,-3)</f>
        <v>92</v>
      </c>
      <c r="CJ7" s="203">
        <f>CJ6-EOMONTH(CJ6,-3)</f>
        <v>92</v>
      </c>
      <c r="CK7" s="113"/>
      <c r="CL7" s="203">
        <f>CL6-EOMONTH(CL6,-3)</f>
        <v>91</v>
      </c>
      <c r="CM7" s="203">
        <f>CM6-EOMONTH(CM6,-3)</f>
        <v>91</v>
      </c>
      <c r="CN7" s="203">
        <f>CN6-EOMONTH(CN6,-3)</f>
        <v>92</v>
      </c>
      <c r="CO7" s="202">
        <f>CO6-EOMONTH(CO6,-3)</f>
        <v>92</v>
      </c>
      <c r="CP7" s="113"/>
      <c r="CQ7" s="203">
        <f>CQ6-EOMONTH(CQ6,-3)</f>
        <v>90</v>
      </c>
      <c r="CR7" s="203">
        <f>CR6-EOMONTH(CR6,-3)</f>
        <v>91</v>
      </c>
      <c r="CS7" s="203">
        <f>CS6-EOMONTH(CS6,-3)</f>
        <v>92</v>
      </c>
      <c r="CT7" s="202">
        <f>CT6-EOMONTH(CT6,-3)</f>
        <v>92</v>
      </c>
      <c r="CU7" s="198"/>
      <c r="CV7" s="203">
        <f>CV6-EOMONTH(CV6,-3)</f>
        <v>90</v>
      </c>
      <c r="CW7" s="203">
        <f>CW6-EOMONTH(CW6,-3)</f>
        <v>91</v>
      </c>
      <c r="CX7" s="203">
        <f>CX6-EOMONTH(CX6,-3)</f>
        <v>92</v>
      </c>
      <c r="CY7" s="203">
        <f>CY6-EOMONTH(CY6,-3)</f>
        <v>92</v>
      </c>
      <c r="CZ7" s="198"/>
      <c r="DA7" s="198"/>
      <c r="DB7" s="323"/>
      <c r="DC7" s="198"/>
      <c r="DF7" s="109"/>
      <c r="DG7" s="109"/>
      <c r="DH7" s="109"/>
      <c r="DI7" s="109"/>
      <c r="DJ7" s="109"/>
    </row>
    <row r="8" spans="3:114">
      <c r="C8" s="204"/>
      <c r="D8" s="6"/>
      <c r="E8" s="205"/>
      <c r="F8" s="205"/>
      <c r="G8" s="205"/>
      <c r="H8" s="205"/>
      <c r="I8" s="205"/>
      <c r="J8" s="188"/>
      <c r="K8" s="188"/>
      <c r="L8" s="188"/>
      <c r="M8" s="188"/>
      <c r="N8" s="205"/>
      <c r="O8" s="188"/>
      <c r="P8" s="188"/>
      <c r="Q8" s="188"/>
      <c r="R8" s="188"/>
      <c r="S8" s="205"/>
      <c r="T8" s="188"/>
      <c r="U8" s="188"/>
      <c r="V8" s="188"/>
      <c r="W8" s="188"/>
      <c r="X8" s="205"/>
      <c r="Y8" s="188"/>
      <c r="Z8" s="188"/>
      <c r="AA8" s="188"/>
      <c r="AB8" s="188"/>
      <c r="AC8" s="205"/>
      <c r="AD8" s="188"/>
      <c r="AE8" s="188"/>
      <c r="AF8" s="188"/>
      <c r="AG8" s="188"/>
      <c r="AH8" s="205"/>
      <c r="AI8" s="188"/>
      <c r="AJ8" s="188"/>
      <c r="AK8" s="188"/>
      <c r="AL8" s="188"/>
      <c r="AM8" s="205"/>
      <c r="AN8" s="188"/>
      <c r="AO8" s="188"/>
      <c r="AP8" s="188"/>
      <c r="AQ8" s="188"/>
      <c r="AR8" s="205"/>
      <c r="AS8" s="188"/>
      <c r="AT8" s="188"/>
      <c r="AU8" s="188"/>
      <c r="AV8" s="188"/>
      <c r="AW8" s="205"/>
      <c r="AX8" s="188"/>
      <c r="AY8" s="188"/>
      <c r="AZ8" s="188"/>
      <c r="BA8" s="188"/>
      <c r="BB8" s="205"/>
      <c r="BC8" s="188"/>
      <c r="BD8" s="188"/>
      <c r="BE8" s="188"/>
      <c r="BF8" s="188"/>
      <c r="BG8" s="205"/>
      <c r="BH8" s="188"/>
      <c r="BI8" s="188"/>
      <c r="BJ8" s="188"/>
      <c r="BK8" s="188"/>
      <c r="BL8" s="205"/>
      <c r="BM8" s="188"/>
      <c r="BN8" s="188"/>
      <c r="BO8" s="188"/>
      <c r="BP8" s="188"/>
      <c r="BQ8" s="205"/>
      <c r="BR8" s="188"/>
      <c r="BS8" s="188"/>
      <c r="BT8" s="188"/>
      <c r="BU8" s="188"/>
      <c r="BV8" s="205"/>
      <c r="BW8" s="188"/>
      <c r="BX8" s="188"/>
      <c r="BY8" s="188"/>
      <c r="BZ8" s="188"/>
      <c r="CA8" s="205"/>
      <c r="CB8" s="188"/>
      <c r="CC8" s="188"/>
      <c r="CD8" s="188"/>
      <c r="CE8" s="188"/>
      <c r="CF8" s="205"/>
      <c r="CG8" s="188"/>
      <c r="CH8" s="188"/>
      <c r="CI8" s="188"/>
      <c r="CJ8" s="188"/>
      <c r="CK8" s="205"/>
      <c r="CL8" s="188"/>
      <c r="CM8" s="188"/>
      <c r="CN8" s="188"/>
      <c r="CO8" s="188"/>
      <c r="CP8" s="205"/>
      <c r="CQ8" s="188"/>
      <c r="CR8" s="206"/>
      <c r="CS8" s="206"/>
      <c r="CT8" s="207"/>
      <c r="CU8" s="205"/>
      <c r="CV8" s="206"/>
      <c r="CW8" s="206"/>
      <c r="CX8" s="206"/>
      <c r="CY8" s="207"/>
      <c r="CZ8" s="1099"/>
      <c r="DA8" s="1099"/>
      <c r="DB8" s="1100"/>
      <c r="DC8" s="1099"/>
      <c r="DF8" s="57"/>
      <c r="DG8" s="57"/>
      <c r="DH8" s="57"/>
      <c r="DI8" s="57"/>
      <c r="DJ8" s="57"/>
    </row>
    <row r="9" spans="3:114">
      <c r="C9" s="204"/>
      <c r="D9" s="208" t="s">
        <v>788</v>
      </c>
      <c r="E9" s="210"/>
      <c r="F9" s="210"/>
      <c r="G9" s="210"/>
      <c r="H9" s="210"/>
      <c r="I9" s="210"/>
      <c r="J9" s="209"/>
      <c r="K9" s="209"/>
      <c r="L9" s="209"/>
      <c r="M9" s="209"/>
      <c r="N9" s="210"/>
      <c r="O9" s="209"/>
      <c r="P9" s="209"/>
      <c r="Q9" s="209"/>
      <c r="R9" s="209"/>
      <c r="S9" s="210"/>
      <c r="T9" s="209"/>
      <c r="U9" s="209"/>
      <c r="V9" s="209"/>
      <c r="W9" s="209"/>
      <c r="X9" s="210"/>
      <c r="Y9" s="209"/>
      <c r="Z9" s="209"/>
      <c r="AA9" s="209"/>
      <c r="AB9" s="209"/>
      <c r="AC9" s="210"/>
      <c r="AD9" s="209"/>
      <c r="AE9" s="209"/>
      <c r="AF9" s="209"/>
      <c r="AG9" s="209"/>
      <c r="AH9" s="210"/>
      <c r="AI9" s="209"/>
      <c r="AJ9" s="209"/>
      <c r="AK9" s="209"/>
      <c r="AL9" s="209"/>
      <c r="AM9" s="210"/>
      <c r="AN9" s="209"/>
      <c r="AO9" s="209"/>
      <c r="AP9" s="209"/>
      <c r="AQ9" s="209"/>
      <c r="AR9" s="210"/>
      <c r="AS9" s="209"/>
      <c r="AT9" s="209"/>
      <c r="AU9" s="209"/>
      <c r="AV9" s="209"/>
      <c r="AW9" s="210"/>
      <c r="AX9" s="209"/>
      <c r="AY9" s="209"/>
      <c r="AZ9" s="209"/>
      <c r="BA9" s="209"/>
      <c r="BB9" s="210"/>
      <c r="BC9" s="209"/>
      <c r="BD9" s="209"/>
      <c r="BE9" s="209"/>
      <c r="BF9" s="209"/>
      <c r="BG9" s="210"/>
      <c r="BH9" s="209"/>
      <c r="BI9" s="209"/>
      <c r="BJ9" s="209"/>
      <c r="BK9" s="209"/>
      <c r="BL9" s="210"/>
      <c r="BM9" s="209"/>
      <c r="BN9" s="209"/>
      <c r="BO9" s="209"/>
      <c r="BP9" s="209"/>
      <c r="BQ9" s="210"/>
      <c r="BR9" s="209"/>
      <c r="BS9" s="209"/>
      <c r="BT9" s="209"/>
      <c r="BU9" s="209"/>
      <c r="BV9" s="210"/>
      <c r="BW9" s="209"/>
      <c r="BX9" s="209"/>
      <c r="BY9" s="209"/>
      <c r="BZ9" s="209"/>
      <c r="CA9" s="210"/>
      <c r="CB9" s="209"/>
      <c r="CC9" s="209"/>
      <c r="CD9" s="209"/>
      <c r="CE9" s="209"/>
      <c r="CF9" s="210"/>
      <c r="CG9" s="209"/>
      <c r="CH9" s="209"/>
      <c r="CI9" s="209"/>
      <c r="CJ9" s="209"/>
      <c r="CK9" s="210"/>
      <c r="CL9" s="209"/>
      <c r="CM9" s="209"/>
      <c r="CN9" s="209"/>
      <c r="CO9" s="209"/>
      <c r="CP9" s="210"/>
      <c r="CQ9" s="209"/>
      <c r="CR9" s="211"/>
      <c r="CS9" s="211"/>
      <c r="CT9" s="212"/>
      <c r="CU9" s="210"/>
      <c r="CV9" s="211"/>
      <c r="CW9" s="211"/>
      <c r="CX9" s="211"/>
      <c r="CY9" s="212"/>
      <c r="CZ9" s="210"/>
      <c r="DA9" s="210"/>
      <c r="DB9" s="213"/>
      <c r="DC9" s="210"/>
      <c r="DF9" s="210"/>
      <c r="DG9" s="210"/>
      <c r="DH9" s="210"/>
      <c r="DI9" s="210"/>
      <c r="DJ9" s="210"/>
    </row>
    <row r="10" spans="3:114" s="155" customFormat="1">
      <c r="C10" s="336"/>
      <c r="D10" s="1" t="s">
        <v>789</v>
      </c>
      <c r="E10" s="337">
        <v>4279</v>
      </c>
      <c r="F10" s="337">
        <v>4222</v>
      </c>
      <c r="G10" s="337">
        <v>4432</v>
      </c>
      <c r="H10" s="337">
        <v>4370</v>
      </c>
      <c r="I10" s="337">
        <v>4787</v>
      </c>
      <c r="J10" s="338">
        <v>1312</v>
      </c>
      <c r="K10" s="338">
        <v>1308</v>
      </c>
      <c r="L10" s="338">
        <v>1104</v>
      </c>
      <c r="M10" s="338">
        <f>4933-SUM(J10:L10)</f>
        <v>1209</v>
      </c>
      <c r="N10" s="235">
        <f>SUM(J10:M10)</f>
        <v>4933</v>
      </c>
      <c r="O10" s="338">
        <v>1104</v>
      </c>
      <c r="P10" s="338">
        <v>1142</v>
      </c>
      <c r="Q10" s="338">
        <v>933</v>
      </c>
      <c r="R10" s="338">
        <f>4292-SUM(O10:Q10)</f>
        <v>1113</v>
      </c>
      <c r="S10" s="235">
        <f>SUM(O10:R10)</f>
        <v>4292</v>
      </c>
      <c r="T10" s="338">
        <v>1093</v>
      </c>
      <c r="U10" s="338">
        <v>1183</v>
      </c>
      <c r="V10" s="338">
        <v>1060</v>
      </c>
      <c r="W10" s="338">
        <f>4408-SUM(T10:V10)</f>
        <v>1072</v>
      </c>
      <c r="X10" s="235">
        <f>SUM(T10:W10)</f>
        <v>4408</v>
      </c>
      <c r="Y10" s="338">
        <v>1023</v>
      </c>
      <c r="Z10" s="338">
        <v>980</v>
      </c>
      <c r="AA10" s="338">
        <v>783</v>
      </c>
      <c r="AB10" s="338">
        <f>3811-SUM(Y10:AA10)</f>
        <v>1025</v>
      </c>
      <c r="AC10" s="235">
        <f>SUM(Y10:AB10)</f>
        <v>3811</v>
      </c>
      <c r="AD10" s="338">
        <v>1012</v>
      </c>
      <c r="AE10" s="338">
        <v>919</v>
      </c>
      <c r="AF10" s="338">
        <v>780</v>
      </c>
      <c r="AG10" s="338">
        <f>3623-SUM(AD10:AF10)</f>
        <v>912</v>
      </c>
      <c r="AH10" s="235">
        <f>SUM(AD10:AG10)</f>
        <v>3623</v>
      </c>
      <c r="AI10" s="338">
        <v>898</v>
      </c>
      <c r="AJ10" s="338">
        <v>862</v>
      </c>
      <c r="AK10" s="338">
        <v>774</v>
      </c>
      <c r="AL10" s="338">
        <f>3410-SUM(AI10:AK10)</f>
        <v>876</v>
      </c>
      <c r="AM10" s="235">
        <f>SUM(AI10:AL10)</f>
        <v>3410</v>
      </c>
      <c r="AN10" s="338">
        <v>863</v>
      </c>
      <c r="AO10" s="338">
        <v>834</v>
      </c>
      <c r="AP10" s="338">
        <v>710</v>
      </c>
      <c r="AQ10" s="338">
        <f>3051-SUM(AN10:AP10)</f>
        <v>644</v>
      </c>
      <c r="AR10" s="235">
        <f>SUM(AN10:AQ10)</f>
        <v>3051</v>
      </c>
      <c r="AS10" s="338">
        <v>723</v>
      </c>
      <c r="AT10" s="338">
        <v>807</v>
      </c>
      <c r="AU10" s="338">
        <v>641</v>
      </c>
      <c r="AV10" s="338">
        <f>2836-SUM(AS10:AU10)</f>
        <v>665</v>
      </c>
      <c r="AW10" s="235">
        <f>SUM(AS10:AV10)</f>
        <v>2836</v>
      </c>
      <c r="AX10" s="338">
        <v>704</v>
      </c>
      <c r="AY10" s="338">
        <v>679</v>
      </c>
      <c r="AZ10" s="338">
        <v>462</v>
      </c>
      <c r="BA10" s="338">
        <f>2329-SUM(AX10:AZ10)</f>
        <v>484</v>
      </c>
      <c r="BB10" s="235">
        <f>SUM(AX10:BA10)</f>
        <v>2329</v>
      </c>
      <c r="BC10" s="338">
        <v>354</v>
      </c>
      <c r="BD10" s="338">
        <v>458</v>
      </c>
      <c r="BE10" s="338">
        <v>516</v>
      </c>
      <c r="BF10" s="338">
        <f>1959-SUM(BC10:BE10)</f>
        <v>631</v>
      </c>
      <c r="BG10" s="235">
        <f>SUM(BC10:BF10)</f>
        <v>1959</v>
      </c>
      <c r="BH10" s="338">
        <v>547</v>
      </c>
      <c r="BI10" s="338">
        <v>659</v>
      </c>
      <c r="BJ10" s="338">
        <v>592</v>
      </c>
      <c r="BK10" s="338">
        <f>2413-SUM(BH10:BJ10)</f>
        <v>615</v>
      </c>
      <c r="BL10" s="235">
        <f>SUM(BH10:BK10)</f>
        <v>2413</v>
      </c>
      <c r="BM10" s="338">
        <v>615</v>
      </c>
      <c r="BN10" s="338">
        <v>736</v>
      </c>
      <c r="BO10" s="338">
        <v>642</v>
      </c>
      <c r="BP10" s="338">
        <f>2686-SUM(BM10:BO10)</f>
        <v>693</v>
      </c>
      <c r="BQ10" s="235">
        <f>SUM(BM10:BP10)</f>
        <v>2686</v>
      </c>
      <c r="BR10" s="338">
        <v>651</v>
      </c>
      <c r="BS10" s="338">
        <v>719</v>
      </c>
      <c r="BT10" s="338">
        <v>659</v>
      </c>
      <c r="BU10" s="338">
        <f>2784-SUM(BR10:BT10)</f>
        <v>755</v>
      </c>
      <c r="BV10" s="235">
        <f>SUM(BR10:BU10)</f>
        <v>2784</v>
      </c>
      <c r="BW10" s="338">
        <v>761</v>
      </c>
      <c r="BX10" s="338">
        <v>823</v>
      </c>
      <c r="BY10" s="338">
        <v>744</v>
      </c>
      <c r="BZ10" s="338">
        <f>3088-SUM(BW10:BY10)</f>
        <v>760</v>
      </c>
      <c r="CA10" s="235">
        <f>SUM(BW10:BZ10)</f>
        <v>3088</v>
      </c>
      <c r="CB10" s="338">
        <v>717</v>
      </c>
      <c r="CC10" s="338">
        <v>760</v>
      </c>
      <c r="CD10" s="338">
        <v>665</v>
      </c>
      <c r="CE10" s="338">
        <f>3006-SUM(CB10:CD10)</f>
        <v>864</v>
      </c>
      <c r="CF10" s="235">
        <f>SUM(CB10:CE10)</f>
        <v>3006</v>
      </c>
      <c r="CG10" s="338">
        <v>678</v>
      </c>
      <c r="CH10" s="338">
        <v>816</v>
      </c>
      <c r="CI10" s="338">
        <v>771</v>
      </c>
      <c r="CJ10" s="338">
        <f>3073-SUM(CG10:CI10)</f>
        <v>808</v>
      </c>
      <c r="CK10" s="235">
        <f>SUM(CG10:CJ10)</f>
        <v>3073</v>
      </c>
      <c r="CL10" s="338">
        <v>814</v>
      </c>
      <c r="CM10" s="338">
        <v>815</v>
      </c>
      <c r="CN10" s="338">
        <v>687</v>
      </c>
      <c r="CO10" s="338">
        <f>3019-SUM(CL10:CN10)</f>
        <v>703</v>
      </c>
      <c r="CP10" s="235">
        <f>SUM(CL10:CO10)</f>
        <v>3019</v>
      </c>
      <c r="CQ10" s="338">
        <v>771</v>
      </c>
      <c r="CR10" s="841">
        <v>807</v>
      </c>
      <c r="CS10" s="841">
        <v>650</v>
      </c>
      <c r="CT10" s="841">
        <v>739</v>
      </c>
      <c r="CU10" s="235">
        <f>SUM(CQ10:CT10)</f>
        <v>2967</v>
      </c>
      <c r="CV10" s="165">
        <f>CQ10*(1+CV11)</f>
        <v>747.87</v>
      </c>
      <c r="CW10" s="165">
        <f>CR10*(1+CW11)</f>
        <v>774.72</v>
      </c>
      <c r="CX10" s="165">
        <f>CS10*(1+CX11)</f>
        <v>630.5</v>
      </c>
      <c r="CY10" s="300">
        <f>CT10*(1+CY11)</f>
        <v>724.22</v>
      </c>
      <c r="CZ10" s="235">
        <f>SUM(CV10:CY10)</f>
        <v>2877.3100000000004</v>
      </c>
      <c r="DA10" s="235">
        <f>CZ10*(1+DA11)</f>
        <v>2790.9907000000003</v>
      </c>
      <c r="DB10" s="248">
        <f>DA10*(1+DB11)</f>
        <v>2818.9006070000005</v>
      </c>
      <c r="DC10" s="235">
        <f>DB10*(1+DC11)</f>
        <v>2847.0896130700007</v>
      </c>
      <c r="DD10" s="3"/>
      <c r="DF10" s="235">
        <f t="shared" ref="DF10:DF17" si="0">CT10</f>
        <v>739</v>
      </c>
      <c r="DG10" s="235">
        <v>710.03</v>
      </c>
      <c r="DH10" s="235">
        <f t="shared" ref="DH10:DH17" si="1">CO10</f>
        <v>703</v>
      </c>
      <c r="DI10" s="440">
        <f>IF(ISERROR(DF10/DG10-1),"NM",DF10/DG10-1)</f>
        <v>4.0801092911567194E-2</v>
      </c>
      <c r="DJ10" s="466">
        <f>IF(ISERROR(DF10/DH10-1),"NM",DF10/DH10-1)</f>
        <v>5.1209103840682779E-2</v>
      </c>
    </row>
    <row r="11" spans="3:114" s="155" customFormat="1">
      <c r="C11" s="336"/>
      <c r="D11" s="339" t="s">
        <v>271</v>
      </c>
      <c r="E11" s="340"/>
      <c r="F11" s="236">
        <f>F10/E10-1</f>
        <v>-1.3320869362000498E-2</v>
      </c>
      <c r="G11" s="236">
        <f>G10/F10-1</f>
        <v>4.9739459971577471E-2</v>
      </c>
      <c r="H11" s="236">
        <f>H10/G10-1</f>
        <v>-1.3989169675090229E-2</v>
      </c>
      <c r="I11" s="236">
        <f>I10/H10-1</f>
        <v>9.5423340961098502E-2</v>
      </c>
      <c r="J11" s="152"/>
      <c r="K11" s="152"/>
      <c r="L11" s="152"/>
      <c r="M11" s="341"/>
      <c r="N11" s="236">
        <f t="shared" ref="N11:AS11" si="2">N10/I10-1</f>
        <v>3.0499268853144024E-2</v>
      </c>
      <c r="O11" s="152">
        <f t="shared" si="2"/>
        <v>-0.15853658536585369</v>
      </c>
      <c r="P11" s="152">
        <f t="shared" si="2"/>
        <v>-0.12691131498470953</v>
      </c>
      <c r="Q11" s="152">
        <f t="shared" si="2"/>
        <v>-0.15489130434782605</v>
      </c>
      <c r="R11" s="302">
        <f t="shared" si="2"/>
        <v>-7.9404466501240667E-2</v>
      </c>
      <c r="S11" s="236">
        <f t="shared" si="2"/>
        <v>-0.12994121224407051</v>
      </c>
      <c r="T11" s="152">
        <f t="shared" si="2"/>
        <v>-9.9637681159420177E-3</v>
      </c>
      <c r="U11" s="152">
        <f t="shared" si="2"/>
        <v>3.5901926444833698E-2</v>
      </c>
      <c r="V11" s="152">
        <f t="shared" si="2"/>
        <v>0.13612004287245449</v>
      </c>
      <c r="W11" s="302">
        <f t="shared" si="2"/>
        <v>-3.6837376460017945E-2</v>
      </c>
      <c r="X11" s="236">
        <f t="shared" si="2"/>
        <v>2.7027027027026973E-2</v>
      </c>
      <c r="Y11" s="152">
        <f t="shared" si="2"/>
        <v>-6.4043915827996289E-2</v>
      </c>
      <c r="Z11" s="152">
        <f t="shared" si="2"/>
        <v>-0.17159763313609466</v>
      </c>
      <c r="AA11" s="152">
        <f t="shared" si="2"/>
        <v>-0.26132075471698113</v>
      </c>
      <c r="AB11" s="302">
        <f t="shared" si="2"/>
        <v>-4.3843283582089554E-2</v>
      </c>
      <c r="AC11" s="236">
        <f t="shared" si="2"/>
        <v>-0.13543557168784026</v>
      </c>
      <c r="AD11" s="152">
        <f t="shared" si="2"/>
        <v>-1.0752688172043001E-2</v>
      </c>
      <c r="AE11" s="152">
        <f t="shared" si="2"/>
        <v>-6.2244897959183643E-2</v>
      </c>
      <c r="AF11" s="152">
        <f t="shared" si="2"/>
        <v>-3.8314176245211051E-3</v>
      </c>
      <c r="AG11" s="302">
        <f t="shared" si="2"/>
        <v>-0.11024390243902438</v>
      </c>
      <c r="AH11" s="236">
        <f t="shared" si="2"/>
        <v>-4.9330884282340559E-2</v>
      </c>
      <c r="AI11" s="152">
        <f t="shared" si="2"/>
        <v>-0.11264822134387353</v>
      </c>
      <c r="AJ11" s="152">
        <f t="shared" si="2"/>
        <v>-6.2023939064200229E-2</v>
      </c>
      <c r="AK11" s="152">
        <f t="shared" si="2"/>
        <v>-7.692307692307665E-3</v>
      </c>
      <c r="AL11" s="302">
        <f t="shared" si="2"/>
        <v>-3.9473684210526327E-2</v>
      </c>
      <c r="AM11" s="236">
        <f t="shared" si="2"/>
        <v>-5.8791057134971014E-2</v>
      </c>
      <c r="AN11" s="152">
        <f t="shared" si="2"/>
        <v>-3.897550111358572E-2</v>
      </c>
      <c r="AO11" s="152">
        <f t="shared" si="2"/>
        <v>-3.2482598607888602E-2</v>
      </c>
      <c r="AP11" s="152">
        <f t="shared" si="2"/>
        <v>-8.2687338501291952E-2</v>
      </c>
      <c r="AQ11" s="302">
        <f t="shared" si="2"/>
        <v>-0.26484018264840181</v>
      </c>
      <c r="AR11" s="236">
        <f t="shared" si="2"/>
        <v>-0.10527859237536652</v>
      </c>
      <c r="AS11" s="152">
        <f t="shared" si="2"/>
        <v>-0.16222479721900351</v>
      </c>
      <c r="AT11" s="152">
        <f t="shared" ref="AT11:BY11" si="3">AT10/AO10-1</f>
        <v>-3.2374100719424481E-2</v>
      </c>
      <c r="AU11" s="152">
        <f t="shared" si="3"/>
        <v>-9.7183098591549277E-2</v>
      </c>
      <c r="AV11" s="302">
        <f t="shared" si="3"/>
        <v>3.2608695652173836E-2</v>
      </c>
      <c r="AW11" s="236">
        <f t="shared" si="3"/>
        <v>-7.0468698787282902E-2</v>
      </c>
      <c r="AX11" s="152">
        <f t="shared" si="3"/>
        <v>-2.6279391424619658E-2</v>
      </c>
      <c r="AY11" s="152">
        <f t="shared" si="3"/>
        <v>-0.1586121437422553</v>
      </c>
      <c r="AZ11" s="152">
        <f t="shared" si="3"/>
        <v>-0.27925117004680189</v>
      </c>
      <c r="BA11" s="302">
        <f t="shared" si="3"/>
        <v>-0.27218045112781952</v>
      </c>
      <c r="BB11" s="236">
        <f t="shared" si="3"/>
        <v>-0.17877291960507757</v>
      </c>
      <c r="BC11" s="152">
        <f t="shared" si="3"/>
        <v>-0.49715909090909094</v>
      </c>
      <c r="BD11" s="152">
        <f t="shared" si="3"/>
        <v>-0.32547864506627389</v>
      </c>
      <c r="BE11" s="152">
        <f t="shared" si="3"/>
        <v>0.11688311688311681</v>
      </c>
      <c r="BF11" s="302">
        <f t="shared" si="3"/>
        <v>0.30371900826446274</v>
      </c>
      <c r="BG11" s="236">
        <f t="shared" si="3"/>
        <v>-0.15886646629454704</v>
      </c>
      <c r="BH11" s="152">
        <f t="shared" si="3"/>
        <v>0.54519774011299438</v>
      </c>
      <c r="BI11" s="152">
        <f t="shared" si="3"/>
        <v>0.43886462882096078</v>
      </c>
      <c r="BJ11" s="152">
        <f t="shared" si="3"/>
        <v>0.1472868217054264</v>
      </c>
      <c r="BK11" s="302">
        <f t="shared" si="3"/>
        <v>-2.5356576862123559E-2</v>
      </c>
      <c r="BL11" s="236">
        <f t="shared" si="3"/>
        <v>0.23175089331291465</v>
      </c>
      <c r="BM11" s="152">
        <f t="shared" si="3"/>
        <v>0.12431444241316281</v>
      </c>
      <c r="BN11" s="152">
        <f t="shared" si="3"/>
        <v>0.11684370257966625</v>
      </c>
      <c r="BO11" s="152">
        <f t="shared" si="3"/>
        <v>8.4459459459459429E-2</v>
      </c>
      <c r="BP11" s="302">
        <f t="shared" si="3"/>
        <v>0.12682926829268282</v>
      </c>
      <c r="BQ11" s="236">
        <f t="shared" si="3"/>
        <v>0.11313717364276843</v>
      </c>
      <c r="BR11" s="152">
        <f t="shared" si="3"/>
        <v>5.8536585365853711E-2</v>
      </c>
      <c r="BS11" s="152">
        <f t="shared" si="3"/>
        <v>-2.3097826086956541E-2</v>
      </c>
      <c r="BT11" s="152">
        <f t="shared" si="3"/>
        <v>2.6479750778816147E-2</v>
      </c>
      <c r="BU11" s="302">
        <f t="shared" si="3"/>
        <v>8.9466089466089471E-2</v>
      </c>
      <c r="BV11" s="236">
        <f t="shared" si="3"/>
        <v>3.6485480268056536E-2</v>
      </c>
      <c r="BW11" s="152">
        <f t="shared" si="3"/>
        <v>0.16897081413210446</v>
      </c>
      <c r="BX11" s="152">
        <f t="shared" si="3"/>
        <v>0.14464534075104307</v>
      </c>
      <c r="BY11" s="152">
        <f t="shared" si="3"/>
        <v>0.1289833080424887</v>
      </c>
      <c r="BZ11" s="302">
        <f t="shared" ref="BZ11:CT11" si="4">BZ10/BU10-1</f>
        <v>6.6225165562914245E-3</v>
      </c>
      <c r="CA11" s="236">
        <f t="shared" si="4"/>
        <v>0.10919540229885061</v>
      </c>
      <c r="CB11" s="152">
        <f t="shared" si="4"/>
        <v>-5.7818659658344318E-2</v>
      </c>
      <c r="CC11" s="152">
        <f t="shared" si="4"/>
        <v>-7.6549210206561358E-2</v>
      </c>
      <c r="CD11" s="152">
        <f t="shared" si="4"/>
        <v>-0.10618279569892475</v>
      </c>
      <c r="CE11" s="302">
        <f t="shared" si="4"/>
        <v>0.13684210526315788</v>
      </c>
      <c r="CF11" s="236">
        <f t="shared" si="4"/>
        <v>-2.6554404145077704E-2</v>
      </c>
      <c r="CG11" s="152">
        <f t="shared" si="4"/>
        <v>-5.4393305439330519E-2</v>
      </c>
      <c r="CH11" s="152">
        <f t="shared" si="4"/>
        <v>7.3684210526315796E-2</v>
      </c>
      <c r="CI11" s="152">
        <f t="shared" si="4"/>
        <v>0.15939849624060143</v>
      </c>
      <c r="CJ11" s="302">
        <f t="shared" si="4"/>
        <v>-6.481481481481477E-2</v>
      </c>
      <c r="CK11" s="236">
        <f t="shared" si="4"/>
        <v>2.2288755821689987E-2</v>
      </c>
      <c r="CL11" s="152">
        <f t="shared" si="4"/>
        <v>0.20058997050147487</v>
      </c>
      <c r="CM11" s="152">
        <f t="shared" si="4"/>
        <v>-1.225490196078427E-3</v>
      </c>
      <c r="CN11" s="152">
        <f t="shared" si="4"/>
        <v>-0.1089494163424124</v>
      </c>
      <c r="CO11" s="302">
        <f t="shared" si="4"/>
        <v>-0.12995049504950495</v>
      </c>
      <c r="CP11" s="236">
        <f t="shared" si="4"/>
        <v>-1.757240481614053E-2</v>
      </c>
      <c r="CQ11" s="152">
        <f t="shared" si="4"/>
        <v>-5.2825552825552791E-2</v>
      </c>
      <c r="CR11" s="152">
        <f t="shared" si="4"/>
        <v>-9.8159509202454531E-3</v>
      </c>
      <c r="CS11" s="152">
        <f t="shared" si="4"/>
        <v>-5.3857350800582293E-2</v>
      </c>
      <c r="CT11" s="152">
        <f t="shared" si="4"/>
        <v>5.1209103840682779E-2</v>
      </c>
      <c r="CU11" s="236">
        <f>CU10/CP10-1</f>
        <v>-1.7224246439218271E-2</v>
      </c>
      <c r="CV11" s="177">
        <v>-0.03</v>
      </c>
      <c r="CW11" s="177">
        <v>-0.04</v>
      </c>
      <c r="CX11" s="177">
        <v>-0.03</v>
      </c>
      <c r="CY11" s="177">
        <v>-0.02</v>
      </c>
      <c r="CZ11" s="236">
        <f>CZ10/CU10-1</f>
        <v>-3.0229187731715457E-2</v>
      </c>
      <c r="DA11" s="177">
        <v>-0.03</v>
      </c>
      <c r="DB11" s="373">
        <v>0.01</v>
      </c>
      <c r="DC11" s="371">
        <v>0.01</v>
      </c>
      <c r="DF11" s="236">
        <f t="shared" si="0"/>
        <v>5.1209103840682779E-2</v>
      </c>
      <c r="DG11" s="236">
        <v>0.01</v>
      </c>
      <c r="DH11" s="236">
        <f t="shared" si="1"/>
        <v>-0.12995049504950495</v>
      </c>
      <c r="DI11" s="236">
        <f t="shared" ref="DI11:DI101" si="5">IF(ISERROR(DF11/DG11-1),"NM",DF11/DG11-1)</f>
        <v>4.1209103840682779</v>
      </c>
      <c r="DJ11" s="236">
        <f t="shared" ref="DJ11:DJ101" si="6">IF(ISERROR(DF11/DH11-1),"NM",DF11/DH11-1)</f>
        <v>-1.3940662466978255</v>
      </c>
    </row>
    <row r="12" spans="3:114" s="155" customFormat="1" ht="12" customHeight="1">
      <c r="C12" s="336"/>
      <c r="D12" s="1" t="s">
        <v>790</v>
      </c>
      <c r="E12" s="337">
        <f>201+48</f>
        <v>249</v>
      </c>
      <c r="F12" s="337">
        <f>190+64</f>
        <v>254</v>
      </c>
      <c r="G12" s="337">
        <f>214+143</f>
        <v>357</v>
      </c>
      <c r="H12" s="337">
        <f>178+97</f>
        <v>275</v>
      </c>
      <c r="I12" s="337">
        <f>117+60</f>
        <v>177</v>
      </c>
      <c r="J12" s="344">
        <v>49</v>
      </c>
      <c r="K12" s="338">
        <f>35+12</f>
        <v>47</v>
      </c>
      <c r="L12" s="338">
        <f>33+12</f>
        <v>45</v>
      </c>
      <c r="M12" s="337">
        <f>134+49-SUM(J12:L12)</f>
        <v>42</v>
      </c>
      <c r="N12" s="235">
        <f>SUM(J12:M12)</f>
        <v>183</v>
      </c>
      <c r="O12" s="338">
        <v>50</v>
      </c>
      <c r="P12" s="338">
        <f>40+8</f>
        <v>48</v>
      </c>
      <c r="Q12" s="338">
        <f>24+8</f>
        <v>32</v>
      </c>
      <c r="R12" s="337">
        <f>125+29-SUM(O12:Q12)</f>
        <v>24</v>
      </c>
      <c r="S12" s="235">
        <f>SUM(O12:R12)</f>
        <v>154</v>
      </c>
      <c r="T12" s="338">
        <v>41</v>
      </c>
      <c r="U12" s="338">
        <v>47</v>
      </c>
      <c r="V12" s="338">
        <v>53</v>
      </c>
      <c r="W12" s="337">
        <f>200-SUM(T12:V12)</f>
        <v>59</v>
      </c>
      <c r="X12" s="235">
        <f>SUM(T12:W12)</f>
        <v>200</v>
      </c>
      <c r="Y12" s="338">
        <v>46</v>
      </c>
      <c r="Z12" s="338">
        <v>49</v>
      </c>
      <c r="AA12" s="338">
        <v>55</v>
      </c>
      <c r="AB12" s="337">
        <f>209-SUM(Y12:AA12)</f>
        <v>59</v>
      </c>
      <c r="AC12" s="235">
        <f>SUM(Y12:AB12)</f>
        <v>209</v>
      </c>
      <c r="AD12" s="338">
        <v>66</v>
      </c>
      <c r="AE12" s="338">
        <v>67</v>
      </c>
      <c r="AF12" s="338">
        <v>76</v>
      </c>
      <c r="AG12" s="337">
        <f>292-SUM(AD12:AF12)</f>
        <v>83</v>
      </c>
      <c r="AH12" s="235">
        <f>SUM(AD12:AG12)</f>
        <v>292</v>
      </c>
      <c r="AI12" s="338">
        <v>73</v>
      </c>
      <c r="AJ12" s="338">
        <v>85</v>
      </c>
      <c r="AK12" s="338">
        <v>88</v>
      </c>
      <c r="AL12" s="337">
        <f>335-SUM(AI12:AK12)</f>
        <v>89</v>
      </c>
      <c r="AM12" s="235">
        <f>SUM(AI12:AL12)</f>
        <v>335</v>
      </c>
      <c r="AN12" s="338">
        <v>84</v>
      </c>
      <c r="AO12" s="338">
        <v>90</v>
      </c>
      <c r="AP12" s="338">
        <v>101</v>
      </c>
      <c r="AQ12" s="337">
        <f>381-SUM(AN12:AP12)</f>
        <v>106</v>
      </c>
      <c r="AR12" s="235">
        <f>SUM(AN12:AQ12)</f>
        <v>381</v>
      </c>
      <c r="AS12" s="338">
        <v>84</v>
      </c>
      <c r="AT12" s="338">
        <v>110</v>
      </c>
      <c r="AU12" s="338">
        <v>116</v>
      </c>
      <c r="AV12" s="337">
        <f>436-SUM(AS12:AU12)</f>
        <v>126</v>
      </c>
      <c r="AW12" s="235">
        <f>SUM(AS12:AV12)</f>
        <v>436</v>
      </c>
      <c r="AX12" s="338">
        <v>92</v>
      </c>
      <c r="AY12" s="338">
        <v>118</v>
      </c>
      <c r="AZ12" s="338">
        <v>125</v>
      </c>
      <c r="BA12" s="337">
        <f>435-SUM(AX12:AZ12)</f>
        <v>100</v>
      </c>
      <c r="BB12" s="235">
        <f>SUM(AX12:BA12)</f>
        <v>435</v>
      </c>
      <c r="BC12" s="338">
        <v>93</v>
      </c>
      <c r="BD12" s="338">
        <v>111</v>
      </c>
      <c r="BE12" s="338">
        <v>108</v>
      </c>
      <c r="BF12" s="337">
        <f>443-SUM(BC12:BE12)</f>
        <v>131</v>
      </c>
      <c r="BG12" s="235">
        <f>SUM(BC12:BF12)</f>
        <v>443</v>
      </c>
      <c r="BH12" s="338">
        <v>101</v>
      </c>
      <c r="BI12" s="338">
        <v>130</v>
      </c>
      <c r="BJ12" s="338">
        <v>116</v>
      </c>
      <c r="BK12" s="337">
        <f>489-SUM(BH12:BJ12)</f>
        <v>142</v>
      </c>
      <c r="BL12" s="235">
        <f>SUM(BH12:BK12)</f>
        <v>489</v>
      </c>
      <c r="BM12" s="338">
        <v>114</v>
      </c>
      <c r="BN12" s="338">
        <v>135</v>
      </c>
      <c r="BO12" s="338">
        <v>133</v>
      </c>
      <c r="BP12" s="337">
        <f>506-SUM(BM12:BO12)</f>
        <v>124</v>
      </c>
      <c r="BQ12" s="235">
        <f>SUM(BM12:BP12)</f>
        <v>506</v>
      </c>
      <c r="BR12" s="338">
        <v>118</v>
      </c>
      <c r="BS12" s="338">
        <v>119</v>
      </c>
      <c r="BT12" s="338">
        <v>117</v>
      </c>
      <c r="BU12" s="337">
        <f>498-SUM(BR12:BT12)</f>
        <v>144</v>
      </c>
      <c r="BV12" s="235">
        <f>SUM(BR12:BU12)</f>
        <v>498</v>
      </c>
      <c r="BW12" s="338">
        <v>113</v>
      </c>
      <c r="BX12" s="338">
        <v>147</v>
      </c>
      <c r="BY12" s="338">
        <v>143</v>
      </c>
      <c r="BZ12" s="337">
        <f>538-SUM(BW12:BY12)</f>
        <v>135</v>
      </c>
      <c r="CA12" s="235">
        <f>SUM(BW12:BZ12)</f>
        <v>538</v>
      </c>
      <c r="CB12" s="338">
        <v>104</v>
      </c>
      <c r="CC12" s="338">
        <v>114</v>
      </c>
      <c r="CD12" s="338">
        <v>113</v>
      </c>
      <c r="CE12" s="337">
        <f>463-SUM(CB12:CD12)</f>
        <v>132</v>
      </c>
      <c r="CF12" s="235">
        <f>SUM(CB12:CE12)</f>
        <v>463</v>
      </c>
      <c r="CG12" s="338">
        <v>101</v>
      </c>
      <c r="CH12" s="338">
        <v>98</v>
      </c>
      <c r="CI12" s="338">
        <v>102</v>
      </c>
      <c r="CJ12" s="337">
        <f>381-SUM(CG12:CI12)</f>
        <v>80</v>
      </c>
      <c r="CK12" s="235">
        <f>SUM(CG12:CJ12)</f>
        <v>381</v>
      </c>
      <c r="CL12" s="338">
        <v>63</v>
      </c>
      <c r="CM12" s="338">
        <v>83</v>
      </c>
      <c r="CN12" s="338">
        <v>89</v>
      </c>
      <c r="CO12" s="337">
        <f>325-SUM(CL12:CN12)</f>
        <v>90</v>
      </c>
      <c r="CP12" s="235">
        <f>SUM(CL12:CO12)</f>
        <v>325</v>
      </c>
      <c r="CQ12" s="338">
        <v>70</v>
      </c>
      <c r="CR12" s="841">
        <v>93</v>
      </c>
      <c r="CS12" s="841">
        <v>103</v>
      </c>
      <c r="CT12" s="841">
        <v>107</v>
      </c>
      <c r="CU12" s="235">
        <f>SUM(CQ12:CT12)</f>
        <v>373</v>
      </c>
      <c r="CV12" s="165">
        <f>CQ12*(1+CV13)</f>
        <v>69.3</v>
      </c>
      <c r="CW12" s="165">
        <f>CR12*(1+CW13)</f>
        <v>94.86</v>
      </c>
      <c r="CX12" s="165">
        <f>CS12*(1+CX13)</f>
        <v>107.12</v>
      </c>
      <c r="CY12" s="300">
        <f>CT12*(1+CY13)</f>
        <v>111.28</v>
      </c>
      <c r="CZ12" s="235">
        <f>SUM(CV12:CY12)</f>
        <v>382.55999999999995</v>
      </c>
      <c r="DA12" s="235">
        <f>CZ12*(1+DA13)</f>
        <v>397.86239999999998</v>
      </c>
      <c r="DB12" s="248">
        <f>DA12*(1+DB13)</f>
        <v>409.798272</v>
      </c>
      <c r="DC12" s="235">
        <f>DB12*(1+DC13)</f>
        <v>422.09222016000001</v>
      </c>
      <c r="DF12" s="235">
        <f t="shared" si="0"/>
        <v>107</v>
      </c>
      <c r="DG12" s="235">
        <v>94.5</v>
      </c>
      <c r="DH12" s="235">
        <f t="shared" si="1"/>
        <v>90</v>
      </c>
      <c r="DI12" s="235">
        <f t="shared" si="5"/>
        <v>0.13227513227513232</v>
      </c>
      <c r="DJ12" s="235">
        <f t="shared" si="6"/>
        <v>0.18888888888888888</v>
      </c>
    </row>
    <row r="13" spans="3:114" s="155" customFormat="1">
      <c r="C13" s="336"/>
      <c r="D13" s="339" t="s">
        <v>271</v>
      </c>
      <c r="E13" s="340"/>
      <c r="F13" s="236">
        <f>F12/E12-1</f>
        <v>2.008032128514059E-2</v>
      </c>
      <c r="G13" s="236">
        <f>G12/F12-1</f>
        <v>0.40551181102362199</v>
      </c>
      <c r="H13" s="236">
        <f>H12/G12-1</f>
        <v>-0.22969187675070024</v>
      </c>
      <c r="I13" s="236">
        <f>I12/H12-1</f>
        <v>-0.35636363636363633</v>
      </c>
      <c r="J13" s="152"/>
      <c r="K13" s="152"/>
      <c r="L13" s="152"/>
      <c r="M13" s="341"/>
      <c r="N13" s="236">
        <f t="shared" ref="N13:AS13" si="7">N12/I12-1</f>
        <v>3.3898305084745672E-2</v>
      </c>
      <c r="O13" s="152">
        <f t="shared" si="7"/>
        <v>2.0408163265306145E-2</v>
      </c>
      <c r="P13" s="152">
        <f t="shared" si="7"/>
        <v>2.1276595744680771E-2</v>
      </c>
      <c r="Q13" s="152">
        <f t="shared" si="7"/>
        <v>-0.28888888888888886</v>
      </c>
      <c r="R13" s="302">
        <f t="shared" si="7"/>
        <v>-0.4285714285714286</v>
      </c>
      <c r="S13" s="236">
        <f t="shared" si="7"/>
        <v>-0.15846994535519121</v>
      </c>
      <c r="T13" s="152">
        <f t="shared" si="7"/>
        <v>-0.18000000000000005</v>
      </c>
      <c r="U13" s="152">
        <f t="shared" si="7"/>
        <v>-2.083333333333337E-2</v>
      </c>
      <c r="V13" s="152">
        <f t="shared" si="7"/>
        <v>0.65625</v>
      </c>
      <c r="W13" s="302">
        <f t="shared" si="7"/>
        <v>1.4583333333333335</v>
      </c>
      <c r="X13" s="236">
        <f t="shared" si="7"/>
        <v>0.29870129870129869</v>
      </c>
      <c r="Y13" s="152">
        <f t="shared" si="7"/>
        <v>0.12195121951219523</v>
      </c>
      <c r="Z13" s="152">
        <f t="shared" si="7"/>
        <v>4.2553191489361764E-2</v>
      </c>
      <c r="AA13" s="152">
        <f t="shared" si="7"/>
        <v>3.7735849056603765E-2</v>
      </c>
      <c r="AB13" s="302">
        <f t="shared" si="7"/>
        <v>0</v>
      </c>
      <c r="AC13" s="236">
        <f t="shared" si="7"/>
        <v>4.4999999999999929E-2</v>
      </c>
      <c r="AD13" s="152">
        <f t="shared" si="7"/>
        <v>0.43478260869565211</v>
      </c>
      <c r="AE13" s="152">
        <f t="shared" si="7"/>
        <v>0.36734693877551017</v>
      </c>
      <c r="AF13" s="152">
        <f t="shared" si="7"/>
        <v>0.38181818181818183</v>
      </c>
      <c r="AG13" s="302">
        <f t="shared" si="7"/>
        <v>0.40677966101694918</v>
      </c>
      <c r="AH13" s="236">
        <f t="shared" si="7"/>
        <v>0.39712918660287078</v>
      </c>
      <c r="AI13" s="152">
        <f t="shared" si="7"/>
        <v>0.10606060606060597</v>
      </c>
      <c r="AJ13" s="152">
        <f t="shared" si="7"/>
        <v>0.26865671641791056</v>
      </c>
      <c r="AK13" s="152">
        <f t="shared" si="7"/>
        <v>0.15789473684210531</v>
      </c>
      <c r="AL13" s="302">
        <f t="shared" si="7"/>
        <v>7.2289156626506035E-2</v>
      </c>
      <c r="AM13" s="236">
        <f t="shared" si="7"/>
        <v>0.14726027397260277</v>
      </c>
      <c r="AN13" s="152">
        <f t="shared" si="7"/>
        <v>0.15068493150684925</v>
      </c>
      <c r="AO13" s="152">
        <f t="shared" si="7"/>
        <v>5.8823529411764719E-2</v>
      </c>
      <c r="AP13" s="152">
        <f t="shared" si="7"/>
        <v>0.14772727272727271</v>
      </c>
      <c r="AQ13" s="302">
        <f t="shared" si="7"/>
        <v>0.1910112359550562</v>
      </c>
      <c r="AR13" s="236">
        <f t="shared" si="7"/>
        <v>0.13731343283582098</v>
      </c>
      <c r="AS13" s="152">
        <f t="shared" si="7"/>
        <v>0</v>
      </c>
      <c r="AT13" s="152">
        <f t="shared" ref="AT13:BY13" si="8">AT12/AO12-1</f>
        <v>0.22222222222222232</v>
      </c>
      <c r="AU13" s="152">
        <f t="shared" si="8"/>
        <v>0.14851485148514842</v>
      </c>
      <c r="AV13" s="302">
        <f t="shared" si="8"/>
        <v>0.18867924528301883</v>
      </c>
      <c r="AW13" s="236">
        <f t="shared" si="8"/>
        <v>0.14435695538057747</v>
      </c>
      <c r="AX13" s="152">
        <f t="shared" si="8"/>
        <v>9.5238095238095344E-2</v>
      </c>
      <c r="AY13" s="152">
        <f t="shared" si="8"/>
        <v>7.2727272727272751E-2</v>
      </c>
      <c r="AZ13" s="152">
        <f t="shared" si="8"/>
        <v>7.7586206896551824E-2</v>
      </c>
      <c r="BA13" s="302">
        <f t="shared" si="8"/>
        <v>-0.20634920634920639</v>
      </c>
      <c r="BB13" s="236">
        <f t="shared" si="8"/>
        <v>-2.2935779816514179E-3</v>
      </c>
      <c r="BC13" s="152">
        <f t="shared" si="8"/>
        <v>1.0869565217391353E-2</v>
      </c>
      <c r="BD13" s="152">
        <f t="shared" si="8"/>
        <v>-5.9322033898305038E-2</v>
      </c>
      <c r="BE13" s="152">
        <f t="shared" si="8"/>
        <v>-0.13600000000000001</v>
      </c>
      <c r="BF13" s="302">
        <f t="shared" si="8"/>
        <v>0.31000000000000005</v>
      </c>
      <c r="BG13" s="236">
        <f t="shared" si="8"/>
        <v>1.839080459770126E-2</v>
      </c>
      <c r="BH13" s="152">
        <f t="shared" si="8"/>
        <v>8.602150537634401E-2</v>
      </c>
      <c r="BI13" s="152">
        <f t="shared" si="8"/>
        <v>0.1711711711711712</v>
      </c>
      <c r="BJ13" s="152">
        <f t="shared" si="8"/>
        <v>7.4074074074074181E-2</v>
      </c>
      <c r="BK13" s="302">
        <f t="shared" si="8"/>
        <v>8.3969465648854991E-2</v>
      </c>
      <c r="BL13" s="236">
        <f t="shared" si="8"/>
        <v>0.10383747178329572</v>
      </c>
      <c r="BM13" s="152">
        <f t="shared" si="8"/>
        <v>0.12871287128712861</v>
      </c>
      <c r="BN13" s="152">
        <f t="shared" si="8"/>
        <v>3.8461538461538547E-2</v>
      </c>
      <c r="BO13" s="152">
        <f t="shared" si="8"/>
        <v>0.14655172413793105</v>
      </c>
      <c r="BP13" s="302">
        <f t="shared" si="8"/>
        <v>-0.12676056338028174</v>
      </c>
      <c r="BQ13" s="236">
        <f t="shared" si="8"/>
        <v>3.4764826175869068E-2</v>
      </c>
      <c r="BR13" s="152">
        <f t="shared" si="8"/>
        <v>3.5087719298245723E-2</v>
      </c>
      <c r="BS13" s="152">
        <f t="shared" si="8"/>
        <v>-0.11851851851851847</v>
      </c>
      <c r="BT13" s="152">
        <f t="shared" si="8"/>
        <v>-0.12030075187969924</v>
      </c>
      <c r="BU13" s="302">
        <f t="shared" si="8"/>
        <v>0.16129032258064524</v>
      </c>
      <c r="BV13" s="236">
        <f t="shared" si="8"/>
        <v>-1.5810276679841917E-2</v>
      </c>
      <c r="BW13" s="152">
        <f t="shared" si="8"/>
        <v>-4.2372881355932202E-2</v>
      </c>
      <c r="BX13" s="152">
        <f t="shared" si="8"/>
        <v>0.23529411764705888</v>
      </c>
      <c r="BY13" s="152">
        <f t="shared" si="8"/>
        <v>0.22222222222222232</v>
      </c>
      <c r="BZ13" s="302">
        <f t="shared" ref="BZ13:CT13" si="9">BZ12/BU12-1</f>
        <v>-6.25E-2</v>
      </c>
      <c r="CA13" s="236">
        <f t="shared" si="9"/>
        <v>8.032128514056236E-2</v>
      </c>
      <c r="CB13" s="152">
        <f t="shared" si="9"/>
        <v>-7.9646017699115057E-2</v>
      </c>
      <c r="CC13" s="152">
        <f t="shared" si="9"/>
        <v>-0.22448979591836737</v>
      </c>
      <c r="CD13" s="152">
        <f t="shared" si="9"/>
        <v>-0.20979020979020979</v>
      </c>
      <c r="CE13" s="302">
        <f t="shared" si="9"/>
        <v>-2.2222222222222254E-2</v>
      </c>
      <c r="CF13" s="236">
        <f t="shared" si="9"/>
        <v>-0.13940520446096649</v>
      </c>
      <c r="CG13" s="152">
        <f t="shared" si="9"/>
        <v>-2.8846153846153855E-2</v>
      </c>
      <c r="CH13" s="152">
        <f t="shared" si="9"/>
        <v>-0.14035087719298245</v>
      </c>
      <c r="CI13" s="152">
        <f t="shared" si="9"/>
        <v>-9.7345132743362872E-2</v>
      </c>
      <c r="CJ13" s="302">
        <f t="shared" si="9"/>
        <v>-0.39393939393939392</v>
      </c>
      <c r="CK13" s="236">
        <f t="shared" si="9"/>
        <v>-0.17710583153347736</v>
      </c>
      <c r="CL13" s="152">
        <f t="shared" si="9"/>
        <v>-0.37623762376237624</v>
      </c>
      <c r="CM13" s="152">
        <f t="shared" si="9"/>
        <v>-0.15306122448979587</v>
      </c>
      <c r="CN13" s="152">
        <f t="shared" si="9"/>
        <v>-0.12745098039215685</v>
      </c>
      <c r="CO13" s="302">
        <f t="shared" si="9"/>
        <v>0.125</v>
      </c>
      <c r="CP13" s="236">
        <f t="shared" si="9"/>
        <v>-0.14698162729658792</v>
      </c>
      <c r="CQ13" s="152">
        <f t="shared" si="9"/>
        <v>0.11111111111111116</v>
      </c>
      <c r="CR13" s="152">
        <f t="shared" si="9"/>
        <v>0.12048192771084332</v>
      </c>
      <c r="CS13" s="152">
        <f t="shared" si="9"/>
        <v>0.15730337078651679</v>
      </c>
      <c r="CT13" s="152">
        <f t="shared" si="9"/>
        <v>0.18888888888888888</v>
      </c>
      <c r="CU13" s="236">
        <f>CU12/CP12-1</f>
        <v>0.14769230769230779</v>
      </c>
      <c r="CV13" s="177">
        <v>-0.01</v>
      </c>
      <c r="CW13" s="177">
        <v>0.02</v>
      </c>
      <c r="CX13" s="177">
        <v>0.04</v>
      </c>
      <c r="CY13" s="177">
        <v>0.04</v>
      </c>
      <c r="CZ13" s="236">
        <f>CZ12/CU12-1</f>
        <v>2.5630026809651429E-2</v>
      </c>
      <c r="DA13" s="177">
        <v>0.04</v>
      </c>
      <c r="DB13" s="373">
        <v>0.03</v>
      </c>
      <c r="DC13" s="371">
        <v>0.03</v>
      </c>
      <c r="DF13" s="236">
        <f t="shared" si="0"/>
        <v>0.18888888888888888</v>
      </c>
      <c r="DG13" s="236">
        <v>0.05</v>
      </c>
      <c r="DH13" s="236">
        <f t="shared" si="1"/>
        <v>0.125</v>
      </c>
      <c r="DI13" s="236">
        <f t="shared" si="5"/>
        <v>2.7777777777777777</v>
      </c>
      <c r="DJ13" s="236">
        <f t="shared" si="6"/>
        <v>0.51111111111111107</v>
      </c>
    </row>
    <row r="14" spans="3:114" s="155" customFormat="1">
      <c r="C14" s="336"/>
      <c r="D14" s="1" t="s">
        <v>791</v>
      </c>
      <c r="E14" s="337">
        <v>1709</v>
      </c>
      <c r="F14" s="337">
        <v>1820</v>
      </c>
      <c r="G14" s="337">
        <v>1800</v>
      </c>
      <c r="H14" s="337">
        <v>1850</v>
      </c>
      <c r="I14" s="337">
        <v>1960</v>
      </c>
      <c r="J14" s="338">
        <v>477</v>
      </c>
      <c r="K14" s="338">
        <v>521</v>
      </c>
      <c r="L14" s="338">
        <v>414</v>
      </c>
      <c r="M14" s="337">
        <f>1882-SUM(J14:L14)</f>
        <v>470</v>
      </c>
      <c r="N14" s="235">
        <f>SUM(J14:M14)</f>
        <v>1882</v>
      </c>
      <c r="O14" s="338">
        <v>576</v>
      </c>
      <c r="P14" s="338">
        <v>579</v>
      </c>
      <c r="Q14" s="338">
        <v>451</v>
      </c>
      <c r="R14" s="337">
        <f>2161-SUM(O14:Q14)</f>
        <v>555</v>
      </c>
      <c r="S14" s="235">
        <f>SUM(O14:R14)</f>
        <v>2161</v>
      </c>
      <c r="T14" s="338">
        <v>457</v>
      </c>
      <c r="U14" s="338">
        <v>538</v>
      </c>
      <c r="V14" s="338">
        <v>454</v>
      </c>
      <c r="W14" s="337">
        <f>2004-SUM(T14:V14)</f>
        <v>555</v>
      </c>
      <c r="X14" s="235">
        <f>SUM(T14:W14)</f>
        <v>2004</v>
      </c>
      <c r="Y14" s="338">
        <v>401</v>
      </c>
      <c r="Z14" s="338">
        <v>409</v>
      </c>
      <c r="AA14" s="338">
        <v>313</v>
      </c>
      <c r="AB14" s="337">
        <f>1595-SUM(Y14:AA14)</f>
        <v>472</v>
      </c>
      <c r="AC14" s="235">
        <f>SUM(Y14:AB14)</f>
        <v>1595</v>
      </c>
      <c r="AD14" s="338">
        <v>420</v>
      </c>
      <c r="AE14" s="338">
        <v>453</v>
      </c>
      <c r="AF14" s="338">
        <v>372</v>
      </c>
      <c r="AG14" s="337">
        <f>1705-SUM(AD14:AF14)</f>
        <v>460</v>
      </c>
      <c r="AH14" s="235">
        <f>SUM(AD14:AG14)</f>
        <v>1705</v>
      </c>
      <c r="AI14" s="338">
        <v>445</v>
      </c>
      <c r="AJ14" s="338">
        <v>454</v>
      </c>
      <c r="AK14" s="338">
        <v>371</v>
      </c>
      <c r="AL14" s="337">
        <f>1753-SUM(AI14:AK14)</f>
        <v>483</v>
      </c>
      <c r="AM14" s="235">
        <f>SUM(AI14:AL14)</f>
        <v>1753</v>
      </c>
      <c r="AN14" s="338">
        <v>434</v>
      </c>
      <c r="AO14" s="338">
        <v>459</v>
      </c>
      <c r="AP14" s="338">
        <v>412</v>
      </c>
      <c r="AQ14" s="337">
        <f>1846-SUM(AN14:AP14)</f>
        <v>541</v>
      </c>
      <c r="AR14" s="235">
        <f>SUM(AN14:AQ14)</f>
        <v>1846</v>
      </c>
      <c r="AS14" s="338">
        <v>500</v>
      </c>
      <c r="AT14" s="338">
        <v>509</v>
      </c>
      <c r="AU14" s="338">
        <v>422</v>
      </c>
      <c r="AV14" s="337">
        <f>1918-SUM(AS14:AU14)</f>
        <v>487</v>
      </c>
      <c r="AW14" s="235">
        <f>SUM(AS14:AV14)</f>
        <v>1918</v>
      </c>
      <c r="AX14" s="338">
        <v>500</v>
      </c>
      <c r="AY14" s="338">
        <v>532</v>
      </c>
      <c r="AZ14" s="338">
        <v>410</v>
      </c>
      <c r="BA14" s="337">
        <f>1820-SUM(AX14:AZ14)</f>
        <v>378</v>
      </c>
      <c r="BB14" s="235">
        <f>SUM(AX14:BA14)</f>
        <v>1820</v>
      </c>
      <c r="BC14" s="338">
        <v>343</v>
      </c>
      <c r="BD14" s="338">
        <v>400</v>
      </c>
      <c r="BE14" s="338">
        <v>393</v>
      </c>
      <c r="BF14" s="337">
        <f>1568-SUM(BC14:BE14)</f>
        <v>432</v>
      </c>
      <c r="BG14" s="235">
        <f>SUM(BC14:BF14)</f>
        <v>1568</v>
      </c>
      <c r="BH14" s="338">
        <v>416</v>
      </c>
      <c r="BI14" s="338">
        <v>420</v>
      </c>
      <c r="BJ14" s="338">
        <v>340</v>
      </c>
      <c r="BK14" s="337">
        <f>1573-SUM(BH14:BJ14)</f>
        <v>397</v>
      </c>
      <c r="BL14" s="235">
        <f>SUM(BH14:BK14)</f>
        <v>1573</v>
      </c>
      <c r="BM14" s="338">
        <v>432</v>
      </c>
      <c r="BN14" s="338">
        <v>422</v>
      </c>
      <c r="BO14" s="338">
        <v>357</v>
      </c>
      <c r="BP14" s="337">
        <f>1602-SUM(BM14:BO14)</f>
        <v>391</v>
      </c>
      <c r="BQ14" s="235">
        <f>SUM(BM14:BP14)</f>
        <v>1602</v>
      </c>
      <c r="BR14" s="338">
        <v>372</v>
      </c>
      <c r="BS14" s="338">
        <v>359</v>
      </c>
      <c r="BT14" s="338">
        <v>295</v>
      </c>
      <c r="BU14" s="337">
        <f>1353-SUM(BR14:BT14)</f>
        <v>327</v>
      </c>
      <c r="BV14" s="235">
        <f>SUM(BR14:BU14)</f>
        <v>1353</v>
      </c>
      <c r="BW14" s="338">
        <v>341</v>
      </c>
      <c r="BX14" s="338">
        <v>391</v>
      </c>
      <c r="BY14" s="338">
        <v>310</v>
      </c>
      <c r="BZ14" s="337">
        <f>1360-SUM(BW14:BY14)</f>
        <v>318</v>
      </c>
      <c r="CA14" s="235">
        <f>SUM(BW14:BZ14)</f>
        <v>1360</v>
      </c>
      <c r="CB14" s="338">
        <f>367+51</f>
        <v>418</v>
      </c>
      <c r="CC14" s="338">
        <f>376+49</f>
        <v>425</v>
      </c>
      <c r="CD14" s="338">
        <f>321+48</f>
        <v>369</v>
      </c>
      <c r="CE14" s="337">
        <f>1387+192-SUM(CB14:CD14)</f>
        <v>367</v>
      </c>
      <c r="CF14" s="235">
        <f>SUM(CB14:CE14)</f>
        <v>1579</v>
      </c>
      <c r="CG14" s="338">
        <f>376+47</f>
        <v>423</v>
      </c>
      <c r="CH14" s="338">
        <f>389+44</f>
        <v>433</v>
      </c>
      <c r="CI14" s="338">
        <f>375+42</f>
        <v>417</v>
      </c>
      <c r="CJ14" s="337">
        <f>1530+187-SUM(CG14:CI14)</f>
        <v>444</v>
      </c>
      <c r="CK14" s="235">
        <f>SUM(CG14:CJ14)</f>
        <v>1717</v>
      </c>
      <c r="CL14" s="338">
        <f>399+46</f>
        <v>445</v>
      </c>
      <c r="CM14" s="338">
        <f>38+430</f>
        <v>468</v>
      </c>
      <c r="CN14" s="338">
        <f>320+36</f>
        <v>356</v>
      </c>
      <c r="CO14" s="337">
        <f>1539+161-SUM(CL14:CN14)</f>
        <v>431</v>
      </c>
      <c r="CP14" s="235">
        <f>SUM(CL14:CO14)</f>
        <v>1700</v>
      </c>
      <c r="CQ14" s="338">
        <f>449+30</f>
        <v>479</v>
      </c>
      <c r="CR14" s="841">
        <v>375.24</v>
      </c>
      <c r="CS14" s="841">
        <f>342+30</f>
        <v>372</v>
      </c>
      <c r="CT14" s="841">
        <f>416+35</f>
        <v>451</v>
      </c>
      <c r="CU14" s="235">
        <f>SUM(CQ14:CT14)</f>
        <v>1677.24</v>
      </c>
      <c r="CV14" s="165">
        <f>CQ14*(1+CV15)</f>
        <v>488.58</v>
      </c>
      <c r="CW14" s="165">
        <f>CR14*(1+CW15)</f>
        <v>382.7448</v>
      </c>
      <c r="CX14" s="165">
        <f>CS14*(1+CX15)</f>
        <v>372</v>
      </c>
      <c r="CY14" s="300">
        <f>CT14*(1+CY15)</f>
        <v>451</v>
      </c>
      <c r="CZ14" s="235">
        <f>SUM(CV14:CY14)</f>
        <v>1694.3247999999999</v>
      </c>
      <c r="DA14" s="235">
        <f>CZ14*(1+DA15)</f>
        <v>1719.7396719999997</v>
      </c>
      <c r="DB14" s="248">
        <f>DA14*(1+DB15)</f>
        <v>1745.5357670799995</v>
      </c>
      <c r="DC14" s="235">
        <f>DB14*(1+DC15)</f>
        <v>1771.7188035861993</v>
      </c>
      <c r="DF14" s="235">
        <f t="shared" si="0"/>
        <v>451</v>
      </c>
      <c r="DG14" s="235">
        <v>448.24</v>
      </c>
      <c r="DH14" s="235">
        <f t="shared" si="1"/>
        <v>431</v>
      </c>
      <c r="DI14" s="235">
        <f t="shared" si="5"/>
        <v>6.1574156701766913E-3</v>
      </c>
      <c r="DJ14" s="235">
        <f t="shared" si="6"/>
        <v>4.6403712296983812E-2</v>
      </c>
    </row>
    <row r="15" spans="3:114" s="155" customFormat="1">
      <c r="C15" s="336"/>
      <c r="D15" s="339" t="s">
        <v>271</v>
      </c>
      <c r="E15" s="340"/>
      <c r="F15" s="236">
        <f>F14/E14-1</f>
        <v>6.4950263311878365E-2</v>
      </c>
      <c r="G15" s="236">
        <f>G14/F14-1</f>
        <v>-1.098901098901095E-2</v>
      </c>
      <c r="H15" s="236">
        <f>H14/G14-1</f>
        <v>2.7777777777777679E-2</v>
      </c>
      <c r="I15" s="236">
        <f>I14/H14-1</f>
        <v>5.9459459459459518E-2</v>
      </c>
      <c r="J15" s="152"/>
      <c r="K15" s="152"/>
      <c r="L15" s="152"/>
      <c r="M15" s="341"/>
      <c r="N15" s="236">
        <f t="shared" ref="N15:AS15" si="10">N14/I14-1</f>
        <v>-3.9795918367346972E-2</v>
      </c>
      <c r="O15" s="152">
        <f t="shared" si="10"/>
        <v>0.20754716981132071</v>
      </c>
      <c r="P15" s="152">
        <f t="shared" si="10"/>
        <v>0.1113243761996161</v>
      </c>
      <c r="Q15" s="152">
        <f t="shared" si="10"/>
        <v>8.9371980676328455E-2</v>
      </c>
      <c r="R15" s="302">
        <f t="shared" si="10"/>
        <v>0.18085106382978733</v>
      </c>
      <c r="S15" s="236">
        <f t="shared" si="10"/>
        <v>0.14824654622741762</v>
      </c>
      <c r="T15" s="152">
        <f t="shared" si="10"/>
        <v>-0.20659722222222221</v>
      </c>
      <c r="U15" s="152">
        <f t="shared" si="10"/>
        <v>-7.0811744386873876E-2</v>
      </c>
      <c r="V15" s="152">
        <f t="shared" si="10"/>
        <v>6.6518847006651338E-3</v>
      </c>
      <c r="W15" s="302">
        <f t="shared" si="10"/>
        <v>0</v>
      </c>
      <c r="X15" s="236">
        <f t="shared" si="10"/>
        <v>-7.2651550208236881E-2</v>
      </c>
      <c r="Y15" s="152">
        <f t="shared" si="10"/>
        <v>-0.12253829321663023</v>
      </c>
      <c r="Z15" s="152">
        <f t="shared" si="10"/>
        <v>-0.2397769516728625</v>
      </c>
      <c r="AA15" s="152">
        <f t="shared" si="10"/>
        <v>-0.31057268722466957</v>
      </c>
      <c r="AB15" s="302">
        <f t="shared" si="10"/>
        <v>-0.14954954954954958</v>
      </c>
      <c r="AC15" s="236">
        <f t="shared" si="10"/>
        <v>-0.20409181636726548</v>
      </c>
      <c r="AD15" s="152">
        <f t="shared" si="10"/>
        <v>4.7381546134663388E-2</v>
      </c>
      <c r="AE15" s="152">
        <f t="shared" si="10"/>
        <v>0.10757946210268954</v>
      </c>
      <c r="AF15" s="152">
        <f t="shared" si="10"/>
        <v>0.18849840255591044</v>
      </c>
      <c r="AG15" s="302">
        <f t="shared" si="10"/>
        <v>-2.5423728813559365E-2</v>
      </c>
      <c r="AH15" s="236">
        <f t="shared" si="10"/>
        <v>6.8965517241379226E-2</v>
      </c>
      <c r="AI15" s="152">
        <f t="shared" si="10"/>
        <v>5.9523809523809534E-2</v>
      </c>
      <c r="AJ15" s="152">
        <f t="shared" si="10"/>
        <v>2.2075055187638082E-3</v>
      </c>
      <c r="AK15" s="152">
        <f t="shared" si="10"/>
        <v>-2.6881720430107503E-3</v>
      </c>
      <c r="AL15" s="302">
        <f t="shared" si="10"/>
        <v>5.0000000000000044E-2</v>
      </c>
      <c r="AM15" s="236">
        <f t="shared" si="10"/>
        <v>2.8152492668621631E-2</v>
      </c>
      <c r="AN15" s="152">
        <f t="shared" si="10"/>
        <v>-2.4719101123595544E-2</v>
      </c>
      <c r="AO15" s="152">
        <f t="shared" si="10"/>
        <v>1.1013215859030812E-2</v>
      </c>
      <c r="AP15" s="152">
        <f t="shared" si="10"/>
        <v>0.11051212938005395</v>
      </c>
      <c r="AQ15" s="302">
        <f t="shared" si="10"/>
        <v>0.12008281573498958</v>
      </c>
      <c r="AR15" s="236">
        <f t="shared" si="10"/>
        <v>5.3051911009697639E-2</v>
      </c>
      <c r="AS15" s="152">
        <f t="shared" si="10"/>
        <v>0.15207373271889391</v>
      </c>
      <c r="AT15" s="152">
        <f t="shared" ref="AT15:BY15" si="11">AT14/AO14-1</f>
        <v>0.10893246187363825</v>
      </c>
      <c r="AU15" s="152">
        <f t="shared" si="11"/>
        <v>2.4271844660194164E-2</v>
      </c>
      <c r="AV15" s="302">
        <f t="shared" si="11"/>
        <v>-9.9815157116451059E-2</v>
      </c>
      <c r="AW15" s="236">
        <f t="shared" si="11"/>
        <v>3.9003250270855938E-2</v>
      </c>
      <c r="AX15" s="152">
        <f t="shared" si="11"/>
        <v>0</v>
      </c>
      <c r="AY15" s="152">
        <f t="shared" si="11"/>
        <v>4.5186640471512662E-2</v>
      </c>
      <c r="AZ15" s="152">
        <f t="shared" si="11"/>
        <v>-2.8436018957345932E-2</v>
      </c>
      <c r="BA15" s="302">
        <f t="shared" si="11"/>
        <v>-0.22381930184804932</v>
      </c>
      <c r="BB15" s="236">
        <f t="shared" si="11"/>
        <v>-5.1094890510948954E-2</v>
      </c>
      <c r="BC15" s="152">
        <f t="shared" si="11"/>
        <v>-0.31399999999999995</v>
      </c>
      <c r="BD15" s="152">
        <f t="shared" si="11"/>
        <v>-0.24812030075187974</v>
      </c>
      <c r="BE15" s="152">
        <f t="shared" si="11"/>
        <v>-4.1463414634146378E-2</v>
      </c>
      <c r="BF15" s="302">
        <f t="shared" si="11"/>
        <v>0.14285714285714279</v>
      </c>
      <c r="BG15" s="236">
        <f t="shared" si="11"/>
        <v>-0.13846153846153841</v>
      </c>
      <c r="BH15" s="152">
        <f t="shared" si="11"/>
        <v>0.2128279883381925</v>
      </c>
      <c r="BI15" s="152">
        <f t="shared" si="11"/>
        <v>5.0000000000000044E-2</v>
      </c>
      <c r="BJ15" s="152">
        <f t="shared" si="11"/>
        <v>-0.13486005089058528</v>
      </c>
      <c r="BK15" s="302">
        <f t="shared" si="11"/>
        <v>-8.101851851851849E-2</v>
      </c>
      <c r="BL15" s="236">
        <f t="shared" si="11"/>
        <v>3.1887755102040227E-3</v>
      </c>
      <c r="BM15" s="152">
        <f t="shared" si="11"/>
        <v>3.8461538461538547E-2</v>
      </c>
      <c r="BN15" s="152">
        <f t="shared" si="11"/>
        <v>4.761904761904745E-3</v>
      </c>
      <c r="BO15" s="152">
        <f t="shared" si="11"/>
        <v>5.0000000000000044E-2</v>
      </c>
      <c r="BP15" s="302">
        <f t="shared" si="11"/>
        <v>-1.5113350125944613E-2</v>
      </c>
      <c r="BQ15" s="236">
        <f t="shared" si="11"/>
        <v>1.8436109345200347E-2</v>
      </c>
      <c r="BR15" s="152">
        <f t="shared" si="11"/>
        <v>-0.13888888888888884</v>
      </c>
      <c r="BS15" s="152">
        <f t="shared" si="11"/>
        <v>-0.14928909952606639</v>
      </c>
      <c r="BT15" s="152">
        <f t="shared" si="11"/>
        <v>-0.1736694677871149</v>
      </c>
      <c r="BU15" s="302">
        <f t="shared" si="11"/>
        <v>-0.16368286445012792</v>
      </c>
      <c r="BV15" s="236">
        <f t="shared" si="11"/>
        <v>-0.15543071161048694</v>
      </c>
      <c r="BW15" s="152">
        <f t="shared" si="11"/>
        <v>-8.333333333333337E-2</v>
      </c>
      <c r="BX15" s="152">
        <f t="shared" si="11"/>
        <v>8.9136490250696365E-2</v>
      </c>
      <c r="BY15" s="152">
        <f t="shared" si="11"/>
        <v>5.0847457627118731E-2</v>
      </c>
      <c r="BZ15" s="302">
        <f t="shared" ref="BZ15:CT15" si="12">BZ14/BU14-1</f>
        <v>-2.752293577981646E-2</v>
      </c>
      <c r="CA15" s="236">
        <f t="shared" si="12"/>
        <v>5.1736881005173263E-3</v>
      </c>
      <c r="CB15" s="152">
        <f t="shared" si="12"/>
        <v>0.22580645161290325</v>
      </c>
      <c r="CC15" s="152">
        <f t="shared" si="12"/>
        <v>8.6956521739130377E-2</v>
      </c>
      <c r="CD15" s="152">
        <f t="shared" si="12"/>
        <v>0.19032258064516139</v>
      </c>
      <c r="CE15" s="302">
        <f t="shared" si="12"/>
        <v>0.15408805031446549</v>
      </c>
      <c r="CF15" s="236">
        <f t="shared" si="12"/>
        <v>0.16102941176470598</v>
      </c>
      <c r="CG15" s="152">
        <f t="shared" si="12"/>
        <v>1.1961722488038173E-2</v>
      </c>
      <c r="CH15" s="152">
        <f t="shared" si="12"/>
        <v>1.8823529411764683E-2</v>
      </c>
      <c r="CI15" s="152">
        <f t="shared" si="12"/>
        <v>0.13008130081300817</v>
      </c>
      <c r="CJ15" s="302">
        <f t="shared" si="12"/>
        <v>0.20980926430517721</v>
      </c>
      <c r="CK15" s="236">
        <f t="shared" si="12"/>
        <v>8.7397086763774556E-2</v>
      </c>
      <c r="CL15" s="152">
        <f t="shared" si="12"/>
        <v>5.2009456264775489E-2</v>
      </c>
      <c r="CM15" s="152">
        <f t="shared" si="12"/>
        <v>8.0831408775981606E-2</v>
      </c>
      <c r="CN15" s="152">
        <f t="shared" si="12"/>
        <v>-0.1462829736211031</v>
      </c>
      <c r="CO15" s="302">
        <f t="shared" si="12"/>
        <v>-2.9279279279279313E-2</v>
      </c>
      <c r="CP15" s="236">
        <f t="shared" si="12"/>
        <v>-9.9009900990099098E-3</v>
      </c>
      <c r="CQ15" s="152">
        <f t="shared" si="12"/>
        <v>7.640449438202257E-2</v>
      </c>
      <c r="CR15" s="152">
        <f t="shared" si="12"/>
        <v>-0.19820512820512814</v>
      </c>
      <c r="CS15" s="152">
        <f t="shared" si="12"/>
        <v>4.4943820224719211E-2</v>
      </c>
      <c r="CT15" s="152">
        <f t="shared" si="12"/>
        <v>4.6403712296983812E-2</v>
      </c>
      <c r="CU15" s="236">
        <f>CU14/CP14-1</f>
        <v>-1.338823529411759E-2</v>
      </c>
      <c r="CV15" s="177">
        <v>0.02</v>
      </c>
      <c r="CW15" s="177">
        <v>0.02</v>
      </c>
      <c r="CX15" s="177">
        <v>0</v>
      </c>
      <c r="CY15" s="177">
        <v>0</v>
      </c>
      <c r="CZ15" s="236">
        <f>CZ14/CU14-1</f>
        <v>1.0186258376857049E-2</v>
      </c>
      <c r="DA15" s="177">
        <v>1.4999999999999999E-2</v>
      </c>
      <c r="DB15" s="373">
        <v>1.4999999999999999E-2</v>
      </c>
      <c r="DC15" s="371">
        <v>1.4999999999999999E-2</v>
      </c>
      <c r="DF15" s="236">
        <f t="shared" si="0"/>
        <v>4.6403712296983812E-2</v>
      </c>
      <c r="DG15" s="236">
        <v>0.04</v>
      </c>
      <c r="DH15" s="236">
        <f t="shared" si="1"/>
        <v>-2.9279279279279313E-2</v>
      </c>
      <c r="DI15" s="236">
        <f t="shared" si="5"/>
        <v>0.16009280742459531</v>
      </c>
      <c r="DJ15" s="236">
        <f t="shared" si="6"/>
        <v>-2.5848652507585221</v>
      </c>
    </row>
    <row r="16" spans="3:114" s="155" customFormat="1">
      <c r="C16" s="336"/>
      <c r="D16" s="1" t="s">
        <v>792</v>
      </c>
      <c r="E16" s="337">
        <f>139+106+57+67</f>
        <v>369</v>
      </c>
      <c r="F16" s="337">
        <f>138+86+52+81</f>
        <v>357</v>
      </c>
      <c r="G16" s="337">
        <f>132+79+40+103</f>
        <v>354</v>
      </c>
      <c r="H16" s="337">
        <f>133+77+25+93</f>
        <v>328</v>
      </c>
      <c r="I16" s="337">
        <f>125+56+32+83</f>
        <v>296</v>
      </c>
      <c r="J16" s="338">
        <f>24+22+30</f>
        <v>76</v>
      </c>
      <c r="K16" s="338">
        <f>37+19+8+55</f>
        <v>119</v>
      </c>
      <c r="L16" s="338">
        <f>34+13+5+61</f>
        <v>113</v>
      </c>
      <c r="M16" s="337">
        <f>125+63+26+212-SUM(J16:L16)</f>
        <v>118</v>
      </c>
      <c r="N16" s="235">
        <f>SUM(J16:M16)</f>
        <v>426</v>
      </c>
      <c r="O16" s="338">
        <f>26+17+32</f>
        <v>75</v>
      </c>
      <c r="P16" s="338">
        <f>31+12+5+41</f>
        <v>89</v>
      </c>
      <c r="Q16" s="338">
        <f>29+14+4+50</f>
        <v>97</v>
      </c>
      <c r="R16" s="337">
        <f>115+53+18+198-SUM(O16:Q16)</f>
        <v>123</v>
      </c>
      <c r="S16" s="235">
        <f>SUM(O16:R16)</f>
        <v>384</v>
      </c>
      <c r="T16" s="338">
        <f>27+20+40</f>
        <v>87</v>
      </c>
      <c r="U16" s="338">
        <f>31+12+36</f>
        <v>79</v>
      </c>
      <c r="V16" s="338">
        <f>28+16+46</f>
        <v>90</v>
      </c>
      <c r="W16" s="337">
        <f>117+65+186-SUM(T16:V16)</f>
        <v>112</v>
      </c>
      <c r="X16" s="235">
        <f>SUM(T16:W16)</f>
        <v>368</v>
      </c>
      <c r="Y16" s="338">
        <v>82</v>
      </c>
      <c r="Z16" s="338">
        <v>83</v>
      </c>
      <c r="AA16" s="338">
        <v>96</v>
      </c>
      <c r="AB16" s="337">
        <f>353-SUM(Y16:AA16)</f>
        <v>92</v>
      </c>
      <c r="AC16" s="235">
        <f>SUM(Y16:AB16)</f>
        <v>353</v>
      </c>
      <c r="AD16" s="338">
        <v>96</v>
      </c>
      <c r="AE16" s="338">
        <v>108</v>
      </c>
      <c r="AF16" s="338">
        <v>111</v>
      </c>
      <c r="AG16" s="337">
        <f>407-SUM(AD16:AF16)</f>
        <v>92</v>
      </c>
      <c r="AH16" s="235">
        <f>SUM(AD16:AG16)</f>
        <v>407</v>
      </c>
      <c r="AI16" s="338">
        <v>112</v>
      </c>
      <c r="AJ16" s="338">
        <v>115</v>
      </c>
      <c r="AK16" s="338">
        <f>115+14</f>
        <v>129</v>
      </c>
      <c r="AL16" s="337">
        <f>473+32-SUM(AI16:AK16)</f>
        <v>149</v>
      </c>
      <c r="AM16" s="235">
        <f>SUM(AI16:AL16)</f>
        <v>505</v>
      </c>
      <c r="AN16" s="338">
        <f>134+24</f>
        <v>158</v>
      </c>
      <c r="AO16" s="338">
        <f>138+17</f>
        <v>155</v>
      </c>
      <c r="AP16" s="338">
        <f>125+14</f>
        <v>139</v>
      </c>
      <c r="AQ16" s="337">
        <f>517+72-SUM(AN16:AP16)</f>
        <v>137</v>
      </c>
      <c r="AR16" s="235">
        <f>SUM(AN16:AQ16)</f>
        <v>589</v>
      </c>
      <c r="AS16" s="338">
        <f>126+21</f>
        <v>147</v>
      </c>
      <c r="AT16" s="338">
        <f>135+9</f>
        <v>144</v>
      </c>
      <c r="AU16" s="338">
        <f>129+8</f>
        <v>137</v>
      </c>
      <c r="AV16" s="337">
        <f>535+54-SUM(AS16:AU16)</f>
        <v>161</v>
      </c>
      <c r="AW16" s="235">
        <f>SUM(AS16:AV16)</f>
        <v>589</v>
      </c>
      <c r="AX16" s="338">
        <v>129</v>
      </c>
      <c r="AY16" s="338">
        <v>125</v>
      </c>
      <c r="AZ16" s="338">
        <v>11</v>
      </c>
      <c r="BA16" s="337">
        <f>464-SUM(AX16:AZ16)</f>
        <v>199</v>
      </c>
      <c r="BB16" s="235">
        <f>SUM(AX16:BA16)</f>
        <v>464</v>
      </c>
      <c r="BC16" s="338">
        <v>114</v>
      </c>
      <c r="BD16" s="338">
        <v>124</v>
      </c>
      <c r="BE16" s="338">
        <v>139</v>
      </c>
      <c r="BF16" s="337">
        <f>523-SUM(BC16:BE16)</f>
        <v>146</v>
      </c>
      <c r="BG16" s="235">
        <f>SUM(BC16:BF16)</f>
        <v>523</v>
      </c>
      <c r="BH16" s="338">
        <v>189</v>
      </c>
      <c r="BI16" s="338">
        <v>209</v>
      </c>
      <c r="BJ16" s="338">
        <v>205</v>
      </c>
      <c r="BK16" s="337">
        <f>838-SUM(BH16:BJ16)</f>
        <v>235</v>
      </c>
      <c r="BL16" s="235">
        <f>SUM(BH16:BK16)</f>
        <v>838</v>
      </c>
      <c r="BM16" s="338">
        <v>242</v>
      </c>
      <c r="BN16" s="338">
        <v>226</v>
      </c>
      <c r="BO16" s="338">
        <v>214</v>
      </c>
      <c r="BP16" s="337">
        <f>901-SUM(BM16:BO16)</f>
        <v>219</v>
      </c>
      <c r="BQ16" s="235">
        <f>SUM(BM16:BP16)</f>
        <v>901</v>
      </c>
      <c r="BR16" s="338">
        <v>217</v>
      </c>
      <c r="BS16" s="338">
        <v>250</v>
      </c>
      <c r="BT16" s="338">
        <v>258</v>
      </c>
      <c r="BU16" s="337">
        <f>1033-SUM(BR16:BT16)</f>
        <v>308</v>
      </c>
      <c r="BV16" s="235">
        <f>SUM(BR16:BU16)</f>
        <v>1033</v>
      </c>
      <c r="BW16" s="338">
        <v>282</v>
      </c>
      <c r="BX16" s="338">
        <v>317</v>
      </c>
      <c r="BY16" s="338">
        <v>348</v>
      </c>
      <c r="BZ16" s="337">
        <f>1344-SUM(BW16:BY16)</f>
        <v>397</v>
      </c>
      <c r="CA16" s="235">
        <f>SUM(BW16:BZ16)</f>
        <v>1344</v>
      </c>
      <c r="CB16" s="338">
        <v>350</v>
      </c>
      <c r="CC16" s="338">
        <v>362</v>
      </c>
      <c r="CD16" s="338">
        <v>346</v>
      </c>
      <c r="CE16" s="337">
        <f>1439-SUM(CB16:CD16)</f>
        <v>381</v>
      </c>
      <c r="CF16" s="235">
        <f>SUM(CB16:CE16)</f>
        <v>1439</v>
      </c>
      <c r="CG16" s="338">
        <v>366</v>
      </c>
      <c r="CH16" s="338">
        <v>349</v>
      </c>
      <c r="CI16" s="338">
        <v>306</v>
      </c>
      <c r="CJ16" s="337">
        <f>1464-SUM(CG16:CI16)</f>
        <v>443</v>
      </c>
      <c r="CK16" s="235">
        <f>SUM(CG16:CJ16)</f>
        <v>1464</v>
      </c>
      <c r="CL16" s="338">
        <v>398</v>
      </c>
      <c r="CM16" s="338">
        <v>328</v>
      </c>
      <c r="CN16" s="338">
        <v>398</v>
      </c>
      <c r="CO16" s="337">
        <f>1607-SUM(CL16:CN16)</f>
        <v>483</v>
      </c>
      <c r="CP16" s="235">
        <f>SUM(CL16:CO16)</f>
        <v>1607</v>
      </c>
      <c r="CQ16" s="338">
        <v>383</v>
      </c>
      <c r="CR16" s="841">
        <v>352</v>
      </c>
      <c r="CS16" s="841">
        <v>379</v>
      </c>
      <c r="CT16" s="841">
        <v>425</v>
      </c>
      <c r="CU16" s="235">
        <f>SUM(CQ16:CT16)</f>
        <v>1539</v>
      </c>
      <c r="CV16" s="165">
        <f>CQ16*(1+CV17)</f>
        <v>352.36</v>
      </c>
      <c r="CW16" s="165">
        <f>CR16*(1+CW17)</f>
        <v>355.52</v>
      </c>
      <c r="CX16" s="165">
        <f>CS16*(1+CX17)</f>
        <v>397.95</v>
      </c>
      <c r="CY16" s="300">
        <f>CT16*(1+CY17)</f>
        <v>446.25</v>
      </c>
      <c r="CZ16" s="235">
        <f>SUM(CV16:CY16)</f>
        <v>1552.08</v>
      </c>
      <c r="DA16" s="235">
        <f>CZ16*(1+DA17)</f>
        <v>1614.1632</v>
      </c>
      <c r="DB16" s="248">
        <f>DA16*(1+DB17)</f>
        <v>1678.729728</v>
      </c>
      <c r="DC16" s="235">
        <f>DB16*(1+DC17)</f>
        <v>1745.8789171200001</v>
      </c>
      <c r="DF16" s="235">
        <f t="shared" si="0"/>
        <v>425</v>
      </c>
      <c r="DG16" s="235">
        <v>458.84999999999997</v>
      </c>
      <c r="DH16" s="235">
        <f t="shared" si="1"/>
        <v>483</v>
      </c>
      <c r="DI16" s="235">
        <f t="shared" si="5"/>
        <v>-7.3771384984199551E-2</v>
      </c>
      <c r="DJ16" s="235">
        <f t="shared" si="6"/>
        <v>-0.12008281573498969</v>
      </c>
    </row>
    <row r="17" spans="3:114" s="155" customFormat="1">
      <c r="C17" s="336"/>
      <c r="D17" s="339" t="s">
        <v>271</v>
      </c>
      <c r="E17" s="340"/>
      <c r="F17" s="236">
        <f>F16/E16-1</f>
        <v>-3.2520325203251987E-2</v>
      </c>
      <c r="G17" s="236">
        <f>G16/F16-1</f>
        <v>-8.4033613445377853E-3</v>
      </c>
      <c r="H17" s="236">
        <f>H16/G16-1</f>
        <v>-7.3446327683615809E-2</v>
      </c>
      <c r="I17" s="236">
        <f>I16/H16-1</f>
        <v>-9.7560975609756073E-2</v>
      </c>
      <c r="J17" s="152"/>
      <c r="K17" s="152"/>
      <c r="L17" s="152"/>
      <c r="M17" s="341"/>
      <c r="N17" s="236">
        <f t="shared" ref="N17:AS17" si="13">N16/I16-1</f>
        <v>0.43918918918918926</v>
      </c>
      <c r="O17" s="152">
        <f t="shared" si="13"/>
        <v>-1.3157894736842146E-2</v>
      </c>
      <c r="P17" s="152">
        <f t="shared" si="13"/>
        <v>-0.25210084033613445</v>
      </c>
      <c r="Q17" s="152">
        <f t="shared" si="13"/>
        <v>-0.1415929203539823</v>
      </c>
      <c r="R17" s="302">
        <f t="shared" si="13"/>
        <v>4.2372881355932313E-2</v>
      </c>
      <c r="S17" s="236">
        <f t="shared" si="13"/>
        <v>-9.8591549295774628E-2</v>
      </c>
      <c r="T17" s="152">
        <f t="shared" si="13"/>
        <v>0.15999999999999992</v>
      </c>
      <c r="U17" s="152">
        <f t="shared" si="13"/>
        <v>-0.11235955056179781</v>
      </c>
      <c r="V17" s="152">
        <f t="shared" si="13"/>
        <v>-7.2164948453608213E-2</v>
      </c>
      <c r="W17" s="302">
        <f t="shared" si="13"/>
        <v>-8.9430894308943132E-2</v>
      </c>
      <c r="X17" s="236">
        <f t="shared" si="13"/>
        <v>-4.166666666666663E-2</v>
      </c>
      <c r="Y17" s="152">
        <f t="shared" si="13"/>
        <v>-5.7471264367816133E-2</v>
      </c>
      <c r="Z17" s="152">
        <f t="shared" si="13"/>
        <v>5.0632911392405111E-2</v>
      </c>
      <c r="AA17" s="152">
        <f t="shared" si="13"/>
        <v>6.6666666666666652E-2</v>
      </c>
      <c r="AB17" s="302">
        <f t="shared" si="13"/>
        <v>-0.1785714285714286</v>
      </c>
      <c r="AC17" s="236">
        <f t="shared" si="13"/>
        <v>-4.0760869565217406E-2</v>
      </c>
      <c r="AD17" s="152">
        <f t="shared" si="13"/>
        <v>0.1707317073170731</v>
      </c>
      <c r="AE17" s="152">
        <f t="shared" si="13"/>
        <v>0.3012048192771084</v>
      </c>
      <c r="AF17" s="152">
        <f t="shared" si="13"/>
        <v>0.15625</v>
      </c>
      <c r="AG17" s="302">
        <f t="shared" si="13"/>
        <v>0</v>
      </c>
      <c r="AH17" s="236">
        <f t="shared" si="13"/>
        <v>0.15297450424929182</v>
      </c>
      <c r="AI17" s="152">
        <f t="shared" si="13"/>
        <v>0.16666666666666674</v>
      </c>
      <c r="AJ17" s="152">
        <f t="shared" si="13"/>
        <v>6.4814814814814881E-2</v>
      </c>
      <c r="AK17" s="152">
        <f t="shared" si="13"/>
        <v>0.16216216216216206</v>
      </c>
      <c r="AL17" s="302">
        <f t="shared" si="13"/>
        <v>0.61956521739130443</v>
      </c>
      <c r="AM17" s="236">
        <f t="shared" si="13"/>
        <v>0.24078624078624089</v>
      </c>
      <c r="AN17" s="152">
        <f t="shared" si="13"/>
        <v>0.41071428571428581</v>
      </c>
      <c r="AO17" s="152">
        <f t="shared" si="13"/>
        <v>0.34782608695652173</v>
      </c>
      <c r="AP17" s="152">
        <f t="shared" si="13"/>
        <v>7.7519379844961156E-2</v>
      </c>
      <c r="AQ17" s="302">
        <f t="shared" si="13"/>
        <v>-8.0536912751677847E-2</v>
      </c>
      <c r="AR17" s="236">
        <f t="shared" si="13"/>
        <v>0.16633663366336626</v>
      </c>
      <c r="AS17" s="152">
        <f t="shared" si="13"/>
        <v>-6.9620253164557E-2</v>
      </c>
      <c r="AT17" s="152">
        <f t="shared" ref="AT17:BY17" si="14">AT16/AO16-1</f>
        <v>-7.096774193548383E-2</v>
      </c>
      <c r="AU17" s="152">
        <f t="shared" si="14"/>
        <v>-1.4388489208633115E-2</v>
      </c>
      <c r="AV17" s="302">
        <f t="shared" si="14"/>
        <v>0.17518248175182483</v>
      </c>
      <c r="AW17" s="236">
        <f t="shared" si="14"/>
        <v>0</v>
      </c>
      <c r="AX17" s="152">
        <f t="shared" si="14"/>
        <v>-0.12244897959183676</v>
      </c>
      <c r="AY17" s="152">
        <f t="shared" si="14"/>
        <v>-0.13194444444444442</v>
      </c>
      <c r="AZ17" s="152">
        <f t="shared" si="14"/>
        <v>-0.91970802919708028</v>
      </c>
      <c r="BA17" s="302">
        <f t="shared" si="14"/>
        <v>0.2360248447204969</v>
      </c>
      <c r="BB17" s="236">
        <f t="shared" si="14"/>
        <v>-0.21222410865874364</v>
      </c>
      <c r="BC17" s="152">
        <f t="shared" si="14"/>
        <v>-0.11627906976744184</v>
      </c>
      <c r="BD17" s="152">
        <f t="shared" si="14"/>
        <v>-8.0000000000000071E-3</v>
      </c>
      <c r="BE17" s="152">
        <f t="shared" si="14"/>
        <v>11.636363636363637</v>
      </c>
      <c r="BF17" s="302">
        <f t="shared" si="14"/>
        <v>-0.26633165829145733</v>
      </c>
      <c r="BG17" s="236">
        <f t="shared" si="14"/>
        <v>0.12715517241379315</v>
      </c>
      <c r="BH17" s="152">
        <f t="shared" si="14"/>
        <v>0.65789473684210531</v>
      </c>
      <c r="BI17" s="152">
        <f t="shared" si="14"/>
        <v>0.68548387096774199</v>
      </c>
      <c r="BJ17" s="152">
        <f t="shared" si="14"/>
        <v>0.47482014388489202</v>
      </c>
      <c r="BK17" s="302">
        <f t="shared" si="14"/>
        <v>0.6095890410958904</v>
      </c>
      <c r="BL17" s="236">
        <f t="shared" si="14"/>
        <v>0.60229445506692159</v>
      </c>
      <c r="BM17" s="152">
        <f t="shared" si="14"/>
        <v>0.28042328042328046</v>
      </c>
      <c r="BN17" s="152">
        <f t="shared" si="14"/>
        <v>8.1339712918660378E-2</v>
      </c>
      <c r="BO17" s="152">
        <f t="shared" si="14"/>
        <v>4.3902439024390283E-2</v>
      </c>
      <c r="BP17" s="302">
        <f t="shared" si="14"/>
        <v>-6.8085106382978711E-2</v>
      </c>
      <c r="BQ17" s="236">
        <f t="shared" si="14"/>
        <v>7.5178997613365217E-2</v>
      </c>
      <c r="BR17" s="152">
        <f t="shared" si="14"/>
        <v>-0.10330578512396693</v>
      </c>
      <c r="BS17" s="152">
        <f t="shared" si="14"/>
        <v>0.10619469026548667</v>
      </c>
      <c r="BT17" s="152">
        <f t="shared" si="14"/>
        <v>0.20560747663551404</v>
      </c>
      <c r="BU17" s="302">
        <f t="shared" si="14"/>
        <v>0.40639269406392686</v>
      </c>
      <c r="BV17" s="236">
        <f t="shared" si="14"/>
        <v>0.14650388457269692</v>
      </c>
      <c r="BW17" s="152">
        <f t="shared" si="14"/>
        <v>0.29953917050691237</v>
      </c>
      <c r="BX17" s="152">
        <f t="shared" si="14"/>
        <v>0.26800000000000002</v>
      </c>
      <c r="BY17" s="152">
        <f t="shared" si="14"/>
        <v>0.34883720930232553</v>
      </c>
      <c r="BZ17" s="302">
        <f t="shared" ref="BZ17:CT17" si="15">BZ16/BU16-1</f>
        <v>0.28896103896103886</v>
      </c>
      <c r="CA17" s="236">
        <f t="shared" si="15"/>
        <v>0.30106485963213947</v>
      </c>
      <c r="CB17" s="152">
        <f t="shared" si="15"/>
        <v>0.24113475177304955</v>
      </c>
      <c r="CC17" s="152">
        <f t="shared" si="15"/>
        <v>0.14195583596214512</v>
      </c>
      <c r="CD17" s="152">
        <f t="shared" si="15"/>
        <v>-5.7471264367816577E-3</v>
      </c>
      <c r="CE17" s="302">
        <f t="shared" si="15"/>
        <v>-4.0302267002518932E-2</v>
      </c>
      <c r="CF17" s="236">
        <f t="shared" si="15"/>
        <v>7.0684523809523725E-2</v>
      </c>
      <c r="CG17" s="152">
        <f t="shared" si="15"/>
        <v>4.5714285714285818E-2</v>
      </c>
      <c r="CH17" s="152">
        <f t="shared" si="15"/>
        <v>-3.5911602209944715E-2</v>
      </c>
      <c r="CI17" s="152">
        <f t="shared" si="15"/>
        <v>-0.11560693641618502</v>
      </c>
      <c r="CJ17" s="302">
        <f t="shared" si="15"/>
        <v>0.162729658792651</v>
      </c>
      <c r="CK17" s="236">
        <f t="shared" si="15"/>
        <v>1.7373175816539188E-2</v>
      </c>
      <c r="CL17" s="152">
        <f t="shared" si="15"/>
        <v>8.7431693989071135E-2</v>
      </c>
      <c r="CM17" s="152">
        <f t="shared" si="15"/>
        <v>-6.017191977077363E-2</v>
      </c>
      <c r="CN17" s="152">
        <f t="shared" si="15"/>
        <v>0.30065359477124187</v>
      </c>
      <c r="CO17" s="302">
        <f t="shared" si="15"/>
        <v>9.0293453724604955E-2</v>
      </c>
      <c r="CP17" s="236">
        <f t="shared" si="15"/>
        <v>9.767759562841527E-2</v>
      </c>
      <c r="CQ17" s="152">
        <f t="shared" si="15"/>
        <v>-3.7688442211055273E-2</v>
      </c>
      <c r="CR17" s="152">
        <f t="shared" si="15"/>
        <v>7.3170731707317138E-2</v>
      </c>
      <c r="CS17" s="152">
        <f t="shared" si="15"/>
        <v>-4.7738693467336724E-2</v>
      </c>
      <c r="CT17" s="152">
        <f t="shared" si="15"/>
        <v>-0.12008281573498969</v>
      </c>
      <c r="CU17" s="236">
        <f>CU16/CP16-1</f>
        <v>-4.2314872433105166E-2</v>
      </c>
      <c r="CV17" s="177">
        <v>-0.08</v>
      </c>
      <c r="CW17" s="177">
        <v>0.01</v>
      </c>
      <c r="CX17" s="177">
        <v>0.05</v>
      </c>
      <c r="CY17" s="177">
        <v>0.05</v>
      </c>
      <c r="CZ17" s="236">
        <f>CZ16/CU16-1</f>
        <v>8.4990253411305616E-3</v>
      </c>
      <c r="DA17" s="177">
        <v>0.04</v>
      </c>
      <c r="DB17" s="373">
        <v>0.04</v>
      </c>
      <c r="DC17" s="371">
        <v>0.04</v>
      </c>
      <c r="DF17" s="236">
        <f t="shared" si="0"/>
        <v>-0.12008281573498969</v>
      </c>
      <c r="DG17" s="236">
        <v>-0.05</v>
      </c>
      <c r="DH17" s="236">
        <f t="shared" si="1"/>
        <v>9.0293453724604955E-2</v>
      </c>
      <c r="DI17" s="236">
        <f t="shared" si="5"/>
        <v>1.4016563146997938</v>
      </c>
      <c r="DJ17" s="236">
        <f t="shared" si="6"/>
        <v>-2.3299171842650113</v>
      </c>
    </row>
    <row r="18" spans="3:114" s="155" customFormat="1" hidden="1">
      <c r="C18" s="336"/>
      <c r="D18" s="1" t="s">
        <v>802</v>
      </c>
      <c r="E18" s="337">
        <v>0</v>
      </c>
      <c r="F18" s="337">
        <v>0</v>
      </c>
      <c r="G18" s="337">
        <v>0</v>
      </c>
      <c r="H18" s="337">
        <v>0</v>
      </c>
      <c r="I18" s="337">
        <v>0</v>
      </c>
      <c r="J18" s="338">
        <v>0</v>
      </c>
      <c r="K18" s="338">
        <v>0</v>
      </c>
      <c r="L18" s="338">
        <v>0</v>
      </c>
      <c r="M18" s="337">
        <v>0</v>
      </c>
      <c r="N18" s="235">
        <f>SUM(J18:M18)</f>
        <v>0</v>
      </c>
      <c r="O18" s="338">
        <v>0</v>
      </c>
      <c r="P18" s="338">
        <v>0</v>
      </c>
      <c r="Q18" s="338">
        <v>0</v>
      </c>
      <c r="R18" s="337">
        <v>0</v>
      </c>
      <c r="S18" s="235">
        <f>SUM(O18:R18)</f>
        <v>0</v>
      </c>
      <c r="T18" s="338">
        <v>0</v>
      </c>
      <c r="U18" s="338">
        <v>0</v>
      </c>
      <c r="V18" s="338">
        <v>0</v>
      </c>
      <c r="W18" s="337">
        <v>0</v>
      </c>
      <c r="X18" s="235">
        <f>SUM(T18:W18)</f>
        <v>0</v>
      </c>
      <c r="Y18" s="338">
        <v>174</v>
      </c>
      <c r="Z18" s="338">
        <v>196</v>
      </c>
      <c r="AA18" s="338">
        <v>163</v>
      </c>
      <c r="AB18" s="337">
        <f>752-SUM(Y18:AA18)</f>
        <v>219</v>
      </c>
      <c r="AC18" s="235">
        <f>SUM(Y18:AB18)</f>
        <v>752</v>
      </c>
      <c r="AD18" s="338">
        <v>194</v>
      </c>
      <c r="AE18" s="338">
        <v>201</v>
      </c>
      <c r="AF18" s="338">
        <v>169</v>
      </c>
      <c r="AG18" s="337">
        <f>771-SUM(AD18:AF18)</f>
        <v>207</v>
      </c>
      <c r="AH18" s="235">
        <f>SUM(AD18:AG18)</f>
        <v>771</v>
      </c>
      <c r="AI18" s="338">
        <v>188</v>
      </c>
      <c r="AJ18" s="338">
        <v>202</v>
      </c>
      <c r="AK18" s="338">
        <v>169</v>
      </c>
      <c r="AL18" s="337">
        <f>764-SUM(AI18:AK18)</f>
        <v>205</v>
      </c>
      <c r="AM18" s="235">
        <f>SUM(AI18:AL18)</f>
        <v>764</v>
      </c>
      <c r="AN18" s="338">
        <v>183</v>
      </c>
      <c r="AO18" s="338">
        <v>194</v>
      </c>
      <c r="AP18" s="338">
        <v>149</v>
      </c>
      <c r="AQ18" s="337">
        <f>730-SUM(AN18:AP18)</f>
        <v>204</v>
      </c>
      <c r="AR18" s="235">
        <f>SUM(AN18:AQ18)</f>
        <v>730</v>
      </c>
      <c r="AS18" s="338">
        <v>196</v>
      </c>
      <c r="AT18" s="338">
        <v>203</v>
      </c>
      <c r="AU18" s="338">
        <v>171</v>
      </c>
      <c r="AV18" s="337">
        <f>774-SUM(AS18:AU18)</f>
        <v>204</v>
      </c>
      <c r="AW18" s="235">
        <f>SUM(AS18:AV18)</f>
        <v>774</v>
      </c>
      <c r="AX18" s="338">
        <v>106</v>
      </c>
      <c r="AY18" s="338">
        <v>107</v>
      </c>
      <c r="AZ18" s="338">
        <v>66</v>
      </c>
      <c r="BA18" s="337">
        <f>359-SUM(AX18:AZ18)</f>
        <v>80</v>
      </c>
      <c r="BB18" s="235">
        <f>SUM(AX18:BA18)</f>
        <v>359</v>
      </c>
      <c r="BC18" s="338">
        <v>69</v>
      </c>
      <c r="BD18" s="338">
        <v>79</v>
      </c>
      <c r="BE18" s="338">
        <v>76</v>
      </c>
      <c r="BF18" s="337">
        <f>324-SUM(BC18:BE18)</f>
        <v>100</v>
      </c>
      <c r="BG18" s="235">
        <f>SUM(BC18:BF18)</f>
        <v>324</v>
      </c>
      <c r="BH18" s="338">
        <v>0</v>
      </c>
      <c r="BI18" s="338">
        <v>0</v>
      </c>
      <c r="BJ18" s="338">
        <v>0</v>
      </c>
      <c r="BK18" s="337">
        <v>0</v>
      </c>
      <c r="BL18" s="235"/>
      <c r="BM18" s="338"/>
      <c r="BN18" s="338"/>
      <c r="BO18" s="338"/>
      <c r="BP18" s="337"/>
      <c r="BQ18" s="235"/>
      <c r="BR18" s="338"/>
      <c r="BS18" s="338"/>
      <c r="BT18" s="338"/>
      <c r="BU18" s="337"/>
      <c r="BV18" s="235"/>
      <c r="BW18" s="338"/>
      <c r="BX18" s="338"/>
      <c r="BY18" s="338"/>
      <c r="BZ18" s="337"/>
      <c r="CA18" s="235"/>
      <c r="CB18" s="338"/>
      <c r="CC18" s="338"/>
      <c r="CD18" s="338"/>
      <c r="CE18" s="337"/>
      <c r="CF18" s="235"/>
      <c r="CG18" s="338"/>
      <c r="CH18" s="338"/>
      <c r="CI18" s="338"/>
      <c r="CJ18" s="337"/>
      <c r="CK18" s="235"/>
      <c r="CL18" s="338"/>
      <c r="CM18" s="338"/>
      <c r="CN18" s="338"/>
      <c r="CO18" s="337"/>
      <c r="CP18" s="235"/>
      <c r="CQ18" s="338"/>
      <c r="CR18" s="165"/>
      <c r="CS18" s="165"/>
      <c r="CT18" s="300"/>
      <c r="CU18" s="235"/>
      <c r="CV18" s="165"/>
      <c r="CW18" s="165"/>
      <c r="CX18" s="165"/>
      <c r="CY18" s="300"/>
      <c r="CZ18" s="235"/>
      <c r="DA18" s="235"/>
      <c r="DB18" s="248"/>
      <c r="DC18" s="235"/>
      <c r="DF18" s="235"/>
      <c r="DG18" s="235"/>
      <c r="DH18" s="235"/>
      <c r="DI18" s="235"/>
      <c r="DJ18" s="235"/>
    </row>
    <row r="19" spans="3:114" s="155" customFormat="1" hidden="1">
      <c r="C19" s="336"/>
      <c r="D19" s="339" t="s">
        <v>271</v>
      </c>
      <c r="E19" s="340"/>
      <c r="F19" s="236"/>
      <c r="G19" s="236"/>
      <c r="H19" s="236"/>
      <c r="I19" s="236"/>
      <c r="J19" s="152"/>
      <c r="K19" s="152"/>
      <c r="L19" s="152"/>
      <c r="M19" s="341"/>
      <c r="N19" s="236"/>
      <c r="O19" s="152"/>
      <c r="P19" s="152"/>
      <c r="Q19" s="152"/>
      <c r="R19" s="302"/>
      <c r="S19" s="236"/>
      <c r="T19" s="152"/>
      <c r="U19" s="152"/>
      <c r="V19" s="152"/>
      <c r="W19" s="302"/>
      <c r="X19" s="236"/>
      <c r="Y19" s="152"/>
      <c r="Z19" s="152"/>
      <c r="AA19" s="152"/>
      <c r="AB19" s="302"/>
      <c r="AC19" s="236"/>
      <c r="AD19" s="152">
        <f t="shared" ref="AD19:BG19" si="16">AD18/Y18-1</f>
        <v>0.11494252873563227</v>
      </c>
      <c r="AE19" s="152">
        <f t="shared" si="16"/>
        <v>2.5510204081632626E-2</v>
      </c>
      <c r="AF19" s="152">
        <f t="shared" si="16"/>
        <v>3.6809815950920255E-2</v>
      </c>
      <c r="AG19" s="302">
        <f t="shared" si="16"/>
        <v>-5.4794520547945202E-2</v>
      </c>
      <c r="AH19" s="236">
        <f t="shared" si="16"/>
        <v>2.5265957446808596E-2</v>
      </c>
      <c r="AI19" s="152">
        <f t="shared" si="16"/>
        <v>-3.0927835051546393E-2</v>
      </c>
      <c r="AJ19" s="152">
        <f t="shared" si="16"/>
        <v>4.9751243781095411E-3</v>
      </c>
      <c r="AK19" s="152">
        <f t="shared" si="16"/>
        <v>0</v>
      </c>
      <c r="AL19" s="302">
        <f t="shared" si="16"/>
        <v>-9.6618357487923134E-3</v>
      </c>
      <c r="AM19" s="236">
        <f t="shared" si="16"/>
        <v>-9.0791180285343387E-3</v>
      </c>
      <c r="AN19" s="152">
        <f t="shared" si="16"/>
        <v>-2.6595744680851019E-2</v>
      </c>
      <c r="AO19" s="152">
        <f t="shared" si="16"/>
        <v>-3.9603960396039639E-2</v>
      </c>
      <c r="AP19" s="152">
        <f t="shared" si="16"/>
        <v>-0.11834319526627224</v>
      </c>
      <c r="AQ19" s="302">
        <f t="shared" si="16"/>
        <v>-4.8780487804878092E-3</v>
      </c>
      <c r="AR19" s="236">
        <f t="shared" si="16"/>
        <v>-4.450261780104714E-2</v>
      </c>
      <c r="AS19" s="152">
        <f t="shared" si="16"/>
        <v>7.1038251366120297E-2</v>
      </c>
      <c r="AT19" s="152">
        <f t="shared" si="16"/>
        <v>4.6391752577319645E-2</v>
      </c>
      <c r="AU19" s="152">
        <f t="shared" si="16"/>
        <v>0.1476510067114094</v>
      </c>
      <c r="AV19" s="302">
        <f t="shared" si="16"/>
        <v>0</v>
      </c>
      <c r="AW19" s="236">
        <f t="shared" si="16"/>
        <v>6.02739726027397E-2</v>
      </c>
      <c r="AX19" s="152">
        <f t="shared" si="16"/>
        <v>-0.45918367346938771</v>
      </c>
      <c r="AY19" s="152">
        <f t="shared" si="16"/>
        <v>-0.47290640394088668</v>
      </c>
      <c r="AZ19" s="152">
        <f t="shared" si="16"/>
        <v>-0.61403508771929827</v>
      </c>
      <c r="BA19" s="302">
        <f t="shared" si="16"/>
        <v>-0.60784313725490202</v>
      </c>
      <c r="BB19" s="236">
        <f t="shared" si="16"/>
        <v>-0.53617571059431524</v>
      </c>
      <c r="BC19" s="152">
        <f t="shared" si="16"/>
        <v>-0.34905660377358494</v>
      </c>
      <c r="BD19" s="152">
        <f t="shared" si="16"/>
        <v>-0.26168224299065423</v>
      </c>
      <c r="BE19" s="152">
        <f t="shared" si="16"/>
        <v>0.1515151515151516</v>
      </c>
      <c r="BF19" s="302">
        <f t="shared" si="16"/>
        <v>0.25</v>
      </c>
      <c r="BG19" s="236">
        <f t="shared" si="16"/>
        <v>-9.7493036211699136E-2</v>
      </c>
      <c r="BH19" s="152"/>
      <c r="BI19" s="152"/>
      <c r="BJ19" s="152"/>
      <c r="BK19" s="302"/>
      <c r="BL19" s="236"/>
      <c r="BM19" s="152"/>
      <c r="BN19" s="152"/>
      <c r="BO19" s="152"/>
      <c r="BP19" s="302"/>
      <c r="BQ19" s="236"/>
      <c r="BR19" s="152"/>
      <c r="BS19" s="152"/>
      <c r="BT19" s="152"/>
      <c r="BU19" s="302"/>
      <c r="BV19" s="236"/>
      <c r="BW19" s="152"/>
      <c r="BX19" s="152"/>
      <c r="BY19" s="152"/>
      <c r="BZ19" s="302"/>
      <c r="CA19" s="236"/>
      <c r="CB19" s="152"/>
      <c r="CC19" s="152"/>
      <c r="CD19" s="152"/>
      <c r="CE19" s="302"/>
      <c r="CF19" s="236"/>
      <c r="CG19" s="152"/>
      <c r="CH19" s="152"/>
      <c r="CI19" s="152"/>
      <c r="CJ19" s="302"/>
      <c r="CK19" s="236"/>
      <c r="CL19" s="152"/>
      <c r="CM19" s="152"/>
      <c r="CN19" s="152"/>
      <c r="CO19" s="302"/>
      <c r="CP19" s="236"/>
      <c r="CQ19" s="152"/>
      <c r="CR19" s="241"/>
      <c r="CS19" s="241"/>
      <c r="CT19" s="342"/>
      <c r="CU19" s="312"/>
      <c r="CV19" s="241"/>
      <c r="CW19" s="241"/>
      <c r="CX19" s="241"/>
      <c r="CY19" s="342"/>
      <c r="CZ19" s="236"/>
      <c r="DA19" s="239"/>
      <c r="DB19" s="343"/>
      <c r="DC19" s="239"/>
      <c r="DF19" s="236"/>
      <c r="DG19" s="236"/>
      <c r="DH19" s="236"/>
      <c r="DI19" s="236"/>
      <c r="DJ19" s="236"/>
    </row>
    <row r="20" spans="3:114" s="155" customFormat="1" hidden="1">
      <c r="C20" s="336"/>
      <c r="D20" s="2" t="s">
        <v>357</v>
      </c>
      <c r="E20" s="337">
        <v>0</v>
      </c>
      <c r="F20" s="337">
        <v>0</v>
      </c>
      <c r="G20" s="337">
        <v>0</v>
      </c>
      <c r="H20" s="337">
        <v>0</v>
      </c>
      <c r="I20" s="337">
        <v>0</v>
      </c>
      <c r="J20" s="344">
        <v>0</v>
      </c>
      <c r="K20" s="344">
        <v>0</v>
      </c>
      <c r="L20" s="344">
        <v>0</v>
      </c>
      <c r="M20" s="345">
        <v>0</v>
      </c>
      <c r="N20" s="235">
        <f>SUM(J20:M20)</f>
        <v>0</v>
      </c>
      <c r="O20" s="344">
        <v>0</v>
      </c>
      <c r="P20" s="344">
        <v>0</v>
      </c>
      <c r="Q20" s="344">
        <v>0</v>
      </c>
      <c r="R20" s="345">
        <v>0</v>
      </c>
      <c r="S20" s="235">
        <f>SUM(O20:R20)</f>
        <v>0</v>
      </c>
      <c r="T20" s="344">
        <v>0</v>
      </c>
      <c r="U20" s="344">
        <v>0</v>
      </c>
      <c r="V20" s="344">
        <v>0</v>
      </c>
      <c r="W20" s="345">
        <v>0</v>
      </c>
      <c r="X20" s="235">
        <f>SUM(T20:W20)</f>
        <v>0</v>
      </c>
      <c r="Y20" s="344">
        <v>0</v>
      </c>
      <c r="Z20" s="344">
        <v>0</v>
      </c>
      <c r="AA20" s="344">
        <v>0</v>
      </c>
      <c r="AB20" s="345">
        <v>0</v>
      </c>
      <c r="AC20" s="235">
        <f>SUM(Y20:AB20)</f>
        <v>0</v>
      </c>
      <c r="AD20" s="344">
        <v>0</v>
      </c>
      <c r="AE20" s="344">
        <v>0</v>
      </c>
      <c r="AF20" s="344">
        <v>0</v>
      </c>
      <c r="AG20" s="345">
        <v>0</v>
      </c>
      <c r="AH20" s="235">
        <f>SUM(AD20:AG20)</f>
        <v>0</v>
      </c>
      <c r="AI20" s="344">
        <v>0</v>
      </c>
      <c r="AJ20" s="344">
        <v>0</v>
      </c>
      <c r="AK20" s="344"/>
      <c r="AL20" s="345"/>
      <c r="AM20" s="235">
        <f>SUM(AI20:AL20)</f>
        <v>0</v>
      </c>
      <c r="AN20" s="344"/>
      <c r="AO20" s="344"/>
      <c r="AP20" s="344"/>
      <c r="AQ20" s="345"/>
      <c r="AR20" s="235">
        <f>SUM(AN20:AQ20)</f>
        <v>0</v>
      </c>
      <c r="AS20" s="344"/>
      <c r="AT20" s="344"/>
      <c r="AU20" s="344"/>
      <c r="AV20" s="345"/>
      <c r="AW20" s="235">
        <f>SUM(AS20:AV20)</f>
        <v>0</v>
      </c>
      <c r="AX20" s="338">
        <v>74</v>
      </c>
      <c r="AY20" s="338">
        <v>51</v>
      </c>
      <c r="AZ20" s="338">
        <v>0</v>
      </c>
      <c r="BA20" s="337">
        <f>125-SUM(AX20:AZ20)</f>
        <v>0</v>
      </c>
      <c r="BB20" s="235">
        <f>SUM(AX20:BA20)</f>
        <v>125</v>
      </c>
      <c r="BC20" s="338"/>
      <c r="BD20" s="338"/>
      <c r="BE20" s="338"/>
      <c r="BF20" s="337"/>
      <c r="BG20" s="235"/>
      <c r="BH20" s="338"/>
      <c r="BI20" s="338"/>
      <c r="BJ20" s="338"/>
      <c r="BK20" s="337"/>
      <c r="BL20" s="235"/>
      <c r="BM20" s="338"/>
      <c r="BN20" s="338"/>
      <c r="BO20" s="338"/>
      <c r="BP20" s="337"/>
      <c r="BQ20" s="235"/>
      <c r="BR20" s="338"/>
      <c r="BS20" s="338"/>
      <c r="BT20" s="338"/>
      <c r="BU20" s="337"/>
      <c r="BV20" s="235"/>
      <c r="BW20" s="338"/>
      <c r="BX20" s="338"/>
      <c r="BY20" s="338"/>
      <c r="BZ20" s="337"/>
      <c r="CA20" s="235"/>
      <c r="CB20" s="338"/>
      <c r="CC20" s="338"/>
      <c r="CD20" s="338"/>
      <c r="CE20" s="337"/>
      <c r="CF20" s="235"/>
      <c r="CG20" s="338"/>
      <c r="CH20" s="338"/>
      <c r="CI20" s="338"/>
      <c r="CJ20" s="337"/>
      <c r="CK20" s="235"/>
      <c r="CL20" s="338"/>
      <c r="CM20" s="338"/>
      <c r="CN20" s="338"/>
      <c r="CO20" s="337"/>
      <c r="CP20" s="235"/>
      <c r="CQ20" s="338"/>
      <c r="CR20" s="165"/>
      <c r="CS20" s="165"/>
      <c r="CT20" s="300"/>
      <c r="CU20" s="235"/>
      <c r="CV20" s="165"/>
      <c r="CW20" s="165"/>
      <c r="CX20" s="165"/>
      <c r="CY20" s="300"/>
      <c r="CZ20" s="235"/>
      <c r="DA20" s="235"/>
      <c r="DB20" s="248"/>
      <c r="DC20" s="235"/>
      <c r="DF20" s="235"/>
      <c r="DG20" s="235"/>
      <c r="DH20" s="235"/>
      <c r="DI20" s="235"/>
      <c r="DJ20" s="235"/>
    </row>
    <row r="21" spans="3:114" s="155" customFormat="1" hidden="1">
      <c r="C21" s="336"/>
      <c r="D21" s="339" t="s">
        <v>271</v>
      </c>
      <c r="E21" s="340"/>
      <c r="F21" s="236"/>
      <c r="G21" s="236"/>
      <c r="H21" s="236"/>
      <c r="I21" s="236"/>
      <c r="J21" s="152"/>
      <c r="K21" s="152"/>
      <c r="L21" s="152"/>
      <c r="M21" s="341"/>
      <c r="N21" s="236"/>
      <c r="O21" s="152"/>
      <c r="P21" s="152"/>
      <c r="Q21" s="152"/>
      <c r="R21" s="302"/>
      <c r="S21" s="236"/>
      <c r="T21" s="152"/>
      <c r="U21" s="152"/>
      <c r="V21" s="152"/>
      <c r="W21" s="302"/>
      <c r="X21" s="236"/>
      <c r="Y21" s="152"/>
      <c r="Z21" s="152"/>
      <c r="AA21" s="152"/>
      <c r="AB21" s="302"/>
      <c r="AC21" s="236"/>
      <c r="AD21" s="152"/>
      <c r="AE21" s="152"/>
      <c r="AF21" s="152"/>
      <c r="AG21" s="302"/>
      <c r="AH21" s="236"/>
      <c r="AI21" s="152"/>
      <c r="AJ21" s="152"/>
      <c r="AK21" s="152"/>
      <c r="AL21" s="302"/>
      <c r="AM21" s="236"/>
      <c r="AN21" s="152"/>
      <c r="AO21" s="152"/>
      <c r="AP21" s="152"/>
      <c r="AQ21" s="302"/>
      <c r="AR21" s="236"/>
      <c r="AS21" s="152"/>
      <c r="AT21" s="152"/>
      <c r="AU21" s="152"/>
      <c r="AV21" s="302"/>
      <c r="AW21" s="236"/>
      <c r="AX21" s="152"/>
      <c r="AY21" s="152"/>
      <c r="AZ21" s="152"/>
      <c r="BA21" s="302"/>
      <c r="BB21" s="236"/>
      <c r="BC21" s="152"/>
      <c r="BD21" s="152"/>
      <c r="BE21" s="152"/>
      <c r="BF21" s="302"/>
      <c r="BG21" s="236"/>
      <c r="BH21" s="152"/>
      <c r="BI21" s="152"/>
      <c r="BJ21" s="152"/>
      <c r="BK21" s="302"/>
      <c r="BL21" s="236"/>
      <c r="BM21" s="152"/>
      <c r="BN21" s="152"/>
      <c r="BO21" s="152"/>
      <c r="BP21" s="302"/>
      <c r="BQ21" s="236"/>
      <c r="BR21" s="152"/>
      <c r="BS21" s="152"/>
      <c r="BT21" s="152"/>
      <c r="BU21" s="302"/>
      <c r="BV21" s="236"/>
      <c r="BW21" s="152"/>
      <c r="BX21" s="152"/>
      <c r="BY21" s="152"/>
      <c r="BZ21" s="302"/>
      <c r="CA21" s="236"/>
      <c r="CB21" s="152"/>
      <c r="CC21" s="152"/>
      <c r="CD21" s="152"/>
      <c r="CE21" s="302"/>
      <c r="CF21" s="236"/>
      <c r="CG21" s="152"/>
      <c r="CH21" s="152"/>
      <c r="CI21" s="152"/>
      <c r="CJ21" s="302"/>
      <c r="CK21" s="236"/>
      <c r="CL21" s="152"/>
      <c r="CM21" s="152"/>
      <c r="CN21" s="152"/>
      <c r="CO21" s="302"/>
      <c r="CP21" s="236"/>
      <c r="CQ21" s="152"/>
      <c r="CR21" s="241"/>
      <c r="CS21" s="241"/>
      <c r="CT21" s="342"/>
      <c r="CU21" s="236"/>
      <c r="CV21" s="241"/>
      <c r="CW21" s="241"/>
      <c r="CX21" s="241"/>
      <c r="CY21" s="342"/>
      <c r="CZ21" s="236"/>
      <c r="DA21" s="239"/>
      <c r="DB21" s="343"/>
      <c r="DC21" s="239"/>
      <c r="DF21" s="236"/>
      <c r="DG21" s="236"/>
      <c r="DH21" s="236"/>
      <c r="DI21" s="236"/>
      <c r="DJ21" s="236"/>
    </row>
    <row r="22" spans="3:114" s="155" customFormat="1" hidden="1">
      <c r="C22" s="336"/>
      <c r="D22" s="216" t="s">
        <v>793</v>
      </c>
      <c r="E22" s="235">
        <f>+E12+E14+E16+E18+E20</f>
        <v>2327</v>
      </c>
      <c r="F22" s="235">
        <f>+F12+F14+F16+F18+F20</f>
        <v>2431</v>
      </c>
      <c r="G22" s="235">
        <f>+G12+G14+G16+G18+G20</f>
        <v>2511</v>
      </c>
      <c r="H22" s="235">
        <f t="shared" ref="H22:AT22" si="17">+H12+H14+H16+H18+H20</f>
        <v>2453</v>
      </c>
      <c r="I22" s="235">
        <f t="shared" si="17"/>
        <v>2433</v>
      </c>
      <c r="J22" s="168">
        <f t="shared" si="17"/>
        <v>602</v>
      </c>
      <c r="K22" s="168">
        <f t="shared" si="17"/>
        <v>687</v>
      </c>
      <c r="L22" s="168">
        <f t="shared" si="17"/>
        <v>572</v>
      </c>
      <c r="M22" s="168">
        <f t="shared" si="17"/>
        <v>630</v>
      </c>
      <c r="N22" s="235">
        <f t="shared" si="17"/>
        <v>2491</v>
      </c>
      <c r="O22" s="168">
        <f t="shared" si="17"/>
        <v>701</v>
      </c>
      <c r="P22" s="168">
        <f t="shared" si="17"/>
        <v>716</v>
      </c>
      <c r="Q22" s="168">
        <f t="shared" si="17"/>
        <v>580</v>
      </c>
      <c r="R22" s="168">
        <f t="shared" si="17"/>
        <v>702</v>
      </c>
      <c r="S22" s="235">
        <f t="shared" si="17"/>
        <v>2699</v>
      </c>
      <c r="T22" s="168">
        <f t="shared" si="17"/>
        <v>585</v>
      </c>
      <c r="U22" s="168">
        <f t="shared" si="17"/>
        <v>664</v>
      </c>
      <c r="V22" s="168">
        <f t="shared" si="17"/>
        <v>597</v>
      </c>
      <c r="W22" s="168">
        <f t="shared" si="17"/>
        <v>726</v>
      </c>
      <c r="X22" s="235">
        <f t="shared" si="17"/>
        <v>2572</v>
      </c>
      <c r="Y22" s="168">
        <f t="shared" si="17"/>
        <v>703</v>
      </c>
      <c r="Z22" s="168">
        <f t="shared" si="17"/>
        <v>737</v>
      </c>
      <c r="AA22" s="168">
        <f t="shared" si="17"/>
        <v>627</v>
      </c>
      <c r="AB22" s="168">
        <f t="shared" si="17"/>
        <v>842</v>
      </c>
      <c r="AC22" s="235">
        <f t="shared" si="17"/>
        <v>2909</v>
      </c>
      <c r="AD22" s="168">
        <f t="shared" si="17"/>
        <v>776</v>
      </c>
      <c r="AE22" s="168">
        <f t="shared" si="17"/>
        <v>829</v>
      </c>
      <c r="AF22" s="168">
        <f t="shared" si="17"/>
        <v>728</v>
      </c>
      <c r="AG22" s="168">
        <f t="shared" si="17"/>
        <v>842</v>
      </c>
      <c r="AH22" s="235">
        <f t="shared" si="17"/>
        <v>3175</v>
      </c>
      <c r="AI22" s="168">
        <f t="shared" si="17"/>
        <v>818</v>
      </c>
      <c r="AJ22" s="168">
        <f t="shared" si="17"/>
        <v>856</v>
      </c>
      <c r="AK22" s="168">
        <f t="shared" si="17"/>
        <v>757</v>
      </c>
      <c r="AL22" s="168">
        <f t="shared" si="17"/>
        <v>926</v>
      </c>
      <c r="AM22" s="235">
        <f t="shared" si="17"/>
        <v>3357</v>
      </c>
      <c r="AN22" s="168">
        <f t="shared" si="17"/>
        <v>859</v>
      </c>
      <c r="AO22" s="168">
        <f t="shared" si="17"/>
        <v>898</v>
      </c>
      <c r="AP22" s="168">
        <f t="shared" si="17"/>
        <v>801</v>
      </c>
      <c r="AQ22" s="168">
        <f t="shared" si="17"/>
        <v>988</v>
      </c>
      <c r="AR22" s="235">
        <f t="shared" si="17"/>
        <v>3546</v>
      </c>
      <c r="AS22" s="168">
        <f t="shared" si="17"/>
        <v>927</v>
      </c>
      <c r="AT22" s="168">
        <f t="shared" si="17"/>
        <v>966</v>
      </c>
      <c r="AU22" s="168">
        <f t="shared" ref="AU22:BA22" si="18">+AU12+AU14+AU16+AU18+AU20</f>
        <v>846</v>
      </c>
      <c r="AV22" s="168">
        <f t="shared" si="18"/>
        <v>978</v>
      </c>
      <c r="AW22" s="235">
        <f t="shared" si="18"/>
        <v>3717</v>
      </c>
      <c r="AX22" s="168">
        <f t="shared" si="18"/>
        <v>901</v>
      </c>
      <c r="AY22" s="168">
        <f t="shared" si="18"/>
        <v>933</v>
      </c>
      <c r="AZ22" s="168">
        <f t="shared" si="18"/>
        <v>612</v>
      </c>
      <c r="BA22" s="168">
        <f t="shared" si="18"/>
        <v>757</v>
      </c>
      <c r="BB22" s="312">
        <f t="shared" ref="BB22:BH22" si="19">+BB12+BB14+BB16+BB18</f>
        <v>3078</v>
      </c>
      <c r="BC22" s="168">
        <f t="shared" si="19"/>
        <v>619</v>
      </c>
      <c r="BD22" s="168">
        <f t="shared" si="19"/>
        <v>714</v>
      </c>
      <c r="BE22" s="168">
        <f t="shared" si="19"/>
        <v>716</v>
      </c>
      <c r="BF22" s="346">
        <f t="shared" si="19"/>
        <v>809</v>
      </c>
      <c r="BG22" s="312">
        <f t="shared" si="19"/>
        <v>2858</v>
      </c>
      <c r="BH22" s="168">
        <f t="shared" si="19"/>
        <v>706</v>
      </c>
      <c r="BI22" s="168">
        <f t="shared" ref="BI22:CQ22" si="20">+BI12+BI14+BI16+BI18</f>
        <v>759</v>
      </c>
      <c r="BJ22" s="168">
        <f t="shared" si="20"/>
        <v>661</v>
      </c>
      <c r="BK22" s="346">
        <f t="shared" si="20"/>
        <v>774</v>
      </c>
      <c r="BL22" s="312">
        <f t="shared" si="20"/>
        <v>2900</v>
      </c>
      <c r="BM22" s="168">
        <f t="shared" si="20"/>
        <v>788</v>
      </c>
      <c r="BN22" s="168">
        <f t="shared" si="20"/>
        <v>783</v>
      </c>
      <c r="BO22" s="168">
        <f t="shared" si="20"/>
        <v>704</v>
      </c>
      <c r="BP22" s="346">
        <f t="shared" si="20"/>
        <v>734</v>
      </c>
      <c r="BQ22" s="312">
        <f t="shared" si="20"/>
        <v>3009</v>
      </c>
      <c r="BR22" s="168">
        <f t="shared" si="20"/>
        <v>707</v>
      </c>
      <c r="BS22" s="168">
        <f t="shared" si="20"/>
        <v>728</v>
      </c>
      <c r="BT22" s="168">
        <f t="shared" si="20"/>
        <v>670</v>
      </c>
      <c r="BU22" s="346">
        <f t="shared" si="20"/>
        <v>779</v>
      </c>
      <c r="BV22" s="312">
        <f t="shared" si="20"/>
        <v>2884</v>
      </c>
      <c r="BW22" s="168">
        <f t="shared" si="20"/>
        <v>736</v>
      </c>
      <c r="BX22" s="168">
        <f t="shared" si="20"/>
        <v>855</v>
      </c>
      <c r="BY22" s="168">
        <f t="shared" si="20"/>
        <v>801</v>
      </c>
      <c r="BZ22" s="346">
        <f t="shared" si="20"/>
        <v>850</v>
      </c>
      <c r="CA22" s="312">
        <f t="shared" si="20"/>
        <v>3242</v>
      </c>
      <c r="CB22" s="168">
        <f t="shared" si="20"/>
        <v>872</v>
      </c>
      <c r="CC22" s="168">
        <f t="shared" si="20"/>
        <v>901</v>
      </c>
      <c r="CD22" s="168">
        <f t="shared" si="20"/>
        <v>828</v>
      </c>
      <c r="CE22" s="346">
        <f t="shared" si="20"/>
        <v>880</v>
      </c>
      <c r="CF22" s="312">
        <f t="shared" si="20"/>
        <v>3481</v>
      </c>
      <c r="CG22" s="168">
        <f t="shared" si="20"/>
        <v>890</v>
      </c>
      <c r="CH22" s="168">
        <f t="shared" si="20"/>
        <v>880</v>
      </c>
      <c r="CI22" s="168">
        <f t="shared" si="20"/>
        <v>825</v>
      </c>
      <c r="CJ22" s="346">
        <f t="shared" si="20"/>
        <v>967</v>
      </c>
      <c r="CK22" s="312">
        <f t="shared" si="20"/>
        <v>3562</v>
      </c>
      <c r="CL22" s="168">
        <f t="shared" si="20"/>
        <v>906</v>
      </c>
      <c r="CM22" s="168">
        <f t="shared" si="20"/>
        <v>879</v>
      </c>
      <c r="CN22" s="168">
        <f t="shared" si="20"/>
        <v>843</v>
      </c>
      <c r="CO22" s="346">
        <f t="shared" si="20"/>
        <v>1004</v>
      </c>
      <c r="CP22" s="312">
        <f t="shared" si="20"/>
        <v>3632</v>
      </c>
      <c r="CQ22" s="168">
        <f t="shared" si="20"/>
        <v>932</v>
      </c>
      <c r="CR22" s="168">
        <f>+CR12+CR14+CR16+CR18</f>
        <v>820.24</v>
      </c>
      <c r="CS22" s="168">
        <f t="shared" ref="CS22:DC22" si="21">+CS12+CS14+CS16+CS18</f>
        <v>854</v>
      </c>
      <c r="CT22" s="346">
        <f t="shared" si="21"/>
        <v>983</v>
      </c>
      <c r="CU22" s="312">
        <f t="shared" si="21"/>
        <v>3589.24</v>
      </c>
      <c r="CV22" s="168">
        <f t="shared" si="21"/>
        <v>910.24</v>
      </c>
      <c r="CW22" s="168">
        <f t="shared" si="21"/>
        <v>833.12480000000005</v>
      </c>
      <c r="CX22" s="168">
        <f t="shared" si="21"/>
        <v>877.06999999999994</v>
      </c>
      <c r="CY22" s="346">
        <f t="shared" si="21"/>
        <v>1008.53</v>
      </c>
      <c r="CZ22" s="312">
        <f t="shared" si="21"/>
        <v>3628.9647999999997</v>
      </c>
      <c r="DA22" s="312">
        <f t="shared" si="21"/>
        <v>3731.7652719999996</v>
      </c>
      <c r="DB22" s="347">
        <f t="shared" si="21"/>
        <v>3834.0637670799997</v>
      </c>
      <c r="DC22" s="312">
        <f t="shared" si="21"/>
        <v>3939.6899408661993</v>
      </c>
      <c r="DF22" s="312">
        <f>CT22</f>
        <v>983</v>
      </c>
      <c r="DG22" s="312">
        <v>1001.5899999999999</v>
      </c>
      <c r="DH22" s="312">
        <f>CO22</f>
        <v>1004</v>
      </c>
      <c r="DI22" s="312">
        <f t="shared" si="5"/>
        <v>-1.8560488822771726E-2</v>
      </c>
      <c r="DJ22" s="312">
        <f t="shared" si="6"/>
        <v>-2.0916334661354563E-2</v>
      </c>
    </row>
    <row r="23" spans="3:114" s="155" customFormat="1" hidden="1">
      <c r="C23" s="336"/>
      <c r="D23" s="339" t="s">
        <v>271</v>
      </c>
      <c r="E23" s="340"/>
      <c r="F23" s="236">
        <f>F22/E22-1</f>
        <v>4.4692737430167551E-2</v>
      </c>
      <c r="G23" s="236">
        <f>G22/F22-1</f>
        <v>3.2908268202385793E-2</v>
      </c>
      <c r="H23" s="236">
        <f>H22/G22-1</f>
        <v>-2.3098367184388735E-2</v>
      </c>
      <c r="I23" s="236">
        <f>I22/H22-1</f>
        <v>-8.153281695882586E-3</v>
      </c>
      <c r="J23" s="152"/>
      <c r="K23" s="152"/>
      <c r="L23" s="152"/>
      <c r="M23" s="341"/>
      <c r="N23" s="236">
        <f t="shared" ref="N23:AS23" si="22">N22/I22-1</f>
        <v>2.3838882038635489E-2</v>
      </c>
      <c r="O23" s="152">
        <f t="shared" si="22"/>
        <v>0.16445182724252483</v>
      </c>
      <c r="P23" s="152">
        <f t="shared" si="22"/>
        <v>4.2212518195051008E-2</v>
      </c>
      <c r="Q23" s="152">
        <f t="shared" si="22"/>
        <v>1.3986013986013957E-2</v>
      </c>
      <c r="R23" s="302">
        <f t="shared" si="22"/>
        <v>0.11428571428571432</v>
      </c>
      <c r="S23" s="236">
        <f t="shared" si="22"/>
        <v>8.3500602167804194E-2</v>
      </c>
      <c r="T23" s="152">
        <f t="shared" si="22"/>
        <v>-0.16547788873038516</v>
      </c>
      <c r="U23" s="152">
        <f t="shared" si="22"/>
        <v>-7.2625698324022325E-2</v>
      </c>
      <c r="V23" s="152">
        <f t="shared" si="22"/>
        <v>2.931034482758621E-2</v>
      </c>
      <c r="W23" s="302">
        <f t="shared" si="22"/>
        <v>3.4188034188034289E-2</v>
      </c>
      <c r="X23" s="236">
        <f t="shared" si="22"/>
        <v>-4.7054464616524627E-2</v>
      </c>
      <c r="Y23" s="152">
        <f t="shared" si="22"/>
        <v>0.20170940170940166</v>
      </c>
      <c r="Z23" s="152">
        <f t="shared" si="22"/>
        <v>0.10993975903614461</v>
      </c>
      <c r="AA23" s="152">
        <f t="shared" si="22"/>
        <v>5.0251256281407031E-2</v>
      </c>
      <c r="AB23" s="302">
        <f t="shared" si="22"/>
        <v>0.15977961432506893</v>
      </c>
      <c r="AC23" s="236">
        <f t="shared" si="22"/>
        <v>0.13102643856920682</v>
      </c>
      <c r="AD23" s="152">
        <f t="shared" si="22"/>
        <v>0.10384068278805114</v>
      </c>
      <c r="AE23" s="152">
        <f t="shared" si="22"/>
        <v>0.12483039348711</v>
      </c>
      <c r="AF23" s="152">
        <f t="shared" si="22"/>
        <v>0.16108452950558205</v>
      </c>
      <c r="AG23" s="302">
        <f t="shared" si="22"/>
        <v>0</v>
      </c>
      <c r="AH23" s="236">
        <f t="shared" si="22"/>
        <v>9.1440357511172188E-2</v>
      </c>
      <c r="AI23" s="152">
        <f t="shared" si="22"/>
        <v>5.4123711340206215E-2</v>
      </c>
      <c r="AJ23" s="152">
        <f t="shared" si="22"/>
        <v>3.2569360675512637E-2</v>
      </c>
      <c r="AK23" s="152">
        <f t="shared" si="22"/>
        <v>3.9835164835164916E-2</v>
      </c>
      <c r="AL23" s="302">
        <f t="shared" si="22"/>
        <v>9.9762470308788709E-2</v>
      </c>
      <c r="AM23" s="236">
        <f t="shared" si="22"/>
        <v>5.7322834645669341E-2</v>
      </c>
      <c r="AN23" s="152">
        <f t="shared" si="22"/>
        <v>5.0122249388752982E-2</v>
      </c>
      <c r="AO23" s="152">
        <f t="shared" si="22"/>
        <v>4.9065420560747697E-2</v>
      </c>
      <c r="AP23" s="152">
        <f t="shared" si="22"/>
        <v>5.8124174372523152E-2</v>
      </c>
      <c r="AQ23" s="302">
        <f t="shared" si="22"/>
        <v>6.695464362850978E-2</v>
      </c>
      <c r="AR23" s="236">
        <f t="shared" si="22"/>
        <v>5.6300268096514783E-2</v>
      </c>
      <c r="AS23" s="152">
        <f t="shared" si="22"/>
        <v>7.9161816065192125E-2</v>
      </c>
      <c r="AT23" s="152">
        <f t="shared" ref="AT23:BY23" si="23">AT22/AO22-1</f>
        <v>7.572383073496658E-2</v>
      </c>
      <c r="AU23" s="152">
        <f t="shared" si="23"/>
        <v>5.6179775280898792E-2</v>
      </c>
      <c r="AV23" s="302">
        <f t="shared" si="23"/>
        <v>-1.0121457489878583E-2</v>
      </c>
      <c r="AW23" s="236">
        <f t="shared" si="23"/>
        <v>4.8223350253807196E-2</v>
      </c>
      <c r="AX23" s="152">
        <f t="shared" si="23"/>
        <v>-2.8047464940668787E-2</v>
      </c>
      <c r="AY23" s="152">
        <f t="shared" si="23"/>
        <v>-3.4161490683229823E-2</v>
      </c>
      <c r="AZ23" s="152">
        <f t="shared" si="23"/>
        <v>-0.27659574468085102</v>
      </c>
      <c r="BA23" s="302">
        <f t="shared" si="23"/>
        <v>-0.22597137014314927</v>
      </c>
      <c r="BB23" s="236">
        <f t="shared" si="23"/>
        <v>-0.1719128329297821</v>
      </c>
      <c r="BC23" s="152">
        <f t="shared" si="23"/>
        <v>-0.31298557158712537</v>
      </c>
      <c r="BD23" s="152">
        <f t="shared" si="23"/>
        <v>-0.23472668810289388</v>
      </c>
      <c r="BE23" s="152">
        <f t="shared" si="23"/>
        <v>0.16993464052287588</v>
      </c>
      <c r="BF23" s="302">
        <f t="shared" si="23"/>
        <v>6.869220607661819E-2</v>
      </c>
      <c r="BG23" s="236">
        <f t="shared" si="23"/>
        <v>-7.1474983755685506E-2</v>
      </c>
      <c r="BH23" s="152">
        <f t="shared" si="23"/>
        <v>0.14054927302100162</v>
      </c>
      <c r="BI23" s="152">
        <f t="shared" si="23"/>
        <v>6.3025210084033612E-2</v>
      </c>
      <c r="BJ23" s="152">
        <f t="shared" si="23"/>
        <v>-7.6815642458100575E-2</v>
      </c>
      <c r="BK23" s="302">
        <f t="shared" si="23"/>
        <v>-4.3263288009888767E-2</v>
      </c>
      <c r="BL23" s="236">
        <f t="shared" si="23"/>
        <v>1.469559132260323E-2</v>
      </c>
      <c r="BM23" s="152">
        <f t="shared" si="23"/>
        <v>0.11614730878186963</v>
      </c>
      <c r="BN23" s="152">
        <f t="shared" si="23"/>
        <v>3.1620553359683834E-2</v>
      </c>
      <c r="BO23" s="152">
        <f t="shared" si="23"/>
        <v>6.5052950075642935E-2</v>
      </c>
      <c r="BP23" s="302">
        <f t="shared" si="23"/>
        <v>-5.1679586563307511E-2</v>
      </c>
      <c r="BQ23" s="236">
        <f t="shared" si="23"/>
        <v>3.7586206896551788E-2</v>
      </c>
      <c r="BR23" s="152">
        <f t="shared" si="23"/>
        <v>-0.10279187817258884</v>
      </c>
      <c r="BS23" s="152">
        <f t="shared" si="23"/>
        <v>-7.0242656449552965E-2</v>
      </c>
      <c r="BT23" s="152">
        <f t="shared" si="23"/>
        <v>-4.8295454545454586E-2</v>
      </c>
      <c r="BU23" s="302">
        <f t="shared" si="23"/>
        <v>6.1307901907357021E-2</v>
      </c>
      <c r="BV23" s="236">
        <f t="shared" si="23"/>
        <v>-4.1542040545031522E-2</v>
      </c>
      <c r="BW23" s="152">
        <f t="shared" si="23"/>
        <v>4.1018387553040991E-2</v>
      </c>
      <c r="BX23" s="152">
        <f t="shared" si="23"/>
        <v>0.1744505494505495</v>
      </c>
      <c r="BY23" s="152">
        <f t="shared" si="23"/>
        <v>0.19552238805970146</v>
      </c>
      <c r="BZ23" s="302">
        <f t="shared" ref="BZ23:CP23" si="24">BZ22/BU22-1</f>
        <v>9.1142490372272178E-2</v>
      </c>
      <c r="CA23" s="236">
        <f t="shared" si="24"/>
        <v>0.12413314840499301</v>
      </c>
      <c r="CB23" s="152">
        <f t="shared" si="24"/>
        <v>0.18478260869565211</v>
      </c>
      <c r="CC23" s="152">
        <f t="shared" si="24"/>
        <v>5.3801169590643294E-2</v>
      </c>
      <c r="CD23" s="152">
        <f t="shared" si="24"/>
        <v>3.3707865168539408E-2</v>
      </c>
      <c r="CE23" s="302">
        <f t="shared" si="24"/>
        <v>3.529411764705892E-2</v>
      </c>
      <c r="CF23" s="236">
        <f t="shared" si="24"/>
        <v>7.3719925971622358E-2</v>
      </c>
      <c r="CG23" s="152">
        <f t="shared" si="24"/>
        <v>2.0642201834862428E-2</v>
      </c>
      <c r="CH23" s="152">
        <f t="shared" si="24"/>
        <v>-2.3307436182020025E-2</v>
      </c>
      <c r="CI23" s="152">
        <f t="shared" si="24"/>
        <v>-3.6231884057971175E-3</v>
      </c>
      <c r="CJ23" s="302">
        <f t="shared" si="24"/>
        <v>9.8863636363636376E-2</v>
      </c>
      <c r="CK23" s="236">
        <f t="shared" si="24"/>
        <v>2.3269175524274655E-2</v>
      </c>
      <c r="CL23" s="152">
        <f t="shared" si="24"/>
        <v>1.7977528089887729E-2</v>
      </c>
      <c r="CM23" s="152">
        <f t="shared" si="24"/>
        <v>-1.136363636363602E-3</v>
      </c>
      <c r="CN23" s="152">
        <f t="shared" si="24"/>
        <v>2.1818181818181737E-2</v>
      </c>
      <c r="CO23" s="302">
        <f t="shared" si="24"/>
        <v>3.8262668045501602E-2</v>
      </c>
      <c r="CP23" s="236">
        <f t="shared" si="24"/>
        <v>1.9651880965749546E-2</v>
      </c>
      <c r="CQ23" s="152">
        <f t="shared" ref="CQ23:CZ23" si="25">CQ22/CL22-1</f>
        <v>2.8697571743929284E-2</v>
      </c>
      <c r="CR23" s="152">
        <f t="shared" si="25"/>
        <v>-6.6848691695108098E-2</v>
      </c>
      <c r="CS23" s="152">
        <f t="shared" si="25"/>
        <v>1.3048635824436605E-2</v>
      </c>
      <c r="CT23" s="302">
        <f t="shared" si="25"/>
        <v>-2.0916334661354563E-2</v>
      </c>
      <c r="CU23" s="236">
        <f t="shared" si="25"/>
        <v>-1.177312775330408E-2</v>
      </c>
      <c r="CV23" s="152">
        <f t="shared" si="25"/>
        <v>-2.3347639484978533E-2</v>
      </c>
      <c r="CW23" s="152">
        <f t="shared" si="25"/>
        <v>1.5708573100555956E-2</v>
      </c>
      <c r="CX23" s="152">
        <f t="shared" si="25"/>
        <v>2.7014051522248117E-2</v>
      </c>
      <c r="CY23" s="302">
        <f t="shared" si="25"/>
        <v>2.5971515768056896E-2</v>
      </c>
      <c r="CZ23" s="236">
        <f t="shared" si="25"/>
        <v>1.1067746932498235E-2</v>
      </c>
      <c r="DA23" s="239">
        <f>+DA22/CZ22-1</f>
        <v>2.8327767742470256E-2</v>
      </c>
      <c r="DB23" s="343">
        <f>+DB22/DA22-1</f>
        <v>2.741289647758971E-2</v>
      </c>
      <c r="DC23" s="239">
        <f>+DC22/DB22-1</f>
        <v>2.7549404549065182E-2</v>
      </c>
      <c r="DF23" s="236">
        <f>CT23</f>
        <v>-2.0916334661354563E-2</v>
      </c>
      <c r="DG23" s="236">
        <v>-2.4003984063746264E-3</v>
      </c>
      <c r="DH23" s="236">
        <f>CO23</f>
        <v>3.8262668045501602E-2</v>
      </c>
      <c r="DI23" s="236">
        <f t="shared" si="5"/>
        <v>7.7136929460576322</v>
      </c>
      <c r="DJ23" s="236">
        <f t="shared" si="6"/>
        <v>-1.5466512329062119</v>
      </c>
    </row>
    <row r="24" spans="3:114" s="155" customFormat="1">
      <c r="C24" s="336"/>
      <c r="D24" s="217" t="s">
        <v>110</v>
      </c>
      <c r="E24" s="348">
        <f>E10+E22</f>
        <v>6606</v>
      </c>
      <c r="F24" s="348">
        <f>F10+F22</f>
        <v>6653</v>
      </c>
      <c r="G24" s="348">
        <f>G10+G22</f>
        <v>6943</v>
      </c>
      <c r="H24" s="348">
        <f t="shared" ref="H24:AR24" si="26">H10+H22</f>
        <v>6823</v>
      </c>
      <c r="I24" s="348">
        <f t="shared" si="26"/>
        <v>7220</v>
      </c>
      <c r="J24" s="349">
        <f t="shared" si="26"/>
        <v>1914</v>
      </c>
      <c r="K24" s="349">
        <f t="shared" si="26"/>
        <v>1995</v>
      </c>
      <c r="L24" s="349">
        <f t="shared" si="26"/>
        <v>1676</v>
      </c>
      <c r="M24" s="349">
        <f t="shared" si="26"/>
        <v>1839</v>
      </c>
      <c r="N24" s="348">
        <f t="shared" si="26"/>
        <v>7424</v>
      </c>
      <c r="O24" s="349">
        <f t="shared" si="26"/>
        <v>1805</v>
      </c>
      <c r="P24" s="349">
        <f t="shared" si="26"/>
        <v>1858</v>
      </c>
      <c r="Q24" s="349">
        <f t="shared" si="26"/>
        <v>1513</v>
      </c>
      <c r="R24" s="349">
        <f t="shared" si="26"/>
        <v>1815</v>
      </c>
      <c r="S24" s="348">
        <f t="shared" si="26"/>
        <v>6991</v>
      </c>
      <c r="T24" s="349">
        <f t="shared" si="26"/>
        <v>1678</v>
      </c>
      <c r="U24" s="349">
        <f t="shared" si="26"/>
        <v>1847</v>
      </c>
      <c r="V24" s="349">
        <f t="shared" si="26"/>
        <v>1657</v>
      </c>
      <c r="W24" s="349">
        <f t="shared" si="26"/>
        <v>1798</v>
      </c>
      <c r="X24" s="348">
        <f t="shared" si="26"/>
        <v>6980</v>
      </c>
      <c r="Y24" s="349">
        <f t="shared" si="26"/>
        <v>1726</v>
      </c>
      <c r="Z24" s="349">
        <f t="shared" si="26"/>
        <v>1717</v>
      </c>
      <c r="AA24" s="349">
        <f t="shared" si="26"/>
        <v>1410</v>
      </c>
      <c r="AB24" s="349">
        <f t="shared" si="26"/>
        <v>1867</v>
      </c>
      <c r="AC24" s="348">
        <f t="shared" si="26"/>
        <v>6720</v>
      </c>
      <c r="AD24" s="349">
        <f t="shared" si="26"/>
        <v>1788</v>
      </c>
      <c r="AE24" s="349">
        <f t="shared" si="26"/>
        <v>1748</v>
      </c>
      <c r="AF24" s="349">
        <f t="shared" si="26"/>
        <v>1508</v>
      </c>
      <c r="AG24" s="349">
        <f t="shared" si="26"/>
        <v>1754</v>
      </c>
      <c r="AH24" s="348">
        <f t="shared" si="26"/>
        <v>6798</v>
      </c>
      <c r="AI24" s="349">
        <f t="shared" si="26"/>
        <v>1716</v>
      </c>
      <c r="AJ24" s="349">
        <f t="shared" si="26"/>
        <v>1718</v>
      </c>
      <c r="AK24" s="349">
        <f t="shared" si="26"/>
        <v>1531</v>
      </c>
      <c r="AL24" s="349">
        <f t="shared" si="26"/>
        <v>1802</v>
      </c>
      <c r="AM24" s="348">
        <f t="shared" si="26"/>
        <v>6767</v>
      </c>
      <c r="AN24" s="349">
        <f t="shared" si="26"/>
        <v>1722</v>
      </c>
      <c r="AO24" s="349">
        <f t="shared" si="26"/>
        <v>1732</v>
      </c>
      <c r="AP24" s="349">
        <f t="shared" si="26"/>
        <v>1511</v>
      </c>
      <c r="AQ24" s="350">
        <f t="shared" si="26"/>
        <v>1632</v>
      </c>
      <c r="AR24" s="348">
        <f t="shared" si="26"/>
        <v>6597</v>
      </c>
      <c r="AS24" s="349">
        <f t="shared" ref="AS24:BG24" si="27">AS10+AS22</f>
        <v>1650</v>
      </c>
      <c r="AT24" s="349">
        <f t="shared" si="27"/>
        <v>1773</v>
      </c>
      <c r="AU24" s="349">
        <f t="shared" si="27"/>
        <v>1487</v>
      </c>
      <c r="AV24" s="350">
        <f t="shared" si="27"/>
        <v>1643</v>
      </c>
      <c r="AW24" s="348">
        <f t="shared" si="27"/>
        <v>6553</v>
      </c>
      <c r="AX24" s="349">
        <f t="shared" si="27"/>
        <v>1605</v>
      </c>
      <c r="AY24" s="349">
        <f t="shared" si="27"/>
        <v>1612</v>
      </c>
      <c r="AZ24" s="349">
        <f t="shared" si="27"/>
        <v>1074</v>
      </c>
      <c r="BA24" s="350">
        <f t="shared" si="27"/>
        <v>1241</v>
      </c>
      <c r="BB24" s="348">
        <f t="shared" si="27"/>
        <v>5407</v>
      </c>
      <c r="BC24" s="349">
        <f t="shared" si="27"/>
        <v>973</v>
      </c>
      <c r="BD24" s="349">
        <f t="shared" si="27"/>
        <v>1172</v>
      </c>
      <c r="BE24" s="349">
        <f t="shared" si="27"/>
        <v>1232</v>
      </c>
      <c r="BF24" s="350">
        <f t="shared" si="27"/>
        <v>1440</v>
      </c>
      <c r="BG24" s="348">
        <f t="shared" si="27"/>
        <v>4817</v>
      </c>
      <c r="BH24" s="349">
        <f t="shared" ref="BH24:CK24" si="28">BH10+BH22</f>
        <v>1253</v>
      </c>
      <c r="BI24" s="349">
        <f t="shared" si="28"/>
        <v>1418</v>
      </c>
      <c r="BJ24" s="349">
        <f t="shared" si="28"/>
        <v>1253</v>
      </c>
      <c r="BK24" s="350">
        <f t="shared" si="28"/>
        <v>1389</v>
      </c>
      <c r="BL24" s="348">
        <f t="shared" si="28"/>
        <v>5313</v>
      </c>
      <c r="BM24" s="349">
        <f t="shared" si="28"/>
        <v>1403</v>
      </c>
      <c r="BN24" s="349">
        <f t="shared" si="28"/>
        <v>1519</v>
      </c>
      <c r="BO24" s="349">
        <f t="shared" si="28"/>
        <v>1346</v>
      </c>
      <c r="BP24" s="350">
        <f t="shared" si="28"/>
        <v>1427</v>
      </c>
      <c r="BQ24" s="348">
        <f t="shared" si="28"/>
        <v>5695</v>
      </c>
      <c r="BR24" s="349">
        <f t="shared" si="28"/>
        <v>1358</v>
      </c>
      <c r="BS24" s="349">
        <f t="shared" si="28"/>
        <v>1447</v>
      </c>
      <c r="BT24" s="349">
        <f t="shared" si="28"/>
        <v>1329</v>
      </c>
      <c r="BU24" s="350">
        <f t="shared" si="28"/>
        <v>1534</v>
      </c>
      <c r="BV24" s="348">
        <f t="shared" si="28"/>
        <v>5668</v>
      </c>
      <c r="BW24" s="349">
        <f t="shared" si="28"/>
        <v>1497</v>
      </c>
      <c r="BX24" s="349">
        <f t="shared" si="28"/>
        <v>1678</v>
      </c>
      <c r="BY24" s="349">
        <f t="shared" si="28"/>
        <v>1545</v>
      </c>
      <c r="BZ24" s="350">
        <f t="shared" si="28"/>
        <v>1610</v>
      </c>
      <c r="CA24" s="348">
        <f t="shared" si="28"/>
        <v>6330</v>
      </c>
      <c r="CB24" s="349">
        <f t="shared" si="28"/>
        <v>1589</v>
      </c>
      <c r="CC24" s="349">
        <f t="shared" si="28"/>
        <v>1661</v>
      </c>
      <c r="CD24" s="349">
        <f t="shared" si="28"/>
        <v>1493</v>
      </c>
      <c r="CE24" s="350">
        <f t="shared" si="28"/>
        <v>1744</v>
      </c>
      <c r="CF24" s="348">
        <f t="shared" si="28"/>
        <v>6487</v>
      </c>
      <c r="CG24" s="349">
        <f t="shared" si="28"/>
        <v>1568</v>
      </c>
      <c r="CH24" s="349">
        <f t="shared" si="28"/>
        <v>1696</v>
      </c>
      <c r="CI24" s="349">
        <f t="shared" si="28"/>
        <v>1596</v>
      </c>
      <c r="CJ24" s="350">
        <f t="shared" si="28"/>
        <v>1775</v>
      </c>
      <c r="CK24" s="348">
        <f t="shared" si="28"/>
        <v>6635</v>
      </c>
      <c r="CL24" s="349">
        <f t="shared" ref="CL24:CQ24" si="29">CL10+CL22</f>
        <v>1720</v>
      </c>
      <c r="CM24" s="349">
        <f t="shared" si="29"/>
        <v>1694</v>
      </c>
      <c r="CN24" s="349">
        <f t="shared" si="29"/>
        <v>1530</v>
      </c>
      <c r="CO24" s="350">
        <f t="shared" si="29"/>
        <v>1707</v>
      </c>
      <c r="CP24" s="348">
        <f t="shared" si="29"/>
        <v>6651</v>
      </c>
      <c r="CQ24" s="349">
        <f t="shared" si="29"/>
        <v>1703</v>
      </c>
      <c r="CR24" s="349">
        <f t="shared" ref="CR24:DC24" si="30">CR10+CR22</f>
        <v>1627.24</v>
      </c>
      <c r="CS24" s="349">
        <f t="shared" si="30"/>
        <v>1504</v>
      </c>
      <c r="CT24" s="350">
        <f t="shared" si="30"/>
        <v>1722</v>
      </c>
      <c r="CU24" s="348">
        <f t="shared" si="30"/>
        <v>6556.24</v>
      </c>
      <c r="CV24" s="349">
        <f t="shared" si="30"/>
        <v>1658.1100000000001</v>
      </c>
      <c r="CW24" s="349">
        <f t="shared" si="30"/>
        <v>1607.8448000000001</v>
      </c>
      <c r="CX24" s="349">
        <f t="shared" si="30"/>
        <v>1507.57</v>
      </c>
      <c r="CY24" s="350">
        <f t="shared" si="30"/>
        <v>1732.75</v>
      </c>
      <c r="CZ24" s="348">
        <f t="shared" si="30"/>
        <v>6506.2748000000001</v>
      </c>
      <c r="DA24" s="348">
        <f t="shared" si="30"/>
        <v>6522.7559719999999</v>
      </c>
      <c r="DB24" s="351">
        <f t="shared" si="30"/>
        <v>6652.9643740800002</v>
      </c>
      <c r="DC24" s="348">
        <f t="shared" si="30"/>
        <v>6786.7795539361996</v>
      </c>
      <c r="DF24" s="348">
        <f>CT24</f>
        <v>1722</v>
      </c>
      <c r="DG24" s="348">
        <v>1711.62</v>
      </c>
      <c r="DH24" s="348">
        <f>CO24</f>
        <v>1707</v>
      </c>
      <c r="DI24" s="348">
        <f t="shared" si="5"/>
        <v>6.0644301889438701E-3</v>
      </c>
      <c r="DJ24" s="348">
        <f t="shared" si="6"/>
        <v>8.7873462214411724E-3</v>
      </c>
    </row>
    <row r="25" spans="3:114">
      <c r="C25" s="336"/>
      <c r="D25" s="339" t="s">
        <v>271</v>
      </c>
      <c r="E25" s="236"/>
      <c r="F25" s="236">
        <f>+F24/E24-1</f>
        <v>7.1147441719647819E-3</v>
      </c>
      <c r="G25" s="236">
        <f>+G24/F24-1</f>
        <v>4.3589358184277671E-2</v>
      </c>
      <c r="H25" s="236">
        <f>+H24/G24-1</f>
        <v>-1.7283594987757445E-2</v>
      </c>
      <c r="I25" s="236">
        <f>+I24/H24-1</f>
        <v>5.8185548878792348E-2</v>
      </c>
      <c r="J25" s="152"/>
      <c r="K25" s="152"/>
      <c r="L25" s="152"/>
      <c r="M25" s="302"/>
      <c r="N25" s="236">
        <f t="shared" ref="N25:BZ25" si="31">N24/I24-1</f>
        <v>2.8254847645429404E-2</v>
      </c>
      <c r="O25" s="152">
        <f t="shared" si="31"/>
        <v>-5.6948798328108619E-2</v>
      </c>
      <c r="P25" s="152">
        <f t="shared" si="31"/>
        <v>-6.8671679197994995E-2</v>
      </c>
      <c r="Q25" s="152">
        <f t="shared" si="31"/>
        <v>-9.7255369928401003E-2</v>
      </c>
      <c r="R25" s="302">
        <f t="shared" si="31"/>
        <v>-1.3050570962479635E-2</v>
      </c>
      <c r="S25" s="236">
        <f t="shared" si="31"/>
        <v>-5.8324353448275912E-2</v>
      </c>
      <c r="T25" s="152">
        <f t="shared" si="31"/>
        <v>-7.036011080332405E-2</v>
      </c>
      <c r="U25" s="152">
        <f t="shared" si="31"/>
        <v>-5.9203444564047691E-3</v>
      </c>
      <c r="V25" s="152">
        <f t="shared" si="31"/>
        <v>9.5175148711169832E-2</v>
      </c>
      <c r="W25" s="302">
        <f t="shared" si="31"/>
        <v>-9.366391184573053E-3</v>
      </c>
      <c r="X25" s="236">
        <f t="shared" si="31"/>
        <v>-1.5734515806036242E-3</v>
      </c>
      <c r="Y25" s="152">
        <f t="shared" si="31"/>
        <v>2.8605482717520836E-2</v>
      </c>
      <c r="Z25" s="152">
        <f t="shared" si="31"/>
        <v>-7.0384407146724448E-2</v>
      </c>
      <c r="AA25" s="152">
        <f t="shared" si="31"/>
        <v>-0.14906457453228728</v>
      </c>
      <c r="AB25" s="302">
        <f t="shared" si="31"/>
        <v>3.8375973303670818E-2</v>
      </c>
      <c r="AC25" s="236">
        <f t="shared" si="31"/>
        <v>-3.7249283667621813E-2</v>
      </c>
      <c r="AD25" s="152">
        <f t="shared" si="31"/>
        <v>3.5921205098493614E-2</v>
      </c>
      <c r="AE25" s="152">
        <f t="shared" si="31"/>
        <v>1.80547466511356E-2</v>
      </c>
      <c r="AF25" s="152">
        <f t="shared" si="31"/>
        <v>6.9503546099290769E-2</v>
      </c>
      <c r="AG25" s="302">
        <f t="shared" si="31"/>
        <v>-6.0524906266738121E-2</v>
      </c>
      <c r="AH25" s="236">
        <f t="shared" si="31"/>
        <v>1.1607142857142927E-2</v>
      </c>
      <c r="AI25" s="152">
        <f t="shared" si="31"/>
        <v>-4.0268456375838979E-2</v>
      </c>
      <c r="AJ25" s="152">
        <f t="shared" si="31"/>
        <v>-1.7162471395881007E-2</v>
      </c>
      <c r="AK25" s="152">
        <f t="shared" si="31"/>
        <v>1.525198938992034E-2</v>
      </c>
      <c r="AL25" s="302">
        <f t="shared" si="31"/>
        <v>2.7366020524515422E-2</v>
      </c>
      <c r="AM25" s="236">
        <f t="shared" si="31"/>
        <v>-4.560164754339513E-3</v>
      </c>
      <c r="AN25" s="152">
        <f t="shared" si="31"/>
        <v>3.4965034965035446E-3</v>
      </c>
      <c r="AO25" s="152">
        <f t="shared" si="31"/>
        <v>8.1490104772992122E-3</v>
      </c>
      <c r="AP25" s="152">
        <f t="shared" si="31"/>
        <v>-1.3063357282821708E-2</v>
      </c>
      <c r="AQ25" s="302">
        <f t="shared" si="31"/>
        <v>-9.4339622641509413E-2</v>
      </c>
      <c r="AR25" s="236">
        <f t="shared" si="31"/>
        <v>-2.5121915176592235E-2</v>
      </c>
      <c r="AS25" s="152">
        <f t="shared" si="31"/>
        <v>-4.181184668989546E-2</v>
      </c>
      <c r="AT25" s="152">
        <f t="shared" si="31"/>
        <v>2.3672055427251815E-2</v>
      </c>
      <c r="AU25" s="152">
        <f t="shared" si="31"/>
        <v>-1.588352084712108E-2</v>
      </c>
      <c r="AV25" s="302">
        <f t="shared" si="31"/>
        <v>6.7401960784314596E-3</v>
      </c>
      <c r="AW25" s="236">
        <f t="shared" si="31"/>
        <v>-6.6696983477337879E-3</v>
      </c>
      <c r="AX25" s="152">
        <f t="shared" si="31"/>
        <v>-2.7272727272727226E-2</v>
      </c>
      <c r="AY25" s="152">
        <f t="shared" si="31"/>
        <v>-9.0806542583192318E-2</v>
      </c>
      <c r="AZ25" s="152">
        <f t="shared" si="31"/>
        <v>-0.2777404169468729</v>
      </c>
      <c r="BA25" s="302">
        <f t="shared" si="31"/>
        <v>-0.24467437614120513</v>
      </c>
      <c r="BB25" s="236">
        <f t="shared" si="31"/>
        <v>-0.17488173355714942</v>
      </c>
      <c r="BC25" s="152">
        <f t="shared" si="31"/>
        <v>-0.39376947040498445</v>
      </c>
      <c r="BD25" s="152">
        <f t="shared" si="31"/>
        <v>-0.27295285359801491</v>
      </c>
      <c r="BE25" s="152">
        <f t="shared" si="31"/>
        <v>0.14711359404096824</v>
      </c>
      <c r="BF25" s="302">
        <f t="shared" si="31"/>
        <v>0.16035455278001609</v>
      </c>
      <c r="BG25" s="236">
        <f t="shared" si="31"/>
        <v>-0.10911781024597744</v>
      </c>
      <c r="BH25" s="152">
        <f t="shared" si="31"/>
        <v>0.28776978417266186</v>
      </c>
      <c r="BI25" s="152">
        <f t="shared" si="31"/>
        <v>0.20989761092150161</v>
      </c>
      <c r="BJ25" s="152">
        <f t="shared" si="31"/>
        <v>1.7045454545454586E-2</v>
      </c>
      <c r="BK25" s="302">
        <f t="shared" si="31"/>
        <v>-3.5416666666666652E-2</v>
      </c>
      <c r="BL25" s="236">
        <f t="shared" si="31"/>
        <v>0.10296865268839528</v>
      </c>
      <c r="BM25" s="152">
        <f t="shared" si="31"/>
        <v>0.11971268954509173</v>
      </c>
      <c r="BN25" s="152">
        <f t="shared" si="31"/>
        <v>7.1227080394922426E-2</v>
      </c>
      <c r="BO25" s="152">
        <f t="shared" si="31"/>
        <v>7.4221867517956897E-2</v>
      </c>
      <c r="BP25" s="302">
        <f t="shared" si="31"/>
        <v>2.735781137509008E-2</v>
      </c>
      <c r="BQ25" s="236">
        <f t="shared" si="31"/>
        <v>7.1899115377376255E-2</v>
      </c>
      <c r="BR25" s="152">
        <f t="shared" si="31"/>
        <v>-3.207412687099076E-2</v>
      </c>
      <c r="BS25" s="152">
        <f t="shared" si="31"/>
        <v>-4.7399605003291656E-2</v>
      </c>
      <c r="BT25" s="152">
        <f t="shared" si="31"/>
        <v>-1.2630014858840966E-2</v>
      </c>
      <c r="BU25" s="302">
        <f t="shared" si="31"/>
        <v>7.4982480728801759E-2</v>
      </c>
      <c r="BV25" s="236">
        <f t="shared" si="31"/>
        <v>-4.7410008779631418E-3</v>
      </c>
      <c r="BW25" s="152">
        <f t="shared" si="31"/>
        <v>0.1023564064801179</v>
      </c>
      <c r="BX25" s="152">
        <f t="shared" si="31"/>
        <v>0.1596406357982032</v>
      </c>
      <c r="BY25" s="152">
        <f t="shared" si="31"/>
        <v>0.16252821670428896</v>
      </c>
      <c r="BZ25" s="302">
        <f t="shared" si="31"/>
        <v>4.9543676662320735E-2</v>
      </c>
      <c r="CA25" s="236">
        <f t="shared" ref="CA25:CP25" si="32">CA24/BV24-1</f>
        <v>0.11679604798870846</v>
      </c>
      <c r="CB25" s="152">
        <f t="shared" si="32"/>
        <v>6.1456245824983213E-2</v>
      </c>
      <c r="CC25" s="152">
        <f t="shared" si="32"/>
        <v>-1.0131108462455352E-2</v>
      </c>
      <c r="CD25" s="152">
        <f t="shared" si="32"/>
        <v>-3.3656957928802633E-2</v>
      </c>
      <c r="CE25" s="302">
        <f t="shared" si="32"/>
        <v>8.3229813664596364E-2</v>
      </c>
      <c r="CF25" s="236">
        <f t="shared" si="32"/>
        <v>2.4802527646129446E-2</v>
      </c>
      <c r="CG25" s="152">
        <f t="shared" si="32"/>
        <v>-1.3215859030836996E-2</v>
      </c>
      <c r="CH25" s="152">
        <f t="shared" si="32"/>
        <v>2.1071643588199906E-2</v>
      </c>
      <c r="CI25" s="152">
        <f t="shared" si="32"/>
        <v>6.8988613529805676E-2</v>
      </c>
      <c r="CJ25" s="302">
        <f t="shared" si="32"/>
        <v>1.7775229357798183E-2</v>
      </c>
      <c r="CK25" s="236">
        <f t="shared" si="32"/>
        <v>2.2814860490211197E-2</v>
      </c>
      <c r="CL25" s="152">
        <f t="shared" si="32"/>
        <v>9.6938775510204023E-2</v>
      </c>
      <c r="CM25" s="152">
        <f t="shared" si="32"/>
        <v>-1.179245283018826E-3</v>
      </c>
      <c r="CN25" s="152">
        <f t="shared" si="32"/>
        <v>-4.1353383458646586E-2</v>
      </c>
      <c r="CO25" s="302">
        <f t="shared" si="32"/>
        <v>-3.8309859154929571E-2</v>
      </c>
      <c r="CP25" s="236">
        <f t="shared" si="32"/>
        <v>2.4114544084401501E-3</v>
      </c>
      <c r="CQ25" s="152">
        <f t="shared" ref="CQ25:CZ25" si="33">CQ24/CL24-1</f>
        <v>-9.8837209302325979E-3</v>
      </c>
      <c r="CR25" s="152">
        <f t="shared" si="33"/>
        <v>-3.9409681227863036E-2</v>
      </c>
      <c r="CS25" s="152">
        <f t="shared" si="33"/>
        <v>-1.6993464052287632E-2</v>
      </c>
      <c r="CT25" s="302">
        <f t="shared" si="33"/>
        <v>8.7873462214411724E-3</v>
      </c>
      <c r="CU25" s="236">
        <f t="shared" si="33"/>
        <v>-1.424748158171707E-2</v>
      </c>
      <c r="CV25" s="152">
        <f t="shared" si="33"/>
        <v>-2.6359365825014636E-2</v>
      </c>
      <c r="CW25" s="152">
        <f t="shared" si="33"/>
        <v>-1.1919077702121306E-2</v>
      </c>
      <c r="CX25" s="152">
        <f t="shared" si="33"/>
        <v>2.3736702127659104E-3</v>
      </c>
      <c r="CY25" s="302">
        <f t="shared" si="33"/>
        <v>6.2427409988385918E-3</v>
      </c>
      <c r="CZ25" s="236">
        <f t="shared" si="33"/>
        <v>-7.6210144839115035E-3</v>
      </c>
      <c r="DA25" s="236">
        <f>+DA24/CZ24-1</f>
        <v>2.5331195663607087E-3</v>
      </c>
      <c r="DB25" s="352">
        <f>+DB24/DA24-1</f>
        <v>1.9962175902171087E-2</v>
      </c>
      <c r="DC25" s="236">
        <f>+DC24/DB24-1</f>
        <v>2.0113617378975324E-2</v>
      </c>
      <c r="DF25" s="236">
        <f>CT25</f>
        <v>8.7873462214411724E-3</v>
      </c>
      <c r="DG25" s="236">
        <v>2.7065026362038669E-3</v>
      </c>
      <c r="DH25" s="236">
        <f>CO25</f>
        <v>-3.8309859154929571E-2</v>
      </c>
      <c r="DI25" s="236">
        <f t="shared" si="5"/>
        <v>2.2467532467532636</v>
      </c>
      <c r="DJ25" s="236">
        <f t="shared" si="6"/>
        <v>-1.22937558151556</v>
      </c>
    </row>
    <row r="26" spans="3:114" s="183" customFormat="1" ht="13.5" customHeight="1">
      <c r="C26" s="336"/>
      <c r="D26" s="218"/>
      <c r="E26" s="353"/>
      <c r="F26" s="353"/>
      <c r="G26" s="353"/>
      <c r="H26" s="353"/>
      <c r="I26" s="353"/>
      <c r="J26" s="354"/>
      <c r="K26" s="354"/>
      <c r="L26" s="354"/>
      <c r="M26" s="355"/>
      <c r="N26" s="353"/>
      <c r="O26" s="354"/>
      <c r="P26" s="354"/>
      <c r="Q26" s="354"/>
      <c r="R26" s="355"/>
      <c r="S26" s="353"/>
      <c r="T26" s="354"/>
      <c r="U26" s="354"/>
      <c r="V26" s="354"/>
      <c r="W26" s="355"/>
      <c r="X26" s="353"/>
      <c r="Y26" s="354"/>
      <c r="Z26" s="354"/>
      <c r="AA26" s="354"/>
      <c r="AB26" s="355"/>
      <c r="AC26" s="353"/>
      <c r="AD26" s="354"/>
      <c r="AE26" s="354"/>
      <c r="AF26" s="354"/>
      <c r="AG26" s="355"/>
      <c r="AH26" s="353"/>
      <c r="AI26" s="354"/>
      <c r="AJ26" s="354"/>
      <c r="AK26" s="354"/>
      <c r="AL26" s="355"/>
      <c r="AM26" s="353"/>
      <c r="AN26" s="354"/>
      <c r="AO26" s="354"/>
      <c r="AP26" s="354"/>
      <c r="AQ26" s="355"/>
      <c r="AR26" s="353"/>
      <c r="AS26" s="354"/>
      <c r="AT26" s="354"/>
      <c r="AU26" s="354"/>
      <c r="AV26" s="355"/>
      <c r="AW26" s="353"/>
      <c r="AX26" s="354"/>
      <c r="AY26" s="354"/>
      <c r="AZ26" s="354"/>
      <c r="BA26" s="355"/>
      <c r="BB26" s="353"/>
      <c r="BC26" s="354"/>
      <c r="BD26" s="354"/>
      <c r="BE26" s="354"/>
      <c r="BF26" s="355"/>
      <c r="BG26" s="353"/>
      <c r="BH26" s="354"/>
      <c r="BI26" s="354"/>
      <c r="BJ26" s="354"/>
      <c r="BK26" s="355"/>
      <c r="BL26" s="353"/>
      <c r="BM26" s="354"/>
      <c r="BN26" s="354"/>
      <c r="BO26" s="354"/>
      <c r="BP26" s="355"/>
      <c r="BQ26" s="353"/>
      <c r="BR26" s="354"/>
      <c r="BS26" s="354"/>
      <c r="BT26" s="354"/>
      <c r="BU26" s="355"/>
      <c r="BV26" s="353"/>
      <c r="BW26" s="354"/>
      <c r="BX26" s="354"/>
      <c r="BY26" s="354"/>
      <c r="BZ26" s="355"/>
      <c r="CA26" s="353"/>
      <c r="CB26" s="354"/>
      <c r="CC26" s="354"/>
      <c r="CD26" s="354"/>
      <c r="CE26" s="355"/>
      <c r="CF26" s="353"/>
      <c r="CG26" s="354"/>
      <c r="CH26" s="354"/>
      <c r="CI26" s="354"/>
      <c r="CJ26" s="355"/>
      <c r="CK26" s="353"/>
      <c r="CL26" s="354"/>
      <c r="CM26" s="354"/>
      <c r="CN26" s="354"/>
      <c r="CO26" s="355"/>
      <c r="CP26" s="353"/>
      <c r="CQ26" s="354"/>
      <c r="CR26" s="354"/>
      <c r="CS26" s="354"/>
      <c r="CT26" s="355"/>
      <c r="CU26" s="353"/>
      <c r="CV26" s="354"/>
      <c r="CW26" s="354"/>
      <c r="CX26" s="354"/>
      <c r="CY26" s="355"/>
      <c r="CZ26" s="1103"/>
      <c r="DA26" s="1103"/>
      <c r="DB26" s="1103"/>
      <c r="DC26" s="1103"/>
      <c r="DD26" s="1104"/>
      <c r="DF26" s="353"/>
      <c r="DG26" s="353"/>
      <c r="DH26" s="353"/>
      <c r="DI26" s="353"/>
      <c r="DJ26" s="353"/>
    </row>
    <row r="27" spans="3:114" ht="13.5" customHeight="1">
      <c r="C27" s="336"/>
      <c r="D27" s="216"/>
      <c r="E27" s="356"/>
      <c r="F27" s="356"/>
      <c r="G27" s="356"/>
      <c r="H27" s="356"/>
      <c r="I27" s="356"/>
      <c r="J27" s="357"/>
      <c r="K27" s="357"/>
      <c r="L27" s="357"/>
      <c r="M27" s="358"/>
      <c r="N27" s="356"/>
      <c r="O27" s="357"/>
      <c r="P27" s="357"/>
      <c r="Q27" s="357"/>
      <c r="R27" s="358"/>
      <c r="S27" s="356"/>
      <c r="T27" s="357"/>
      <c r="U27" s="357"/>
      <c r="V27" s="357"/>
      <c r="W27" s="358"/>
      <c r="X27" s="356"/>
      <c r="Y27" s="357"/>
      <c r="Z27" s="357"/>
      <c r="AA27" s="357"/>
      <c r="AB27" s="358"/>
      <c r="AC27" s="356"/>
      <c r="AD27" s="357"/>
      <c r="AE27" s="357"/>
      <c r="AF27" s="357"/>
      <c r="AG27" s="358"/>
      <c r="AH27" s="356"/>
      <c r="AI27" s="357"/>
      <c r="AJ27" s="357"/>
      <c r="AK27" s="357"/>
      <c r="AL27" s="358"/>
      <c r="AM27" s="356"/>
      <c r="AN27" s="357"/>
      <c r="AO27" s="357"/>
      <c r="AP27" s="357"/>
      <c r="AQ27" s="358"/>
      <c r="AR27" s="356"/>
      <c r="AS27" s="357"/>
      <c r="AT27" s="357"/>
      <c r="AU27" s="357"/>
      <c r="AV27" s="358"/>
      <c r="AW27" s="356"/>
      <c r="AX27" s="357"/>
      <c r="AY27" s="357"/>
      <c r="AZ27" s="357"/>
      <c r="BA27" s="358"/>
      <c r="BB27" s="356"/>
      <c r="BC27" s="357"/>
      <c r="BD27" s="357"/>
      <c r="BE27" s="357"/>
      <c r="BF27" s="358"/>
      <c r="BG27" s="356"/>
      <c r="BH27" s="357"/>
      <c r="BI27" s="357"/>
      <c r="BJ27" s="357"/>
      <c r="BK27" s="358"/>
      <c r="BL27" s="356"/>
      <c r="BM27" s="357"/>
      <c r="BN27" s="357"/>
      <c r="BO27" s="357"/>
      <c r="BP27" s="358"/>
      <c r="BQ27" s="356"/>
      <c r="BR27" s="357"/>
      <c r="BS27" s="357"/>
      <c r="BT27" s="357"/>
      <c r="BU27" s="358"/>
      <c r="BV27" s="356"/>
      <c r="BW27" s="357"/>
      <c r="BX27" s="357"/>
      <c r="BY27" s="357"/>
      <c r="BZ27" s="358"/>
      <c r="CA27" s="356"/>
      <c r="CB27" s="357"/>
      <c r="CC27" s="357"/>
      <c r="CD27" s="357"/>
      <c r="CE27" s="358"/>
      <c r="CF27" s="356"/>
      <c r="CG27" s="357"/>
      <c r="CH27" s="357"/>
      <c r="CI27" s="357"/>
      <c r="CJ27" s="358"/>
      <c r="CK27" s="356"/>
      <c r="CL27" s="357"/>
      <c r="CM27" s="357"/>
      <c r="CN27" s="357"/>
      <c r="CO27" s="358"/>
      <c r="CP27" s="356"/>
      <c r="CQ27" s="357"/>
      <c r="CR27" s="357"/>
      <c r="CS27" s="357"/>
      <c r="CT27" s="358"/>
      <c r="CU27" s="356"/>
      <c r="CV27" s="357"/>
      <c r="CW27" s="357"/>
      <c r="CX27" s="357"/>
      <c r="CY27" s="358"/>
      <c r="CZ27" s="1101"/>
      <c r="DA27" s="1101"/>
      <c r="DB27" s="1102"/>
      <c r="DC27" s="1101"/>
      <c r="DD27" s="490"/>
      <c r="DF27" s="356"/>
      <c r="DG27" s="356"/>
      <c r="DH27" s="356"/>
      <c r="DI27" s="356"/>
      <c r="DJ27" s="356"/>
    </row>
    <row r="28" spans="3:114">
      <c r="C28" s="204"/>
      <c r="D28" s="208" t="s">
        <v>268</v>
      </c>
      <c r="E28" s="210"/>
      <c r="F28" s="210"/>
      <c r="G28" s="210"/>
      <c r="H28" s="210"/>
      <c r="I28" s="210"/>
      <c r="J28" s="209"/>
      <c r="K28" s="209"/>
      <c r="L28" s="209"/>
      <c r="M28" s="209"/>
      <c r="N28" s="210"/>
      <c r="O28" s="209"/>
      <c r="P28" s="209"/>
      <c r="Q28" s="209"/>
      <c r="R28" s="209"/>
      <c r="S28" s="210"/>
      <c r="T28" s="209"/>
      <c r="U28" s="209"/>
      <c r="V28" s="209"/>
      <c r="W28" s="209"/>
      <c r="X28" s="210"/>
      <c r="Y28" s="209"/>
      <c r="Z28" s="209"/>
      <c r="AA28" s="209"/>
      <c r="AB28" s="209"/>
      <c r="AC28" s="210"/>
      <c r="AD28" s="209"/>
      <c r="AE28" s="209"/>
      <c r="AF28" s="209"/>
      <c r="AG28" s="209"/>
      <c r="AH28" s="210"/>
      <c r="AI28" s="209"/>
      <c r="AJ28" s="209"/>
      <c r="AK28" s="209"/>
      <c r="AL28" s="209"/>
      <c r="AM28" s="210"/>
      <c r="AN28" s="209"/>
      <c r="AO28" s="209"/>
      <c r="AP28" s="209"/>
      <c r="AQ28" s="209"/>
      <c r="AR28" s="210"/>
      <c r="AS28" s="209"/>
      <c r="AT28" s="209"/>
      <c r="AU28" s="209"/>
      <c r="AV28" s="209"/>
      <c r="AW28" s="210"/>
      <c r="AX28" s="209"/>
      <c r="AY28" s="209"/>
      <c r="AZ28" s="209"/>
      <c r="BA28" s="209"/>
      <c r="BB28" s="210"/>
      <c r="BC28" s="209"/>
      <c r="BD28" s="209"/>
      <c r="BE28" s="209"/>
      <c r="BF28" s="209"/>
      <c r="BG28" s="210"/>
      <c r="BH28" s="209"/>
      <c r="BI28" s="209"/>
      <c r="BJ28" s="209"/>
      <c r="BK28" s="209"/>
      <c r="BL28" s="210"/>
      <c r="BM28" s="209"/>
      <c r="BN28" s="209"/>
      <c r="BO28" s="209"/>
      <c r="BP28" s="209"/>
      <c r="BQ28" s="210"/>
      <c r="BR28" s="209"/>
      <c r="BS28" s="209"/>
      <c r="BT28" s="209"/>
      <c r="BU28" s="209"/>
      <c r="BV28" s="210"/>
      <c r="BW28" s="209"/>
      <c r="BX28" s="209"/>
      <c r="BY28" s="209"/>
      <c r="BZ28" s="209"/>
      <c r="CA28" s="210"/>
      <c r="CB28" s="209"/>
      <c r="CC28" s="209"/>
      <c r="CD28" s="209"/>
      <c r="CE28" s="209"/>
      <c r="CF28" s="210"/>
      <c r="CG28" s="209"/>
      <c r="CH28" s="209"/>
      <c r="CI28" s="209"/>
      <c r="CJ28" s="209"/>
      <c r="CK28" s="210"/>
      <c r="CL28" s="209"/>
      <c r="CM28" s="209"/>
      <c r="CN28" s="209"/>
      <c r="CO28" s="209"/>
      <c r="CP28" s="210"/>
      <c r="CQ28" s="209"/>
      <c r="CR28" s="211"/>
      <c r="CS28" s="211"/>
      <c r="CT28" s="212"/>
      <c r="CU28" s="210"/>
      <c r="CV28" s="211"/>
      <c r="CW28" s="211"/>
      <c r="CX28" s="211"/>
      <c r="CY28" s="212"/>
      <c r="CZ28" s="210"/>
      <c r="DA28" s="210"/>
      <c r="DB28" s="213"/>
      <c r="DC28" s="210"/>
      <c r="DF28" s="210">
        <f t="shared" ref="DF28:DF36" si="34">CT28</f>
        <v>0</v>
      </c>
      <c r="DG28" s="210">
        <v>0</v>
      </c>
      <c r="DH28" s="210">
        <f t="shared" ref="DH28:DH36" si="35">CO28</f>
        <v>0</v>
      </c>
      <c r="DI28" s="210" t="str">
        <f t="shared" si="5"/>
        <v>NM</v>
      </c>
      <c r="DJ28" s="210" t="str">
        <f t="shared" si="6"/>
        <v>NM</v>
      </c>
    </row>
    <row r="29" spans="3:114" s="155" customFormat="1">
      <c r="C29" s="336"/>
      <c r="D29" s="1" t="s">
        <v>789</v>
      </c>
      <c r="E29" s="337"/>
      <c r="F29" s="337"/>
      <c r="G29" s="337"/>
      <c r="H29" s="337"/>
      <c r="I29" s="337">
        <v>99231</v>
      </c>
      <c r="J29" s="338">
        <v>27211</v>
      </c>
      <c r="K29" s="338">
        <v>27676</v>
      </c>
      <c r="L29" s="338">
        <v>23385</v>
      </c>
      <c r="M29" s="338">
        <f>103865-SUM(J29:L29)</f>
        <v>25593</v>
      </c>
      <c r="N29" s="235">
        <f>SUM(J29:M29)</f>
        <v>103865</v>
      </c>
      <c r="O29" s="338">
        <v>23657</v>
      </c>
      <c r="P29" s="338">
        <v>24264</v>
      </c>
      <c r="Q29" s="338">
        <v>19769</v>
      </c>
      <c r="R29" s="338">
        <f>90952-SUM(O29:Q29)</f>
        <v>23262</v>
      </c>
      <c r="S29" s="235">
        <f>SUM(O29:R29)</f>
        <v>90952</v>
      </c>
      <c r="T29" s="338">
        <v>23142</v>
      </c>
      <c r="U29" s="338">
        <v>25072</v>
      </c>
      <c r="V29" s="338">
        <v>22769</v>
      </c>
      <c r="W29" s="338">
        <f>94069-SUM(T29:V29)</f>
        <v>23086</v>
      </c>
      <c r="X29" s="235">
        <f>SUM(T29:W29)</f>
        <v>94069</v>
      </c>
      <c r="Y29" s="338">
        <v>22200</v>
      </c>
      <c r="Z29" s="338">
        <v>20700</v>
      </c>
      <c r="AA29" s="338">
        <v>17900</v>
      </c>
      <c r="AB29" s="338">
        <f>83597-SUM(Y29:AA29)</f>
        <v>22797</v>
      </c>
      <c r="AC29" s="235">
        <f>SUM(Y29:AB29)</f>
        <v>83597</v>
      </c>
      <c r="AD29" s="338">
        <v>23253</v>
      </c>
      <c r="AE29" s="338">
        <v>20501</v>
      </c>
      <c r="AF29" s="338">
        <v>18121</v>
      </c>
      <c r="AG29" s="338">
        <f>83017-SUM(AD29:AF29)</f>
        <v>21142</v>
      </c>
      <c r="AH29" s="235">
        <f>SUM(AD29:AG29)</f>
        <v>83017</v>
      </c>
      <c r="AI29" s="338">
        <f>41143-AJ29</f>
        <v>21183</v>
      </c>
      <c r="AJ29" s="338">
        <v>19960</v>
      </c>
      <c r="AK29" s="338">
        <v>18187</v>
      </c>
      <c r="AL29" s="338">
        <f>80662-SUM(AI29:AK29)</f>
        <v>21332</v>
      </c>
      <c r="AM29" s="235">
        <f>SUM(AI29:AL29)</f>
        <v>80662</v>
      </c>
      <c r="AN29" s="338">
        <f>38940-AO29</f>
        <v>19769</v>
      </c>
      <c r="AO29" s="338">
        <v>19171</v>
      </c>
      <c r="AP29" s="338">
        <v>15395</v>
      </c>
      <c r="AQ29" s="338">
        <f>69425-SUM(AN29:AP29)</f>
        <v>15090</v>
      </c>
      <c r="AR29" s="235">
        <f>SUM(AN29:AQ29)</f>
        <v>69425</v>
      </c>
      <c r="AS29" s="338">
        <v>18223</v>
      </c>
      <c r="AT29" s="338">
        <v>18791</v>
      </c>
      <c r="AU29" s="338">
        <v>16505</v>
      </c>
      <c r="AV29" s="338">
        <f>69365-SUM(AS29:AU29)</f>
        <v>15846</v>
      </c>
      <c r="AW29" s="235">
        <f>SUM(AS29:AV29)</f>
        <v>69365</v>
      </c>
      <c r="AX29" s="338">
        <v>17110</v>
      </c>
      <c r="AY29" s="338">
        <v>14219</v>
      </c>
      <c r="AZ29" s="338">
        <v>10748</v>
      </c>
      <c r="BA29" s="338">
        <f>53382-SUM(AX29:AZ29)</f>
        <v>11305</v>
      </c>
      <c r="BB29" s="235">
        <f>SUM(AX29:BA29)</f>
        <v>53382</v>
      </c>
      <c r="BC29" s="338">
        <v>10161</v>
      </c>
      <c r="BD29" s="338">
        <f>10826</f>
        <v>10826</v>
      </c>
      <c r="BE29" s="338">
        <f>13718</f>
        <v>13718</v>
      </c>
      <c r="BF29" s="338">
        <f>50514-SUM(BC29:BE29)</f>
        <v>15809</v>
      </c>
      <c r="BG29" s="235">
        <f>SUM(BC29:BF29)</f>
        <v>50514</v>
      </c>
      <c r="BH29" s="338">
        <v>14132</v>
      </c>
      <c r="BI29" s="338">
        <v>16908</v>
      </c>
      <c r="BJ29" s="338">
        <v>16205</v>
      </c>
      <c r="BK29" s="338">
        <f>64428-SUM(BH29:BJ29)</f>
        <v>17183</v>
      </c>
      <c r="BL29" s="235">
        <f>SUM(BH29:BK29)</f>
        <v>64428</v>
      </c>
      <c r="BM29" s="338">
        <v>17957</v>
      </c>
      <c r="BN29" s="338">
        <v>19446</v>
      </c>
      <c r="BO29" s="338">
        <v>17927</v>
      </c>
      <c r="BP29" s="338">
        <f>75022-SUM(BM29:BO29)</f>
        <v>19692</v>
      </c>
      <c r="BQ29" s="235">
        <f>SUM(BM29:BP29)</f>
        <v>75022</v>
      </c>
      <c r="BR29" s="338">
        <v>18600</v>
      </c>
      <c r="BS29" s="338">
        <v>19700</v>
      </c>
      <c r="BT29" s="338">
        <v>19500</v>
      </c>
      <c r="BU29" s="338">
        <f>79900-SUM(BR29:BT29)</f>
        <v>22100</v>
      </c>
      <c r="BV29" s="235">
        <f>SUM(BR29:BU29)</f>
        <v>79900</v>
      </c>
      <c r="BW29" s="338">
        <v>22300</v>
      </c>
      <c r="BX29" s="338">
        <v>22400</v>
      </c>
      <c r="BY29" s="338">
        <v>21700</v>
      </c>
      <c r="BZ29" s="338">
        <f>88900-SUM(BW29:BY29)</f>
        <v>22500</v>
      </c>
      <c r="CA29" s="235">
        <f>SUM(BW29:BZ29)</f>
        <v>88900</v>
      </c>
      <c r="CB29" s="338">
        <v>20400</v>
      </c>
      <c r="CC29" s="338">
        <v>21200</v>
      </c>
      <c r="CD29" s="338">
        <v>19900</v>
      </c>
      <c r="CE29" s="338">
        <f>82400-SUM(CB29:CD29)</f>
        <v>20900</v>
      </c>
      <c r="CF29" s="235">
        <f>SUM(CB29:CE29)</f>
        <v>82400</v>
      </c>
      <c r="CG29" s="338">
        <v>20000</v>
      </c>
      <c r="CH29" s="338">
        <v>23300</v>
      </c>
      <c r="CI29" s="338">
        <v>23700</v>
      </c>
      <c r="CJ29" s="338">
        <f>91900-SUM(CG29:CI29)</f>
        <v>24900</v>
      </c>
      <c r="CK29" s="235">
        <f>SUM(CG29:CJ29)</f>
        <v>91900</v>
      </c>
      <c r="CL29" s="338">
        <v>23900</v>
      </c>
      <c r="CM29" s="338">
        <v>23800</v>
      </c>
      <c r="CN29" s="338">
        <v>21800</v>
      </c>
      <c r="CO29" s="338">
        <f>92600-SUM(CL29:CN29)</f>
        <v>23100</v>
      </c>
      <c r="CP29" s="235">
        <f>SUM(CL29:CO29)</f>
        <v>92600</v>
      </c>
      <c r="CQ29" s="338">
        <v>24000</v>
      </c>
      <c r="CR29" s="338">
        <v>24500</v>
      </c>
      <c r="CS29" s="338">
        <v>20900</v>
      </c>
      <c r="CT29" s="338">
        <v>24100</v>
      </c>
      <c r="CU29" s="235">
        <f>SUM(CQ29:CT29)</f>
        <v>93500</v>
      </c>
      <c r="CV29" s="165">
        <f>CV48*CV10/1000</f>
        <v>23512.799999999999</v>
      </c>
      <c r="CW29" s="165">
        <f>CW48*CW10/1000</f>
        <v>23755.200000000001</v>
      </c>
      <c r="CX29" s="165">
        <f>CX48*CX10/1000</f>
        <v>20475.73</v>
      </c>
      <c r="CY29" s="300">
        <f>CY48*CY10/1000</f>
        <v>23854.18</v>
      </c>
      <c r="CZ29" s="235">
        <f>SUM(CV29:CY29)</f>
        <v>91597.91</v>
      </c>
      <c r="DA29" s="235">
        <f>DA48*DA10/1000</f>
        <v>90626.972154000003</v>
      </c>
      <c r="DB29" s="248">
        <f>DB48*DB10/1000</f>
        <v>93363.906713050819</v>
      </c>
      <c r="DC29" s="235">
        <f>DC48*DC10/1000</f>
        <v>95712.008966884037</v>
      </c>
      <c r="DD29" s="115"/>
      <c r="DF29" s="235">
        <f t="shared" si="34"/>
        <v>24100</v>
      </c>
      <c r="DG29" s="235">
        <v>22631.070000000003</v>
      </c>
      <c r="DH29" s="235">
        <f t="shared" si="35"/>
        <v>23100</v>
      </c>
      <c r="DI29" s="235">
        <f t="shared" si="5"/>
        <v>6.4907668970136889E-2</v>
      </c>
      <c r="DJ29" s="235">
        <f t="shared" si="6"/>
        <v>4.3290043290043378E-2</v>
      </c>
    </row>
    <row r="30" spans="3:114" s="155" customFormat="1">
      <c r="C30" s="336"/>
      <c r="D30" s="339" t="s">
        <v>271</v>
      </c>
      <c r="E30" s="340"/>
      <c r="F30" s="236"/>
      <c r="G30" s="236"/>
      <c r="H30" s="236"/>
      <c r="I30" s="236"/>
      <c r="J30" s="152"/>
      <c r="K30" s="152"/>
      <c r="L30" s="152"/>
      <c r="M30" s="341"/>
      <c r="N30" s="236">
        <f t="shared" ref="N30:AS30" si="36">N29/I29-1</f>
        <v>4.6699116203605673E-2</v>
      </c>
      <c r="O30" s="152">
        <f t="shared" si="36"/>
        <v>-0.13060894491198416</v>
      </c>
      <c r="P30" s="152">
        <f t="shared" si="36"/>
        <v>-0.12328371151900563</v>
      </c>
      <c r="Q30" s="152">
        <f t="shared" si="36"/>
        <v>-0.15462903570664954</v>
      </c>
      <c r="R30" s="302">
        <f t="shared" si="36"/>
        <v>-9.1079592075958282E-2</v>
      </c>
      <c r="S30" s="236">
        <f t="shared" si="36"/>
        <v>-0.12432484475039718</v>
      </c>
      <c r="T30" s="152">
        <f t="shared" si="36"/>
        <v>-2.1769455129559967E-2</v>
      </c>
      <c r="U30" s="152">
        <f t="shared" si="36"/>
        <v>3.3300362677217255E-2</v>
      </c>
      <c r="V30" s="152">
        <f t="shared" si="36"/>
        <v>0.15175274419545759</v>
      </c>
      <c r="W30" s="302">
        <f t="shared" si="36"/>
        <v>-7.5659874473390509E-3</v>
      </c>
      <c r="X30" s="236">
        <f t="shared" si="36"/>
        <v>3.4270824170991254E-2</v>
      </c>
      <c r="Y30" s="152">
        <f t="shared" si="36"/>
        <v>-4.0705211304122413E-2</v>
      </c>
      <c r="Z30" s="152">
        <f t="shared" si="36"/>
        <v>-0.17437779195915759</v>
      </c>
      <c r="AA30" s="152">
        <f t="shared" si="36"/>
        <v>-0.21384338354780619</v>
      </c>
      <c r="AB30" s="302">
        <f t="shared" si="36"/>
        <v>-1.2518409425625876E-2</v>
      </c>
      <c r="AC30" s="236">
        <f t="shared" si="36"/>
        <v>-0.11132253983777862</v>
      </c>
      <c r="AD30" s="152">
        <f t="shared" si="36"/>
        <v>4.7432432432432448E-2</v>
      </c>
      <c r="AE30" s="152">
        <f t="shared" si="36"/>
        <v>-9.6135265700483252E-3</v>
      </c>
      <c r="AF30" s="152">
        <f t="shared" si="36"/>
        <v>1.2346368715083766E-2</v>
      </c>
      <c r="AG30" s="302">
        <f t="shared" si="36"/>
        <v>-7.2597271570820743E-2</v>
      </c>
      <c r="AH30" s="236">
        <f t="shared" si="36"/>
        <v>-6.9380480160771141E-3</v>
      </c>
      <c r="AI30" s="152">
        <f t="shared" si="36"/>
        <v>-8.9020771513353081E-2</v>
      </c>
      <c r="AJ30" s="152">
        <f t="shared" si="36"/>
        <v>-2.6388956636261618E-2</v>
      </c>
      <c r="AK30" s="152">
        <f t="shared" si="36"/>
        <v>3.6421831024777696E-3</v>
      </c>
      <c r="AL30" s="302">
        <f t="shared" si="36"/>
        <v>8.9868508182764373E-3</v>
      </c>
      <c r="AM30" s="236">
        <f t="shared" si="36"/>
        <v>-2.8367683727429371E-2</v>
      </c>
      <c r="AN30" s="152">
        <f t="shared" si="36"/>
        <v>-6.6751640466411799E-2</v>
      </c>
      <c r="AO30" s="152">
        <f t="shared" si="36"/>
        <v>-3.9529058116232418E-2</v>
      </c>
      <c r="AP30" s="152">
        <f t="shared" si="36"/>
        <v>-0.15351624786935725</v>
      </c>
      <c r="AQ30" s="302">
        <f t="shared" si="36"/>
        <v>-0.29261203825239079</v>
      </c>
      <c r="AR30" s="236">
        <f t="shared" si="36"/>
        <v>-0.13930971213210686</v>
      </c>
      <c r="AS30" s="152">
        <f t="shared" si="36"/>
        <v>-7.8203247508725759E-2</v>
      </c>
      <c r="AT30" s="152">
        <f t="shared" ref="AT30:BY30" si="37">AT29/AO29-1</f>
        <v>-1.9821605550049526E-2</v>
      </c>
      <c r="AU30" s="152">
        <f t="shared" si="37"/>
        <v>7.2101331601169161E-2</v>
      </c>
      <c r="AV30" s="302">
        <f t="shared" si="37"/>
        <v>5.0099403578528934E-2</v>
      </c>
      <c r="AW30" s="236">
        <f t="shared" si="37"/>
        <v>-8.6424198775658656E-4</v>
      </c>
      <c r="AX30" s="152">
        <f t="shared" si="37"/>
        <v>-6.1076661362015061E-2</v>
      </c>
      <c r="AY30" s="152">
        <f t="shared" si="37"/>
        <v>-0.24330796657974563</v>
      </c>
      <c r="AZ30" s="152">
        <f t="shared" si="37"/>
        <v>-0.34880339291123896</v>
      </c>
      <c r="BA30" s="302">
        <f t="shared" si="37"/>
        <v>-0.28657074340527577</v>
      </c>
      <c r="BB30" s="236">
        <f t="shared" si="37"/>
        <v>-0.23041879910617746</v>
      </c>
      <c r="BC30" s="152">
        <f t="shared" si="37"/>
        <v>-0.4061367621274109</v>
      </c>
      <c r="BD30" s="152">
        <f t="shared" si="37"/>
        <v>-0.23862437583515017</v>
      </c>
      <c r="BE30" s="152">
        <f t="shared" si="37"/>
        <v>0.27633048008931893</v>
      </c>
      <c r="BF30" s="302">
        <f t="shared" si="37"/>
        <v>0.39840778416629807</v>
      </c>
      <c r="BG30" s="236">
        <f t="shared" si="37"/>
        <v>-5.3725975047768881E-2</v>
      </c>
      <c r="BH30" s="152">
        <f t="shared" si="37"/>
        <v>0.39080799133943511</v>
      </c>
      <c r="BI30" s="152">
        <f t="shared" si="37"/>
        <v>0.56179567707371136</v>
      </c>
      <c r="BJ30" s="152">
        <f t="shared" si="37"/>
        <v>0.18129464936579676</v>
      </c>
      <c r="BK30" s="302">
        <f t="shared" si="37"/>
        <v>8.6912518185843446E-2</v>
      </c>
      <c r="BL30" s="236">
        <f t="shared" si="37"/>
        <v>0.27544839054519543</v>
      </c>
      <c r="BM30" s="152">
        <f t="shared" si="37"/>
        <v>0.27066232663458822</v>
      </c>
      <c r="BN30" s="152">
        <f t="shared" si="37"/>
        <v>0.15010645848119242</v>
      </c>
      <c r="BO30" s="152">
        <f t="shared" si="37"/>
        <v>0.10626349892008635</v>
      </c>
      <c r="BP30" s="302">
        <f t="shared" si="37"/>
        <v>0.14601641156957457</v>
      </c>
      <c r="BQ30" s="236">
        <f t="shared" si="37"/>
        <v>0.16443161358415592</v>
      </c>
      <c r="BR30" s="152">
        <f t="shared" si="37"/>
        <v>3.580776298936339E-2</v>
      </c>
      <c r="BS30" s="152">
        <f t="shared" si="37"/>
        <v>1.3061812197881384E-2</v>
      </c>
      <c r="BT30" s="152">
        <f t="shared" si="37"/>
        <v>8.7744742567077649E-2</v>
      </c>
      <c r="BU30" s="302">
        <f t="shared" si="37"/>
        <v>0.12228316067438549</v>
      </c>
      <c r="BV30" s="236">
        <f t="shared" si="37"/>
        <v>6.5020927194689548E-2</v>
      </c>
      <c r="BW30" s="152">
        <f t="shared" si="37"/>
        <v>0.19892473118279574</v>
      </c>
      <c r="BX30" s="152">
        <f t="shared" si="37"/>
        <v>0.13705583756345185</v>
      </c>
      <c r="BY30" s="152">
        <f t="shared" si="37"/>
        <v>0.11282051282051286</v>
      </c>
      <c r="BZ30" s="302">
        <f t="shared" ref="BZ30:CZ30" si="38">BZ29/BU29-1</f>
        <v>1.8099547511312153E-2</v>
      </c>
      <c r="CA30" s="236">
        <f t="shared" si="38"/>
        <v>0.11264080100125162</v>
      </c>
      <c r="CB30" s="152">
        <f t="shared" si="38"/>
        <v>-8.5201793721973118E-2</v>
      </c>
      <c r="CC30" s="152">
        <f t="shared" si="38"/>
        <v>-5.3571428571428603E-2</v>
      </c>
      <c r="CD30" s="152">
        <f t="shared" si="38"/>
        <v>-8.2949308755760343E-2</v>
      </c>
      <c r="CE30" s="302">
        <f t="shared" si="38"/>
        <v>-7.1111111111111125E-2</v>
      </c>
      <c r="CF30" s="236">
        <f t="shared" si="38"/>
        <v>-7.3115860517435349E-2</v>
      </c>
      <c r="CG30" s="152">
        <f t="shared" si="38"/>
        <v>-1.9607843137254943E-2</v>
      </c>
      <c r="CH30" s="152">
        <f t="shared" si="38"/>
        <v>9.9056603773584939E-2</v>
      </c>
      <c r="CI30" s="152">
        <f t="shared" si="38"/>
        <v>0.19095477386934667</v>
      </c>
      <c r="CJ30" s="302">
        <f t="shared" si="38"/>
        <v>0.19138755980861255</v>
      </c>
      <c r="CK30" s="236">
        <f t="shared" si="38"/>
        <v>0.11529126213592233</v>
      </c>
      <c r="CL30" s="152">
        <f t="shared" si="38"/>
        <v>0.19500000000000006</v>
      </c>
      <c r="CM30" s="152">
        <f t="shared" si="38"/>
        <v>2.1459227467811148E-2</v>
      </c>
      <c r="CN30" s="152">
        <f t="shared" si="38"/>
        <v>-8.0168776371308037E-2</v>
      </c>
      <c r="CO30" s="302">
        <f t="shared" si="38"/>
        <v>-7.2289156626506035E-2</v>
      </c>
      <c r="CP30" s="236">
        <f t="shared" si="38"/>
        <v>7.6169749727965641E-3</v>
      </c>
      <c r="CQ30" s="152">
        <f t="shared" si="38"/>
        <v>4.1841004184099972E-3</v>
      </c>
      <c r="CR30" s="152">
        <f t="shared" si="38"/>
        <v>2.9411764705882248E-2</v>
      </c>
      <c r="CS30" s="152">
        <f t="shared" si="38"/>
        <v>-4.1284403669724745E-2</v>
      </c>
      <c r="CT30" s="152">
        <f t="shared" si="38"/>
        <v>4.3290043290043378E-2</v>
      </c>
      <c r="CU30" s="236">
        <f t="shared" si="38"/>
        <v>9.7192224622029144E-3</v>
      </c>
      <c r="CV30" s="152">
        <f t="shared" si="38"/>
        <v>-2.0299999999999985E-2</v>
      </c>
      <c r="CW30" s="152">
        <f t="shared" si="38"/>
        <v>-3.0399999999999983E-2</v>
      </c>
      <c r="CX30" s="152">
        <f t="shared" si="38"/>
        <v>-2.0299999999999985E-2</v>
      </c>
      <c r="CY30" s="302">
        <f t="shared" si="38"/>
        <v>-1.0199999999999987E-2</v>
      </c>
      <c r="CZ30" s="236">
        <f t="shared" si="38"/>
        <v>-2.0343208556149683E-2</v>
      </c>
      <c r="DA30" s="236">
        <f>+DA29/CZ29-1</f>
        <v>-1.0600000000000054E-2</v>
      </c>
      <c r="DB30" s="352">
        <f>+DB29/DA29-1</f>
        <v>3.0200000000000227E-2</v>
      </c>
      <c r="DC30" s="236">
        <f>+DC29/DB29-1</f>
        <v>2.5149999999999784E-2</v>
      </c>
      <c r="DF30" s="236">
        <f t="shared" si="34"/>
        <v>4.3290043290043378E-2</v>
      </c>
      <c r="DG30" s="236">
        <v>-2.0299999999999874E-2</v>
      </c>
      <c r="DH30" s="236">
        <f t="shared" si="35"/>
        <v>-7.2289156626506035E-2</v>
      </c>
      <c r="DI30" s="236">
        <f t="shared" si="5"/>
        <v>-3.1325144477854012</v>
      </c>
      <c r="DJ30" s="236">
        <f t="shared" si="6"/>
        <v>-1.5988455988456001</v>
      </c>
    </row>
    <row r="31" spans="3:114" s="155" customFormat="1">
      <c r="C31" s="336"/>
      <c r="D31" s="1" t="s">
        <v>790</v>
      </c>
      <c r="E31" s="337"/>
      <c r="F31" s="337"/>
      <c r="G31" s="337"/>
      <c r="H31" s="337"/>
      <c r="I31" s="337">
        <v>2273</v>
      </c>
      <c r="J31" s="338">
        <v>589</v>
      </c>
      <c r="K31" s="338">
        <v>652</v>
      </c>
      <c r="L31" s="338">
        <v>653</v>
      </c>
      <c r="M31" s="337">
        <f>2536-SUM(J31:L31)</f>
        <v>642</v>
      </c>
      <c r="N31" s="235">
        <f>SUM(J31:M31)</f>
        <v>2536</v>
      </c>
      <c r="O31" s="338">
        <v>610</v>
      </c>
      <c r="P31" s="338">
        <v>635</v>
      </c>
      <c r="Q31" s="338">
        <v>518</v>
      </c>
      <c r="R31" s="337">
        <f>2229-SUM(O31:Q31)</f>
        <v>466</v>
      </c>
      <c r="S31" s="235">
        <f>SUM(O31:R31)</f>
        <v>2229</v>
      </c>
      <c r="T31" s="338">
        <v>412</v>
      </c>
      <c r="U31" s="338">
        <v>446</v>
      </c>
      <c r="V31" s="338">
        <v>406</v>
      </c>
      <c r="W31" s="337">
        <f>1616-SUM(T31:V31)</f>
        <v>352</v>
      </c>
      <c r="X31" s="235">
        <f>SUM(T31:W31)</f>
        <v>1616</v>
      </c>
      <c r="Y31" s="338">
        <v>300</v>
      </c>
      <c r="Z31" s="338">
        <v>400</v>
      </c>
      <c r="AA31" s="338">
        <v>500</v>
      </c>
      <c r="AB31" s="337">
        <f>1877-SUM(Y31:AA31)</f>
        <v>677</v>
      </c>
      <c r="AC31" s="235">
        <f>SUM(Y31:AB31)</f>
        <v>1877</v>
      </c>
      <c r="AD31" s="338">
        <v>650</v>
      </c>
      <c r="AE31" s="338">
        <v>665</v>
      </c>
      <c r="AF31" s="338">
        <v>784</v>
      </c>
      <c r="AG31" s="337">
        <f>2998-SUM(AD31:AF31)</f>
        <v>899</v>
      </c>
      <c r="AH31" s="235">
        <f>SUM(AD31:AG31)</f>
        <v>2998</v>
      </c>
      <c r="AI31" s="338">
        <f>1908-AJ31</f>
        <v>866</v>
      </c>
      <c r="AJ31" s="338">
        <v>1042</v>
      </c>
      <c r="AK31" s="338">
        <v>1159</v>
      </c>
      <c r="AL31" s="337">
        <f>4366-SUM(AI31:AK31)</f>
        <v>1299</v>
      </c>
      <c r="AM31" s="235">
        <f>SUM(AI31:AL31)</f>
        <v>4366</v>
      </c>
      <c r="AN31" s="338">
        <f>2451-AO31</f>
        <v>1162</v>
      </c>
      <c r="AO31" s="338">
        <v>1289</v>
      </c>
      <c r="AP31" s="338">
        <v>1523</v>
      </c>
      <c r="AQ31" s="337">
        <f>5697-SUM(AN31:AP31)</f>
        <v>1723</v>
      </c>
      <c r="AR31" s="235">
        <f>SUM(AN31:AQ31)</f>
        <v>5697</v>
      </c>
      <c r="AS31" s="338">
        <v>1283</v>
      </c>
      <c r="AT31" s="338">
        <v>1827</v>
      </c>
      <c r="AU31" s="338">
        <v>2064</v>
      </c>
      <c r="AV31" s="337">
        <f>7585-SUM(AS31:AU31)</f>
        <v>2411</v>
      </c>
      <c r="AW31" s="235">
        <f>SUM(AS31:AV31)</f>
        <v>7585</v>
      </c>
      <c r="AX31" s="338">
        <v>1842</v>
      </c>
      <c r="AY31" s="338">
        <v>2346</v>
      </c>
      <c r="AZ31" s="338">
        <v>2712</v>
      </c>
      <c r="BA31" s="337">
        <f>8648-SUM(AX31:AZ31)</f>
        <v>1748</v>
      </c>
      <c r="BB31" s="235">
        <f>SUM(AX31:BA31)</f>
        <v>8648</v>
      </c>
      <c r="BC31" s="338">
        <v>1404</v>
      </c>
      <c r="BD31" s="338">
        <v>1840</v>
      </c>
      <c r="BE31" s="338">
        <v>2089</v>
      </c>
      <c r="BF31" s="337">
        <f>7947-SUM(BC31:BE31)</f>
        <v>2614</v>
      </c>
      <c r="BG31" s="235">
        <f>SUM(BC31:BF31)</f>
        <v>7947</v>
      </c>
      <c r="BH31" s="338">
        <v>2014</v>
      </c>
      <c r="BI31" s="338">
        <v>2620</v>
      </c>
      <c r="BJ31" s="338">
        <v>2443</v>
      </c>
      <c r="BK31" s="337">
        <f>9905-SUM(BH31:BJ31)</f>
        <v>2828</v>
      </c>
      <c r="BL31" s="235">
        <f>SUM(BH31:BK31)</f>
        <v>9905</v>
      </c>
      <c r="BM31" s="338">
        <v>2319</v>
      </c>
      <c r="BN31" s="338">
        <v>2931</v>
      </c>
      <c r="BO31" s="338">
        <v>2979</v>
      </c>
      <c r="BP31" s="337">
        <f>10976-SUM(BM31:BO31)</f>
        <v>2747</v>
      </c>
      <c r="BQ31" s="235">
        <f>SUM(BM31:BP31)</f>
        <v>10976</v>
      </c>
      <c r="BR31" s="338">
        <v>2400</v>
      </c>
      <c r="BS31" s="338">
        <v>2300</v>
      </c>
      <c r="BT31" s="338">
        <v>2300</v>
      </c>
      <c r="BU31" s="337">
        <f>10100-SUM(BR31:BT31)</f>
        <v>3100</v>
      </c>
      <c r="BV31" s="235">
        <f>SUM(BR31:BU31)</f>
        <v>10100</v>
      </c>
      <c r="BW31" s="338">
        <v>2300</v>
      </c>
      <c r="BX31" s="338">
        <v>3000</v>
      </c>
      <c r="BY31" s="338">
        <v>2800</v>
      </c>
      <c r="BZ31" s="337">
        <f>10800-SUM(BW31:BY31)</f>
        <v>2700</v>
      </c>
      <c r="CA31" s="235">
        <f>SUM(BW31:BZ31)</f>
        <v>10800</v>
      </c>
      <c r="CB31" s="338">
        <v>1900</v>
      </c>
      <c r="CC31" s="338">
        <v>2100</v>
      </c>
      <c r="CD31" s="338">
        <v>2300</v>
      </c>
      <c r="CE31" s="337">
        <f>8800-SUM(CB31:CD31)</f>
        <v>2500</v>
      </c>
      <c r="CF31" s="235">
        <f>SUM(CB31:CE31)</f>
        <v>8800</v>
      </c>
      <c r="CG31" s="338">
        <v>1500</v>
      </c>
      <c r="CH31" s="338">
        <v>1500</v>
      </c>
      <c r="CI31" s="338">
        <v>1600</v>
      </c>
      <c r="CJ31" s="337">
        <f>5800-SUM(CG31:CI31)</f>
        <v>1200</v>
      </c>
      <c r="CK31" s="235">
        <f>SUM(CG31:CJ31)</f>
        <v>5800</v>
      </c>
      <c r="CL31" s="338">
        <v>800</v>
      </c>
      <c r="CM31" s="338">
        <v>1300</v>
      </c>
      <c r="CN31" s="338">
        <v>1300</v>
      </c>
      <c r="CO31" s="337">
        <f>4800-SUM(CL31:CN31)</f>
        <v>1400</v>
      </c>
      <c r="CP31" s="235">
        <f>SUM(CL31:CO31)</f>
        <v>4800</v>
      </c>
      <c r="CQ31" s="338">
        <v>1100</v>
      </c>
      <c r="CR31" s="338">
        <v>1500</v>
      </c>
      <c r="CS31" s="338">
        <v>1500</v>
      </c>
      <c r="CT31" s="338">
        <v>1700</v>
      </c>
      <c r="CU31" s="235">
        <f>SUM(CQ31:CT31)</f>
        <v>5800</v>
      </c>
      <c r="CV31" s="165">
        <f>CV50*CV12/1000</f>
        <v>1110.7799999999997</v>
      </c>
      <c r="CW31" s="165">
        <f>CW50*CW12/1000</f>
        <v>1552.9499999999998</v>
      </c>
      <c r="CX31" s="165">
        <f>CX50*CX12/1000</f>
        <v>1575.6000000000001</v>
      </c>
      <c r="CY31" s="300">
        <f>CY50*CY12/1000</f>
        <v>1785.68</v>
      </c>
      <c r="CZ31" s="235">
        <f>SUM(CV31:CY31)</f>
        <v>6025.01</v>
      </c>
      <c r="DA31" s="235">
        <f>DA50*DA12/1000</f>
        <v>6328.6705040000015</v>
      </c>
      <c r="DB31" s="248">
        <f>DB50*DB12/1000</f>
        <v>6583.7159253112022</v>
      </c>
      <c r="DC31" s="235">
        <f>DC50*DC12/1000</f>
        <v>6849.0396771012438</v>
      </c>
      <c r="DF31" s="235">
        <f t="shared" si="34"/>
        <v>1700</v>
      </c>
      <c r="DG31" s="235">
        <v>1502.34</v>
      </c>
      <c r="DH31" s="235">
        <f t="shared" si="35"/>
        <v>1400</v>
      </c>
      <c r="DI31" s="235">
        <f t="shared" si="5"/>
        <v>0.13156808711743029</v>
      </c>
      <c r="DJ31" s="235">
        <f t="shared" si="6"/>
        <v>0.21428571428571419</v>
      </c>
    </row>
    <row r="32" spans="3:114" s="155" customFormat="1">
      <c r="C32" s="336"/>
      <c r="D32" s="339" t="s">
        <v>271</v>
      </c>
      <c r="E32" s="340"/>
      <c r="F32" s="236"/>
      <c r="G32" s="236"/>
      <c r="H32" s="236"/>
      <c r="I32" s="236"/>
      <c r="J32" s="152"/>
      <c r="K32" s="152"/>
      <c r="L32" s="152"/>
      <c r="M32" s="341"/>
      <c r="N32" s="236">
        <f t="shared" ref="N32:AS32" si="39">N31/I31-1</f>
        <v>0.11570611526616803</v>
      </c>
      <c r="O32" s="152">
        <f t="shared" si="39"/>
        <v>3.5653650254668934E-2</v>
      </c>
      <c r="P32" s="152">
        <f t="shared" si="39"/>
        <v>-2.6073619631901801E-2</v>
      </c>
      <c r="Q32" s="152">
        <f t="shared" si="39"/>
        <v>-0.20673813169984689</v>
      </c>
      <c r="R32" s="302">
        <f t="shared" si="39"/>
        <v>-0.27414330218068539</v>
      </c>
      <c r="S32" s="236">
        <f t="shared" si="39"/>
        <v>-0.12105678233438488</v>
      </c>
      <c r="T32" s="152">
        <f t="shared" si="39"/>
        <v>-0.32459016393442619</v>
      </c>
      <c r="U32" s="152">
        <f t="shared" si="39"/>
        <v>-0.29763779527559053</v>
      </c>
      <c r="V32" s="152">
        <f t="shared" si="39"/>
        <v>-0.21621621621621623</v>
      </c>
      <c r="W32" s="302">
        <f t="shared" si="39"/>
        <v>-0.24463519313304716</v>
      </c>
      <c r="X32" s="236">
        <f t="shared" si="39"/>
        <v>-0.27501121579183485</v>
      </c>
      <c r="Y32" s="152">
        <f t="shared" si="39"/>
        <v>-0.27184466019417475</v>
      </c>
      <c r="Z32" s="152">
        <f t="shared" si="39"/>
        <v>-0.10313901345291476</v>
      </c>
      <c r="AA32" s="152">
        <f t="shared" si="39"/>
        <v>0.23152709359605916</v>
      </c>
      <c r="AB32" s="302">
        <f t="shared" si="39"/>
        <v>0.92329545454545459</v>
      </c>
      <c r="AC32" s="236">
        <f t="shared" si="39"/>
        <v>0.1615099009900991</v>
      </c>
      <c r="AD32" s="152">
        <f t="shared" si="39"/>
        <v>1.1666666666666665</v>
      </c>
      <c r="AE32" s="152">
        <f t="shared" si="39"/>
        <v>0.66250000000000009</v>
      </c>
      <c r="AF32" s="152">
        <f t="shared" si="39"/>
        <v>0.56800000000000006</v>
      </c>
      <c r="AG32" s="302">
        <f t="shared" si="39"/>
        <v>0.32791728212703108</v>
      </c>
      <c r="AH32" s="236">
        <f t="shared" si="39"/>
        <v>0.59722962173681404</v>
      </c>
      <c r="AI32" s="152">
        <f t="shared" si="39"/>
        <v>0.33230769230769241</v>
      </c>
      <c r="AJ32" s="152">
        <f t="shared" si="39"/>
        <v>0.5669172932330826</v>
      </c>
      <c r="AK32" s="152">
        <f t="shared" si="39"/>
        <v>0.47831632653061229</v>
      </c>
      <c r="AL32" s="302">
        <f t="shared" si="39"/>
        <v>0.44493882091212456</v>
      </c>
      <c r="AM32" s="236">
        <f t="shared" si="39"/>
        <v>0.45630420280186801</v>
      </c>
      <c r="AN32" s="152">
        <f t="shared" si="39"/>
        <v>0.34180138568129337</v>
      </c>
      <c r="AO32" s="152">
        <f t="shared" si="39"/>
        <v>0.23704414587332057</v>
      </c>
      <c r="AP32" s="152">
        <f t="shared" si="39"/>
        <v>0.31406384814495247</v>
      </c>
      <c r="AQ32" s="302">
        <f t="shared" si="39"/>
        <v>0.32640492686682054</v>
      </c>
      <c r="AR32" s="236">
        <f t="shared" si="39"/>
        <v>0.30485570316078792</v>
      </c>
      <c r="AS32" s="152">
        <f t="shared" si="39"/>
        <v>0.10413080895008608</v>
      </c>
      <c r="AT32" s="152">
        <f t="shared" ref="AT32:BY32" si="40">AT31/AO31-1</f>
        <v>0.41737781225756398</v>
      </c>
      <c r="AU32" s="152">
        <f t="shared" si="40"/>
        <v>0.35521996060407091</v>
      </c>
      <c r="AV32" s="302">
        <f t="shared" si="40"/>
        <v>0.39930354033662208</v>
      </c>
      <c r="AW32" s="236">
        <f t="shared" si="40"/>
        <v>0.33140249253993326</v>
      </c>
      <c r="AX32" s="152">
        <f t="shared" si="40"/>
        <v>0.43569758378799683</v>
      </c>
      <c r="AY32" s="152">
        <f t="shared" si="40"/>
        <v>0.28407224958949095</v>
      </c>
      <c r="AZ32" s="152">
        <f t="shared" si="40"/>
        <v>0.31395348837209291</v>
      </c>
      <c r="BA32" s="302">
        <f t="shared" si="40"/>
        <v>-0.27498963085856487</v>
      </c>
      <c r="BB32" s="236">
        <f t="shared" si="40"/>
        <v>0.14014502307185239</v>
      </c>
      <c r="BC32" s="152">
        <f t="shared" si="40"/>
        <v>-0.23778501628664495</v>
      </c>
      <c r="BD32" s="152">
        <f t="shared" si="40"/>
        <v>-0.21568627450980393</v>
      </c>
      <c r="BE32" s="152">
        <f t="shared" si="40"/>
        <v>-0.22971976401179939</v>
      </c>
      <c r="BF32" s="302">
        <f t="shared" si="40"/>
        <v>0.49542334096109841</v>
      </c>
      <c r="BG32" s="236">
        <f t="shared" si="40"/>
        <v>-8.1059204440332988E-2</v>
      </c>
      <c r="BH32" s="152">
        <f t="shared" si="40"/>
        <v>0.43447293447293456</v>
      </c>
      <c r="BI32" s="152">
        <f t="shared" si="40"/>
        <v>0.42391304347826098</v>
      </c>
      <c r="BJ32" s="152">
        <f t="shared" si="40"/>
        <v>0.16945907132599336</v>
      </c>
      <c r="BK32" s="302">
        <f t="shared" si="40"/>
        <v>8.1866870696250871E-2</v>
      </c>
      <c r="BL32" s="236">
        <f t="shared" si="40"/>
        <v>0.24638228262237316</v>
      </c>
      <c r="BM32" s="152">
        <f t="shared" si="40"/>
        <v>0.15143992055610722</v>
      </c>
      <c r="BN32" s="152">
        <f t="shared" si="40"/>
        <v>0.11870229007633593</v>
      </c>
      <c r="BO32" s="152">
        <f t="shared" si="40"/>
        <v>0.21940237413016783</v>
      </c>
      <c r="BP32" s="302">
        <f t="shared" si="40"/>
        <v>-2.8642149929278604E-2</v>
      </c>
      <c r="BQ32" s="236">
        <f t="shared" si="40"/>
        <v>0.10812720848056534</v>
      </c>
      <c r="BR32" s="152">
        <f t="shared" si="40"/>
        <v>3.4928848641655907E-2</v>
      </c>
      <c r="BS32" s="152">
        <f t="shared" si="40"/>
        <v>-0.21528488570453774</v>
      </c>
      <c r="BT32" s="152">
        <f t="shared" si="40"/>
        <v>-0.22792883517959051</v>
      </c>
      <c r="BU32" s="302">
        <f t="shared" si="40"/>
        <v>0.12850382235165636</v>
      </c>
      <c r="BV32" s="236">
        <f t="shared" si="40"/>
        <v>-7.9810495626822187E-2</v>
      </c>
      <c r="BW32" s="152">
        <f t="shared" si="40"/>
        <v>-4.166666666666663E-2</v>
      </c>
      <c r="BX32" s="152">
        <f t="shared" si="40"/>
        <v>0.30434782608695654</v>
      </c>
      <c r="BY32" s="152">
        <f t="shared" si="40"/>
        <v>0.21739130434782616</v>
      </c>
      <c r="BZ32" s="302">
        <f t="shared" ref="BZ32:CQ32" si="41">BZ31/BU31-1</f>
        <v>-0.12903225806451613</v>
      </c>
      <c r="CA32" s="236">
        <f t="shared" si="41"/>
        <v>6.9306930693069368E-2</v>
      </c>
      <c r="CB32" s="152">
        <f t="shared" si="41"/>
        <v>-0.17391304347826086</v>
      </c>
      <c r="CC32" s="152">
        <f t="shared" si="41"/>
        <v>-0.30000000000000004</v>
      </c>
      <c r="CD32" s="152">
        <f t="shared" si="41"/>
        <v>-0.1785714285714286</v>
      </c>
      <c r="CE32" s="302">
        <f t="shared" si="41"/>
        <v>-7.407407407407407E-2</v>
      </c>
      <c r="CF32" s="236">
        <f t="shared" si="41"/>
        <v>-0.18518518518518523</v>
      </c>
      <c r="CG32" s="152">
        <f t="shared" si="41"/>
        <v>-0.21052631578947367</v>
      </c>
      <c r="CH32" s="152">
        <f t="shared" si="41"/>
        <v>-0.2857142857142857</v>
      </c>
      <c r="CI32" s="152">
        <f t="shared" si="41"/>
        <v>-0.30434782608695654</v>
      </c>
      <c r="CJ32" s="302">
        <f t="shared" si="41"/>
        <v>-0.52</v>
      </c>
      <c r="CK32" s="236">
        <f t="shared" si="41"/>
        <v>-0.34090909090909094</v>
      </c>
      <c r="CL32" s="152">
        <f t="shared" si="41"/>
        <v>-0.46666666666666667</v>
      </c>
      <c r="CM32" s="152">
        <f t="shared" si="41"/>
        <v>-0.1333333333333333</v>
      </c>
      <c r="CN32" s="152">
        <f t="shared" si="41"/>
        <v>-0.1875</v>
      </c>
      <c r="CO32" s="302">
        <f t="shared" si="41"/>
        <v>0.16666666666666674</v>
      </c>
      <c r="CP32" s="236">
        <f t="shared" si="41"/>
        <v>-0.17241379310344829</v>
      </c>
      <c r="CQ32" s="152">
        <f t="shared" si="41"/>
        <v>0.375</v>
      </c>
      <c r="CR32" s="152">
        <f t="shared" ref="CR32:CZ32" si="42">CR31/CM31-1</f>
        <v>0.15384615384615374</v>
      </c>
      <c r="CS32" s="152">
        <f t="shared" si="42"/>
        <v>0.15384615384615374</v>
      </c>
      <c r="CT32" s="152">
        <f t="shared" si="42"/>
        <v>0.21428571428571419</v>
      </c>
      <c r="CU32" s="236">
        <f t="shared" si="42"/>
        <v>0.20833333333333326</v>
      </c>
      <c r="CV32" s="152">
        <f t="shared" si="42"/>
        <v>9.7999999999998089E-3</v>
      </c>
      <c r="CW32" s="152">
        <f t="shared" si="42"/>
        <v>3.5299999999999887E-2</v>
      </c>
      <c r="CX32" s="152">
        <f t="shared" si="42"/>
        <v>5.04E-2</v>
      </c>
      <c r="CY32" s="302">
        <f t="shared" si="42"/>
        <v>5.04E-2</v>
      </c>
      <c r="CZ32" s="236">
        <f t="shared" si="42"/>
        <v>3.8794827586206893E-2</v>
      </c>
      <c r="DA32" s="236">
        <f>+DA31/CZ31-1</f>
        <v>5.0400000000000222E-2</v>
      </c>
      <c r="DB32" s="352">
        <f>+DB31/DA31-1</f>
        <v>4.0300000000000002E-2</v>
      </c>
      <c r="DC32" s="236">
        <f>+DC31/DB31-1</f>
        <v>4.0300000000000002E-2</v>
      </c>
      <c r="DF32" s="236">
        <f t="shared" si="34"/>
        <v>0.21428571428571419</v>
      </c>
      <c r="DG32" s="236">
        <v>7.3099999999999943E-2</v>
      </c>
      <c r="DH32" s="236">
        <f t="shared" si="35"/>
        <v>0.16666666666666674</v>
      </c>
      <c r="DI32" s="236">
        <f t="shared" si="5"/>
        <v>1.9314051201876108</v>
      </c>
      <c r="DJ32" s="236">
        <f t="shared" si="6"/>
        <v>0.28571428571428448</v>
      </c>
    </row>
    <row r="33" spans="3:114" s="155" customFormat="1">
      <c r="C33" s="336"/>
      <c r="D33" s="1" t="s">
        <v>791</v>
      </c>
      <c r="E33" s="337"/>
      <c r="F33" s="337"/>
      <c r="G33" s="337"/>
      <c r="H33" s="337"/>
      <c r="I33" s="337">
        <v>29344</v>
      </c>
      <c r="J33" s="338">
        <v>7129</v>
      </c>
      <c r="K33" s="338">
        <v>7601</v>
      </c>
      <c r="L33" s="338">
        <v>6612</v>
      </c>
      <c r="M33" s="337">
        <f>28674-SUM(J33:L33)</f>
        <v>7332</v>
      </c>
      <c r="N33" s="235">
        <f>SUM(J33:M33)</f>
        <v>28674</v>
      </c>
      <c r="O33" s="338">
        <v>8684</v>
      </c>
      <c r="P33" s="338">
        <v>8080</v>
      </c>
      <c r="Q33" s="338">
        <v>6705</v>
      </c>
      <c r="R33" s="337">
        <f>31925-SUM(O33:Q33)</f>
        <v>8456</v>
      </c>
      <c r="S33" s="235">
        <f>SUM(O33:R33)</f>
        <v>31925</v>
      </c>
      <c r="T33" s="338">
        <v>7164</v>
      </c>
      <c r="U33" s="338">
        <v>8186</v>
      </c>
      <c r="V33" s="338">
        <v>7549</v>
      </c>
      <c r="W33" s="337">
        <f>32095-SUM(T33:V33)</f>
        <v>9196</v>
      </c>
      <c r="X33" s="235">
        <f>SUM(T33:W33)</f>
        <v>32095</v>
      </c>
      <c r="Y33" s="338">
        <v>5000</v>
      </c>
      <c r="Z33" s="338">
        <v>5200</v>
      </c>
      <c r="AA33" s="338">
        <v>4700</v>
      </c>
      <c r="AB33" s="337">
        <f>22186-SUM(Y33:AA33)</f>
        <v>7286</v>
      </c>
      <c r="AC33" s="235">
        <f>SUM(Y33:AB33)</f>
        <v>22186</v>
      </c>
      <c r="AD33" s="338">
        <v>6460</v>
      </c>
      <c r="AE33" s="338">
        <v>6735</v>
      </c>
      <c r="AF33" s="338">
        <v>5916</v>
      </c>
      <c r="AG33" s="337">
        <f>26536-SUM(AD33:AF33)</f>
        <v>7425</v>
      </c>
      <c r="AH33" s="235">
        <f>SUM(AD33:AG33)</f>
        <v>26536</v>
      </c>
      <c r="AI33" s="338">
        <f>15582-AJ33</f>
        <v>7695</v>
      </c>
      <c r="AJ33" s="338">
        <v>7887</v>
      </c>
      <c r="AK33" s="338">
        <v>6402</v>
      </c>
      <c r="AL33" s="337">
        <f>29918-SUM(AI33:AK33)</f>
        <v>7934</v>
      </c>
      <c r="AM33" s="235">
        <f>SUM(AI33:AL33)</f>
        <v>29918</v>
      </c>
      <c r="AN33" s="338">
        <f>14300-AO33</f>
        <v>6774</v>
      </c>
      <c r="AO33" s="338">
        <v>7526</v>
      </c>
      <c r="AP33" s="338">
        <v>7275</v>
      </c>
      <c r="AQ33" s="337">
        <f>30394-SUM(AN33:AP33)</f>
        <v>8819</v>
      </c>
      <c r="AR33" s="235">
        <f>SUM(AN33:AQ33)</f>
        <v>30394</v>
      </c>
      <c r="AS33" s="338">
        <v>8632</v>
      </c>
      <c r="AT33" s="338">
        <v>9203</v>
      </c>
      <c r="AU33" s="338">
        <v>8328</v>
      </c>
      <c r="AV33" s="337">
        <f>36330-SUM(AS33:AU33)</f>
        <v>10167</v>
      </c>
      <c r="AW33" s="235">
        <f>SUM(AS33:AV33)</f>
        <v>36330</v>
      </c>
      <c r="AX33" s="338">
        <v>10155</v>
      </c>
      <c r="AY33" s="338">
        <v>11559</v>
      </c>
      <c r="AZ33" s="338">
        <v>9660</v>
      </c>
      <c r="BA33" s="337">
        <f>39009-SUM(AX33:AZ33)</f>
        <v>7635</v>
      </c>
      <c r="BB33" s="235">
        <f>SUM(AX33:BA33)</f>
        <v>39009</v>
      </c>
      <c r="BC33" s="338">
        <v>5993</v>
      </c>
      <c r="BD33" s="338">
        <f>7234</f>
        <v>7234</v>
      </c>
      <c r="BE33" s="338">
        <f>7584</f>
        <v>7584</v>
      </c>
      <c r="BF33" s="337">
        <f>29454-SUM(BC33:BE33)</f>
        <v>8643</v>
      </c>
      <c r="BG33" s="235">
        <f>SUM(BC33:BF33)</f>
        <v>29454</v>
      </c>
      <c r="BH33" s="338">
        <v>7647</v>
      </c>
      <c r="BI33" s="338">
        <v>7549</v>
      </c>
      <c r="BJ33" s="338">
        <v>6223</v>
      </c>
      <c r="BK33" s="337">
        <f>29486-SUM(BH33:BJ33)</f>
        <v>8067</v>
      </c>
      <c r="BL33" s="235">
        <f>SUM(BH33:BK33)</f>
        <v>29486</v>
      </c>
      <c r="BM33" s="338">
        <v>8705</v>
      </c>
      <c r="BN33" s="338">
        <v>9000</v>
      </c>
      <c r="BO33" s="338">
        <v>7787</v>
      </c>
      <c r="BP33" s="337">
        <f>33758-SUM(BM33:BO33)</f>
        <v>8266</v>
      </c>
      <c r="BQ33" s="235">
        <f>SUM(BM33:BP33)</f>
        <v>33758</v>
      </c>
      <c r="BR33" s="338">
        <v>7200</v>
      </c>
      <c r="BS33" s="338">
        <v>7100</v>
      </c>
      <c r="BT33" s="338">
        <v>5800</v>
      </c>
      <c r="BU33" s="337">
        <f>26600-SUM(BR33:BT33)</f>
        <v>6500</v>
      </c>
      <c r="BV33" s="235">
        <f>SUM(BR33:BU33)</f>
        <v>26600</v>
      </c>
      <c r="BW33" s="338">
        <v>6700</v>
      </c>
      <c r="BX33" s="338">
        <v>7600</v>
      </c>
      <c r="BY33" s="338">
        <v>6500</v>
      </c>
      <c r="BZ33" s="337">
        <f>27900-SUM(BW33:BY33)</f>
        <v>7100</v>
      </c>
      <c r="CA33" s="235">
        <f>SUM(BW33:BZ33)</f>
        <v>27900</v>
      </c>
      <c r="CB33" s="338">
        <f>7800+1200</f>
        <v>9000</v>
      </c>
      <c r="CC33" s="338">
        <f>8000+1100</f>
        <v>9100</v>
      </c>
      <c r="CD33" s="338">
        <f>6900+1100</f>
        <v>8000</v>
      </c>
      <c r="CE33" s="337">
        <f>29500+4400-SUM(CB33:CD33)</f>
        <v>7800</v>
      </c>
      <c r="CF33" s="235">
        <f>SUM(CB33:CE33)</f>
        <v>33900</v>
      </c>
      <c r="CG33" s="338">
        <f>6900+1100</f>
        <v>8000</v>
      </c>
      <c r="CH33" s="338">
        <f>7000+900</f>
        <v>7900</v>
      </c>
      <c r="CI33" s="338">
        <f>7000+900</f>
        <v>7900</v>
      </c>
      <c r="CJ33" s="337">
        <f>28200+4000-SUM(CG33:CI33)</f>
        <v>8400</v>
      </c>
      <c r="CK33" s="235">
        <f>SUM(CG33:CJ33)</f>
        <v>32200</v>
      </c>
      <c r="CL33" s="338">
        <f>6900+900</f>
        <v>7800</v>
      </c>
      <c r="CM33" s="338">
        <f>1000+8100</f>
        <v>9100</v>
      </c>
      <c r="CN33" s="338">
        <f>6300+800</f>
        <v>7100</v>
      </c>
      <c r="CO33" s="337">
        <f>28500+3600-SUM(CL33:CN33)</f>
        <v>8100</v>
      </c>
      <c r="CP33" s="235">
        <f>SUM(CL33:CO33)</f>
        <v>32100</v>
      </c>
      <c r="CQ33" s="338">
        <f>7600+600</f>
        <v>8200</v>
      </c>
      <c r="CR33" s="338">
        <f>7100+600</f>
        <v>7700</v>
      </c>
      <c r="CS33" s="338">
        <f>6900+600</f>
        <v>7500</v>
      </c>
      <c r="CT33" s="338">
        <f>8100+800</f>
        <v>8900</v>
      </c>
      <c r="CU33" s="235">
        <f>SUM(CQ33:CT33)</f>
        <v>32300</v>
      </c>
      <c r="CV33" s="165">
        <f>CV52*CV14/1000</f>
        <v>8782.2000000000007</v>
      </c>
      <c r="CW33" s="165">
        <f>CW52*CW14/1000</f>
        <v>8246.7000000000007</v>
      </c>
      <c r="CX33" s="165">
        <f>CX52*CX14/1000</f>
        <v>7800</v>
      </c>
      <c r="CY33" s="300">
        <f>CY52*CY14/1000</f>
        <v>9167</v>
      </c>
      <c r="CZ33" s="235">
        <f>SUM(CV33:CY33)</f>
        <v>33995.9</v>
      </c>
      <c r="DA33" s="235">
        <f>DA52*DA14/1000</f>
        <v>34678.367692499996</v>
      </c>
      <c r="DB33" s="248">
        <f>DB52*DB14/1000</f>
        <v>35374.535923926916</v>
      </c>
      <c r="DC33" s="235">
        <f>DC52*DC14/1000</f>
        <v>36084.679732599747</v>
      </c>
      <c r="DF33" s="235">
        <f t="shared" si="34"/>
        <v>8900</v>
      </c>
      <c r="DG33" s="235">
        <v>8466.119999999999</v>
      </c>
      <c r="DH33" s="235">
        <f t="shared" si="35"/>
        <v>8100</v>
      </c>
      <c r="DI33" s="235">
        <f t="shared" si="5"/>
        <v>5.1248978280487467E-2</v>
      </c>
      <c r="DJ33" s="235">
        <f t="shared" si="6"/>
        <v>9.8765432098765427E-2</v>
      </c>
    </row>
    <row r="34" spans="3:114" s="155" customFormat="1">
      <c r="C34" s="336"/>
      <c r="D34" s="339" t="s">
        <v>271</v>
      </c>
      <c r="E34" s="340"/>
      <c r="F34" s="236"/>
      <c r="G34" s="236"/>
      <c r="H34" s="236"/>
      <c r="I34" s="236"/>
      <c r="J34" s="152"/>
      <c r="K34" s="152"/>
      <c r="L34" s="152"/>
      <c r="M34" s="341"/>
      <c r="N34" s="236">
        <f t="shared" ref="N34:AS34" si="43">N33/I33-1</f>
        <v>-2.2832606324972748E-2</v>
      </c>
      <c r="O34" s="152">
        <f t="shared" si="43"/>
        <v>0.21812315892832101</v>
      </c>
      <c r="P34" s="152">
        <f t="shared" si="43"/>
        <v>6.301802394421796E-2</v>
      </c>
      <c r="Q34" s="152">
        <f t="shared" si="43"/>
        <v>1.4065335753176145E-2</v>
      </c>
      <c r="R34" s="302">
        <f t="shared" si="43"/>
        <v>0.15330060010911084</v>
      </c>
      <c r="S34" s="236">
        <f t="shared" si="43"/>
        <v>0.11337797307665487</v>
      </c>
      <c r="T34" s="152">
        <f t="shared" si="43"/>
        <v>-0.1750345462920313</v>
      </c>
      <c r="U34" s="152">
        <f t="shared" si="43"/>
        <v>1.3118811881188019E-2</v>
      </c>
      <c r="V34" s="152">
        <f t="shared" si="43"/>
        <v>0.12587621178225206</v>
      </c>
      <c r="W34" s="302">
        <f t="shared" si="43"/>
        <v>8.7511825922421904E-2</v>
      </c>
      <c r="X34" s="236">
        <f t="shared" si="43"/>
        <v>5.3249804228661102E-3</v>
      </c>
      <c r="Y34" s="152">
        <f t="shared" si="43"/>
        <v>-0.30206588498045783</v>
      </c>
      <c r="Z34" s="152">
        <f t="shared" si="43"/>
        <v>-0.36476911800635226</v>
      </c>
      <c r="AA34" s="152">
        <f t="shared" si="43"/>
        <v>-0.37740098026228641</v>
      </c>
      <c r="AB34" s="302">
        <f t="shared" si="43"/>
        <v>-0.20769899956502824</v>
      </c>
      <c r="AC34" s="236">
        <f t="shared" si="43"/>
        <v>-0.30873967907773792</v>
      </c>
      <c r="AD34" s="152">
        <f t="shared" si="43"/>
        <v>0.29200000000000004</v>
      </c>
      <c r="AE34" s="152">
        <f t="shared" si="43"/>
        <v>0.29519230769230775</v>
      </c>
      <c r="AF34" s="152">
        <f t="shared" si="43"/>
        <v>0.25872340425531926</v>
      </c>
      <c r="AG34" s="302">
        <f t="shared" si="43"/>
        <v>1.9077683228108766E-2</v>
      </c>
      <c r="AH34" s="236">
        <f t="shared" si="43"/>
        <v>0.1960695934373029</v>
      </c>
      <c r="AI34" s="152">
        <f t="shared" si="43"/>
        <v>0.19117647058823528</v>
      </c>
      <c r="AJ34" s="152">
        <f t="shared" si="43"/>
        <v>0.17104677060133633</v>
      </c>
      <c r="AK34" s="152">
        <f t="shared" si="43"/>
        <v>8.2150101419878219E-2</v>
      </c>
      <c r="AL34" s="302">
        <f t="shared" si="43"/>
        <v>6.8552188552188476E-2</v>
      </c>
      <c r="AM34" s="236">
        <f t="shared" si="43"/>
        <v>0.1274495025625566</v>
      </c>
      <c r="AN34" s="152">
        <f t="shared" si="43"/>
        <v>-0.1196881091617934</v>
      </c>
      <c r="AO34" s="152">
        <f t="shared" si="43"/>
        <v>-4.5771522758970451E-2</v>
      </c>
      <c r="AP34" s="152">
        <f t="shared" si="43"/>
        <v>0.13636363636363646</v>
      </c>
      <c r="AQ34" s="302">
        <f t="shared" si="43"/>
        <v>0.11154524829846224</v>
      </c>
      <c r="AR34" s="236">
        <f t="shared" si="43"/>
        <v>1.5910154422086986E-2</v>
      </c>
      <c r="AS34" s="152">
        <f t="shared" si="43"/>
        <v>0.27428402716268074</v>
      </c>
      <c r="AT34" s="152">
        <f t="shared" ref="AT34:BY34" si="44">AT33/AO33-1</f>
        <v>0.22282753122508647</v>
      </c>
      <c r="AU34" s="152">
        <f t="shared" si="44"/>
        <v>0.14474226804123713</v>
      </c>
      <c r="AV34" s="302">
        <f t="shared" si="44"/>
        <v>0.15285179725592468</v>
      </c>
      <c r="AW34" s="236">
        <f t="shared" si="44"/>
        <v>0.19530170428374016</v>
      </c>
      <c r="AX34" s="152">
        <f t="shared" si="44"/>
        <v>0.17643651529193694</v>
      </c>
      <c r="AY34" s="152">
        <f t="shared" si="44"/>
        <v>0.25600347712702387</v>
      </c>
      <c r="AZ34" s="152">
        <f t="shared" si="44"/>
        <v>0.15994236311239196</v>
      </c>
      <c r="BA34" s="302">
        <f t="shared" si="44"/>
        <v>-0.24904101504868692</v>
      </c>
      <c r="BB34" s="236">
        <f t="shared" si="44"/>
        <v>7.3740710156895206E-2</v>
      </c>
      <c r="BC34" s="152">
        <f t="shared" si="44"/>
        <v>-0.40984736582964054</v>
      </c>
      <c r="BD34" s="152">
        <f t="shared" si="44"/>
        <v>-0.37416731551172244</v>
      </c>
      <c r="BE34" s="152">
        <f t="shared" si="44"/>
        <v>-0.21490683229813667</v>
      </c>
      <c r="BF34" s="302">
        <f t="shared" si="44"/>
        <v>0.13202357563850686</v>
      </c>
      <c r="BG34" s="236">
        <f t="shared" si="44"/>
        <v>-0.24494347458278853</v>
      </c>
      <c r="BH34" s="152">
        <f t="shared" si="44"/>
        <v>0.27598865342900059</v>
      </c>
      <c r="BI34" s="152">
        <f t="shared" si="44"/>
        <v>4.3544373790433966E-2</v>
      </c>
      <c r="BJ34" s="152">
        <f t="shared" si="44"/>
        <v>-0.17945675105485237</v>
      </c>
      <c r="BK34" s="302">
        <f t="shared" si="44"/>
        <v>-6.6643526553280097E-2</v>
      </c>
      <c r="BL34" s="236">
        <f t="shared" si="44"/>
        <v>1.0864398723433588E-3</v>
      </c>
      <c r="BM34" s="152">
        <f t="shared" si="44"/>
        <v>0.13835491042238779</v>
      </c>
      <c r="BN34" s="152">
        <f t="shared" si="44"/>
        <v>0.19221088885945159</v>
      </c>
      <c r="BO34" s="152">
        <f t="shared" si="44"/>
        <v>0.25132572714125012</v>
      </c>
      <c r="BP34" s="302">
        <f t="shared" si="44"/>
        <v>2.4668402132143274E-2</v>
      </c>
      <c r="BQ34" s="236">
        <f t="shared" si="44"/>
        <v>0.14488231703181165</v>
      </c>
      <c r="BR34" s="152">
        <f t="shared" si="44"/>
        <v>-0.17288914417001722</v>
      </c>
      <c r="BS34" s="152">
        <f t="shared" si="44"/>
        <v>-0.21111111111111114</v>
      </c>
      <c r="BT34" s="152">
        <f t="shared" si="44"/>
        <v>-0.2551688711955824</v>
      </c>
      <c r="BU34" s="302">
        <f t="shared" si="44"/>
        <v>-0.2136462617953061</v>
      </c>
      <c r="BV34" s="236">
        <f t="shared" si="44"/>
        <v>-0.21203862788079864</v>
      </c>
      <c r="BW34" s="152">
        <f t="shared" si="44"/>
        <v>-6.944444444444442E-2</v>
      </c>
      <c r="BX34" s="152">
        <f t="shared" si="44"/>
        <v>7.0422535211267512E-2</v>
      </c>
      <c r="BY34" s="152">
        <f t="shared" si="44"/>
        <v>0.1206896551724137</v>
      </c>
      <c r="BZ34" s="302">
        <f t="shared" ref="BZ34:CQ34" si="45">BZ33/BU33-1</f>
        <v>9.2307692307692202E-2</v>
      </c>
      <c r="CA34" s="236">
        <f t="shared" si="45"/>
        <v>4.8872180451127845E-2</v>
      </c>
      <c r="CB34" s="152">
        <f t="shared" si="45"/>
        <v>0.34328358208955234</v>
      </c>
      <c r="CC34" s="152">
        <f t="shared" si="45"/>
        <v>0.19736842105263164</v>
      </c>
      <c r="CD34" s="152">
        <f t="shared" si="45"/>
        <v>0.23076923076923084</v>
      </c>
      <c r="CE34" s="302">
        <f t="shared" si="45"/>
        <v>9.8591549295774739E-2</v>
      </c>
      <c r="CF34" s="236">
        <f t="shared" si="45"/>
        <v>0.21505376344086025</v>
      </c>
      <c r="CG34" s="152">
        <f t="shared" si="45"/>
        <v>-0.11111111111111116</v>
      </c>
      <c r="CH34" s="152">
        <f t="shared" si="45"/>
        <v>-0.13186813186813184</v>
      </c>
      <c r="CI34" s="152">
        <f t="shared" si="45"/>
        <v>-1.2499999999999956E-2</v>
      </c>
      <c r="CJ34" s="302">
        <f t="shared" si="45"/>
        <v>7.6923076923076872E-2</v>
      </c>
      <c r="CK34" s="236">
        <f t="shared" si="45"/>
        <v>-5.0147492625368773E-2</v>
      </c>
      <c r="CL34" s="152">
        <f t="shared" si="45"/>
        <v>-2.5000000000000022E-2</v>
      </c>
      <c r="CM34" s="152">
        <f t="shared" si="45"/>
        <v>0.15189873417721511</v>
      </c>
      <c r="CN34" s="152">
        <f t="shared" si="45"/>
        <v>-0.10126582278481011</v>
      </c>
      <c r="CO34" s="302">
        <f t="shared" si="45"/>
        <v>-3.5714285714285698E-2</v>
      </c>
      <c r="CP34" s="236">
        <f t="shared" si="45"/>
        <v>-3.1055900621117516E-3</v>
      </c>
      <c r="CQ34" s="152">
        <f t="shared" si="45"/>
        <v>5.1282051282051322E-2</v>
      </c>
      <c r="CR34" s="152">
        <f t="shared" ref="CR34:CZ34" si="46">CR33/CM33-1</f>
        <v>-0.15384615384615385</v>
      </c>
      <c r="CS34" s="152">
        <f t="shared" si="46"/>
        <v>5.6338028169014009E-2</v>
      </c>
      <c r="CT34" s="152">
        <f t="shared" si="46"/>
        <v>9.8765432098765427E-2</v>
      </c>
      <c r="CU34" s="236">
        <f t="shared" si="46"/>
        <v>6.230529595015577E-3</v>
      </c>
      <c r="CV34" s="152">
        <f t="shared" si="46"/>
        <v>7.1000000000000174E-2</v>
      </c>
      <c r="CW34" s="152">
        <f t="shared" si="46"/>
        <v>7.1000000000000174E-2</v>
      </c>
      <c r="CX34" s="152">
        <f t="shared" si="46"/>
        <v>4.0000000000000036E-2</v>
      </c>
      <c r="CY34" s="302">
        <f t="shared" si="46"/>
        <v>3.0000000000000027E-2</v>
      </c>
      <c r="CZ34" s="236">
        <f t="shared" si="46"/>
        <v>5.2504643962848263E-2</v>
      </c>
      <c r="DA34" s="236">
        <f>+DA33/CZ33-1</f>
        <v>2.0074999999999843E-2</v>
      </c>
      <c r="DB34" s="352">
        <f>+DB33/DA33-1</f>
        <v>2.0074999999999399E-2</v>
      </c>
      <c r="DC34" s="236">
        <f>+DC33/DB33-1</f>
        <v>2.0074999999999843E-2</v>
      </c>
      <c r="DF34" s="236">
        <f t="shared" si="34"/>
        <v>9.8765432098765427E-2</v>
      </c>
      <c r="DG34" s="236">
        <v>4.5199999999999907E-2</v>
      </c>
      <c r="DH34" s="236">
        <f t="shared" si="35"/>
        <v>-3.5714285714285698E-2</v>
      </c>
      <c r="DI34" s="236">
        <f t="shared" si="5"/>
        <v>1.1850759313886203</v>
      </c>
      <c r="DJ34" s="236">
        <f t="shared" si="6"/>
        <v>-3.7654320987654333</v>
      </c>
    </row>
    <row r="35" spans="3:114" s="155" customFormat="1">
      <c r="C35" s="336"/>
      <c r="D35" s="1" t="s">
        <v>792</v>
      </c>
      <c r="E35" s="337"/>
      <c r="F35" s="337"/>
      <c r="G35" s="337"/>
      <c r="H35" s="337"/>
      <c r="I35" s="337">
        <v>4225</v>
      </c>
      <c r="J35" s="338">
        <v>1246</v>
      </c>
      <c r="K35" s="338">
        <v>1437</v>
      </c>
      <c r="L35" s="338">
        <v>1932</v>
      </c>
      <c r="M35" s="337">
        <f>6155-SUM(J35:L35)</f>
        <v>1540</v>
      </c>
      <c r="N35" s="235">
        <f>SUM(J35:M35)</f>
        <v>6155</v>
      </c>
      <c r="O35" s="338">
        <v>1699</v>
      </c>
      <c r="P35" s="338">
        <v>1573</v>
      </c>
      <c r="Q35" s="338">
        <v>1562</v>
      </c>
      <c r="R35" s="337">
        <f>6422-SUM(O35:Q35)</f>
        <v>1588</v>
      </c>
      <c r="S35" s="235">
        <f>SUM(O35:R35)</f>
        <v>6422</v>
      </c>
      <c r="T35" s="338">
        <v>1603</v>
      </c>
      <c r="U35" s="338">
        <v>1534</v>
      </c>
      <c r="V35" s="338">
        <v>1721</v>
      </c>
      <c r="W35" s="337">
        <f>6645-SUM(T35:V35)</f>
        <v>1787</v>
      </c>
      <c r="X35" s="235">
        <f>SUM(T35:W35)</f>
        <v>6645</v>
      </c>
      <c r="Y35" s="338">
        <v>1300</v>
      </c>
      <c r="Z35" s="338">
        <v>1400</v>
      </c>
      <c r="AA35" s="338">
        <v>1600</v>
      </c>
      <c r="AB35" s="337">
        <f>5839-SUM(Y35:AA35)</f>
        <v>1539</v>
      </c>
      <c r="AC35" s="235">
        <f>SUM(Y35:AB35)</f>
        <v>5839</v>
      </c>
      <c r="AD35" s="338">
        <v>1639</v>
      </c>
      <c r="AE35" s="338">
        <v>1877</v>
      </c>
      <c r="AF35" s="338">
        <v>1881</v>
      </c>
      <c r="AG35" s="337">
        <f>6956-SUM(AD35:AF35)</f>
        <v>1559</v>
      </c>
      <c r="AH35" s="235">
        <f>SUM(AD35:AG35)</f>
        <v>6956</v>
      </c>
      <c r="AI35" s="338">
        <f>3975-AJ35</f>
        <v>2035</v>
      </c>
      <c r="AJ35" s="338">
        <v>1940</v>
      </c>
      <c r="AK35" s="338">
        <v>2138</v>
      </c>
      <c r="AL35" s="337">
        <f>8245-SUM(AI35:AK35)</f>
        <v>2132</v>
      </c>
      <c r="AM35" s="235">
        <f>SUM(AI35:AL35)</f>
        <v>8245</v>
      </c>
      <c r="AN35" s="338">
        <f>4216-AO35</f>
        <v>2143</v>
      </c>
      <c r="AO35" s="338">
        <v>2073</v>
      </c>
      <c r="AP35" s="338">
        <v>1873</v>
      </c>
      <c r="AQ35" s="337">
        <f>7763-SUM(AN35:AP35)</f>
        <v>1674</v>
      </c>
      <c r="AR35" s="235">
        <f>SUM(AN35:AQ35)</f>
        <v>7763</v>
      </c>
      <c r="AS35" s="338">
        <v>2105</v>
      </c>
      <c r="AT35" s="338">
        <v>1897</v>
      </c>
      <c r="AU35" s="338">
        <v>1965</v>
      </c>
      <c r="AV35" s="337">
        <f>8032-SUM(AS35:AU35)</f>
        <v>2065</v>
      </c>
      <c r="AW35" s="235">
        <f>SUM(AS35:AV35)</f>
        <v>8032</v>
      </c>
      <c r="AX35" s="338">
        <v>1668</v>
      </c>
      <c r="AY35" s="338">
        <v>1778</v>
      </c>
      <c r="AZ35" s="338">
        <v>1697</v>
      </c>
      <c r="BA35" s="337">
        <f>6474-SUM(AX35:AZ35)</f>
        <v>1331</v>
      </c>
      <c r="BB35" s="235">
        <f>SUM(AX35:BA35)</f>
        <v>6474</v>
      </c>
      <c r="BC35" s="338">
        <v>1165</v>
      </c>
      <c r="BD35" s="338">
        <v>1206</v>
      </c>
      <c r="BE35" s="338">
        <v>1484</v>
      </c>
      <c r="BF35" s="337">
        <f>5531-SUM(BC35:BE35)</f>
        <v>1676</v>
      </c>
      <c r="BG35" s="235">
        <f>SUM(BC35:BF35)</f>
        <v>5531</v>
      </c>
      <c r="BH35" s="338">
        <v>1578</v>
      </c>
      <c r="BI35" s="338">
        <v>1802</v>
      </c>
      <c r="BJ35" s="338">
        <v>1849</v>
      </c>
      <c r="BK35" s="337">
        <f>7381-SUM(BH35:BJ35)</f>
        <v>2152</v>
      </c>
      <c r="BL35" s="235">
        <f>SUM(BH35:BK35)</f>
        <v>7381</v>
      </c>
      <c r="BM35" s="338">
        <v>2057</v>
      </c>
      <c r="BN35" s="338">
        <v>2099</v>
      </c>
      <c r="BO35" s="338">
        <v>2350</v>
      </c>
      <c r="BP35" s="337">
        <f>8412-SUM(BM35:BO35)</f>
        <v>1906</v>
      </c>
      <c r="BQ35" s="235">
        <f>SUM(BM35:BP35)</f>
        <v>8412</v>
      </c>
      <c r="BR35" s="338">
        <v>2300</v>
      </c>
      <c r="BS35" s="338">
        <v>2300</v>
      </c>
      <c r="BT35" s="338">
        <v>2600</v>
      </c>
      <c r="BU35" s="337">
        <f>10000-SUM(BR35:BT35)</f>
        <v>2800</v>
      </c>
      <c r="BV35" s="235">
        <f>SUM(BR35:BU35)</f>
        <v>10000</v>
      </c>
      <c r="BW35" s="338">
        <v>2600</v>
      </c>
      <c r="BX35" s="338">
        <v>3000</v>
      </c>
      <c r="BY35" s="338">
        <v>2900</v>
      </c>
      <c r="BZ35" s="337">
        <f>11800-SUM(BW35:BY35)</f>
        <v>3300</v>
      </c>
      <c r="CA35" s="235">
        <f>SUM(BW35:BZ35)</f>
        <v>11800</v>
      </c>
      <c r="CB35" s="338">
        <v>2600</v>
      </c>
      <c r="CC35" s="338">
        <v>2900</v>
      </c>
      <c r="CD35" s="338">
        <v>2600</v>
      </c>
      <c r="CE35" s="337">
        <f>10700-SUM(CB35:CD35)</f>
        <v>2600</v>
      </c>
      <c r="CF35" s="235">
        <f>SUM(CB35:CE35)</f>
        <v>10700</v>
      </c>
      <c r="CG35" s="338">
        <v>2300</v>
      </c>
      <c r="CH35" s="338">
        <v>2400</v>
      </c>
      <c r="CI35" s="338">
        <v>2600</v>
      </c>
      <c r="CJ35" s="337">
        <f>10700-SUM(CG35:CI35)</f>
        <v>3400</v>
      </c>
      <c r="CK35" s="235">
        <f>SUM(CG35:CJ35)</f>
        <v>10700</v>
      </c>
      <c r="CL35" s="338">
        <v>2700</v>
      </c>
      <c r="CM35" s="338">
        <v>2800</v>
      </c>
      <c r="CN35" s="338">
        <v>3100</v>
      </c>
      <c r="CO35" s="337">
        <f>12000-SUM(CL35:CN35)</f>
        <v>3400</v>
      </c>
      <c r="CP35" s="235">
        <f>SUM(CL35:CO35)</f>
        <v>12000</v>
      </c>
      <c r="CQ35" s="338">
        <v>3200</v>
      </c>
      <c r="CR35" s="338">
        <v>3400</v>
      </c>
      <c r="CS35" s="338">
        <v>3700</v>
      </c>
      <c r="CT35" s="338">
        <v>3800</v>
      </c>
      <c r="CU35" s="235">
        <f>SUM(CQ35:CT35)</f>
        <v>14100</v>
      </c>
      <c r="CV35" s="165">
        <f>CV54*CV16/1000</f>
        <v>3238.4000000000005</v>
      </c>
      <c r="CW35" s="165">
        <f>CW54*CW16/1000</f>
        <v>3708.72</v>
      </c>
      <c r="CX35" s="165">
        <f>CX54*CX16/1000</f>
        <v>4156.95</v>
      </c>
      <c r="CY35" s="300">
        <f>CY54*CY16/1000</f>
        <v>4189.5000000000009</v>
      </c>
      <c r="CZ35" s="235">
        <f>SUM(CV35:CY35)</f>
        <v>15293.57</v>
      </c>
      <c r="DA35" s="235">
        <f>DA54*DA16/1000</f>
        <v>16064.365928000001</v>
      </c>
      <c r="DB35" s="248">
        <f>DB54*DB16/1000</f>
        <v>16874.009970771203</v>
      </c>
      <c r="DC35" s="235">
        <f>DC54*DC16/1000</f>
        <v>17724.460073298073</v>
      </c>
      <c r="DF35" s="235">
        <f t="shared" si="34"/>
        <v>3800</v>
      </c>
      <c r="DG35" s="235">
        <v>3068.4999999999995</v>
      </c>
      <c r="DH35" s="235">
        <f t="shared" si="35"/>
        <v>3400</v>
      </c>
      <c r="DI35" s="235">
        <f t="shared" si="5"/>
        <v>0.23839009287925705</v>
      </c>
      <c r="DJ35" s="235">
        <f t="shared" si="6"/>
        <v>0.11764705882352944</v>
      </c>
    </row>
    <row r="36" spans="3:114" s="155" customFormat="1">
      <c r="C36" s="336"/>
      <c r="D36" s="339" t="s">
        <v>271</v>
      </c>
      <c r="E36" s="340"/>
      <c r="F36" s="236"/>
      <c r="G36" s="236"/>
      <c r="H36" s="236"/>
      <c r="I36" s="236"/>
      <c r="J36" s="152"/>
      <c r="K36" s="152"/>
      <c r="L36" s="152"/>
      <c r="M36" s="341"/>
      <c r="N36" s="236">
        <f t="shared" ref="N36:AS36" si="47">N35/I35-1</f>
        <v>0.45680473372781072</v>
      </c>
      <c r="O36" s="152">
        <f t="shared" si="47"/>
        <v>0.3635634028892456</v>
      </c>
      <c r="P36" s="152">
        <f t="shared" si="47"/>
        <v>9.4641614474599844E-2</v>
      </c>
      <c r="Q36" s="152">
        <f t="shared" si="47"/>
        <v>-0.19151138716356109</v>
      </c>
      <c r="R36" s="302">
        <f t="shared" si="47"/>
        <v>3.1168831168831179E-2</v>
      </c>
      <c r="S36" s="236">
        <f t="shared" si="47"/>
        <v>4.3379366368805794E-2</v>
      </c>
      <c r="T36" s="152">
        <f t="shared" si="47"/>
        <v>-5.6503825779870565E-2</v>
      </c>
      <c r="U36" s="152">
        <f t="shared" si="47"/>
        <v>-2.4793388429752095E-2</v>
      </c>
      <c r="V36" s="152">
        <f t="shared" si="47"/>
        <v>0.10179257362355965</v>
      </c>
      <c r="W36" s="302">
        <f t="shared" si="47"/>
        <v>0.12531486146095716</v>
      </c>
      <c r="X36" s="236">
        <f t="shared" si="47"/>
        <v>3.4724384926814178E-2</v>
      </c>
      <c r="Y36" s="152">
        <f t="shared" si="47"/>
        <v>-0.18902058640049901</v>
      </c>
      <c r="Z36" s="152">
        <f t="shared" si="47"/>
        <v>-8.7353324641460284E-2</v>
      </c>
      <c r="AA36" s="152">
        <f t="shared" si="47"/>
        <v>-7.0307960488088295E-2</v>
      </c>
      <c r="AB36" s="302">
        <f t="shared" si="47"/>
        <v>-0.13878007834359263</v>
      </c>
      <c r="AC36" s="236">
        <f t="shared" si="47"/>
        <v>-0.12129420617005271</v>
      </c>
      <c r="AD36" s="152">
        <f t="shared" si="47"/>
        <v>0.26076923076923086</v>
      </c>
      <c r="AE36" s="152">
        <f t="shared" si="47"/>
        <v>0.34071428571428575</v>
      </c>
      <c r="AF36" s="152">
        <f t="shared" si="47"/>
        <v>0.17562499999999992</v>
      </c>
      <c r="AG36" s="302">
        <f t="shared" si="47"/>
        <v>1.2995451591942819E-2</v>
      </c>
      <c r="AH36" s="236">
        <f t="shared" si="47"/>
        <v>0.19129988011645827</v>
      </c>
      <c r="AI36" s="152">
        <f t="shared" si="47"/>
        <v>0.24161073825503365</v>
      </c>
      <c r="AJ36" s="152">
        <f t="shared" si="47"/>
        <v>3.3564198188598793E-2</v>
      </c>
      <c r="AK36" s="152">
        <f t="shared" si="47"/>
        <v>0.13662945241892621</v>
      </c>
      <c r="AL36" s="302">
        <f t="shared" si="47"/>
        <v>0.36754329698524701</v>
      </c>
      <c r="AM36" s="236">
        <f t="shared" si="47"/>
        <v>0.18530764807360556</v>
      </c>
      <c r="AN36" s="152">
        <f t="shared" si="47"/>
        <v>5.3071253071253155E-2</v>
      </c>
      <c r="AO36" s="152">
        <f t="shared" si="47"/>
        <v>6.8556701030927814E-2</v>
      </c>
      <c r="AP36" s="152">
        <f t="shared" si="47"/>
        <v>-0.12394761459307768</v>
      </c>
      <c r="AQ36" s="302">
        <f t="shared" si="47"/>
        <v>-0.21482176360225136</v>
      </c>
      <c r="AR36" s="236">
        <f t="shared" si="47"/>
        <v>-5.8459672528805351E-2</v>
      </c>
      <c r="AS36" s="152">
        <f t="shared" si="47"/>
        <v>-1.7732151189920664E-2</v>
      </c>
      <c r="AT36" s="152">
        <f t="shared" ref="AT36:BY36" si="48">AT35/AO35-1</f>
        <v>-8.4901109503135563E-2</v>
      </c>
      <c r="AU36" s="152">
        <f t="shared" si="48"/>
        <v>4.9119060331019648E-2</v>
      </c>
      <c r="AV36" s="302">
        <f t="shared" si="48"/>
        <v>0.23357228195937862</v>
      </c>
      <c r="AW36" s="236">
        <f t="shared" si="48"/>
        <v>3.4651552234960636E-2</v>
      </c>
      <c r="AX36" s="152">
        <f t="shared" si="48"/>
        <v>-0.20760095011876489</v>
      </c>
      <c r="AY36" s="152">
        <f t="shared" si="48"/>
        <v>-6.2730627306273101E-2</v>
      </c>
      <c r="AZ36" s="152">
        <f t="shared" si="48"/>
        <v>-0.13638676844783715</v>
      </c>
      <c r="BA36" s="302">
        <f t="shared" si="48"/>
        <v>-0.35544794188861983</v>
      </c>
      <c r="BB36" s="236">
        <f t="shared" si="48"/>
        <v>-0.19397410358565736</v>
      </c>
      <c r="BC36" s="152">
        <f t="shared" si="48"/>
        <v>-0.30155875299760193</v>
      </c>
      <c r="BD36" s="152">
        <f t="shared" si="48"/>
        <v>-0.32170978627671543</v>
      </c>
      <c r="BE36" s="152">
        <f t="shared" si="48"/>
        <v>-0.12551561579257509</v>
      </c>
      <c r="BF36" s="302">
        <f t="shared" si="48"/>
        <v>0.25920360631104433</v>
      </c>
      <c r="BG36" s="236">
        <f t="shared" si="48"/>
        <v>-0.14565956132221192</v>
      </c>
      <c r="BH36" s="152">
        <f t="shared" si="48"/>
        <v>0.35450643776824031</v>
      </c>
      <c r="BI36" s="152">
        <f t="shared" si="48"/>
        <v>0.49419568822553894</v>
      </c>
      <c r="BJ36" s="152">
        <f t="shared" si="48"/>
        <v>0.24595687331536387</v>
      </c>
      <c r="BK36" s="302">
        <f t="shared" si="48"/>
        <v>0.28400954653937949</v>
      </c>
      <c r="BL36" s="236">
        <f t="shared" si="48"/>
        <v>0.33447839450370642</v>
      </c>
      <c r="BM36" s="152">
        <f t="shared" si="48"/>
        <v>0.30354879594423312</v>
      </c>
      <c r="BN36" s="152">
        <f t="shared" si="48"/>
        <v>0.16481687014428403</v>
      </c>
      <c r="BO36" s="152">
        <f t="shared" si="48"/>
        <v>0.27095727420227145</v>
      </c>
      <c r="BP36" s="302">
        <f t="shared" si="48"/>
        <v>-0.11431226765799252</v>
      </c>
      <c r="BQ36" s="236">
        <f t="shared" si="48"/>
        <v>0.13968296978729167</v>
      </c>
      <c r="BR36" s="152">
        <f t="shared" si="48"/>
        <v>0.11813320369470093</v>
      </c>
      <c r="BS36" s="152">
        <f t="shared" si="48"/>
        <v>9.5759885659838062E-2</v>
      </c>
      <c r="BT36" s="152">
        <f t="shared" si="48"/>
        <v>0.1063829787234043</v>
      </c>
      <c r="BU36" s="302">
        <f t="shared" si="48"/>
        <v>0.46904512067156356</v>
      </c>
      <c r="BV36" s="236">
        <f t="shared" si="48"/>
        <v>0.18877793628150252</v>
      </c>
      <c r="BW36" s="152">
        <f t="shared" si="48"/>
        <v>0.13043478260869557</v>
      </c>
      <c r="BX36" s="152">
        <f t="shared" si="48"/>
        <v>0.30434782608695654</v>
      </c>
      <c r="BY36" s="152">
        <f t="shared" si="48"/>
        <v>0.11538461538461542</v>
      </c>
      <c r="BZ36" s="302">
        <f t="shared" ref="BZ36:CQ36" si="49">BZ35/BU35-1</f>
        <v>0.1785714285714286</v>
      </c>
      <c r="CA36" s="236">
        <f t="shared" si="49"/>
        <v>0.17999999999999994</v>
      </c>
      <c r="CB36" s="152">
        <f t="shared" si="49"/>
        <v>0</v>
      </c>
      <c r="CC36" s="152">
        <f t="shared" si="49"/>
        <v>-3.3333333333333326E-2</v>
      </c>
      <c r="CD36" s="152">
        <f t="shared" si="49"/>
        <v>-0.10344827586206895</v>
      </c>
      <c r="CE36" s="302">
        <f t="shared" si="49"/>
        <v>-0.21212121212121215</v>
      </c>
      <c r="CF36" s="236">
        <f t="shared" si="49"/>
        <v>-9.3220338983050821E-2</v>
      </c>
      <c r="CG36" s="152">
        <f t="shared" si="49"/>
        <v>-0.11538461538461542</v>
      </c>
      <c r="CH36" s="152">
        <f t="shared" si="49"/>
        <v>-0.17241379310344829</v>
      </c>
      <c r="CI36" s="152">
        <f t="shared" si="49"/>
        <v>0</v>
      </c>
      <c r="CJ36" s="302">
        <f t="shared" si="49"/>
        <v>0.30769230769230771</v>
      </c>
      <c r="CK36" s="236">
        <f t="shared" si="49"/>
        <v>0</v>
      </c>
      <c r="CL36" s="152">
        <f t="shared" si="49"/>
        <v>0.17391304347826098</v>
      </c>
      <c r="CM36" s="152">
        <f t="shared" si="49"/>
        <v>0.16666666666666674</v>
      </c>
      <c r="CN36" s="152">
        <f t="shared" si="49"/>
        <v>0.19230769230769229</v>
      </c>
      <c r="CO36" s="302">
        <f t="shared" si="49"/>
        <v>0</v>
      </c>
      <c r="CP36" s="236">
        <f t="shared" si="49"/>
        <v>0.12149532710280364</v>
      </c>
      <c r="CQ36" s="152">
        <f t="shared" si="49"/>
        <v>0.18518518518518512</v>
      </c>
      <c r="CR36" s="152">
        <f t="shared" ref="CR36:CZ36" si="50">CR35/CM35-1</f>
        <v>0.21428571428571419</v>
      </c>
      <c r="CS36" s="152">
        <f t="shared" si="50"/>
        <v>0.19354838709677424</v>
      </c>
      <c r="CT36" s="152">
        <f t="shared" si="50"/>
        <v>0.11764705882352944</v>
      </c>
      <c r="CU36" s="236">
        <f t="shared" si="50"/>
        <v>0.17500000000000004</v>
      </c>
      <c r="CV36" s="152">
        <f t="shared" si="50"/>
        <v>1.2000000000000233E-2</v>
      </c>
      <c r="CW36" s="152">
        <f t="shared" si="50"/>
        <v>9.0799999999999992E-2</v>
      </c>
      <c r="CX36" s="152">
        <f t="shared" si="50"/>
        <v>0.12349999999999994</v>
      </c>
      <c r="CY36" s="302">
        <f t="shared" si="50"/>
        <v>0.10250000000000026</v>
      </c>
      <c r="CZ36" s="236">
        <f t="shared" si="50"/>
        <v>8.465035460992909E-2</v>
      </c>
      <c r="DA36" s="236">
        <f>+DA35/CZ35-1</f>
        <v>5.04E-2</v>
      </c>
      <c r="DB36" s="352">
        <f>+DB35/DA35-1</f>
        <v>5.0400000000000222E-2</v>
      </c>
      <c r="DC36" s="236">
        <f>+DC35/DB35-1</f>
        <v>5.04E-2</v>
      </c>
      <c r="DF36" s="236">
        <f t="shared" si="34"/>
        <v>0.11764705882352944</v>
      </c>
      <c r="DG36" s="236">
        <v>-9.7500000000000142E-2</v>
      </c>
      <c r="DH36" s="236">
        <f t="shared" si="35"/>
        <v>0</v>
      </c>
      <c r="DI36" s="236">
        <f t="shared" si="5"/>
        <v>-2.2066365007541462</v>
      </c>
      <c r="DJ36" s="236" t="str">
        <f t="shared" si="6"/>
        <v>NM</v>
      </c>
    </row>
    <row r="37" spans="3:114" s="155" customFormat="1">
      <c r="C37" s="336"/>
      <c r="D37" s="1033" t="s">
        <v>1131</v>
      </c>
      <c r="E37" s="1031"/>
      <c r="F37" s="1032"/>
      <c r="G37" s="1032"/>
      <c r="H37" s="1032"/>
      <c r="I37" s="1032"/>
      <c r="J37" s="362"/>
      <c r="K37" s="362"/>
      <c r="L37" s="362"/>
      <c r="M37" s="363"/>
      <c r="N37" s="1032"/>
      <c r="O37" s="362"/>
      <c r="P37" s="362"/>
      <c r="Q37" s="362"/>
      <c r="R37" s="364"/>
      <c r="S37" s="1032"/>
      <c r="T37" s="362"/>
      <c r="U37" s="362"/>
      <c r="V37" s="362"/>
      <c r="W37" s="364"/>
      <c r="X37" s="1032"/>
      <c r="Y37" s="362"/>
      <c r="Z37" s="362"/>
      <c r="AA37" s="362"/>
      <c r="AB37" s="364"/>
      <c r="AC37" s="1032"/>
      <c r="AD37" s="362"/>
      <c r="AE37" s="362"/>
      <c r="AF37" s="362"/>
      <c r="AG37" s="364"/>
      <c r="AH37" s="1032"/>
      <c r="AI37" s="362"/>
      <c r="AJ37" s="362"/>
      <c r="AK37" s="362"/>
      <c r="AL37" s="364"/>
      <c r="AM37" s="1032"/>
      <c r="AN37" s="362"/>
      <c r="AO37" s="362"/>
      <c r="AP37" s="362"/>
      <c r="AQ37" s="364"/>
      <c r="AR37" s="1032"/>
      <c r="AS37" s="362"/>
      <c r="AT37" s="362"/>
      <c r="AU37" s="362"/>
      <c r="AV37" s="364"/>
      <c r="AW37" s="1032"/>
      <c r="AX37" s="362"/>
      <c r="AY37" s="362"/>
      <c r="AZ37" s="362"/>
      <c r="BA37" s="364"/>
      <c r="BB37" s="1032"/>
      <c r="BC37" s="362"/>
      <c r="BD37" s="362"/>
      <c r="BE37" s="362"/>
      <c r="BF37" s="364"/>
      <c r="BG37" s="1032"/>
      <c r="BH37" s="362"/>
      <c r="BI37" s="362"/>
      <c r="BJ37" s="362"/>
      <c r="BK37" s="364"/>
      <c r="BL37" s="1032"/>
      <c r="BM37" s="362"/>
      <c r="BN37" s="362"/>
      <c r="BO37" s="362"/>
      <c r="BP37" s="364"/>
      <c r="BQ37" s="1032"/>
      <c r="BR37" s="362"/>
      <c r="BS37" s="362"/>
      <c r="BT37" s="362"/>
      <c r="BU37" s="364"/>
      <c r="BV37" s="1032"/>
      <c r="BW37" s="362"/>
      <c r="BX37" s="362"/>
      <c r="BY37" s="362"/>
      <c r="BZ37" s="364"/>
      <c r="CA37" s="1032">
        <v>0</v>
      </c>
      <c r="CB37" s="362"/>
      <c r="CC37" s="362"/>
      <c r="CD37" s="362"/>
      <c r="CE37" s="364"/>
      <c r="CF37" s="1032">
        <v>0</v>
      </c>
      <c r="CG37" s="362"/>
      <c r="CH37" s="362"/>
      <c r="CI37" s="362"/>
      <c r="CJ37" s="364"/>
      <c r="CK37" s="1032">
        <v>0</v>
      </c>
      <c r="CL37" s="1042">
        <v>0</v>
      </c>
      <c r="CM37" s="1042">
        <v>0</v>
      </c>
      <c r="CN37" s="1042">
        <v>0</v>
      </c>
      <c r="CO37" s="1041">
        <v>0</v>
      </c>
      <c r="CP37" s="1032">
        <v>0</v>
      </c>
      <c r="CQ37" s="1042">
        <v>0</v>
      </c>
      <c r="CR37" s="1042">
        <v>0</v>
      </c>
      <c r="CS37" s="1042">
        <v>0</v>
      </c>
      <c r="CT37" s="1041">
        <v>0</v>
      </c>
      <c r="CU37" s="364">
        <f>SUM(CQ37:CT37)</f>
        <v>0</v>
      </c>
      <c r="CV37" s="1042">
        <v>0</v>
      </c>
      <c r="CW37" s="1042">
        <v>0</v>
      </c>
      <c r="CX37" s="1042">
        <v>0</v>
      </c>
      <c r="CY37" s="1041">
        <v>0</v>
      </c>
      <c r="CZ37" s="300">
        <f>SUM(CV37:CY37)</f>
        <v>0</v>
      </c>
      <c r="DA37" s="235">
        <v>0</v>
      </c>
      <c r="DB37" s="235">
        <v>0</v>
      </c>
      <c r="DC37" s="235">
        <v>0</v>
      </c>
      <c r="DF37" s="1032"/>
      <c r="DG37" s="1032"/>
      <c r="DH37" s="1032"/>
      <c r="DI37" s="1032"/>
      <c r="DJ37" s="1032"/>
    </row>
    <row r="38" spans="3:114" s="155" customFormat="1">
      <c r="C38" s="336"/>
      <c r="D38" s="215" t="s">
        <v>271</v>
      </c>
      <c r="E38" s="1031"/>
      <c r="F38" s="1032"/>
      <c r="G38" s="1032"/>
      <c r="H38" s="1032"/>
      <c r="I38" s="1032"/>
      <c r="J38" s="362"/>
      <c r="K38" s="362"/>
      <c r="L38" s="362"/>
      <c r="M38" s="363"/>
      <c r="N38" s="1032"/>
      <c r="O38" s="362"/>
      <c r="P38" s="362"/>
      <c r="Q38" s="362"/>
      <c r="R38" s="364"/>
      <c r="S38" s="1032"/>
      <c r="T38" s="362"/>
      <c r="U38" s="362"/>
      <c r="V38" s="362"/>
      <c r="W38" s="364"/>
      <c r="X38" s="1032"/>
      <c r="Y38" s="362"/>
      <c r="Z38" s="362"/>
      <c r="AA38" s="362"/>
      <c r="AB38" s="364"/>
      <c r="AC38" s="1032"/>
      <c r="AD38" s="362"/>
      <c r="AE38" s="362"/>
      <c r="AF38" s="362"/>
      <c r="AG38" s="364"/>
      <c r="AH38" s="1032"/>
      <c r="AI38" s="362"/>
      <c r="AJ38" s="362"/>
      <c r="AK38" s="362"/>
      <c r="AL38" s="364"/>
      <c r="AM38" s="1032"/>
      <c r="AN38" s="362"/>
      <c r="AO38" s="362"/>
      <c r="AP38" s="362"/>
      <c r="AQ38" s="364"/>
      <c r="AR38" s="1032"/>
      <c r="AS38" s="362"/>
      <c r="AT38" s="362"/>
      <c r="AU38" s="362"/>
      <c r="AV38" s="364"/>
      <c r="AW38" s="1032"/>
      <c r="AX38" s="362"/>
      <c r="AY38" s="362"/>
      <c r="AZ38" s="362"/>
      <c r="BA38" s="364"/>
      <c r="BB38" s="1032"/>
      <c r="BC38" s="362"/>
      <c r="BD38" s="362"/>
      <c r="BE38" s="362"/>
      <c r="BF38" s="364"/>
      <c r="BG38" s="1032"/>
      <c r="BH38" s="362"/>
      <c r="BI38" s="362"/>
      <c r="BJ38" s="362"/>
      <c r="BK38" s="364"/>
      <c r="BL38" s="1032"/>
      <c r="BM38" s="362"/>
      <c r="BN38" s="362"/>
      <c r="BO38" s="362"/>
      <c r="BP38" s="364"/>
      <c r="BQ38" s="1032"/>
      <c r="BR38" s="362"/>
      <c r="BS38" s="362"/>
      <c r="BT38" s="362"/>
      <c r="BU38" s="364"/>
      <c r="BV38" s="1032"/>
      <c r="BW38" s="362"/>
      <c r="BX38" s="362"/>
      <c r="BY38" s="362"/>
      <c r="BZ38" s="364"/>
      <c r="CA38" s="1032"/>
      <c r="CB38" s="362"/>
      <c r="CC38" s="362"/>
      <c r="CD38" s="362"/>
      <c r="CE38" s="364"/>
      <c r="CF38" s="1032"/>
      <c r="CG38" s="362"/>
      <c r="CH38" s="362"/>
      <c r="CI38" s="362"/>
      <c r="CJ38" s="364"/>
      <c r="CK38" s="1032"/>
      <c r="CL38" s="362"/>
      <c r="CM38" s="362"/>
      <c r="CN38" s="362"/>
      <c r="CO38" s="364"/>
      <c r="CP38" s="1032"/>
      <c r="CQ38" s="362"/>
      <c r="CR38" s="362"/>
      <c r="CS38" s="365"/>
      <c r="CT38" s="366"/>
      <c r="CU38" s="1032"/>
      <c r="CV38" s="365"/>
      <c r="CW38" s="365"/>
      <c r="CX38" s="365"/>
      <c r="CY38" s="366"/>
      <c r="CZ38" s="1043" t="s">
        <v>1077</v>
      </c>
      <c r="DA38" s="1043" t="s">
        <v>1077</v>
      </c>
      <c r="DB38" s="1043" t="s">
        <v>1077</v>
      </c>
      <c r="DC38" s="1043" t="s">
        <v>1077</v>
      </c>
      <c r="DF38" s="1032"/>
      <c r="DG38" s="1032"/>
      <c r="DH38" s="1032"/>
      <c r="DI38" s="1032"/>
      <c r="DJ38" s="1032"/>
    </row>
    <row r="39" spans="3:114" s="155" customFormat="1">
      <c r="C39" s="336"/>
      <c r="D39" s="1033" t="s">
        <v>1045</v>
      </c>
      <c r="E39" s="1031"/>
      <c r="F39" s="1032"/>
      <c r="G39" s="1032"/>
      <c r="H39" s="1032"/>
      <c r="I39" s="1032"/>
      <c r="J39" s="362"/>
      <c r="K39" s="362"/>
      <c r="L39" s="362"/>
      <c r="M39" s="363"/>
      <c r="N39" s="1032"/>
      <c r="O39" s="362"/>
      <c r="P39" s="362"/>
      <c r="Q39" s="362"/>
      <c r="R39" s="364"/>
      <c r="S39" s="1032"/>
      <c r="T39" s="362"/>
      <c r="U39" s="362"/>
      <c r="V39" s="362"/>
      <c r="W39" s="364"/>
      <c r="X39" s="1032"/>
      <c r="Y39" s="362"/>
      <c r="Z39" s="362"/>
      <c r="AA39" s="362"/>
      <c r="AB39" s="364"/>
      <c r="AC39" s="1032"/>
      <c r="AD39" s="362"/>
      <c r="AE39" s="362"/>
      <c r="AF39" s="362"/>
      <c r="AG39" s="364"/>
      <c r="AH39" s="1032"/>
      <c r="AI39" s="362"/>
      <c r="AJ39" s="362"/>
      <c r="AK39" s="362"/>
      <c r="AL39" s="364"/>
      <c r="AM39" s="1032"/>
      <c r="AN39" s="362"/>
      <c r="AO39" s="362"/>
      <c r="AP39" s="362"/>
      <c r="AQ39" s="364"/>
      <c r="AR39" s="1032"/>
      <c r="AS39" s="362"/>
      <c r="AT39" s="362"/>
      <c r="AU39" s="362"/>
      <c r="AV39" s="364"/>
      <c r="AW39" s="1032"/>
      <c r="AX39" s="362"/>
      <c r="AY39" s="362"/>
      <c r="AZ39" s="362"/>
      <c r="BA39" s="364"/>
      <c r="BB39" s="1032"/>
      <c r="BC39" s="362"/>
      <c r="BD39" s="362"/>
      <c r="BE39" s="362"/>
      <c r="BF39" s="364"/>
      <c r="BG39" s="1032"/>
      <c r="BH39" s="362"/>
      <c r="BI39" s="362"/>
      <c r="BJ39" s="362"/>
      <c r="BK39" s="364"/>
      <c r="BL39" s="1032"/>
      <c r="BM39" s="362"/>
      <c r="BN39" s="362"/>
      <c r="BO39" s="362"/>
      <c r="BP39" s="364"/>
      <c r="BQ39" s="1032"/>
      <c r="BR39" s="362"/>
      <c r="BS39" s="362"/>
      <c r="BT39" s="362"/>
      <c r="BU39" s="364"/>
      <c r="BV39" s="1032"/>
      <c r="BW39" s="362"/>
      <c r="BX39" s="362"/>
      <c r="BY39" s="362"/>
      <c r="BZ39" s="364"/>
      <c r="CA39" s="1057">
        <f>CA115</f>
        <v>7548</v>
      </c>
      <c r="CB39" s="362"/>
      <c r="CC39" s="362"/>
      <c r="CD39" s="362"/>
      <c r="CE39" s="364"/>
      <c r="CF39" s="1057">
        <f>CF115</f>
        <v>8295</v>
      </c>
      <c r="CG39" s="362"/>
      <c r="CH39" s="362"/>
      <c r="CI39" s="362"/>
      <c r="CJ39" s="364"/>
      <c r="CK39" s="1057">
        <f>CK115</f>
        <v>8992</v>
      </c>
      <c r="CL39" s="1045">
        <f>CL115</f>
        <v>2461</v>
      </c>
      <c r="CM39" s="1045">
        <f>CM115</f>
        <v>2553</v>
      </c>
      <c r="CN39" s="1045">
        <f>CN115</f>
        <v>2612</v>
      </c>
      <c r="CO39" s="1040">
        <f>CO115</f>
        <v>2627</v>
      </c>
      <c r="CP39" s="235">
        <f>SUM(CL39:CO39)</f>
        <v>10253</v>
      </c>
      <c r="CQ39" s="1045">
        <f>CQ115</f>
        <v>2669</v>
      </c>
      <c r="CR39" s="1045">
        <f>CR115</f>
        <v>2738</v>
      </c>
      <c r="CS39" s="1045">
        <f>CS115</f>
        <v>2802</v>
      </c>
      <c r="CT39" s="1040">
        <f>CT115</f>
        <v>2692.6749999999997</v>
      </c>
      <c r="CU39" s="235">
        <f>SUM(CQ39:CT39)</f>
        <v>10901.674999999999</v>
      </c>
      <c r="CV39" s="1045">
        <f>CQ39*(1+CV40)</f>
        <v>2722.38</v>
      </c>
      <c r="CW39" s="1045">
        <f>CR39*(1+CW40)</f>
        <v>2792.76</v>
      </c>
      <c r="CX39" s="1045">
        <f>CS39*(1+CX40)</f>
        <v>2858.04</v>
      </c>
      <c r="CY39" s="1045">
        <f>CT39*(1+CY40)</f>
        <v>2746.5284999999999</v>
      </c>
      <c r="CZ39" s="235">
        <f>SUM(CV39:CY39)</f>
        <v>11119.708500000001</v>
      </c>
      <c r="DA39" s="235">
        <f>CZ39*(1+DA40)</f>
        <v>11230.905585</v>
      </c>
      <c r="DB39" s="235">
        <f>DA39*(1+DB40)</f>
        <v>11343.214640850001</v>
      </c>
      <c r="DC39" s="235">
        <f>DB39*(1+DC40)</f>
        <v>11456.646787258502</v>
      </c>
      <c r="DF39" s="1032"/>
      <c r="DG39" s="1032"/>
      <c r="DH39" s="1032"/>
      <c r="DI39" s="1032"/>
      <c r="DJ39" s="1032"/>
    </row>
    <row r="40" spans="3:114" s="155" customFormat="1">
      <c r="C40" s="336"/>
      <c r="D40" s="215" t="s">
        <v>271</v>
      </c>
      <c r="E40" s="1031"/>
      <c r="F40" s="1032"/>
      <c r="G40" s="1032"/>
      <c r="H40" s="1032"/>
      <c r="I40" s="1032"/>
      <c r="J40" s="362"/>
      <c r="K40" s="362"/>
      <c r="L40" s="362"/>
      <c r="M40" s="363"/>
      <c r="N40" s="1032"/>
      <c r="O40" s="362"/>
      <c r="P40" s="362"/>
      <c r="Q40" s="362"/>
      <c r="R40" s="364"/>
      <c r="S40" s="1032"/>
      <c r="T40" s="362"/>
      <c r="U40" s="362"/>
      <c r="V40" s="362"/>
      <c r="W40" s="364"/>
      <c r="X40" s="1032"/>
      <c r="Y40" s="362"/>
      <c r="Z40" s="362"/>
      <c r="AA40" s="362"/>
      <c r="AB40" s="364"/>
      <c r="AC40" s="1032"/>
      <c r="AD40" s="362"/>
      <c r="AE40" s="362"/>
      <c r="AF40" s="362"/>
      <c r="AG40" s="364"/>
      <c r="AH40" s="1032"/>
      <c r="AI40" s="362"/>
      <c r="AJ40" s="362"/>
      <c r="AK40" s="362"/>
      <c r="AL40" s="364"/>
      <c r="AM40" s="1032"/>
      <c r="AN40" s="362"/>
      <c r="AO40" s="362"/>
      <c r="AP40" s="362"/>
      <c r="AQ40" s="364"/>
      <c r="AR40" s="1032"/>
      <c r="AS40" s="362"/>
      <c r="AT40" s="362"/>
      <c r="AU40" s="362"/>
      <c r="AV40" s="364"/>
      <c r="AW40" s="1032"/>
      <c r="AX40" s="362"/>
      <c r="AY40" s="362"/>
      <c r="AZ40" s="362"/>
      <c r="BA40" s="364"/>
      <c r="BB40" s="1032"/>
      <c r="BC40" s="362"/>
      <c r="BD40" s="362"/>
      <c r="BE40" s="362"/>
      <c r="BF40" s="364"/>
      <c r="BG40" s="1032"/>
      <c r="BH40" s="362"/>
      <c r="BI40" s="362"/>
      <c r="BJ40" s="362"/>
      <c r="BK40" s="364"/>
      <c r="BL40" s="1032"/>
      <c r="BM40" s="362"/>
      <c r="BN40" s="362"/>
      <c r="BO40" s="362"/>
      <c r="BP40" s="364"/>
      <c r="BQ40" s="1032"/>
      <c r="BR40" s="362"/>
      <c r="BS40" s="362"/>
      <c r="BT40" s="362"/>
      <c r="BU40" s="364"/>
      <c r="BV40" s="1032"/>
      <c r="BW40" s="362"/>
      <c r="BX40" s="362"/>
      <c r="BY40" s="362"/>
      <c r="BZ40" s="364"/>
      <c r="CA40" s="1032"/>
      <c r="CB40" s="362"/>
      <c r="CC40" s="362"/>
      <c r="CD40" s="362"/>
      <c r="CE40" s="364"/>
      <c r="CF40" s="1032"/>
      <c r="CG40" s="362"/>
      <c r="CH40" s="362"/>
      <c r="CI40" s="362"/>
      <c r="CJ40" s="364"/>
      <c r="CK40" s="1032"/>
      <c r="CL40" s="362"/>
      <c r="CM40" s="362"/>
      <c r="CN40" s="362"/>
      <c r="CO40" s="364"/>
      <c r="CP40" s="1032"/>
      <c r="CQ40" s="362">
        <f>CQ39/CL39-1</f>
        <v>8.4518488419341731E-2</v>
      </c>
      <c r="CR40" s="362">
        <f>CR39/CM39-1</f>
        <v>7.2463768115942129E-2</v>
      </c>
      <c r="CS40" s="362">
        <f>CS39/CN39-1</f>
        <v>7.274119448698313E-2</v>
      </c>
      <c r="CT40" s="362">
        <f>CT39/CO39-1</f>
        <v>2.4999999999999911E-2</v>
      </c>
      <c r="CU40" s="1032">
        <f>CU39/CP39-1</f>
        <v>6.3266848727201674E-2</v>
      </c>
      <c r="CV40" s="177">
        <v>0.02</v>
      </c>
      <c r="CW40" s="177">
        <v>0.02</v>
      </c>
      <c r="CX40" s="177">
        <v>0.02</v>
      </c>
      <c r="CY40" s="177">
        <v>0.02</v>
      </c>
      <c r="CZ40" s="1032">
        <f>CZ39/CU39-1</f>
        <v>2.0000000000000018E-2</v>
      </c>
      <c r="DA40" s="177">
        <v>0.01</v>
      </c>
      <c r="DB40" s="373">
        <v>0.01</v>
      </c>
      <c r="DC40" s="371">
        <v>0.01</v>
      </c>
      <c r="DF40" s="1032"/>
      <c r="DG40" s="1032"/>
      <c r="DH40" s="1032"/>
      <c r="DI40" s="1032"/>
      <c r="DJ40" s="1032"/>
    </row>
    <row r="41" spans="3:114" s="155" customFormat="1">
      <c r="C41" s="336"/>
      <c r="D41" s="1" t="s">
        <v>72</v>
      </c>
      <c r="E41" s="235"/>
      <c r="F41" s="235"/>
      <c r="G41" s="235"/>
      <c r="H41" s="235"/>
      <c r="I41" s="235">
        <v>0</v>
      </c>
      <c r="J41" s="338">
        <v>0</v>
      </c>
      <c r="K41" s="338">
        <v>0</v>
      </c>
      <c r="L41" s="338">
        <v>0</v>
      </c>
      <c r="M41" s="337">
        <v>0</v>
      </c>
      <c r="N41" s="235">
        <f>SUM(J41:M41)</f>
        <v>0</v>
      </c>
      <c r="O41" s="338">
        <v>0</v>
      </c>
      <c r="P41" s="338">
        <v>0</v>
      </c>
      <c r="Q41" s="338">
        <v>0</v>
      </c>
      <c r="R41" s="337">
        <v>0</v>
      </c>
      <c r="S41" s="235">
        <f>SUM(O41:R41)</f>
        <v>0</v>
      </c>
      <c r="T41" s="338">
        <v>0</v>
      </c>
      <c r="U41" s="338">
        <v>0</v>
      </c>
      <c r="V41" s="338">
        <v>0</v>
      </c>
      <c r="W41" s="337">
        <v>0</v>
      </c>
      <c r="X41" s="235">
        <f>SUM(T41:W41)</f>
        <v>0</v>
      </c>
      <c r="Y41" s="338">
        <v>0</v>
      </c>
      <c r="Z41" s="338">
        <v>0</v>
      </c>
      <c r="AA41" s="338">
        <v>0</v>
      </c>
      <c r="AB41" s="337">
        <v>0</v>
      </c>
      <c r="AC41" s="235">
        <f>SUM(Y41:AB41)</f>
        <v>0</v>
      </c>
      <c r="AD41" s="338">
        <v>0</v>
      </c>
      <c r="AE41" s="338">
        <v>0</v>
      </c>
      <c r="AF41" s="338">
        <v>0</v>
      </c>
      <c r="AG41" s="337">
        <v>0</v>
      </c>
      <c r="AH41" s="235">
        <f>SUM(AD41:AG41)</f>
        <v>0</v>
      </c>
      <c r="AI41" s="338">
        <v>0</v>
      </c>
      <c r="AJ41" s="338">
        <v>0</v>
      </c>
      <c r="AK41" s="338">
        <v>0</v>
      </c>
      <c r="AL41" s="337">
        <v>0</v>
      </c>
      <c r="AM41" s="235">
        <f>SUM(AI41:AL41)</f>
        <v>0</v>
      </c>
      <c r="AN41" s="338">
        <v>0</v>
      </c>
      <c r="AO41" s="338">
        <v>0</v>
      </c>
      <c r="AP41" s="338">
        <v>0</v>
      </c>
      <c r="AQ41" s="337"/>
      <c r="AR41" s="235">
        <f>SUM(AN41:AQ41)</f>
        <v>0</v>
      </c>
      <c r="AS41" s="338">
        <v>0</v>
      </c>
      <c r="AT41" s="338">
        <v>0</v>
      </c>
      <c r="AU41" s="338">
        <v>0</v>
      </c>
      <c r="AV41" s="337"/>
      <c r="AW41" s="235">
        <f>SUM(AS41:AV41)</f>
        <v>0</v>
      </c>
      <c r="AX41" s="338">
        <v>4145</v>
      </c>
      <c r="AY41" s="338">
        <v>2829</v>
      </c>
      <c r="AZ41" s="338">
        <v>0</v>
      </c>
      <c r="BA41" s="337">
        <f>6974-SUM(AX41:AZ41)</f>
        <v>0</v>
      </c>
      <c r="BB41" s="235">
        <f>SUM(AX41:BA41)</f>
        <v>6974</v>
      </c>
      <c r="BC41" s="338">
        <v>0</v>
      </c>
      <c r="BD41" s="338">
        <v>0</v>
      </c>
      <c r="BE41" s="338">
        <v>0</v>
      </c>
      <c r="BF41" s="337">
        <v>0</v>
      </c>
      <c r="BG41" s="235">
        <f>SUM(BC41:BF41)</f>
        <v>0</v>
      </c>
      <c r="BH41" s="338"/>
      <c r="BI41" s="338"/>
      <c r="BJ41" s="338"/>
      <c r="BK41" s="337"/>
      <c r="BL41" s="235"/>
      <c r="BM41" s="338"/>
      <c r="BN41" s="338"/>
      <c r="BO41" s="338"/>
      <c r="BP41" s="337"/>
      <c r="BQ41" s="235"/>
      <c r="BR41" s="338"/>
      <c r="BS41" s="338"/>
      <c r="BT41" s="338"/>
      <c r="BU41" s="337"/>
      <c r="BV41" s="235"/>
      <c r="BW41" s="338"/>
      <c r="BX41" s="338"/>
      <c r="BY41" s="338"/>
      <c r="BZ41" s="337"/>
      <c r="CA41" s="235"/>
      <c r="CB41" s="338"/>
      <c r="CC41" s="338"/>
      <c r="CD41" s="338"/>
      <c r="CE41" s="337"/>
      <c r="CF41" s="235"/>
      <c r="CG41" s="338"/>
      <c r="CH41" s="338"/>
      <c r="CI41" s="338"/>
      <c r="CJ41" s="337"/>
      <c r="CK41" s="235"/>
      <c r="CL41" s="338"/>
      <c r="CM41" s="338"/>
      <c r="CN41" s="338"/>
      <c r="CO41" s="337">
        <v>46</v>
      </c>
      <c r="CP41" s="235">
        <f>SUM(CL41:CO41)</f>
        <v>46</v>
      </c>
      <c r="CQ41" s="338">
        <v>0</v>
      </c>
      <c r="CR41" s="338">
        <v>13</v>
      </c>
      <c r="CS41" s="338">
        <v>46</v>
      </c>
      <c r="CT41" s="345">
        <v>0</v>
      </c>
      <c r="CU41" s="235">
        <f>SUM(CQ41:CT41)</f>
        <v>59</v>
      </c>
      <c r="CV41" s="338">
        <v>0</v>
      </c>
      <c r="CW41" s="338">
        <v>0</v>
      </c>
      <c r="CX41" s="338">
        <v>0</v>
      </c>
      <c r="CY41" s="337">
        <v>0</v>
      </c>
      <c r="CZ41" s="235">
        <f>SUM(CV41:CY41)</f>
        <v>0</v>
      </c>
      <c r="DA41" s="369">
        <v>0</v>
      </c>
      <c r="DB41" s="370">
        <v>0</v>
      </c>
      <c r="DC41" s="369">
        <v>0</v>
      </c>
      <c r="DF41" s="235"/>
      <c r="DG41" s="235"/>
      <c r="DH41" s="235"/>
      <c r="DI41" s="235"/>
      <c r="DJ41" s="235"/>
    </row>
    <row r="42" spans="3:114" s="155" customFormat="1">
      <c r="C42" s="336"/>
      <c r="D42" s="215" t="s">
        <v>271</v>
      </c>
      <c r="E42" s="360"/>
      <c r="F42" s="361"/>
      <c r="G42" s="361"/>
      <c r="H42" s="361"/>
      <c r="I42" s="361"/>
      <c r="J42" s="362"/>
      <c r="K42" s="362"/>
      <c r="L42" s="362"/>
      <c r="M42" s="363"/>
      <c r="N42" s="361"/>
      <c r="O42" s="362"/>
      <c r="P42" s="362"/>
      <c r="Q42" s="362"/>
      <c r="R42" s="364"/>
      <c r="S42" s="361"/>
      <c r="T42" s="362"/>
      <c r="U42" s="362"/>
      <c r="V42" s="362"/>
      <c r="W42" s="364"/>
      <c r="X42" s="361"/>
      <c r="Y42" s="362"/>
      <c r="Z42" s="362"/>
      <c r="AA42" s="362"/>
      <c r="AB42" s="364"/>
      <c r="AC42" s="361"/>
      <c r="AD42" s="362"/>
      <c r="AE42" s="362"/>
      <c r="AF42" s="362"/>
      <c r="AG42" s="364"/>
      <c r="AH42" s="361"/>
      <c r="AI42" s="362"/>
      <c r="AJ42" s="362"/>
      <c r="AK42" s="362"/>
      <c r="AL42" s="364"/>
      <c r="AM42" s="361"/>
      <c r="AN42" s="362"/>
      <c r="AO42" s="362"/>
      <c r="AP42" s="362"/>
      <c r="AQ42" s="364"/>
      <c r="AR42" s="361"/>
      <c r="AS42" s="362"/>
      <c r="AT42" s="362"/>
      <c r="AU42" s="362"/>
      <c r="AV42" s="364"/>
      <c r="AW42" s="361"/>
      <c r="AX42" s="362"/>
      <c r="AY42" s="362"/>
      <c r="AZ42" s="362"/>
      <c r="BA42" s="364"/>
      <c r="BB42" s="361"/>
      <c r="BC42" s="362"/>
      <c r="BD42" s="362"/>
      <c r="BE42" s="362"/>
      <c r="BF42" s="364"/>
      <c r="BG42" s="361"/>
      <c r="BH42" s="362"/>
      <c r="BI42" s="362"/>
      <c r="BJ42" s="362"/>
      <c r="BK42" s="364"/>
      <c r="BL42" s="361"/>
      <c r="BM42" s="362"/>
      <c r="BN42" s="362"/>
      <c r="BO42" s="362"/>
      <c r="BP42" s="364"/>
      <c r="BQ42" s="361"/>
      <c r="BR42" s="362"/>
      <c r="BS42" s="362"/>
      <c r="BT42" s="362"/>
      <c r="BU42" s="364"/>
      <c r="BV42" s="361"/>
      <c r="BW42" s="362"/>
      <c r="BX42" s="362"/>
      <c r="BY42" s="362"/>
      <c r="BZ42" s="364"/>
      <c r="CA42" s="361"/>
      <c r="CB42" s="362"/>
      <c r="CC42" s="362"/>
      <c r="CD42" s="362"/>
      <c r="CE42" s="364"/>
      <c r="CF42" s="361"/>
      <c r="CG42" s="362"/>
      <c r="CH42" s="362"/>
      <c r="CI42" s="362"/>
      <c r="CJ42" s="364"/>
      <c r="CK42" s="361"/>
      <c r="CL42" s="362"/>
      <c r="CM42" s="362"/>
      <c r="CN42" s="362"/>
      <c r="CO42" s="364"/>
      <c r="CP42" s="361"/>
      <c r="CQ42" s="1046" t="s">
        <v>1077</v>
      </c>
      <c r="CR42" s="1046" t="s">
        <v>1077</v>
      </c>
      <c r="CS42" s="1046" t="s">
        <v>1077</v>
      </c>
      <c r="CT42" s="1047" t="s">
        <v>1077</v>
      </c>
      <c r="CU42" s="1050" t="s">
        <v>1077</v>
      </c>
      <c r="CV42" s="1046" t="s">
        <v>1077</v>
      </c>
      <c r="CW42" s="1046" t="s">
        <v>1077</v>
      </c>
      <c r="CX42" s="1046" t="s">
        <v>1077</v>
      </c>
      <c r="CY42" s="1047" t="s">
        <v>1077</v>
      </c>
      <c r="CZ42" s="1048" t="s">
        <v>1077</v>
      </c>
      <c r="DA42" s="1050" t="s">
        <v>1077</v>
      </c>
      <c r="DB42" s="1050" t="s">
        <v>1077</v>
      </c>
      <c r="DC42" s="1050" t="s">
        <v>1077</v>
      </c>
      <c r="DF42" s="361"/>
      <c r="DG42" s="361"/>
      <c r="DH42" s="361"/>
      <c r="DI42" s="361"/>
      <c r="DJ42" s="361"/>
    </row>
    <row r="43" spans="3:114" s="155" customFormat="1">
      <c r="C43" s="336"/>
      <c r="D43" s="217" t="s">
        <v>110</v>
      </c>
      <c r="E43" s="348"/>
      <c r="F43" s="348"/>
      <c r="G43" s="348"/>
      <c r="H43" s="348"/>
      <c r="I43" s="348" t="e">
        <f>+I29+#REF!</f>
        <v>#REF!</v>
      </c>
      <c r="J43" s="349" t="e">
        <f>+J29+#REF!</f>
        <v>#REF!</v>
      </c>
      <c r="K43" s="349" t="e">
        <f>+K29+#REF!</f>
        <v>#REF!</v>
      </c>
      <c r="L43" s="349" t="e">
        <f>+L29+#REF!</f>
        <v>#REF!</v>
      </c>
      <c r="M43" s="349" t="e">
        <f>+M29+#REF!</f>
        <v>#REF!</v>
      </c>
      <c r="N43" s="348" t="e">
        <f>+N29+#REF!</f>
        <v>#REF!</v>
      </c>
      <c r="O43" s="349" t="e">
        <f>+O29+#REF!</f>
        <v>#REF!</v>
      </c>
      <c r="P43" s="349" t="e">
        <f>+P29+#REF!</f>
        <v>#REF!</v>
      </c>
      <c r="Q43" s="349" t="e">
        <f>+Q29+#REF!</f>
        <v>#REF!</v>
      </c>
      <c r="R43" s="349" t="e">
        <f>+R29+#REF!</f>
        <v>#REF!</v>
      </c>
      <c r="S43" s="348" t="e">
        <f>+S29+#REF!</f>
        <v>#REF!</v>
      </c>
      <c r="T43" s="349" t="e">
        <f>+T29+#REF!</f>
        <v>#REF!</v>
      </c>
      <c r="U43" s="349" t="e">
        <f>+U29+#REF!</f>
        <v>#REF!</v>
      </c>
      <c r="V43" s="349" t="e">
        <f>+V29+#REF!</f>
        <v>#REF!</v>
      </c>
      <c r="W43" s="349" t="e">
        <f>+W29+#REF!</f>
        <v>#REF!</v>
      </c>
      <c r="X43" s="348" t="e">
        <f>+X29+#REF!</f>
        <v>#REF!</v>
      </c>
      <c r="Y43" s="349" t="e">
        <f>+Y29+#REF!</f>
        <v>#REF!</v>
      </c>
      <c r="Z43" s="349" t="e">
        <f>+Z29+#REF!</f>
        <v>#REF!</v>
      </c>
      <c r="AA43" s="349" t="e">
        <f>+AA29+#REF!</f>
        <v>#REF!</v>
      </c>
      <c r="AB43" s="349" t="e">
        <f>+AB29+#REF!</f>
        <v>#REF!</v>
      </c>
      <c r="AC43" s="348" t="e">
        <f>+AC29+#REF!</f>
        <v>#REF!</v>
      </c>
      <c r="AD43" s="349" t="e">
        <f>+AD29+#REF!</f>
        <v>#REF!</v>
      </c>
      <c r="AE43" s="349" t="e">
        <f>+AE29+#REF!</f>
        <v>#REF!</v>
      </c>
      <c r="AF43" s="349" t="e">
        <f>+AF29+#REF!</f>
        <v>#REF!</v>
      </c>
      <c r="AG43" s="349" t="e">
        <f>+AG29+#REF!</f>
        <v>#REF!</v>
      </c>
      <c r="AH43" s="348" t="e">
        <f>+AH29+#REF!</f>
        <v>#REF!</v>
      </c>
      <c r="AI43" s="349" t="e">
        <f>+AI29+#REF!</f>
        <v>#REF!</v>
      </c>
      <c r="AJ43" s="349" t="e">
        <f>+AJ29+#REF!</f>
        <v>#REF!</v>
      </c>
      <c r="AK43" s="349" t="e">
        <f>+AK29+#REF!</f>
        <v>#REF!</v>
      </c>
      <c r="AL43" s="349" t="e">
        <f>+AL29+#REF!</f>
        <v>#REF!</v>
      </c>
      <c r="AM43" s="348" t="e">
        <f>+AM29+#REF!</f>
        <v>#REF!</v>
      </c>
      <c r="AN43" s="349" t="e">
        <f>+AN29+#REF!</f>
        <v>#REF!</v>
      </c>
      <c r="AO43" s="349" t="e">
        <f>+AO29+#REF!</f>
        <v>#REF!</v>
      </c>
      <c r="AP43" s="349" t="e">
        <f>+AP29+#REF!</f>
        <v>#REF!</v>
      </c>
      <c r="AQ43" s="349" t="e">
        <f>+AQ29+#REF!</f>
        <v>#REF!</v>
      </c>
      <c r="AR43" s="348" t="e">
        <f>+AR29+#REF!</f>
        <v>#REF!</v>
      </c>
      <c r="AS43" s="349" t="e">
        <f>+AS29+#REF!</f>
        <v>#REF!</v>
      </c>
      <c r="AT43" s="349" t="e">
        <f>+AT29+#REF!</f>
        <v>#REF!</v>
      </c>
      <c r="AU43" s="349" t="e">
        <f>+AU29+#REF!</f>
        <v>#REF!</v>
      </c>
      <c r="AV43" s="349" t="e">
        <f>+AV29+#REF!</f>
        <v>#REF!</v>
      </c>
      <c r="AW43" s="348" t="e">
        <f>+AW29+#REF!</f>
        <v>#REF!</v>
      </c>
      <c r="AX43" s="349" t="e">
        <f>+AX29+#REF!</f>
        <v>#REF!</v>
      </c>
      <c r="AY43" s="349" t="e">
        <f>+AY29+#REF!</f>
        <v>#REF!</v>
      </c>
      <c r="AZ43" s="349" t="e">
        <f>+AZ29+#REF!</f>
        <v>#REF!</v>
      </c>
      <c r="BA43" s="349" t="e">
        <f>+BA29+#REF!</f>
        <v>#REF!</v>
      </c>
      <c r="BB43" s="348" t="e">
        <f>+BB29+#REF!</f>
        <v>#REF!</v>
      </c>
      <c r="BC43" s="349" t="e">
        <f>+BC29+#REF!</f>
        <v>#REF!</v>
      </c>
      <c r="BD43" s="349" t="e">
        <f>+BD29+#REF!</f>
        <v>#REF!</v>
      </c>
      <c r="BE43" s="349" t="e">
        <f>+BE29+#REF!</f>
        <v>#REF!</v>
      </c>
      <c r="BF43" s="349" t="e">
        <f>+BF29+#REF!</f>
        <v>#REF!</v>
      </c>
      <c r="BG43" s="348" t="e">
        <f>+BG29+#REF!</f>
        <v>#REF!</v>
      </c>
      <c r="BH43" s="349"/>
      <c r="BI43" s="349"/>
      <c r="BJ43" s="349"/>
      <c r="BK43" s="349"/>
      <c r="BL43" s="348"/>
      <c r="BM43" s="349"/>
      <c r="BN43" s="349"/>
      <c r="BO43" s="349"/>
      <c r="BP43" s="349"/>
      <c r="BQ43" s="348"/>
      <c r="BR43" s="349"/>
      <c r="BS43" s="349"/>
      <c r="BT43" s="349"/>
      <c r="BU43" s="349"/>
      <c r="BV43" s="348"/>
      <c r="BW43" s="349"/>
      <c r="BX43" s="349"/>
      <c r="BY43" s="349"/>
      <c r="BZ43" s="349"/>
      <c r="CA43" s="348"/>
      <c r="CB43" s="349"/>
      <c r="CC43" s="349"/>
      <c r="CD43" s="349"/>
      <c r="CE43" s="349"/>
      <c r="CF43" s="348"/>
      <c r="CG43" s="349"/>
      <c r="CH43" s="349"/>
      <c r="CI43" s="349"/>
      <c r="CJ43" s="349"/>
      <c r="CK43" s="348"/>
      <c r="CL43" s="349">
        <f t="shared" ref="CL43:DC43" si="51">SUM(CL29,CL31,CL33,CL35,CL37,CL39,CL41)</f>
        <v>37661</v>
      </c>
      <c r="CM43" s="349">
        <f t="shared" si="51"/>
        <v>39553</v>
      </c>
      <c r="CN43" s="349">
        <f t="shared" si="51"/>
        <v>35912</v>
      </c>
      <c r="CO43" s="350">
        <f t="shared" si="51"/>
        <v>38673</v>
      </c>
      <c r="CP43" s="348">
        <f t="shared" si="51"/>
        <v>151799</v>
      </c>
      <c r="CQ43" s="349">
        <f t="shared" si="51"/>
        <v>39169</v>
      </c>
      <c r="CR43" s="349">
        <f t="shared" si="51"/>
        <v>39851</v>
      </c>
      <c r="CS43" s="349">
        <f t="shared" si="51"/>
        <v>36448</v>
      </c>
      <c r="CT43" s="350">
        <f t="shared" si="51"/>
        <v>41192.675000000003</v>
      </c>
      <c r="CU43" s="348">
        <f t="shared" si="51"/>
        <v>156660.67499999999</v>
      </c>
      <c r="CV43" s="349">
        <f t="shared" si="51"/>
        <v>39366.559999999998</v>
      </c>
      <c r="CW43" s="349">
        <f t="shared" si="51"/>
        <v>40056.330000000009</v>
      </c>
      <c r="CX43" s="349">
        <f t="shared" si="51"/>
        <v>36866.32</v>
      </c>
      <c r="CY43" s="350">
        <f t="shared" si="51"/>
        <v>41742.888500000001</v>
      </c>
      <c r="CZ43" s="348">
        <f t="shared" si="51"/>
        <v>158032.09850000002</v>
      </c>
      <c r="DA43" s="348">
        <f t="shared" si="51"/>
        <v>158929.28186350001</v>
      </c>
      <c r="DB43" s="348">
        <f t="shared" si="51"/>
        <v>163539.38317391014</v>
      </c>
      <c r="DC43" s="348">
        <f t="shared" si="51"/>
        <v>167826.83523714161</v>
      </c>
      <c r="DF43" s="348">
        <f>CT43</f>
        <v>41192.675000000003</v>
      </c>
      <c r="DG43" s="348">
        <v>35668.03</v>
      </c>
      <c r="DH43" s="348">
        <f>CO43</f>
        <v>38673</v>
      </c>
      <c r="DI43" s="348">
        <f t="shared" si="5"/>
        <v>0.15489066819782327</v>
      </c>
      <c r="DJ43" s="348">
        <f t="shared" si="6"/>
        <v>6.5153336953430063E-2</v>
      </c>
    </row>
    <row r="44" spans="3:114" s="155" customFormat="1">
      <c r="C44" s="336"/>
      <c r="D44" s="339" t="s">
        <v>271</v>
      </c>
      <c r="E44" s="236"/>
      <c r="F44" s="236"/>
      <c r="G44" s="236"/>
      <c r="H44" s="236"/>
      <c r="I44" s="236"/>
      <c r="J44" s="152"/>
      <c r="K44" s="152"/>
      <c r="L44" s="152"/>
      <c r="M44" s="302"/>
      <c r="N44" s="236" t="e">
        <f t="shared" ref="N44:AS44" si="52">N43/I43-1</f>
        <v>#REF!</v>
      </c>
      <c r="O44" s="152" t="e">
        <f t="shared" si="52"/>
        <v>#REF!</v>
      </c>
      <c r="P44" s="152" t="e">
        <f t="shared" si="52"/>
        <v>#REF!</v>
      </c>
      <c r="Q44" s="152" t="e">
        <f t="shared" si="52"/>
        <v>#REF!</v>
      </c>
      <c r="R44" s="302" t="e">
        <f t="shared" si="52"/>
        <v>#REF!</v>
      </c>
      <c r="S44" s="236" t="e">
        <f t="shared" si="52"/>
        <v>#REF!</v>
      </c>
      <c r="T44" s="152" t="e">
        <f t="shared" si="52"/>
        <v>#REF!</v>
      </c>
      <c r="U44" s="152" t="e">
        <f t="shared" si="52"/>
        <v>#REF!</v>
      </c>
      <c r="V44" s="152" t="e">
        <f t="shared" si="52"/>
        <v>#REF!</v>
      </c>
      <c r="W44" s="302" t="e">
        <f t="shared" si="52"/>
        <v>#REF!</v>
      </c>
      <c r="X44" s="236" t="e">
        <f t="shared" si="52"/>
        <v>#REF!</v>
      </c>
      <c r="Y44" s="152" t="e">
        <f t="shared" si="52"/>
        <v>#REF!</v>
      </c>
      <c r="Z44" s="152" t="e">
        <f t="shared" si="52"/>
        <v>#REF!</v>
      </c>
      <c r="AA44" s="152" t="e">
        <f t="shared" si="52"/>
        <v>#REF!</v>
      </c>
      <c r="AB44" s="302" t="e">
        <f t="shared" si="52"/>
        <v>#REF!</v>
      </c>
      <c r="AC44" s="236" t="e">
        <f t="shared" si="52"/>
        <v>#REF!</v>
      </c>
      <c r="AD44" s="152" t="e">
        <f t="shared" si="52"/>
        <v>#REF!</v>
      </c>
      <c r="AE44" s="152" t="e">
        <f t="shared" si="52"/>
        <v>#REF!</v>
      </c>
      <c r="AF44" s="152" t="e">
        <f t="shared" si="52"/>
        <v>#REF!</v>
      </c>
      <c r="AG44" s="302" t="e">
        <f t="shared" si="52"/>
        <v>#REF!</v>
      </c>
      <c r="AH44" s="236" t="e">
        <f t="shared" si="52"/>
        <v>#REF!</v>
      </c>
      <c r="AI44" s="152" t="e">
        <f t="shared" si="52"/>
        <v>#REF!</v>
      </c>
      <c r="AJ44" s="152" t="e">
        <f t="shared" si="52"/>
        <v>#REF!</v>
      </c>
      <c r="AK44" s="152" t="e">
        <f t="shared" si="52"/>
        <v>#REF!</v>
      </c>
      <c r="AL44" s="302" t="e">
        <f t="shared" si="52"/>
        <v>#REF!</v>
      </c>
      <c r="AM44" s="236" t="e">
        <f t="shared" si="52"/>
        <v>#REF!</v>
      </c>
      <c r="AN44" s="152" t="e">
        <f t="shared" si="52"/>
        <v>#REF!</v>
      </c>
      <c r="AO44" s="152" t="e">
        <f t="shared" si="52"/>
        <v>#REF!</v>
      </c>
      <c r="AP44" s="152" t="e">
        <f t="shared" si="52"/>
        <v>#REF!</v>
      </c>
      <c r="AQ44" s="302" t="e">
        <f t="shared" si="52"/>
        <v>#REF!</v>
      </c>
      <c r="AR44" s="236" t="e">
        <f t="shared" si="52"/>
        <v>#REF!</v>
      </c>
      <c r="AS44" s="152" t="e">
        <f t="shared" si="52"/>
        <v>#REF!</v>
      </c>
      <c r="AT44" s="152" t="e">
        <f t="shared" ref="AT44:BG44" si="53">AT43/AO43-1</f>
        <v>#REF!</v>
      </c>
      <c r="AU44" s="152" t="e">
        <f t="shared" si="53"/>
        <v>#REF!</v>
      </c>
      <c r="AV44" s="302" t="e">
        <f t="shared" si="53"/>
        <v>#REF!</v>
      </c>
      <c r="AW44" s="236" t="e">
        <f t="shared" si="53"/>
        <v>#REF!</v>
      </c>
      <c r="AX44" s="152" t="e">
        <f t="shared" si="53"/>
        <v>#REF!</v>
      </c>
      <c r="AY44" s="152" t="e">
        <f t="shared" si="53"/>
        <v>#REF!</v>
      </c>
      <c r="AZ44" s="152" t="e">
        <f t="shared" si="53"/>
        <v>#REF!</v>
      </c>
      <c r="BA44" s="302" t="e">
        <f t="shared" si="53"/>
        <v>#REF!</v>
      </c>
      <c r="BB44" s="236" t="e">
        <f t="shared" si="53"/>
        <v>#REF!</v>
      </c>
      <c r="BC44" s="152" t="e">
        <f t="shared" si="53"/>
        <v>#REF!</v>
      </c>
      <c r="BD44" s="152" t="e">
        <f t="shared" si="53"/>
        <v>#REF!</v>
      </c>
      <c r="BE44" s="152" t="e">
        <f t="shared" si="53"/>
        <v>#REF!</v>
      </c>
      <c r="BF44" s="302" t="e">
        <f t="shared" si="53"/>
        <v>#REF!</v>
      </c>
      <c r="BG44" s="236" t="e">
        <f t="shared" si="53"/>
        <v>#REF!</v>
      </c>
      <c r="BH44" s="152"/>
      <c r="BI44" s="152"/>
      <c r="BJ44" s="152"/>
      <c r="BK44" s="302"/>
      <c r="BL44" s="236"/>
      <c r="BM44" s="152"/>
      <c r="BN44" s="152"/>
      <c r="BO44" s="152"/>
      <c r="BP44" s="302"/>
      <c r="BQ44" s="236"/>
      <c r="BR44" s="152"/>
      <c r="BS44" s="152"/>
      <c r="BT44" s="152"/>
      <c r="BU44" s="302"/>
      <c r="BV44" s="236"/>
      <c r="BW44" s="152"/>
      <c r="BX44" s="152"/>
      <c r="BY44" s="152"/>
      <c r="BZ44" s="302"/>
      <c r="CA44" s="236"/>
      <c r="CB44" s="152"/>
      <c r="CC44" s="152"/>
      <c r="CD44" s="152"/>
      <c r="CE44" s="302"/>
      <c r="CF44" s="236"/>
      <c r="CG44" s="152"/>
      <c r="CH44" s="152"/>
      <c r="CI44" s="152"/>
      <c r="CJ44" s="302"/>
      <c r="CK44" s="236"/>
      <c r="CL44" s="152"/>
      <c r="CM44" s="152"/>
      <c r="CN44" s="152"/>
      <c r="CO44" s="302"/>
      <c r="CP44" s="236"/>
      <c r="CQ44" s="152">
        <f t="shared" ref="CQ44:CZ44" si="54">CQ43/CL43-1</f>
        <v>4.0041422160856044E-2</v>
      </c>
      <c r="CR44" s="152">
        <f t="shared" si="54"/>
        <v>7.5341946249336544E-3</v>
      </c>
      <c r="CS44" s="152">
        <f t="shared" si="54"/>
        <v>1.4925373134328401E-2</v>
      </c>
      <c r="CT44" s="302">
        <f t="shared" si="54"/>
        <v>6.5153336953430063E-2</v>
      </c>
      <c r="CU44" s="236">
        <f t="shared" si="54"/>
        <v>3.2027055514199709E-2</v>
      </c>
      <c r="CV44" s="152">
        <f t="shared" si="54"/>
        <v>5.0437846255966257E-3</v>
      </c>
      <c r="CW44" s="152">
        <f t="shared" si="54"/>
        <v>5.1524428496150243E-3</v>
      </c>
      <c r="CX44" s="152">
        <f t="shared" si="54"/>
        <v>1.1477172958735737E-2</v>
      </c>
      <c r="CY44" s="302">
        <f t="shared" si="54"/>
        <v>1.3357071372519513E-2</v>
      </c>
      <c r="CZ44" s="236">
        <f t="shared" si="54"/>
        <v>8.7541018191070741E-3</v>
      </c>
      <c r="DA44" s="236">
        <f>+DA43/CZ43-1</f>
        <v>5.6772223618861695E-3</v>
      </c>
      <c r="DB44" s="352">
        <f>+DB43/DA43-1</f>
        <v>2.9007249364969789E-2</v>
      </c>
      <c r="DC44" s="236">
        <f>+DC43/DB43-1</f>
        <v>2.6216633449522853E-2</v>
      </c>
      <c r="DF44" s="236">
        <f>CT44</f>
        <v>6.5153336953430063E-2</v>
      </c>
      <c r="DG44" s="236">
        <v>-1.0485768185096833E-2</v>
      </c>
      <c r="DH44" s="236">
        <f>CO44</f>
        <v>0</v>
      </c>
      <c r="DI44" s="236">
        <f t="shared" si="5"/>
        <v>-7.2135015578573363</v>
      </c>
      <c r="DJ44" s="236" t="str">
        <f t="shared" si="6"/>
        <v>NM</v>
      </c>
    </row>
    <row r="45" spans="3:114" s="155" customFormat="1" ht="9" customHeight="1">
      <c r="C45" s="214"/>
      <c r="D45" s="278"/>
      <c r="E45" s="281"/>
      <c r="F45" s="281"/>
      <c r="G45" s="281"/>
      <c r="H45" s="281"/>
      <c r="I45" s="281"/>
      <c r="J45" s="282"/>
      <c r="K45" s="282"/>
      <c r="L45" s="282"/>
      <c r="M45" s="283"/>
      <c r="N45" s="281"/>
      <c r="O45" s="282"/>
      <c r="P45" s="282"/>
      <c r="Q45" s="282"/>
      <c r="R45" s="283"/>
      <c r="S45" s="281"/>
      <c r="T45" s="282"/>
      <c r="U45" s="282"/>
      <c r="V45" s="282"/>
      <c r="W45" s="283"/>
      <c r="X45" s="281"/>
      <c r="Y45" s="282"/>
      <c r="Z45" s="282"/>
      <c r="AA45" s="282"/>
      <c r="AB45" s="283"/>
      <c r="AC45" s="281"/>
      <c r="AD45" s="282"/>
      <c r="AE45" s="282"/>
      <c r="AF45" s="282"/>
      <c r="AG45" s="283"/>
      <c r="AH45" s="281"/>
      <c r="AI45" s="282"/>
      <c r="AJ45" s="282"/>
      <c r="AK45" s="282"/>
      <c r="AL45" s="283"/>
      <c r="AM45" s="281"/>
      <c r="AN45" s="282"/>
      <c r="AO45" s="282"/>
      <c r="AP45" s="282"/>
      <c r="AQ45" s="283"/>
      <c r="AR45" s="281"/>
      <c r="AS45" s="282"/>
      <c r="AT45" s="282"/>
      <c r="AU45" s="282"/>
      <c r="AV45" s="283"/>
      <c r="AW45" s="281"/>
      <c r="AX45" s="282"/>
      <c r="AY45" s="282"/>
      <c r="AZ45" s="282"/>
      <c r="BA45" s="283"/>
      <c r="BB45" s="281"/>
      <c r="BC45" s="282"/>
      <c r="BD45" s="282"/>
      <c r="BE45" s="282"/>
      <c r="BF45" s="283"/>
      <c r="BG45" s="281"/>
      <c r="BH45" s="282"/>
      <c r="BI45" s="282"/>
      <c r="BJ45" s="282"/>
      <c r="BK45" s="283"/>
      <c r="BL45" s="281"/>
      <c r="BM45" s="282"/>
      <c r="BN45" s="282"/>
      <c r="BO45" s="282"/>
      <c r="BP45" s="283"/>
      <c r="BQ45" s="281"/>
      <c r="BR45" s="282"/>
      <c r="BS45" s="282"/>
      <c r="BT45" s="282"/>
      <c r="BU45" s="283"/>
      <c r="BV45" s="281"/>
      <c r="BW45" s="282"/>
      <c r="BX45" s="282"/>
      <c r="BY45" s="282"/>
      <c r="BZ45" s="283"/>
      <c r="CA45" s="281"/>
      <c r="CB45" s="282"/>
      <c r="CC45" s="282"/>
      <c r="CD45" s="282"/>
      <c r="CE45" s="283"/>
      <c r="CF45" s="281"/>
      <c r="CG45" s="282"/>
      <c r="CH45" s="282"/>
      <c r="CI45" s="282"/>
      <c r="CJ45" s="283"/>
      <c r="CK45" s="281"/>
      <c r="CL45" s="282"/>
      <c r="CM45" s="282"/>
      <c r="CN45" s="282"/>
      <c r="CO45" s="283"/>
      <c r="CP45" s="281"/>
      <c r="CQ45" s="282"/>
      <c r="CR45" s="282"/>
      <c r="CS45" s="282"/>
      <c r="CT45" s="283"/>
      <c r="CU45" s="281"/>
      <c r="CV45" s="282"/>
      <c r="CW45" s="282"/>
      <c r="CX45" s="282"/>
      <c r="CY45" s="283"/>
      <c r="CZ45" s="281"/>
      <c r="DA45" s="281"/>
      <c r="DB45" s="284"/>
      <c r="DC45" s="281"/>
      <c r="DF45" s="281"/>
      <c r="DG45" s="281"/>
      <c r="DH45" s="281"/>
      <c r="DI45" s="281"/>
      <c r="DJ45" s="281"/>
    </row>
    <row r="46" spans="3:114" s="155" customFormat="1" ht="9" customHeight="1">
      <c r="C46" s="214"/>
      <c r="D46" s="279"/>
      <c r="E46" s="223"/>
      <c r="F46" s="223"/>
      <c r="G46" s="223"/>
      <c r="H46" s="223"/>
      <c r="I46" s="223"/>
      <c r="J46" s="219"/>
      <c r="K46" s="219"/>
      <c r="L46" s="219"/>
      <c r="M46" s="220"/>
      <c r="N46" s="223"/>
      <c r="O46" s="219"/>
      <c r="P46" s="219"/>
      <c r="Q46" s="219"/>
      <c r="R46" s="220"/>
      <c r="S46" s="223"/>
      <c r="T46" s="219"/>
      <c r="U46" s="219"/>
      <c r="V46" s="219"/>
      <c r="W46" s="220"/>
      <c r="X46" s="223"/>
      <c r="Y46" s="219"/>
      <c r="Z46" s="219"/>
      <c r="AA46" s="219"/>
      <c r="AB46" s="220"/>
      <c r="AC46" s="223"/>
      <c r="AD46" s="219"/>
      <c r="AE46" s="219"/>
      <c r="AF46" s="219"/>
      <c r="AG46" s="220"/>
      <c r="AH46" s="223"/>
      <c r="AI46" s="219"/>
      <c r="AJ46" s="219"/>
      <c r="AK46" s="219"/>
      <c r="AL46" s="220"/>
      <c r="AM46" s="223"/>
      <c r="AN46" s="219"/>
      <c r="AO46" s="219"/>
      <c r="AP46" s="219"/>
      <c r="AQ46" s="220"/>
      <c r="AR46" s="223"/>
      <c r="AS46" s="219"/>
      <c r="AT46" s="219"/>
      <c r="AU46" s="219"/>
      <c r="AV46" s="220"/>
      <c r="AW46" s="223"/>
      <c r="AX46" s="219"/>
      <c r="AY46" s="219"/>
      <c r="AZ46" s="219"/>
      <c r="BA46" s="220"/>
      <c r="BB46" s="223"/>
      <c r="BC46" s="219"/>
      <c r="BD46" s="219"/>
      <c r="BE46" s="219"/>
      <c r="BF46" s="220"/>
      <c r="BG46" s="223"/>
      <c r="BH46" s="219"/>
      <c r="BI46" s="219"/>
      <c r="BJ46" s="219"/>
      <c r="BK46" s="220"/>
      <c r="BL46" s="223"/>
      <c r="BM46" s="219"/>
      <c r="BN46" s="219"/>
      <c r="BO46" s="219"/>
      <c r="BP46" s="220"/>
      <c r="BQ46" s="223"/>
      <c r="BR46" s="219"/>
      <c r="BS46" s="219"/>
      <c r="BT46" s="219"/>
      <c r="BU46" s="220"/>
      <c r="BV46" s="223"/>
      <c r="BW46" s="219"/>
      <c r="BX46" s="219"/>
      <c r="BY46" s="219"/>
      <c r="BZ46" s="220"/>
      <c r="CA46" s="223"/>
      <c r="CB46" s="219"/>
      <c r="CC46" s="219"/>
      <c r="CD46" s="219"/>
      <c r="CE46" s="220"/>
      <c r="CF46" s="223"/>
      <c r="CG46" s="219"/>
      <c r="CH46" s="219"/>
      <c r="CI46" s="219"/>
      <c r="CJ46" s="220"/>
      <c r="CK46" s="223"/>
      <c r="CL46" s="219"/>
      <c r="CM46" s="219"/>
      <c r="CN46" s="219"/>
      <c r="CO46" s="220"/>
      <c r="CP46" s="223"/>
      <c r="CQ46" s="219"/>
      <c r="CR46" s="219"/>
      <c r="CS46" s="219"/>
      <c r="CT46" s="220"/>
      <c r="CU46" s="223"/>
      <c r="CV46" s="219"/>
      <c r="CW46" s="219"/>
      <c r="CX46" s="219"/>
      <c r="CY46" s="220"/>
      <c r="CZ46" s="223"/>
      <c r="DA46" s="223"/>
      <c r="DB46" s="224"/>
      <c r="DC46" s="223"/>
      <c r="DF46" s="223"/>
      <c r="DG46" s="223"/>
      <c r="DH46" s="223"/>
      <c r="DI46" s="223"/>
      <c r="DJ46" s="223"/>
    </row>
    <row r="47" spans="3:114">
      <c r="C47" s="204"/>
      <c r="D47" s="208" t="s">
        <v>795</v>
      </c>
      <c r="E47" s="210"/>
      <c r="F47" s="210"/>
      <c r="G47" s="210"/>
      <c r="H47" s="210"/>
      <c r="I47" s="210"/>
      <c r="J47" s="209"/>
      <c r="K47" s="209"/>
      <c r="L47" s="209"/>
      <c r="M47" s="209"/>
      <c r="N47" s="210"/>
      <c r="O47" s="209"/>
      <c r="P47" s="209"/>
      <c r="Q47" s="209"/>
      <c r="R47" s="209"/>
      <c r="S47" s="210"/>
      <c r="T47" s="209"/>
      <c r="U47" s="209"/>
      <c r="V47" s="209"/>
      <c r="W47" s="209"/>
      <c r="X47" s="210"/>
      <c r="Y47" s="209"/>
      <c r="Z47" s="209"/>
      <c r="AA47" s="209"/>
      <c r="AB47" s="209"/>
      <c r="AC47" s="210"/>
      <c r="AD47" s="209"/>
      <c r="AE47" s="209"/>
      <c r="AF47" s="209"/>
      <c r="AG47" s="209"/>
      <c r="AH47" s="210"/>
      <c r="AI47" s="209"/>
      <c r="AJ47" s="209"/>
      <c r="AK47" s="209"/>
      <c r="AL47" s="209"/>
      <c r="AM47" s="210"/>
      <c r="AN47" s="209"/>
      <c r="AO47" s="209"/>
      <c r="AP47" s="209"/>
      <c r="AQ47" s="209"/>
      <c r="AR47" s="210"/>
      <c r="AS47" s="209"/>
      <c r="AT47" s="209"/>
      <c r="AU47" s="209"/>
      <c r="AV47" s="209"/>
      <c r="AW47" s="210"/>
      <c r="AX47" s="209"/>
      <c r="AY47" s="209"/>
      <c r="AZ47" s="209"/>
      <c r="BA47" s="209"/>
      <c r="BB47" s="210"/>
      <c r="BC47" s="209"/>
      <c r="BD47" s="209"/>
      <c r="BE47" s="209"/>
      <c r="BF47" s="209"/>
      <c r="BG47" s="210"/>
      <c r="BH47" s="209"/>
      <c r="BI47" s="209"/>
      <c r="BJ47" s="209"/>
      <c r="BK47" s="209"/>
      <c r="BL47" s="210"/>
      <c r="BM47" s="209"/>
      <c r="BN47" s="209"/>
      <c r="BO47" s="209"/>
      <c r="BP47" s="209"/>
      <c r="BQ47" s="210"/>
      <c r="BR47" s="209"/>
      <c r="BS47" s="209"/>
      <c r="BT47" s="209"/>
      <c r="BU47" s="209"/>
      <c r="BV47" s="210"/>
      <c r="BW47" s="209"/>
      <c r="BX47" s="209"/>
      <c r="BY47" s="209"/>
      <c r="BZ47" s="209"/>
      <c r="CA47" s="210"/>
      <c r="CB47" s="209"/>
      <c r="CC47" s="209"/>
      <c r="CD47" s="209"/>
      <c r="CE47" s="209"/>
      <c r="CF47" s="210"/>
      <c r="CG47" s="209"/>
      <c r="CH47" s="209"/>
      <c r="CI47" s="209"/>
      <c r="CJ47" s="209"/>
      <c r="CK47" s="210"/>
      <c r="CL47" s="209"/>
      <c r="CM47" s="209"/>
      <c r="CN47" s="209"/>
      <c r="CO47" s="209"/>
      <c r="CP47" s="210"/>
      <c r="CQ47" s="209"/>
      <c r="CR47" s="211"/>
      <c r="CS47" s="211"/>
      <c r="CT47" s="212"/>
      <c r="CU47" s="210"/>
      <c r="CV47" s="211"/>
      <c r="CW47" s="211"/>
      <c r="CX47" s="211"/>
      <c r="CY47" s="212"/>
      <c r="CZ47" s="210"/>
      <c r="DA47" s="210"/>
      <c r="DB47" s="213"/>
      <c r="DC47" s="210"/>
      <c r="DF47" s="210">
        <f t="shared" ref="DF47:DF55" si="55">CT47</f>
        <v>0</v>
      </c>
      <c r="DG47" s="210">
        <v>0</v>
      </c>
      <c r="DH47" s="210">
        <f t="shared" ref="DH47:DH55" si="56">CO47</f>
        <v>0</v>
      </c>
      <c r="DI47" s="210" t="str">
        <f t="shared" si="5"/>
        <v>NM</v>
      </c>
      <c r="DJ47" s="210" t="str">
        <f t="shared" si="6"/>
        <v>NM</v>
      </c>
    </row>
    <row r="48" spans="3:114" s="155" customFormat="1">
      <c r="C48" s="336"/>
      <c r="D48" s="1" t="s">
        <v>789</v>
      </c>
      <c r="E48" s="235"/>
      <c r="F48" s="235"/>
      <c r="G48" s="235"/>
      <c r="H48" s="235"/>
      <c r="I48" s="235">
        <f t="shared" ref="I48:AN48" si="57">I29/I10*1000</f>
        <v>20729.266764152915</v>
      </c>
      <c r="J48" s="165">
        <f t="shared" si="57"/>
        <v>20740.091463414632</v>
      </c>
      <c r="K48" s="165">
        <f t="shared" si="57"/>
        <v>21159.021406727828</v>
      </c>
      <c r="L48" s="165">
        <f t="shared" si="57"/>
        <v>21182.065217391304</v>
      </c>
      <c r="M48" s="165">
        <f t="shared" si="57"/>
        <v>21168.734491315136</v>
      </c>
      <c r="N48" s="235">
        <f t="shared" si="57"/>
        <v>21055.138860733834</v>
      </c>
      <c r="O48" s="165">
        <f t="shared" si="57"/>
        <v>21428.442028985508</v>
      </c>
      <c r="P48" s="165">
        <f t="shared" si="57"/>
        <v>21246.935201401051</v>
      </c>
      <c r="Q48" s="165">
        <f t="shared" si="57"/>
        <v>21188.638799571276</v>
      </c>
      <c r="R48" s="165">
        <f t="shared" si="57"/>
        <v>20900.269541778976</v>
      </c>
      <c r="S48" s="235">
        <f t="shared" si="57"/>
        <v>21191.053122087607</v>
      </c>
      <c r="T48" s="165">
        <f t="shared" si="57"/>
        <v>21172.918572735591</v>
      </c>
      <c r="U48" s="165">
        <f t="shared" si="57"/>
        <v>21193.575655114117</v>
      </c>
      <c r="V48" s="165">
        <f t="shared" si="57"/>
        <v>21480.188679245282</v>
      </c>
      <c r="W48" s="165">
        <f t="shared" si="57"/>
        <v>21535.447761194027</v>
      </c>
      <c r="X48" s="235">
        <f t="shared" si="57"/>
        <v>21340.517241379308</v>
      </c>
      <c r="Y48" s="165">
        <f t="shared" si="57"/>
        <v>21700.879765395894</v>
      </c>
      <c r="Z48" s="165">
        <f t="shared" si="57"/>
        <v>21122.448979591838</v>
      </c>
      <c r="AA48" s="165">
        <f t="shared" si="57"/>
        <v>22860.791826309069</v>
      </c>
      <c r="AB48" s="165">
        <f t="shared" si="57"/>
        <v>22240.9756097561</v>
      </c>
      <c r="AC48" s="235">
        <f t="shared" si="57"/>
        <v>21935.712411440567</v>
      </c>
      <c r="AD48" s="165">
        <f t="shared" si="57"/>
        <v>22977.272727272728</v>
      </c>
      <c r="AE48" s="165">
        <f t="shared" si="57"/>
        <v>22307.943416757345</v>
      </c>
      <c r="AF48" s="165">
        <f t="shared" si="57"/>
        <v>23232.051282051281</v>
      </c>
      <c r="AG48" s="165">
        <f t="shared" si="57"/>
        <v>23182.017543859653</v>
      </c>
      <c r="AH48" s="235">
        <f t="shared" si="57"/>
        <v>22913.883521943142</v>
      </c>
      <c r="AI48" s="165">
        <f t="shared" si="57"/>
        <v>23589.086859688196</v>
      </c>
      <c r="AJ48" s="165">
        <f t="shared" si="57"/>
        <v>23155.452436194897</v>
      </c>
      <c r="AK48" s="165">
        <f t="shared" si="57"/>
        <v>23497.416020671837</v>
      </c>
      <c r="AL48" s="165">
        <f t="shared" si="57"/>
        <v>24351.59817351598</v>
      </c>
      <c r="AM48" s="235">
        <f t="shared" si="57"/>
        <v>23654.545454545456</v>
      </c>
      <c r="AN48" s="165">
        <f t="shared" si="57"/>
        <v>22907.300115874856</v>
      </c>
      <c r="AO48" s="165">
        <f t="shared" ref="AO48:BT48" si="58">AO29/AO10*1000</f>
        <v>22986.810551558756</v>
      </c>
      <c r="AP48" s="165">
        <f t="shared" si="58"/>
        <v>21683.098591549297</v>
      </c>
      <c r="AQ48" s="165">
        <f t="shared" si="58"/>
        <v>23431.677018633538</v>
      </c>
      <c r="AR48" s="235">
        <f t="shared" si="58"/>
        <v>22754.834480498197</v>
      </c>
      <c r="AS48" s="165">
        <f t="shared" si="58"/>
        <v>25204.702627939143</v>
      </c>
      <c r="AT48" s="165">
        <f t="shared" si="58"/>
        <v>23285.006195786864</v>
      </c>
      <c r="AU48" s="165">
        <f t="shared" si="58"/>
        <v>25748.829953198128</v>
      </c>
      <c r="AV48" s="165">
        <f t="shared" si="58"/>
        <v>23828.571428571428</v>
      </c>
      <c r="AW48" s="235">
        <f t="shared" si="58"/>
        <v>24458.744710860366</v>
      </c>
      <c r="AX48" s="165">
        <f t="shared" si="58"/>
        <v>24303.977272727272</v>
      </c>
      <c r="AY48" s="165">
        <f t="shared" si="58"/>
        <v>20941.089837997053</v>
      </c>
      <c r="AZ48" s="165">
        <f t="shared" si="58"/>
        <v>23264.069264069265</v>
      </c>
      <c r="BA48" s="165">
        <f t="shared" si="58"/>
        <v>23357.438016528926</v>
      </c>
      <c r="BB48" s="235">
        <f t="shared" si="58"/>
        <v>22920.566766852728</v>
      </c>
      <c r="BC48" s="165">
        <f t="shared" si="58"/>
        <v>28703.389830508473</v>
      </c>
      <c r="BD48" s="165">
        <f t="shared" si="58"/>
        <v>23637.554585152837</v>
      </c>
      <c r="BE48" s="165">
        <f t="shared" si="58"/>
        <v>26585.271317829454</v>
      </c>
      <c r="BF48" s="165">
        <f t="shared" si="58"/>
        <v>25053.882725832013</v>
      </c>
      <c r="BG48" s="235">
        <f t="shared" si="58"/>
        <v>25785.604900459417</v>
      </c>
      <c r="BH48" s="165">
        <f t="shared" si="58"/>
        <v>25835.466179159048</v>
      </c>
      <c r="BI48" s="165">
        <f t="shared" si="58"/>
        <v>25657.056145675266</v>
      </c>
      <c r="BJ48" s="165">
        <f t="shared" si="58"/>
        <v>27373.31081081081</v>
      </c>
      <c r="BK48" s="165">
        <f t="shared" si="58"/>
        <v>27939.837398373984</v>
      </c>
      <c r="BL48" s="235">
        <f t="shared" si="58"/>
        <v>26700.372979693326</v>
      </c>
      <c r="BM48" s="165">
        <f t="shared" si="58"/>
        <v>29198.373983739839</v>
      </c>
      <c r="BN48" s="165">
        <f t="shared" si="58"/>
        <v>26421.195652173916</v>
      </c>
      <c r="BO48" s="165">
        <f t="shared" si="58"/>
        <v>27923.676012461059</v>
      </c>
      <c r="BP48" s="165">
        <f t="shared" si="58"/>
        <v>28415.584415584417</v>
      </c>
      <c r="BQ48" s="235">
        <f t="shared" si="58"/>
        <v>27930.752047654503</v>
      </c>
      <c r="BR48" s="165">
        <f t="shared" si="58"/>
        <v>28571.428571428572</v>
      </c>
      <c r="BS48" s="165">
        <f t="shared" si="58"/>
        <v>27399.165507649515</v>
      </c>
      <c r="BT48" s="165">
        <f t="shared" si="58"/>
        <v>29590.288315629743</v>
      </c>
      <c r="BU48" s="165">
        <f t="shared" ref="BU48:CU48" si="59">BU29/BU10*1000</f>
        <v>29271.523178807947</v>
      </c>
      <c r="BV48" s="235">
        <f t="shared" si="59"/>
        <v>28699.712643678162</v>
      </c>
      <c r="BW48" s="165">
        <f t="shared" si="59"/>
        <v>29303.547963206307</v>
      </c>
      <c r="BX48" s="165">
        <f t="shared" si="59"/>
        <v>27217.496962332927</v>
      </c>
      <c r="BY48" s="165">
        <f t="shared" si="59"/>
        <v>29166.666666666668</v>
      </c>
      <c r="BZ48" s="165">
        <f t="shared" si="59"/>
        <v>29605.263157894737</v>
      </c>
      <c r="CA48" s="235">
        <f t="shared" si="59"/>
        <v>28788.860103626943</v>
      </c>
      <c r="CB48" s="165">
        <f t="shared" si="59"/>
        <v>28451.882845188284</v>
      </c>
      <c r="CC48" s="165">
        <f t="shared" si="59"/>
        <v>27894.736842105263</v>
      </c>
      <c r="CD48" s="165">
        <f t="shared" si="59"/>
        <v>29924.812030075187</v>
      </c>
      <c r="CE48" s="165">
        <f t="shared" si="59"/>
        <v>24189.814814814814</v>
      </c>
      <c r="CF48" s="235">
        <f t="shared" si="59"/>
        <v>27411.842980705256</v>
      </c>
      <c r="CG48" s="165">
        <f t="shared" si="59"/>
        <v>29498.52507374631</v>
      </c>
      <c r="CH48" s="165">
        <f t="shared" si="59"/>
        <v>28553.921568627451</v>
      </c>
      <c r="CI48" s="165">
        <f t="shared" si="59"/>
        <v>30739.299610894941</v>
      </c>
      <c r="CJ48" s="165">
        <f t="shared" si="59"/>
        <v>30816.831683168319</v>
      </c>
      <c r="CK48" s="235">
        <f t="shared" si="59"/>
        <v>29905.629677839243</v>
      </c>
      <c r="CL48" s="165">
        <f t="shared" si="59"/>
        <v>29361.179361179362</v>
      </c>
      <c r="CM48" s="165">
        <f t="shared" si="59"/>
        <v>29202.453987730059</v>
      </c>
      <c r="CN48" s="165">
        <f t="shared" si="59"/>
        <v>31732.168850072783</v>
      </c>
      <c r="CO48" s="165">
        <f t="shared" si="59"/>
        <v>32859.174964438127</v>
      </c>
      <c r="CP48" s="235">
        <f t="shared" si="59"/>
        <v>30672.408082146409</v>
      </c>
      <c r="CQ48" s="165">
        <f t="shared" si="59"/>
        <v>31128.404669260701</v>
      </c>
      <c r="CR48" s="165">
        <f t="shared" si="59"/>
        <v>30359.355638166046</v>
      </c>
      <c r="CS48" s="165">
        <f t="shared" si="59"/>
        <v>32153.846153846152</v>
      </c>
      <c r="CT48" s="165">
        <f t="shared" si="59"/>
        <v>32611.63734776725</v>
      </c>
      <c r="CU48" s="235">
        <f t="shared" si="59"/>
        <v>31513.313110886418</v>
      </c>
      <c r="CV48" s="165">
        <f>CQ48*(1+CV49)</f>
        <v>31439.688715953307</v>
      </c>
      <c r="CW48" s="165">
        <f>CR48*(1+CW49)</f>
        <v>30662.949194547706</v>
      </c>
      <c r="CX48" s="165">
        <f>CS48*(1+CX49)</f>
        <v>32475.384615384613</v>
      </c>
      <c r="CY48" s="300">
        <f>CT48*(1+CY49)</f>
        <v>32937.753721244924</v>
      </c>
      <c r="CZ48" s="235">
        <f>CZ29/CZ10*1000</f>
        <v>31834.56422839388</v>
      </c>
      <c r="DA48" s="235">
        <f>CZ48*(1+DA49)</f>
        <v>32471.255512961758</v>
      </c>
      <c r="DB48" s="248">
        <f>DA48*(1+DB49)</f>
        <v>33120.680623220993</v>
      </c>
      <c r="DC48" s="235">
        <f>DB48*(1+DC49)</f>
        <v>33617.490832569303</v>
      </c>
      <c r="DD48" s="1105"/>
      <c r="DF48" s="235">
        <f t="shared" si="55"/>
        <v>32611.63734776725</v>
      </c>
      <c r="DG48" s="235">
        <v>31873.399715504984</v>
      </c>
      <c r="DH48" s="235">
        <f t="shared" si="56"/>
        <v>32859.174964438127</v>
      </c>
      <c r="DI48" s="235">
        <f t="shared" si="5"/>
        <v>2.3161559132430565E-2</v>
      </c>
      <c r="DJ48" s="235">
        <f t="shared" si="6"/>
        <v>-7.5332876415422634E-3</v>
      </c>
    </row>
    <row r="49" spans="3:114" s="155" customFormat="1">
      <c r="C49" s="336"/>
      <c r="D49" s="339" t="s">
        <v>271</v>
      </c>
      <c r="E49" s="340"/>
      <c r="F49" s="236"/>
      <c r="G49" s="236"/>
      <c r="H49" s="236"/>
      <c r="I49" s="236"/>
      <c r="J49" s="152"/>
      <c r="K49" s="152"/>
      <c r="L49" s="152"/>
      <c r="M49" s="341"/>
      <c r="N49" s="236">
        <f t="shared" ref="N49:AS49" si="60">N48/I48-1</f>
        <v>1.5720387039663608E-2</v>
      </c>
      <c r="O49" s="152">
        <f t="shared" si="60"/>
        <v>3.318936981474363E-2</v>
      </c>
      <c r="P49" s="152">
        <f t="shared" si="60"/>
        <v>4.154908347759001E-3</v>
      </c>
      <c r="Q49" s="152">
        <f t="shared" si="60"/>
        <v>3.1033717026685004E-4</v>
      </c>
      <c r="R49" s="302">
        <f t="shared" si="60"/>
        <v>-1.2682144492213387E-2</v>
      </c>
      <c r="S49" s="236">
        <f t="shared" si="60"/>
        <v>6.4551586314751663E-3</v>
      </c>
      <c r="T49" s="152">
        <f t="shared" si="60"/>
        <v>-1.1924499966179503E-2</v>
      </c>
      <c r="U49" s="152">
        <f t="shared" si="60"/>
        <v>-2.511399680995674E-3</v>
      </c>
      <c r="V49" s="152">
        <f t="shared" si="60"/>
        <v>1.3759726730530053E-2</v>
      </c>
      <c r="W49" s="302">
        <f t="shared" si="60"/>
        <v>3.0390910420812878E-2</v>
      </c>
      <c r="X49" s="236">
        <f t="shared" si="60"/>
        <v>7.0531709033334611E-3</v>
      </c>
      <c r="Y49" s="152">
        <f t="shared" si="60"/>
        <v>2.4935683328048963E-2</v>
      </c>
      <c r="Z49" s="152">
        <f t="shared" si="60"/>
        <v>-3.3560488649830855E-3</v>
      </c>
      <c r="AA49" s="152">
        <f t="shared" si="60"/>
        <v>6.4273324954438715E-2</v>
      </c>
      <c r="AB49" s="302">
        <f t="shared" si="60"/>
        <v>3.276123423973587E-2</v>
      </c>
      <c r="AC49" s="236">
        <f t="shared" si="60"/>
        <v>2.7890381630824468E-2</v>
      </c>
      <c r="AD49" s="152">
        <f t="shared" si="60"/>
        <v>5.881756756756773E-2</v>
      </c>
      <c r="AE49" s="152">
        <f t="shared" si="60"/>
        <v>5.6124857411700368E-2</v>
      </c>
      <c r="AF49" s="152">
        <f t="shared" si="60"/>
        <v>1.624000859475716E-2</v>
      </c>
      <c r="AG49" s="302">
        <f t="shared" si="60"/>
        <v>4.2311180526215741E-2</v>
      </c>
      <c r="AH49" s="236">
        <f t="shared" si="60"/>
        <v>4.459263014372894E-2</v>
      </c>
      <c r="AI49" s="152">
        <f t="shared" si="60"/>
        <v>2.6626925644194444E-2</v>
      </c>
      <c r="AJ49" s="152">
        <f t="shared" si="60"/>
        <v>3.7991355975957708E-2</v>
      </c>
      <c r="AK49" s="152">
        <f t="shared" si="60"/>
        <v>1.1422355064512724E-2</v>
      </c>
      <c r="AL49" s="302">
        <f t="shared" si="60"/>
        <v>5.0452063865602526E-2</v>
      </c>
      <c r="AM49" s="236">
        <f t="shared" si="60"/>
        <v>3.2323719019215158E-2</v>
      </c>
      <c r="AN49" s="152">
        <f t="shared" si="60"/>
        <v>-2.8902633996335747E-2</v>
      </c>
      <c r="AO49" s="152">
        <f t="shared" si="60"/>
        <v>-7.2830312903985339E-3</v>
      </c>
      <c r="AP49" s="152">
        <f t="shared" si="60"/>
        <v>-7.7213487113919066E-2</v>
      </c>
      <c r="AQ49" s="302">
        <f t="shared" si="60"/>
        <v>-3.7776623461326597E-2</v>
      </c>
      <c r="AR49" s="236">
        <f t="shared" si="60"/>
        <v>-3.8035437027363006E-2</v>
      </c>
      <c r="AS49" s="152">
        <f t="shared" si="60"/>
        <v>0.10029128271088461</v>
      </c>
      <c r="AT49" s="152">
        <f t="shared" ref="AT49:BY49" si="61">AT48/AO48-1</f>
        <v>1.2972467126714404E-2</v>
      </c>
      <c r="AU49" s="152">
        <f t="shared" si="61"/>
        <v>0.18750693515886141</v>
      </c>
      <c r="AV49" s="302">
        <f t="shared" si="61"/>
        <v>1.6938369781312135E-2</v>
      </c>
      <c r="AW49" s="236">
        <f t="shared" si="61"/>
        <v>7.4881240372127955E-2</v>
      </c>
      <c r="AX49" s="152">
        <f t="shared" si="61"/>
        <v>-3.5736400802183099E-2</v>
      </c>
      <c r="AY49" s="152">
        <f t="shared" si="61"/>
        <v>-0.10066204569934423</v>
      </c>
      <c r="AZ49" s="152">
        <f t="shared" si="61"/>
        <v>-9.649994557598307E-2</v>
      </c>
      <c r="BA49" s="302">
        <f t="shared" si="61"/>
        <v>-1.9771785877083392E-2</v>
      </c>
      <c r="BB49" s="236">
        <f t="shared" si="61"/>
        <v>-6.2888670787942913E-2</v>
      </c>
      <c r="BC49" s="152">
        <f t="shared" si="61"/>
        <v>0.18101615667317161</v>
      </c>
      <c r="BD49" s="152">
        <f t="shared" si="61"/>
        <v>0.12876429870727746</v>
      </c>
      <c r="BE49" s="152">
        <f t="shared" si="61"/>
        <v>0.14276101124276219</v>
      </c>
      <c r="BF49" s="302">
        <f t="shared" si="61"/>
        <v>7.2629742530092356E-2</v>
      </c>
      <c r="BG49" s="236">
        <f t="shared" si="61"/>
        <v>0.12499857279925775</v>
      </c>
      <c r="BH49" s="152">
        <f t="shared" si="61"/>
        <v>-9.9915852039926811E-2</v>
      </c>
      <c r="BI49" s="152">
        <f t="shared" si="61"/>
        <v>8.5436145826646159E-2</v>
      </c>
      <c r="BJ49" s="152">
        <f t="shared" si="61"/>
        <v>2.964195789316082E-2</v>
      </c>
      <c r="BK49" s="302">
        <f t="shared" si="61"/>
        <v>0.11518991703295489</v>
      </c>
      <c r="BL49" s="236">
        <f t="shared" si="61"/>
        <v>3.547592087776108E-2</v>
      </c>
      <c r="BM49" s="152">
        <f t="shared" si="61"/>
        <v>0.13016632954328422</v>
      </c>
      <c r="BN49" s="152">
        <f t="shared" si="61"/>
        <v>2.9782820841176338E-2</v>
      </c>
      <c r="BO49" s="152">
        <f t="shared" si="61"/>
        <v>2.0105905546248026E-2</v>
      </c>
      <c r="BP49" s="302">
        <f t="shared" si="61"/>
        <v>1.7027551392912565E-2</v>
      </c>
      <c r="BQ49" s="236">
        <f t="shared" si="61"/>
        <v>4.6080969314433506E-2</v>
      </c>
      <c r="BR49" s="152">
        <f t="shared" si="61"/>
        <v>-2.1471928973181953E-2</v>
      </c>
      <c r="BS49" s="152">
        <f t="shared" si="61"/>
        <v>3.7014594961948033E-2</v>
      </c>
      <c r="BT49" s="152">
        <f t="shared" si="61"/>
        <v>5.9684559526652192E-2</v>
      </c>
      <c r="BU49" s="302">
        <f t="shared" si="61"/>
        <v>3.0122159400462367E-2</v>
      </c>
      <c r="BV49" s="236">
        <f t="shared" si="61"/>
        <v>2.7530966395451273E-2</v>
      </c>
      <c r="BW49" s="152">
        <f t="shared" si="61"/>
        <v>2.5624178712220669E-2</v>
      </c>
      <c r="BX49" s="152">
        <f t="shared" si="61"/>
        <v>-6.6304408163769812E-3</v>
      </c>
      <c r="BY49" s="152">
        <f t="shared" si="61"/>
        <v>-1.4316239316239265E-2</v>
      </c>
      <c r="BZ49" s="302">
        <f t="shared" ref="BZ49:CT49" si="62">BZ48/BU48-1</f>
        <v>1.1401524172421906E-2</v>
      </c>
      <c r="CA49" s="236">
        <f t="shared" si="62"/>
        <v>3.1062143741853454E-3</v>
      </c>
      <c r="CB49" s="152">
        <f t="shared" si="62"/>
        <v>-2.9063549543126288E-2</v>
      </c>
      <c r="CC49" s="152">
        <f t="shared" si="62"/>
        <v>2.4882518796992548E-2</v>
      </c>
      <c r="CD49" s="152">
        <f t="shared" si="62"/>
        <v>2.5993555316863537E-2</v>
      </c>
      <c r="CE49" s="302">
        <f t="shared" si="62"/>
        <v>-0.18292181069958846</v>
      </c>
      <c r="CF49" s="236">
        <f t="shared" si="62"/>
        <v>-4.7831595900811763E-2</v>
      </c>
      <c r="CG49" s="152">
        <f t="shared" si="62"/>
        <v>3.6786395974318875E-2</v>
      </c>
      <c r="CH49" s="152">
        <f t="shared" si="62"/>
        <v>2.363115057343701E-2</v>
      </c>
      <c r="CI49" s="152">
        <f t="shared" si="62"/>
        <v>2.7217801067594749E-2</v>
      </c>
      <c r="CJ49" s="302">
        <f t="shared" si="62"/>
        <v>0.27395897484485299</v>
      </c>
      <c r="CK49" s="236">
        <f t="shared" si="62"/>
        <v>9.0974791402727684E-2</v>
      </c>
      <c r="CL49" s="152">
        <f t="shared" si="62"/>
        <v>-4.6560196560195832E-3</v>
      </c>
      <c r="CM49" s="152">
        <f t="shared" si="62"/>
        <v>2.2712551673293113E-2</v>
      </c>
      <c r="CN49" s="152">
        <f t="shared" si="62"/>
        <v>3.2299670185912177E-2</v>
      </c>
      <c r="CO49" s="302">
        <f t="shared" si="62"/>
        <v>6.6273629368112763E-2</v>
      </c>
      <c r="CP49" s="236">
        <f t="shared" si="62"/>
        <v>2.5639935108116685E-2</v>
      </c>
      <c r="CQ49" s="152">
        <f t="shared" si="62"/>
        <v>6.0189179948879179E-2</v>
      </c>
      <c r="CR49" s="152">
        <f t="shared" si="62"/>
        <v>3.9616590130475915E-2</v>
      </c>
      <c r="CS49" s="152">
        <f t="shared" si="62"/>
        <v>1.3288637967536987E-2</v>
      </c>
      <c r="CT49" s="302">
        <f t="shared" si="62"/>
        <v>-7.5332876415422634E-3</v>
      </c>
      <c r="CU49" s="236">
        <f>CU48/CP48-1</f>
        <v>2.7415683388402723E-2</v>
      </c>
      <c r="CV49" s="177">
        <v>0.01</v>
      </c>
      <c r="CW49" s="177">
        <v>0.01</v>
      </c>
      <c r="CX49" s="177">
        <v>0.01</v>
      </c>
      <c r="CY49" s="177">
        <v>0.01</v>
      </c>
      <c r="CZ49" s="236">
        <f>CZ48/CU48-1</f>
        <v>1.0194139739514885E-2</v>
      </c>
      <c r="DA49" s="177">
        <v>0.02</v>
      </c>
      <c r="DB49" s="373">
        <v>0.02</v>
      </c>
      <c r="DC49" s="371">
        <v>1.4999999999999999E-2</v>
      </c>
      <c r="DF49" s="236">
        <f t="shared" si="55"/>
        <v>-7.5332876415422634E-3</v>
      </c>
      <c r="DG49" s="236">
        <v>-0.03</v>
      </c>
      <c r="DH49" s="236">
        <f t="shared" si="56"/>
        <v>6.6273629368112763E-2</v>
      </c>
      <c r="DI49" s="236">
        <f t="shared" si="5"/>
        <v>-0.74889041194859118</v>
      </c>
      <c r="DJ49" s="236">
        <f t="shared" si="6"/>
        <v>-1.1136694596835657</v>
      </c>
    </row>
    <row r="50" spans="3:114" s="155" customFormat="1">
      <c r="C50" s="336"/>
      <c r="D50" s="1" t="s">
        <v>790</v>
      </c>
      <c r="E50" s="235"/>
      <c r="F50" s="235"/>
      <c r="G50" s="235"/>
      <c r="H50" s="235"/>
      <c r="I50" s="235">
        <f t="shared" ref="I50:AN50" si="63">I31/I12*1000</f>
        <v>12841.807909604518</v>
      </c>
      <c r="J50" s="165">
        <f t="shared" si="63"/>
        <v>12020.408163265307</v>
      </c>
      <c r="K50" s="165">
        <f t="shared" si="63"/>
        <v>13872.340425531915</v>
      </c>
      <c r="L50" s="165">
        <f t="shared" si="63"/>
        <v>14511.111111111111</v>
      </c>
      <c r="M50" s="165">
        <f t="shared" si="63"/>
        <v>15285.714285714286</v>
      </c>
      <c r="N50" s="235">
        <f t="shared" si="63"/>
        <v>13857.923497267759</v>
      </c>
      <c r="O50" s="165">
        <f t="shared" si="63"/>
        <v>12200</v>
      </c>
      <c r="P50" s="165">
        <f t="shared" si="63"/>
        <v>13229.166666666666</v>
      </c>
      <c r="Q50" s="165">
        <f t="shared" si="63"/>
        <v>16187.5</v>
      </c>
      <c r="R50" s="165">
        <f t="shared" si="63"/>
        <v>19416.666666666668</v>
      </c>
      <c r="S50" s="235">
        <f t="shared" si="63"/>
        <v>14474.025974025973</v>
      </c>
      <c r="T50" s="165">
        <f t="shared" si="63"/>
        <v>10048.780487804877</v>
      </c>
      <c r="U50" s="165">
        <f t="shared" si="63"/>
        <v>9489.3617021276605</v>
      </c>
      <c r="V50" s="165">
        <f t="shared" si="63"/>
        <v>7660.3773584905657</v>
      </c>
      <c r="W50" s="165">
        <f t="shared" si="63"/>
        <v>5966.1016949152545</v>
      </c>
      <c r="X50" s="235">
        <f t="shared" si="63"/>
        <v>8080</v>
      </c>
      <c r="Y50" s="165">
        <f t="shared" si="63"/>
        <v>6521.7391304347821</v>
      </c>
      <c r="Z50" s="165">
        <f t="shared" si="63"/>
        <v>8163.2653061224491</v>
      </c>
      <c r="AA50" s="165">
        <f t="shared" si="63"/>
        <v>9090.9090909090919</v>
      </c>
      <c r="AB50" s="165">
        <f t="shared" si="63"/>
        <v>11474.576271186441</v>
      </c>
      <c r="AC50" s="235">
        <f t="shared" si="63"/>
        <v>8980.8612440191391</v>
      </c>
      <c r="AD50" s="165">
        <f t="shared" si="63"/>
        <v>9848.484848484848</v>
      </c>
      <c r="AE50" s="165">
        <f t="shared" si="63"/>
        <v>9925.373134328358</v>
      </c>
      <c r="AF50" s="165">
        <f t="shared" si="63"/>
        <v>10315.78947368421</v>
      </c>
      <c r="AG50" s="165">
        <f t="shared" si="63"/>
        <v>10831.325301204819</v>
      </c>
      <c r="AH50" s="235">
        <f t="shared" si="63"/>
        <v>10267.123287671233</v>
      </c>
      <c r="AI50" s="165">
        <f t="shared" si="63"/>
        <v>11863.013698630137</v>
      </c>
      <c r="AJ50" s="165">
        <f t="shared" si="63"/>
        <v>12258.823529411766</v>
      </c>
      <c r="AK50" s="165">
        <f t="shared" si="63"/>
        <v>13170.454545454544</v>
      </c>
      <c r="AL50" s="165">
        <f t="shared" si="63"/>
        <v>14595.505617977527</v>
      </c>
      <c r="AM50" s="235">
        <f t="shared" si="63"/>
        <v>13032.835820895523</v>
      </c>
      <c r="AN50" s="165">
        <f t="shared" si="63"/>
        <v>13833.333333333334</v>
      </c>
      <c r="AO50" s="165">
        <f t="shared" ref="AO50:BT50" si="64">AO31/AO12*1000</f>
        <v>14322.222222222223</v>
      </c>
      <c r="AP50" s="165">
        <f t="shared" si="64"/>
        <v>15079.20792079208</v>
      </c>
      <c r="AQ50" s="165">
        <f t="shared" si="64"/>
        <v>16254.716981132076</v>
      </c>
      <c r="AR50" s="235">
        <f t="shared" si="64"/>
        <v>14952.755905511811</v>
      </c>
      <c r="AS50" s="165">
        <f t="shared" si="64"/>
        <v>15273.809523809523</v>
      </c>
      <c r="AT50" s="165">
        <f t="shared" si="64"/>
        <v>16609.090909090908</v>
      </c>
      <c r="AU50" s="165">
        <f t="shared" si="64"/>
        <v>17793.103448275862</v>
      </c>
      <c r="AV50" s="165">
        <f t="shared" si="64"/>
        <v>19134.920634920636</v>
      </c>
      <c r="AW50" s="235">
        <f t="shared" si="64"/>
        <v>17396.788990825688</v>
      </c>
      <c r="AX50" s="165">
        <f t="shared" si="64"/>
        <v>20021.73913043478</v>
      </c>
      <c r="AY50" s="165">
        <f t="shared" si="64"/>
        <v>19881.355932203391</v>
      </c>
      <c r="AZ50" s="165">
        <f t="shared" si="64"/>
        <v>21696</v>
      </c>
      <c r="BA50" s="165">
        <f t="shared" si="64"/>
        <v>17480</v>
      </c>
      <c r="BB50" s="235">
        <f t="shared" si="64"/>
        <v>19880.459770114943</v>
      </c>
      <c r="BC50" s="165">
        <f t="shared" si="64"/>
        <v>15096.774193548388</v>
      </c>
      <c r="BD50" s="165">
        <f t="shared" si="64"/>
        <v>16576.576576576579</v>
      </c>
      <c r="BE50" s="165">
        <f t="shared" si="64"/>
        <v>19342.592592592591</v>
      </c>
      <c r="BF50" s="165">
        <f t="shared" si="64"/>
        <v>19954.198473282442</v>
      </c>
      <c r="BG50" s="235">
        <f t="shared" si="64"/>
        <v>17939.051918735891</v>
      </c>
      <c r="BH50" s="165">
        <f t="shared" si="64"/>
        <v>19940.594059405943</v>
      </c>
      <c r="BI50" s="165">
        <f t="shared" si="64"/>
        <v>20153.846153846152</v>
      </c>
      <c r="BJ50" s="165">
        <f t="shared" si="64"/>
        <v>21060.344827586207</v>
      </c>
      <c r="BK50" s="165">
        <f t="shared" si="64"/>
        <v>19915.492957746479</v>
      </c>
      <c r="BL50" s="235">
        <f t="shared" si="64"/>
        <v>20255.623721881391</v>
      </c>
      <c r="BM50" s="165">
        <f t="shared" si="64"/>
        <v>20342.105263157893</v>
      </c>
      <c r="BN50" s="165">
        <f t="shared" si="64"/>
        <v>21711.111111111113</v>
      </c>
      <c r="BO50" s="165">
        <f t="shared" si="64"/>
        <v>22398.496240601504</v>
      </c>
      <c r="BP50" s="165">
        <f t="shared" si="64"/>
        <v>22153.225806451614</v>
      </c>
      <c r="BQ50" s="235">
        <f t="shared" si="64"/>
        <v>21691.699604743084</v>
      </c>
      <c r="BR50" s="165">
        <f t="shared" si="64"/>
        <v>20338.983050847455</v>
      </c>
      <c r="BS50" s="165">
        <f t="shared" si="64"/>
        <v>19327.731092436974</v>
      </c>
      <c r="BT50" s="165">
        <f t="shared" si="64"/>
        <v>19658.11965811966</v>
      </c>
      <c r="BU50" s="165">
        <f t="shared" ref="BU50:CU50" si="65">BU31/BU12*1000</f>
        <v>21527.777777777777</v>
      </c>
      <c r="BV50" s="235">
        <f t="shared" si="65"/>
        <v>20281.124497991968</v>
      </c>
      <c r="BW50" s="165">
        <f t="shared" si="65"/>
        <v>20353.982300884956</v>
      </c>
      <c r="BX50" s="165">
        <f t="shared" si="65"/>
        <v>20408.163265306121</v>
      </c>
      <c r="BY50" s="165">
        <f t="shared" si="65"/>
        <v>19580.419580419581</v>
      </c>
      <c r="BZ50" s="165">
        <f t="shared" si="65"/>
        <v>20000</v>
      </c>
      <c r="CA50" s="235">
        <f t="shared" si="65"/>
        <v>20074.349442379185</v>
      </c>
      <c r="CB50" s="165">
        <f t="shared" si="65"/>
        <v>18269.23076923077</v>
      </c>
      <c r="CC50" s="165">
        <f t="shared" si="65"/>
        <v>18421.05263157895</v>
      </c>
      <c r="CD50" s="165">
        <f t="shared" si="65"/>
        <v>20353.982300884956</v>
      </c>
      <c r="CE50" s="165">
        <f t="shared" si="65"/>
        <v>18939.393939393936</v>
      </c>
      <c r="CF50" s="235">
        <f t="shared" si="65"/>
        <v>19006.479481641469</v>
      </c>
      <c r="CG50" s="165">
        <f t="shared" si="65"/>
        <v>14851.485148514852</v>
      </c>
      <c r="CH50" s="165">
        <f t="shared" si="65"/>
        <v>15306.122448979591</v>
      </c>
      <c r="CI50" s="165">
        <f t="shared" si="65"/>
        <v>15686.274509803921</v>
      </c>
      <c r="CJ50" s="165">
        <f t="shared" si="65"/>
        <v>15000</v>
      </c>
      <c r="CK50" s="235">
        <f t="shared" si="65"/>
        <v>15223.097112860893</v>
      </c>
      <c r="CL50" s="165">
        <f t="shared" si="65"/>
        <v>12698.412698412698</v>
      </c>
      <c r="CM50" s="165">
        <f t="shared" si="65"/>
        <v>15662.650602409638</v>
      </c>
      <c r="CN50" s="165">
        <f t="shared" si="65"/>
        <v>14606.741573033707</v>
      </c>
      <c r="CO50" s="165">
        <f t="shared" si="65"/>
        <v>15555.555555555555</v>
      </c>
      <c r="CP50" s="235">
        <f t="shared" si="65"/>
        <v>14769.23076923077</v>
      </c>
      <c r="CQ50" s="165">
        <f t="shared" si="65"/>
        <v>15714.285714285714</v>
      </c>
      <c r="CR50" s="165">
        <f t="shared" si="65"/>
        <v>16129.032258064515</v>
      </c>
      <c r="CS50" s="165">
        <f t="shared" si="65"/>
        <v>14563.106796116506</v>
      </c>
      <c r="CT50" s="165">
        <f t="shared" si="65"/>
        <v>15887.85046728972</v>
      </c>
      <c r="CU50" s="235">
        <f t="shared" si="65"/>
        <v>15549.597855227881</v>
      </c>
      <c r="CV50" s="165">
        <f>CQ50*(1+CV51)</f>
        <v>16028.571428571428</v>
      </c>
      <c r="CW50" s="165">
        <f>CR50*(1+CW51)</f>
        <v>16370.967741935481</v>
      </c>
      <c r="CX50" s="165">
        <f>CS50*(1+CX51)</f>
        <v>14708.737864077671</v>
      </c>
      <c r="CY50" s="300">
        <f>CT50*(1+CY51)</f>
        <v>16046.728971962617</v>
      </c>
      <c r="CZ50" s="235">
        <f>CZ31/CZ12*1000</f>
        <v>15749.189669594316</v>
      </c>
      <c r="DA50" s="235">
        <f>CZ50*(1+DA51)</f>
        <v>15906.681566290259</v>
      </c>
      <c r="DB50" s="248">
        <f>DA50*(1+DB51)</f>
        <v>16065.748381953163</v>
      </c>
      <c r="DC50" s="235">
        <f>DB50*(1+DC51)</f>
        <v>16226.405865772695</v>
      </c>
      <c r="DF50" s="235">
        <f t="shared" si="55"/>
        <v>15887.85046728972</v>
      </c>
      <c r="DG50" s="235">
        <v>15897.777777777777</v>
      </c>
      <c r="DH50" s="235">
        <f t="shared" si="56"/>
        <v>15555.555555555555</v>
      </c>
      <c r="DI50" s="235">
        <f t="shared" si="5"/>
        <v>-6.2444642432568642E-4</v>
      </c>
      <c r="DJ50" s="235">
        <f t="shared" si="6"/>
        <v>2.1361815754339153E-2</v>
      </c>
    </row>
    <row r="51" spans="3:114" s="155" customFormat="1">
      <c r="C51" s="336"/>
      <c r="D51" s="339" t="s">
        <v>271</v>
      </c>
      <c r="E51" s="340"/>
      <c r="F51" s="236"/>
      <c r="G51" s="236"/>
      <c r="H51" s="236"/>
      <c r="I51" s="236"/>
      <c r="J51" s="152"/>
      <c r="K51" s="152"/>
      <c r="L51" s="152"/>
      <c r="M51" s="341"/>
      <c r="N51" s="236">
        <f t="shared" ref="N51:AS51" si="66">N50/I50-1</f>
        <v>7.9125586896785505E-2</v>
      </c>
      <c r="O51" s="152">
        <f t="shared" si="66"/>
        <v>1.4940577249575426E-2</v>
      </c>
      <c r="P51" s="152">
        <f t="shared" si="66"/>
        <v>-4.6363752556237259E-2</v>
      </c>
      <c r="Q51" s="152">
        <f t="shared" si="66"/>
        <v>0.11552450229709033</v>
      </c>
      <c r="R51" s="302">
        <f t="shared" si="66"/>
        <v>0.27024922118380057</v>
      </c>
      <c r="S51" s="236">
        <f t="shared" si="66"/>
        <v>4.4458498914334843E-2</v>
      </c>
      <c r="T51" s="152">
        <f t="shared" si="66"/>
        <v>-0.176329468212715</v>
      </c>
      <c r="U51" s="152">
        <f t="shared" si="66"/>
        <v>-0.28269391857932646</v>
      </c>
      <c r="V51" s="152">
        <f t="shared" si="66"/>
        <v>-0.52677205507394187</v>
      </c>
      <c r="W51" s="302">
        <f t="shared" si="66"/>
        <v>-0.69273295991852768</v>
      </c>
      <c r="X51" s="236">
        <f t="shared" si="66"/>
        <v>-0.44175863615971289</v>
      </c>
      <c r="Y51" s="152">
        <f t="shared" si="66"/>
        <v>-0.35099197973828622</v>
      </c>
      <c r="Z51" s="152">
        <f t="shared" si="66"/>
        <v>-0.13974558433238771</v>
      </c>
      <c r="AA51" s="152">
        <f t="shared" si="66"/>
        <v>0.18674429019256622</v>
      </c>
      <c r="AB51" s="302">
        <f t="shared" si="66"/>
        <v>0.92329545454545459</v>
      </c>
      <c r="AC51" s="236">
        <f t="shared" si="66"/>
        <v>0.11149272822019052</v>
      </c>
      <c r="AD51" s="152">
        <f t="shared" si="66"/>
        <v>0.51010101010101017</v>
      </c>
      <c r="AE51" s="152">
        <f t="shared" si="66"/>
        <v>0.2158582089552239</v>
      </c>
      <c r="AF51" s="152">
        <f t="shared" si="66"/>
        <v>0.13473684210526304</v>
      </c>
      <c r="AG51" s="302">
        <f t="shared" si="66"/>
        <v>-5.6058799451869534E-2</v>
      </c>
      <c r="AH51" s="236">
        <f t="shared" si="66"/>
        <v>0.14322257172258257</v>
      </c>
      <c r="AI51" s="152">
        <f t="shared" si="66"/>
        <v>0.20455216016859845</v>
      </c>
      <c r="AJ51" s="152">
        <f t="shared" si="66"/>
        <v>0.23509951348960656</v>
      </c>
      <c r="AK51" s="152">
        <f t="shared" si="66"/>
        <v>0.27672773654916516</v>
      </c>
      <c r="AL51" s="302">
        <f t="shared" si="66"/>
        <v>0.34752721500793649</v>
      </c>
      <c r="AM51" s="236">
        <f t="shared" si="66"/>
        <v>0.26937560363625512</v>
      </c>
      <c r="AN51" s="152">
        <f t="shared" si="66"/>
        <v>0.16608929946112405</v>
      </c>
      <c r="AO51" s="152">
        <f t="shared" si="66"/>
        <v>0.16831947110258039</v>
      </c>
      <c r="AP51" s="152">
        <f t="shared" si="66"/>
        <v>0.14492691719560247</v>
      </c>
      <c r="AQ51" s="302">
        <f t="shared" si="66"/>
        <v>0.11367960840704772</v>
      </c>
      <c r="AR51" s="236">
        <f t="shared" si="66"/>
        <v>0.14731406970830419</v>
      </c>
      <c r="AS51" s="152">
        <f t="shared" si="66"/>
        <v>0.10413080895008586</v>
      </c>
      <c r="AT51" s="152">
        <f t="shared" ref="AT51:BY51" si="67">AT50/AO50-1</f>
        <v>0.15967275548346138</v>
      </c>
      <c r="AU51" s="152">
        <f t="shared" si="67"/>
        <v>0.17997600018113058</v>
      </c>
      <c r="AV51" s="302">
        <f t="shared" si="67"/>
        <v>0.17719186726731717</v>
      </c>
      <c r="AW51" s="236">
        <f t="shared" si="67"/>
        <v>0.16345034325163899</v>
      </c>
      <c r="AX51" s="152">
        <f t="shared" si="67"/>
        <v>0.31085431563251875</v>
      </c>
      <c r="AY51" s="152">
        <f t="shared" si="67"/>
        <v>0.19701650385461034</v>
      </c>
      <c r="AZ51" s="152">
        <f t="shared" si="67"/>
        <v>0.21934883720930221</v>
      </c>
      <c r="BA51" s="302">
        <f t="shared" si="67"/>
        <v>-8.6486934881791822E-2</v>
      </c>
      <c r="BB51" s="236">
        <f t="shared" si="67"/>
        <v>0.14276604611339683</v>
      </c>
      <c r="BC51" s="152">
        <f t="shared" si="67"/>
        <v>-0.24598087632657339</v>
      </c>
      <c r="BD51" s="152">
        <f t="shared" si="67"/>
        <v>-0.1662250485779897</v>
      </c>
      <c r="BE51" s="152">
        <f t="shared" si="67"/>
        <v>-0.10847194908773083</v>
      </c>
      <c r="BF51" s="302">
        <f t="shared" si="67"/>
        <v>0.14154453508480791</v>
      </c>
      <c r="BG51" s="236">
        <f t="shared" si="67"/>
        <v>-9.7654072080236798E-2</v>
      </c>
      <c r="BH51" s="152">
        <f t="shared" si="67"/>
        <v>0.32085131590082083</v>
      </c>
      <c r="BI51" s="152">
        <f t="shared" si="67"/>
        <v>0.21580267558528399</v>
      </c>
      <c r="BJ51" s="152">
        <f t="shared" si="67"/>
        <v>8.8806721579373082E-2</v>
      </c>
      <c r="BK51" s="302">
        <f t="shared" si="67"/>
        <v>-1.9397178788106428E-3</v>
      </c>
      <c r="BL51" s="236">
        <f t="shared" si="67"/>
        <v>0.12913568752906213</v>
      </c>
      <c r="BM51" s="152">
        <f t="shared" si="67"/>
        <v>2.0135368211989579E-2</v>
      </c>
      <c r="BN51" s="152">
        <f t="shared" si="67"/>
        <v>7.7268871925360694E-2</v>
      </c>
      <c r="BO51" s="152">
        <f t="shared" si="67"/>
        <v>6.3538912775183976E-2</v>
      </c>
      <c r="BP51" s="302">
        <f t="shared" si="67"/>
        <v>0.11236140895195512</v>
      </c>
      <c r="BQ51" s="236">
        <f t="shared" si="67"/>
        <v>7.0897638235170923E-2</v>
      </c>
      <c r="BR51" s="152">
        <f t="shared" si="67"/>
        <v>-1.5348521060365439E-4</v>
      </c>
      <c r="BS51" s="152">
        <f t="shared" si="67"/>
        <v>-0.1097769711774168</v>
      </c>
      <c r="BT51" s="152">
        <f t="shared" si="67"/>
        <v>-0.12234645366568819</v>
      </c>
      <c r="BU51" s="302">
        <f t="shared" si="67"/>
        <v>-2.823281964162927E-2</v>
      </c>
      <c r="BV51" s="236">
        <f t="shared" si="67"/>
        <v>-6.5028334914000063E-2</v>
      </c>
      <c r="BW51" s="152">
        <f t="shared" si="67"/>
        <v>7.3746312684375148E-4</v>
      </c>
      <c r="BX51" s="152">
        <f t="shared" si="67"/>
        <v>5.5900621118012417E-2</v>
      </c>
      <c r="BY51" s="152">
        <f t="shared" si="67"/>
        <v>-3.9525691699605625E-3</v>
      </c>
      <c r="BZ51" s="302">
        <f t="shared" ref="BZ51:CT51" si="68">BZ50/BU50-1</f>
        <v>-7.096774193548383E-2</v>
      </c>
      <c r="CA51" s="236">
        <f t="shared" si="68"/>
        <v>-1.0195443336155074E-2</v>
      </c>
      <c r="CB51" s="152">
        <f t="shared" si="68"/>
        <v>-0.10242474916387956</v>
      </c>
      <c r="CC51" s="152">
        <f t="shared" si="68"/>
        <v>-9.7368421052631327E-2</v>
      </c>
      <c r="CD51" s="152">
        <f t="shared" si="68"/>
        <v>3.9506953223767294E-2</v>
      </c>
      <c r="CE51" s="302">
        <f t="shared" si="68"/>
        <v>-5.3030303030303205E-2</v>
      </c>
      <c r="CF51" s="236">
        <f t="shared" si="68"/>
        <v>-5.3195744340452933E-2</v>
      </c>
      <c r="CG51" s="152">
        <f t="shared" si="68"/>
        <v>-0.18707660239708179</v>
      </c>
      <c r="CH51" s="152">
        <f t="shared" si="68"/>
        <v>-0.1690962099125366</v>
      </c>
      <c r="CI51" s="152">
        <f t="shared" si="68"/>
        <v>-0.22932651321398123</v>
      </c>
      <c r="CJ51" s="302">
        <f t="shared" si="68"/>
        <v>-0.20799999999999985</v>
      </c>
      <c r="CK51" s="236">
        <f t="shared" si="68"/>
        <v>-0.19905750417561441</v>
      </c>
      <c r="CL51" s="152">
        <f t="shared" si="68"/>
        <v>-0.14497354497354509</v>
      </c>
      <c r="CM51" s="152">
        <f t="shared" si="68"/>
        <v>2.3293172690763031E-2</v>
      </c>
      <c r="CN51" s="152">
        <f t="shared" si="68"/>
        <v>-6.8820224719101208E-2</v>
      </c>
      <c r="CO51" s="302">
        <f t="shared" si="68"/>
        <v>3.7037037037036979E-2</v>
      </c>
      <c r="CP51" s="236">
        <f t="shared" si="68"/>
        <v>-2.9814323607427085E-2</v>
      </c>
      <c r="CQ51" s="152">
        <f t="shared" si="68"/>
        <v>0.23750000000000004</v>
      </c>
      <c r="CR51" s="152">
        <f t="shared" si="68"/>
        <v>2.977667493796532E-2</v>
      </c>
      <c r="CS51" s="152">
        <f t="shared" si="68"/>
        <v>-2.9873039581775895E-3</v>
      </c>
      <c r="CT51" s="302">
        <f t="shared" si="68"/>
        <v>2.1361815754339153E-2</v>
      </c>
      <c r="CU51" s="236">
        <f>CU50/CP50-1</f>
        <v>5.2837354781054335E-2</v>
      </c>
      <c r="CV51" s="177">
        <v>0.02</v>
      </c>
      <c r="CW51" s="177">
        <v>1.4999999999999999E-2</v>
      </c>
      <c r="CX51" s="177">
        <v>0.01</v>
      </c>
      <c r="CY51" s="177">
        <v>0.01</v>
      </c>
      <c r="CZ51" s="236">
        <f>CZ50/CU50-1</f>
        <v>1.2835818406669031E-2</v>
      </c>
      <c r="DA51" s="177">
        <v>0.01</v>
      </c>
      <c r="DB51" s="373">
        <v>0.01</v>
      </c>
      <c r="DC51" s="371">
        <v>0.01</v>
      </c>
      <c r="DF51" s="236">
        <f t="shared" si="55"/>
        <v>2.1361815754339153E-2</v>
      </c>
      <c r="DG51" s="236">
        <v>2.1999999999999999E-2</v>
      </c>
      <c r="DH51" s="236">
        <f t="shared" si="56"/>
        <v>3.7037037037036979E-2</v>
      </c>
      <c r="DI51" s="236">
        <f t="shared" si="5"/>
        <v>-2.9008374802765746E-2</v>
      </c>
      <c r="DJ51" s="236">
        <f t="shared" si="6"/>
        <v>-0.42323097463284198</v>
      </c>
    </row>
    <row r="52" spans="3:114" s="155" customFormat="1">
      <c r="C52" s="336"/>
      <c r="D52" s="1" t="s">
        <v>791</v>
      </c>
      <c r="E52" s="235"/>
      <c r="F52" s="235"/>
      <c r="G52" s="235"/>
      <c r="H52" s="235"/>
      <c r="I52" s="235">
        <f t="shared" ref="I52:AN52" si="69">I33/I14*1000</f>
        <v>14971.428571428571</v>
      </c>
      <c r="J52" s="165">
        <f t="shared" si="69"/>
        <v>14945.492662473795</v>
      </c>
      <c r="K52" s="165">
        <f t="shared" si="69"/>
        <v>14589.251439539348</v>
      </c>
      <c r="L52" s="165">
        <f t="shared" si="69"/>
        <v>15971.014492753624</v>
      </c>
      <c r="M52" s="165">
        <f t="shared" si="69"/>
        <v>15600</v>
      </c>
      <c r="N52" s="235">
        <f t="shared" si="69"/>
        <v>15235.919234856536</v>
      </c>
      <c r="O52" s="165">
        <f t="shared" si="69"/>
        <v>15076.388888888889</v>
      </c>
      <c r="P52" s="165">
        <f t="shared" si="69"/>
        <v>13955.09499136442</v>
      </c>
      <c r="Q52" s="165">
        <f t="shared" si="69"/>
        <v>14866.962305986697</v>
      </c>
      <c r="R52" s="165">
        <f t="shared" si="69"/>
        <v>15236.036036036037</v>
      </c>
      <c r="S52" s="235">
        <f t="shared" si="69"/>
        <v>14773.25312355391</v>
      </c>
      <c r="T52" s="165">
        <f t="shared" si="69"/>
        <v>15676.148796498905</v>
      </c>
      <c r="U52" s="165">
        <f t="shared" si="69"/>
        <v>15215.613382899628</v>
      </c>
      <c r="V52" s="165">
        <f t="shared" si="69"/>
        <v>16627.753303964761</v>
      </c>
      <c r="W52" s="165">
        <f t="shared" si="69"/>
        <v>16569.369369369368</v>
      </c>
      <c r="X52" s="235">
        <f t="shared" si="69"/>
        <v>16015.469061876245</v>
      </c>
      <c r="Y52" s="165">
        <f t="shared" si="69"/>
        <v>12468.827930174564</v>
      </c>
      <c r="Z52" s="165">
        <f t="shared" si="69"/>
        <v>12713.93643031785</v>
      </c>
      <c r="AA52" s="165">
        <f t="shared" si="69"/>
        <v>15015.974440894568</v>
      </c>
      <c r="AB52" s="165">
        <f t="shared" si="69"/>
        <v>15436.440677966102</v>
      </c>
      <c r="AC52" s="235">
        <f t="shared" si="69"/>
        <v>13909.717868338557</v>
      </c>
      <c r="AD52" s="165">
        <f t="shared" si="69"/>
        <v>15380.952380952382</v>
      </c>
      <c r="AE52" s="165">
        <f t="shared" si="69"/>
        <v>14867.549668874173</v>
      </c>
      <c r="AF52" s="165">
        <f t="shared" si="69"/>
        <v>15903.225806451612</v>
      </c>
      <c r="AG52" s="165">
        <f t="shared" si="69"/>
        <v>16141.304347826086</v>
      </c>
      <c r="AH52" s="235">
        <f t="shared" si="69"/>
        <v>15563.636363636364</v>
      </c>
      <c r="AI52" s="165">
        <f t="shared" si="69"/>
        <v>17292.134831460677</v>
      </c>
      <c r="AJ52" s="165">
        <f t="shared" si="69"/>
        <v>17372.246696035239</v>
      </c>
      <c r="AK52" s="165">
        <f t="shared" si="69"/>
        <v>17256.064690026953</v>
      </c>
      <c r="AL52" s="165">
        <f t="shared" si="69"/>
        <v>16426.501035196685</v>
      </c>
      <c r="AM52" s="235">
        <f t="shared" si="69"/>
        <v>17066.742726754135</v>
      </c>
      <c r="AN52" s="165">
        <f t="shared" si="69"/>
        <v>15608.294930875576</v>
      </c>
      <c r="AO52" s="165">
        <f t="shared" ref="AO52:BT52" si="70">AO33/AO14*1000</f>
        <v>16396.514161220042</v>
      </c>
      <c r="AP52" s="165">
        <f t="shared" si="70"/>
        <v>17657.76699029126</v>
      </c>
      <c r="AQ52" s="165">
        <f t="shared" si="70"/>
        <v>16301.293900184841</v>
      </c>
      <c r="AR52" s="235">
        <f t="shared" si="70"/>
        <v>16464.788732394369</v>
      </c>
      <c r="AS52" s="165">
        <f t="shared" si="70"/>
        <v>17264</v>
      </c>
      <c r="AT52" s="165">
        <f t="shared" si="70"/>
        <v>18080.55009823183</v>
      </c>
      <c r="AU52" s="165">
        <f t="shared" si="70"/>
        <v>19734.597156398107</v>
      </c>
      <c r="AV52" s="165">
        <f t="shared" si="70"/>
        <v>20876.796714579054</v>
      </c>
      <c r="AW52" s="235">
        <f t="shared" si="70"/>
        <v>18941.605839416061</v>
      </c>
      <c r="AX52" s="165">
        <f t="shared" si="70"/>
        <v>20310</v>
      </c>
      <c r="AY52" s="165">
        <f t="shared" si="70"/>
        <v>21727.443609022557</v>
      </c>
      <c r="AZ52" s="165">
        <f t="shared" si="70"/>
        <v>23560.9756097561</v>
      </c>
      <c r="BA52" s="165">
        <f t="shared" si="70"/>
        <v>20198.4126984127</v>
      </c>
      <c r="BB52" s="235">
        <f t="shared" si="70"/>
        <v>21433.516483516483</v>
      </c>
      <c r="BC52" s="165">
        <f t="shared" si="70"/>
        <v>17472.303206997087</v>
      </c>
      <c r="BD52" s="165">
        <f t="shared" si="70"/>
        <v>18085</v>
      </c>
      <c r="BE52" s="165">
        <f t="shared" si="70"/>
        <v>19297.709923664122</v>
      </c>
      <c r="BF52" s="165">
        <f t="shared" si="70"/>
        <v>20006.944444444442</v>
      </c>
      <c r="BG52" s="235">
        <f t="shared" si="70"/>
        <v>18784.438775510203</v>
      </c>
      <c r="BH52" s="165">
        <f t="shared" si="70"/>
        <v>18382.211538461539</v>
      </c>
      <c r="BI52" s="165">
        <f t="shared" si="70"/>
        <v>17973.809523809527</v>
      </c>
      <c r="BJ52" s="165">
        <f t="shared" si="70"/>
        <v>18302.941176470591</v>
      </c>
      <c r="BK52" s="165">
        <f t="shared" si="70"/>
        <v>20319.899244332493</v>
      </c>
      <c r="BL52" s="235">
        <f t="shared" si="70"/>
        <v>18745.073108709472</v>
      </c>
      <c r="BM52" s="165">
        <f t="shared" si="70"/>
        <v>20150.462962962964</v>
      </c>
      <c r="BN52" s="165">
        <f t="shared" si="70"/>
        <v>21327.014218009477</v>
      </c>
      <c r="BO52" s="165">
        <f t="shared" si="70"/>
        <v>21812.32492997199</v>
      </c>
      <c r="BP52" s="165">
        <f t="shared" si="70"/>
        <v>21140.66496163683</v>
      </c>
      <c r="BQ52" s="235">
        <f t="shared" si="70"/>
        <v>21072.409488139827</v>
      </c>
      <c r="BR52" s="165">
        <f t="shared" si="70"/>
        <v>19354.83870967742</v>
      </c>
      <c r="BS52" s="165">
        <f t="shared" si="70"/>
        <v>19777.15877437326</v>
      </c>
      <c r="BT52" s="165">
        <f t="shared" si="70"/>
        <v>19661.016949152545</v>
      </c>
      <c r="BU52" s="165">
        <f t="shared" ref="BU52:CU52" si="71">BU33/BU14*1000</f>
        <v>19877.675840978594</v>
      </c>
      <c r="BV52" s="235">
        <f t="shared" si="71"/>
        <v>19660.014781966001</v>
      </c>
      <c r="BW52" s="165">
        <f t="shared" si="71"/>
        <v>19648.093841642229</v>
      </c>
      <c r="BX52" s="165">
        <f t="shared" si="71"/>
        <v>19437.340153452686</v>
      </c>
      <c r="BY52" s="165">
        <f t="shared" si="71"/>
        <v>20967.741935483871</v>
      </c>
      <c r="BZ52" s="165">
        <f t="shared" si="71"/>
        <v>22327.044025157233</v>
      </c>
      <c r="CA52" s="235">
        <f t="shared" si="71"/>
        <v>20514.705882352941</v>
      </c>
      <c r="CB52" s="165">
        <f t="shared" si="71"/>
        <v>21531.100478468899</v>
      </c>
      <c r="CC52" s="165">
        <f t="shared" si="71"/>
        <v>21411.764705882353</v>
      </c>
      <c r="CD52" s="165">
        <f t="shared" si="71"/>
        <v>21680.216802168023</v>
      </c>
      <c r="CE52" s="165">
        <f t="shared" si="71"/>
        <v>21253.405994550409</v>
      </c>
      <c r="CF52" s="235">
        <f t="shared" si="71"/>
        <v>21469.284357188095</v>
      </c>
      <c r="CG52" s="165">
        <f t="shared" si="71"/>
        <v>18912.529550827421</v>
      </c>
      <c r="CH52" s="165">
        <f t="shared" si="71"/>
        <v>18244.803695150116</v>
      </c>
      <c r="CI52" s="165">
        <f t="shared" si="71"/>
        <v>18944.844124700241</v>
      </c>
      <c r="CJ52" s="165">
        <f t="shared" si="71"/>
        <v>18918.91891891892</v>
      </c>
      <c r="CK52" s="235">
        <f t="shared" si="71"/>
        <v>18753.640069889341</v>
      </c>
      <c r="CL52" s="165">
        <f t="shared" si="71"/>
        <v>17528.089887640446</v>
      </c>
      <c r="CM52" s="165">
        <f t="shared" si="71"/>
        <v>19444.444444444442</v>
      </c>
      <c r="CN52" s="165">
        <f t="shared" si="71"/>
        <v>19943.8202247191</v>
      </c>
      <c r="CO52" s="165">
        <f t="shared" si="71"/>
        <v>18793.503480278421</v>
      </c>
      <c r="CP52" s="235">
        <f t="shared" si="71"/>
        <v>18882.352941176472</v>
      </c>
      <c r="CQ52" s="165">
        <f t="shared" si="71"/>
        <v>17118.997912317329</v>
      </c>
      <c r="CR52" s="165">
        <f t="shared" si="71"/>
        <v>20520.200405074087</v>
      </c>
      <c r="CS52" s="165">
        <f t="shared" si="71"/>
        <v>20161.290322580644</v>
      </c>
      <c r="CT52" s="165">
        <f t="shared" si="71"/>
        <v>19733.924611973394</v>
      </c>
      <c r="CU52" s="235">
        <f t="shared" si="71"/>
        <v>19257.828337029881</v>
      </c>
      <c r="CV52" s="165">
        <f>CQ52*(1+CV53)</f>
        <v>17974.947807933197</v>
      </c>
      <c r="CW52" s="165">
        <f>CR52*(1+CW53)</f>
        <v>21546.210425327794</v>
      </c>
      <c r="CX52" s="165">
        <f>CS52*(1+CX53)</f>
        <v>20967.741935483871</v>
      </c>
      <c r="CY52" s="300">
        <f>CT52*(1+CY53)</f>
        <v>20325.942350332596</v>
      </c>
      <c r="CZ52" s="235">
        <f>CZ33/CZ14*1000</f>
        <v>20064.570854419417</v>
      </c>
      <c r="DA52" s="235">
        <f>CZ52*(1+DA53)</f>
        <v>20164.89370869151</v>
      </c>
      <c r="DB52" s="248">
        <f>DA52*(1+DB53)</f>
        <v>20265.718177234965</v>
      </c>
      <c r="DC52" s="235">
        <f>DB52*(1+DC53)</f>
        <v>20367.046768121138</v>
      </c>
      <c r="DF52" s="235">
        <f t="shared" si="55"/>
        <v>19733.924611973394</v>
      </c>
      <c r="DG52" s="235">
        <v>18887.470997679811</v>
      </c>
      <c r="DH52" s="235">
        <f t="shared" si="56"/>
        <v>18793.503480278421</v>
      </c>
      <c r="DI52" s="235">
        <f t="shared" si="5"/>
        <v>4.4815614244891E-2</v>
      </c>
      <c r="DJ52" s="235">
        <f t="shared" si="6"/>
        <v>5.003969231611527E-2</v>
      </c>
    </row>
    <row r="53" spans="3:114" s="155" customFormat="1">
      <c r="C53" s="336"/>
      <c r="D53" s="339" t="s">
        <v>271</v>
      </c>
      <c r="E53" s="340"/>
      <c r="F53" s="236"/>
      <c r="G53" s="236"/>
      <c r="H53" s="236"/>
      <c r="I53" s="236"/>
      <c r="J53" s="152"/>
      <c r="K53" s="152"/>
      <c r="L53" s="152"/>
      <c r="M53" s="341"/>
      <c r="N53" s="236">
        <f t="shared" ref="N53:AS53" si="72">N52/I52-1</f>
        <v>1.7666361106829731E-2</v>
      </c>
      <c r="O53" s="152">
        <f t="shared" si="72"/>
        <v>8.7582409875157641E-3</v>
      </c>
      <c r="P53" s="152">
        <f t="shared" si="72"/>
        <v>-4.3467373963838707E-2</v>
      </c>
      <c r="Q53" s="152">
        <f t="shared" si="72"/>
        <v>-6.9128494452738609E-2</v>
      </c>
      <c r="R53" s="302">
        <f t="shared" si="72"/>
        <v>-2.3331023331023215E-2</v>
      </c>
      <c r="S53" s="236">
        <f t="shared" si="72"/>
        <v>-3.0366799939720357E-2</v>
      </c>
      <c r="T53" s="152">
        <f t="shared" si="72"/>
        <v>3.978140336059055E-2</v>
      </c>
      <c r="U53" s="152">
        <f t="shared" si="72"/>
        <v>9.0326751076594824E-2</v>
      </c>
      <c r="V53" s="152">
        <f t="shared" si="72"/>
        <v>0.11843650113170856</v>
      </c>
      <c r="W53" s="302">
        <f t="shared" si="72"/>
        <v>8.7511825922421682E-2</v>
      </c>
      <c r="X53" s="236">
        <f t="shared" si="72"/>
        <v>8.4085470406094487E-2</v>
      </c>
      <c r="Y53" s="152">
        <f t="shared" si="72"/>
        <v>-0.20459877664855164</v>
      </c>
      <c r="Z53" s="152">
        <f t="shared" si="72"/>
        <v>-0.16441512344111853</v>
      </c>
      <c r="AA53" s="152">
        <f t="shared" si="72"/>
        <v>-9.6933051243060953E-2</v>
      </c>
      <c r="AB53" s="302">
        <f t="shared" si="72"/>
        <v>-6.837488296311578E-2</v>
      </c>
      <c r="AC53" s="236">
        <f t="shared" si="72"/>
        <v>-0.13148233032713907</v>
      </c>
      <c r="AD53" s="152">
        <f t="shared" si="72"/>
        <v>0.23355238095238096</v>
      </c>
      <c r="AE53" s="152">
        <f t="shared" si="72"/>
        <v>0.16938996434029541</v>
      </c>
      <c r="AF53" s="152">
        <f t="shared" si="72"/>
        <v>5.9087165408373332E-2</v>
      </c>
      <c r="AG53" s="302">
        <f t="shared" si="72"/>
        <v>4.5662318442754923E-2</v>
      </c>
      <c r="AH53" s="236">
        <f t="shared" si="72"/>
        <v>0.11890381321554133</v>
      </c>
      <c r="AI53" s="152">
        <f t="shared" si="72"/>
        <v>0.12425644415069415</v>
      </c>
      <c r="AJ53" s="152">
        <f t="shared" si="72"/>
        <v>0.16846737242820531</v>
      </c>
      <c r="AK53" s="152">
        <f t="shared" si="72"/>
        <v>8.5066948054433267E-2</v>
      </c>
      <c r="AL53" s="302">
        <f t="shared" si="72"/>
        <v>1.7668751002084315E-2</v>
      </c>
      <c r="AM53" s="236">
        <f t="shared" si="72"/>
        <v>9.6578095761071792E-2</v>
      </c>
      <c r="AN53" s="152">
        <f t="shared" si="72"/>
        <v>-9.7376056629027929E-2</v>
      </c>
      <c r="AO53" s="152">
        <f t="shared" si="72"/>
        <v>-5.6166168480550227E-2</v>
      </c>
      <c r="AP53" s="152">
        <f t="shared" si="72"/>
        <v>2.3278905560458973E-2</v>
      </c>
      <c r="AQ53" s="302">
        <f t="shared" si="72"/>
        <v>-7.622264458119532E-3</v>
      </c>
      <c r="AR53" s="236">
        <f t="shared" si="72"/>
        <v>-3.5270584668516292E-2</v>
      </c>
      <c r="AS53" s="152">
        <f t="shared" si="72"/>
        <v>0.10607853557720692</v>
      </c>
      <c r="AT53" s="152">
        <f t="shared" ref="AT53:BY53" si="73">AT52/AO52-1</f>
        <v>0.10270694859000939</v>
      </c>
      <c r="AU53" s="152">
        <f t="shared" si="73"/>
        <v>0.11761567401182416</v>
      </c>
      <c r="AV53" s="302">
        <f t="shared" si="73"/>
        <v>0.28068341337875835</v>
      </c>
      <c r="AW53" s="236">
        <f t="shared" si="73"/>
        <v>0.15043115021260922</v>
      </c>
      <c r="AX53" s="152">
        <f t="shared" si="73"/>
        <v>0.17643651529193694</v>
      </c>
      <c r="AY53" s="152">
        <f t="shared" si="73"/>
        <v>0.20170257492040422</v>
      </c>
      <c r="AZ53" s="152">
        <f t="shared" si="73"/>
        <v>0.19389189569129117</v>
      </c>
      <c r="BA53" s="302">
        <f t="shared" si="73"/>
        <v>-3.2494641081244668E-2</v>
      </c>
      <c r="BB53" s="236">
        <f t="shared" si="73"/>
        <v>0.13155751762688173</v>
      </c>
      <c r="BC53" s="152">
        <f t="shared" si="73"/>
        <v>-0.13971919217148765</v>
      </c>
      <c r="BD53" s="152">
        <f t="shared" si="73"/>
        <v>-0.1676425296305909</v>
      </c>
      <c r="BE53" s="152">
        <f t="shared" si="73"/>
        <v>-0.18094605914054973</v>
      </c>
      <c r="BF53" s="302">
        <f t="shared" si="73"/>
        <v>-9.4793713163067173E-3</v>
      </c>
      <c r="BG53" s="236">
        <f t="shared" si="73"/>
        <v>-0.12359510442645105</v>
      </c>
      <c r="BH53" s="152">
        <f t="shared" si="73"/>
        <v>5.2077182995545979E-2</v>
      </c>
      <c r="BI53" s="152">
        <f t="shared" si="73"/>
        <v>-6.1482154376817366E-3</v>
      </c>
      <c r="BJ53" s="152">
        <f t="shared" si="73"/>
        <v>-5.1548538719285109E-2</v>
      </c>
      <c r="BK53" s="302">
        <f t="shared" si="73"/>
        <v>1.5642308637236813E-2</v>
      </c>
      <c r="BL53" s="236">
        <f t="shared" si="73"/>
        <v>-2.0956530706711662E-3</v>
      </c>
      <c r="BM53" s="152">
        <f t="shared" si="73"/>
        <v>9.6193617443780965E-2</v>
      </c>
      <c r="BN53" s="152">
        <f t="shared" si="73"/>
        <v>0.18656060028665777</v>
      </c>
      <c r="BO53" s="152">
        <f t="shared" si="73"/>
        <v>0.19173878775357145</v>
      </c>
      <c r="BP53" s="302">
        <f t="shared" si="73"/>
        <v>4.03922139295676E-2</v>
      </c>
      <c r="BQ53" s="236">
        <f t="shared" si="73"/>
        <v>0.12415723139265911</v>
      </c>
      <c r="BR53" s="152">
        <f t="shared" si="73"/>
        <v>-3.9484167423245786E-2</v>
      </c>
      <c r="BS53" s="152">
        <f t="shared" si="73"/>
        <v>-7.2670999690498173E-2</v>
      </c>
      <c r="BT53" s="152">
        <f t="shared" si="73"/>
        <v>-9.862809158245045E-2</v>
      </c>
      <c r="BU53" s="302">
        <f t="shared" si="73"/>
        <v>-5.9742166244540318E-2</v>
      </c>
      <c r="BV53" s="236">
        <f t="shared" si="73"/>
        <v>-6.7025781127154072E-2</v>
      </c>
      <c r="BW53" s="152">
        <f t="shared" si="73"/>
        <v>1.5151515151515138E-2</v>
      </c>
      <c r="BX53" s="152">
        <f t="shared" si="73"/>
        <v>-1.7182378156406442E-2</v>
      </c>
      <c r="BY53" s="152">
        <f t="shared" si="73"/>
        <v>6.6462736373748443E-2</v>
      </c>
      <c r="BZ53" s="302">
        <f t="shared" ref="BZ53:CT53" si="74">BZ52/BU52-1</f>
        <v>0.12322206095791</v>
      </c>
      <c r="CA53" s="236">
        <f t="shared" si="74"/>
        <v>4.3473573639982277E-2</v>
      </c>
      <c r="CB53" s="152">
        <f t="shared" si="74"/>
        <v>9.5836606441476846E-2</v>
      </c>
      <c r="CC53" s="152">
        <f t="shared" si="74"/>
        <v>0.10157894736842099</v>
      </c>
      <c r="CD53" s="152">
        <f t="shared" si="74"/>
        <v>3.397957056493639E-2</v>
      </c>
      <c r="CE53" s="302">
        <f t="shared" si="74"/>
        <v>-4.8086886441263355E-2</v>
      </c>
      <c r="CF53" s="236">
        <f t="shared" si="74"/>
        <v>4.6531423862932186E-2</v>
      </c>
      <c r="CG53" s="152">
        <f t="shared" si="74"/>
        <v>-0.12161807197268204</v>
      </c>
      <c r="CH53" s="152">
        <f t="shared" si="74"/>
        <v>-0.14790751973200011</v>
      </c>
      <c r="CI53" s="152">
        <f t="shared" si="74"/>
        <v>-0.12616906474820144</v>
      </c>
      <c r="CJ53" s="302">
        <f t="shared" si="74"/>
        <v>-0.10984060984060984</v>
      </c>
      <c r="CK53" s="236">
        <f t="shared" si="74"/>
        <v>-0.12648974423730774</v>
      </c>
      <c r="CL53" s="152">
        <f t="shared" si="74"/>
        <v>-7.3202247191011316E-2</v>
      </c>
      <c r="CM53" s="152">
        <f t="shared" si="74"/>
        <v>6.5752461322081457E-2</v>
      </c>
      <c r="CN53" s="152">
        <f t="shared" si="74"/>
        <v>5.2730763760489241E-2</v>
      </c>
      <c r="CO53" s="302">
        <f t="shared" si="74"/>
        <v>-6.6291017567120525E-3</v>
      </c>
      <c r="CP53" s="236">
        <f t="shared" si="74"/>
        <v>6.863354037267122E-3</v>
      </c>
      <c r="CQ53" s="152">
        <f t="shared" si="74"/>
        <v>-2.3339221669075316E-2</v>
      </c>
      <c r="CR53" s="152">
        <f t="shared" si="74"/>
        <v>5.5324592260953098E-2</v>
      </c>
      <c r="CS53" s="152">
        <f t="shared" si="74"/>
        <v>1.0904134484325256E-2</v>
      </c>
      <c r="CT53" s="302">
        <f t="shared" si="74"/>
        <v>5.003969231611527E-2</v>
      </c>
      <c r="CU53" s="236">
        <f>CU52/CP52-1</f>
        <v>1.9884989811551179E-2</v>
      </c>
      <c r="CV53" s="177">
        <v>0.05</v>
      </c>
      <c r="CW53" s="177">
        <v>0.05</v>
      </c>
      <c r="CX53" s="177">
        <v>0.04</v>
      </c>
      <c r="CY53" s="177">
        <v>0.03</v>
      </c>
      <c r="CZ53" s="236">
        <f>CZ52/CU52-1</f>
        <v>4.1891666249734394E-2</v>
      </c>
      <c r="DA53" s="177">
        <v>5.0000000000000001E-3</v>
      </c>
      <c r="DB53" s="373">
        <v>5.0000000000000001E-3</v>
      </c>
      <c r="DC53" s="371">
        <v>5.0000000000000001E-3</v>
      </c>
      <c r="DF53" s="236">
        <f t="shared" si="55"/>
        <v>5.003969231611527E-2</v>
      </c>
      <c r="DG53" s="236">
        <v>5.0000000000000001E-3</v>
      </c>
      <c r="DH53" s="236">
        <f t="shared" si="56"/>
        <v>-6.6291017567120525E-3</v>
      </c>
      <c r="DI53" s="236">
        <f t="shared" si="5"/>
        <v>9.0079384632230539</v>
      </c>
      <c r="DJ53" s="236">
        <f t="shared" si="6"/>
        <v>-8.5484875858858906</v>
      </c>
    </row>
    <row r="54" spans="3:114" s="155" customFormat="1">
      <c r="C54" s="336"/>
      <c r="D54" s="1" t="s">
        <v>792</v>
      </c>
      <c r="E54" s="235"/>
      <c r="F54" s="235"/>
      <c r="G54" s="235"/>
      <c r="H54" s="235"/>
      <c r="I54" s="235">
        <f t="shared" ref="I54:AN54" si="75">I35/I16*1000</f>
        <v>14273.648648648648</v>
      </c>
      <c r="J54" s="165">
        <f t="shared" si="75"/>
        <v>16394.736842105263</v>
      </c>
      <c r="K54" s="165">
        <f t="shared" si="75"/>
        <v>12075.63025210084</v>
      </c>
      <c r="L54" s="165">
        <f t="shared" si="75"/>
        <v>17097.345132743365</v>
      </c>
      <c r="M54" s="165">
        <f t="shared" si="75"/>
        <v>13050.84745762712</v>
      </c>
      <c r="N54" s="235">
        <f t="shared" si="75"/>
        <v>14448.356807511738</v>
      </c>
      <c r="O54" s="165">
        <f t="shared" si="75"/>
        <v>22653.333333333332</v>
      </c>
      <c r="P54" s="165">
        <f t="shared" si="75"/>
        <v>17674.157303370786</v>
      </c>
      <c r="Q54" s="165">
        <f t="shared" si="75"/>
        <v>16103.092783505153</v>
      </c>
      <c r="R54" s="165">
        <f t="shared" si="75"/>
        <v>12910.569105691056</v>
      </c>
      <c r="S54" s="235">
        <f t="shared" si="75"/>
        <v>16723.958333333332</v>
      </c>
      <c r="T54" s="165">
        <f t="shared" si="75"/>
        <v>18425.287356321838</v>
      </c>
      <c r="U54" s="165">
        <f t="shared" si="75"/>
        <v>19417.721518987342</v>
      </c>
      <c r="V54" s="165">
        <f t="shared" si="75"/>
        <v>19122.222222222223</v>
      </c>
      <c r="W54" s="165">
        <f t="shared" si="75"/>
        <v>15955.357142857143</v>
      </c>
      <c r="X54" s="235">
        <f t="shared" si="75"/>
        <v>18057.065217391304</v>
      </c>
      <c r="Y54" s="165">
        <f t="shared" si="75"/>
        <v>15853.658536585366</v>
      </c>
      <c r="Z54" s="165">
        <f t="shared" si="75"/>
        <v>16867.469879518074</v>
      </c>
      <c r="AA54" s="165">
        <f t="shared" si="75"/>
        <v>16666.666666666668</v>
      </c>
      <c r="AB54" s="165">
        <f t="shared" si="75"/>
        <v>16728.26086956522</v>
      </c>
      <c r="AC54" s="235">
        <f t="shared" si="75"/>
        <v>16541.076487252125</v>
      </c>
      <c r="AD54" s="165">
        <f t="shared" si="75"/>
        <v>17072.916666666668</v>
      </c>
      <c r="AE54" s="165">
        <f t="shared" si="75"/>
        <v>17379.629629629631</v>
      </c>
      <c r="AF54" s="165">
        <f t="shared" si="75"/>
        <v>16945.945945945947</v>
      </c>
      <c r="AG54" s="165">
        <f t="shared" si="75"/>
        <v>16945.652173913044</v>
      </c>
      <c r="AH54" s="235">
        <f t="shared" si="75"/>
        <v>17090.909090909088</v>
      </c>
      <c r="AI54" s="165">
        <f t="shared" si="75"/>
        <v>18169.642857142859</v>
      </c>
      <c r="AJ54" s="165">
        <f t="shared" si="75"/>
        <v>16869.565217391304</v>
      </c>
      <c r="AK54" s="165">
        <f t="shared" si="75"/>
        <v>16573.643410852714</v>
      </c>
      <c r="AL54" s="165">
        <f t="shared" si="75"/>
        <v>14308.724832214764</v>
      </c>
      <c r="AM54" s="235">
        <f t="shared" si="75"/>
        <v>16326.732673267326</v>
      </c>
      <c r="AN54" s="165">
        <f t="shared" si="75"/>
        <v>13563.291139240506</v>
      </c>
      <c r="AO54" s="165">
        <f t="shared" ref="AO54:BT54" si="76">AO35/AO16*1000</f>
        <v>13374.193548387098</v>
      </c>
      <c r="AP54" s="165">
        <f t="shared" si="76"/>
        <v>13474.820143884892</v>
      </c>
      <c r="AQ54" s="165">
        <f t="shared" si="76"/>
        <v>12218.978102189782</v>
      </c>
      <c r="AR54" s="235">
        <f t="shared" si="76"/>
        <v>13179.966044142615</v>
      </c>
      <c r="AS54" s="165">
        <f t="shared" si="76"/>
        <v>14319.727891156463</v>
      </c>
      <c r="AT54" s="165">
        <f t="shared" si="76"/>
        <v>13173.611111111111</v>
      </c>
      <c r="AU54" s="165">
        <f t="shared" si="76"/>
        <v>14343.065693430655</v>
      </c>
      <c r="AV54" s="165">
        <f t="shared" si="76"/>
        <v>12826.086956521738</v>
      </c>
      <c r="AW54" s="235">
        <f t="shared" si="76"/>
        <v>13636.672325976231</v>
      </c>
      <c r="AX54" s="165">
        <f t="shared" si="76"/>
        <v>12930.232558139534</v>
      </c>
      <c r="AY54" s="165">
        <f t="shared" si="76"/>
        <v>14224</v>
      </c>
      <c r="AZ54" s="165">
        <f t="shared" si="76"/>
        <v>154272.72727272729</v>
      </c>
      <c r="BA54" s="165">
        <f t="shared" si="76"/>
        <v>6688.4422110552769</v>
      </c>
      <c r="BB54" s="235">
        <f t="shared" si="76"/>
        <v>13952.586206896551</v>
      </c>
      <c r="BC54" s="165">
        <f t="shared" si="76"/>
        <v>10219.298245614034</v>
      </c>
      <c r="BD54" s="165">
        <f t="shared" si="76"/>
        <v>9725.8064516129034</v>
      </c>
      <c r="BE54" s="165">
        <f t="shared" si="76"/>
        <v>10676.258992805755</v>
      </c>
      <c r="BF54" s="165">
        <f t="shared" si="76"/>
        <v>11479.452054794521</v>
      </c>
      <c r="BG54" s="235">
        <f t="shared" si="76"/>
        <v>10575.525812619504</v>
      </c>
      <c r="BH54" s="165">
        <f t="shared" si="76"/>
        <v>8349.2063492063498</v>
      </c>
      <c r="BI54" s="165">
        <f t="shared" si="76"/>
        <v>8622.0095693779895</v>
      </c>
      <c r="BJ54" s="165">
        <f t="shared" si="76"/>
        <v>9019.5121951219517</v>
      </c>
      <c r="BK54" s="165">
        <f t="shared" si="76"/>
        <v>9157.4468085106382</v>
      </c>
      <c r="BL54" s="235">
        <f t="shared" si="76"/>
        <v>8807.8758949880666</v>
      </c>
      <c r="BM54" s="165">
        <f t="shared" si="76"/>
        <v>8500</v>
      </c>
      <c r="BN54" s="165">
        <f t="shared" si="76"/>
        <v>9287.6106194690256</v>
      </c>
      <c r="BO54" s="165">
        <f t="shared" si="76"/>
        <v>10981.308411214954</v>
      </c>
      <c r="BP54" s="165">
        <f t="shared" si="76"/>
        <v>8703.1963470319643</v>
      </c>
      <c r="BQ54" s="235">
        <f t="shared" si="76"/>
        <v>9336.2930077691453</v>
      </c>
      <c r="BR54" s="165">
        <f t="shared" si="76"/>
        <v>10599.078341013827</v>
      </c>
      <c r="BS54" s="165">
        <f t="shared" si="76"/>
        <v>9200</v>
      </c>
      <c r="BT54" s="165">
        <f t="shared" si="76"/>
        <v>10077.519379844962</v>
      </c>
      <c r="BU54" s="165">
        <f t="shared" ref="BU54:CU54" si="77">BU35/BU16*1000</f>
        <v>9090.9090909090919</v>
      </c>
      <c r="BV54" s="235">
        <f t="shared" si="77"/>
        <v>9680.5421103581812</v>
      </c>
      <c r="BW54" s="165">
        <f t="shared" si="77"/>
        <v>9219.8581560283692</v>
      </c>
      <c r="BX54" s="165">
        <f t="shared" si="77"/>
        <v>9463.7223974763401</v>
      </c>
      <c r="BY54" s="165">
        <f t="shared" si="77"/>
        <v>8333.3333333333339</v>
      </c>
      <c r="BZ54" s="165">
        <f t="shared" si="77"/>
        <v>8312.3425692695218</v>
      </c>
      <c r="CA54" s="235">
        <f t="shared" si="77"/>
        <v>8779.7619047619046</v>
      </c>
      <c r="CB54" s="165">
        <f t="shared" si="77"/>
        <v>7428.5714285714284</v>
      </c>
      <c r="CC54" s="165">
        <f t="shared" si="77"/>
        <v>8011.049723756907</v>
      </c>
      <c r="CD54" s="165">
        <f t="shared" si="77"/>
        <v>7514.4508670520236</v>
      </c>
      <c r="CE54" s="165">
        <f t="shared" si="77"/>
        <v>6824.1469816272966</v>
      </c>
      <c r="CF54" s="235">
        <f t="shared" si="77"/>
        <v>7435.7192494788042</v>
      </c>
      <c r="CG54" s="165">
        <f t="shared" si="77"/>
        <v>6284.1530054644809</v>
      </c>
      <c r="CH54" s="165">
        <f t="shared" si="77"/>
        <v>6876.7908309455579</v>
      </c>
      <c r="CI54" s="165">
        <f t="shared" si="77"/>
        <v>8496.7320261437908</v>
      </c>
      <c r="CJ54" s="165">
        <f t="shared" si="77"/>
        <v>7674.9435665914225</v>
      </c>
      <c r="CK54" s="235">
        <f t="shared" si="77"/>
        <v>7308.7431693989074</v>
      </c>
      <c r="CL54" s="165">
        <f t="shared" si="77"/>
        <v>6783.9195979899505</v>
      </c>
      <c r="CM54" s="165">
        <f t="shared" si="77"/>
        <v>8536.5853658536598</v>
      </c>
      <c r="CN54" s="165">
        <f t="shared" si="77"/>
        <v>7788.9447236180904</v>
      </c>
      <c r="CO54" s="165">
        <f t="shared" si="77"/>
        <v>7039.3374741200823</v>
      </c>
      <c r="CP54" s="235">
        <f t="shared" si="77"/>
        <v>7467.3304293715</v>
      </c>
      <c r="CQ54" s="165">
        <f t="shared" si="77"/>
        <v>8355.0913838120105</v>
      </c>
      <c r="CR54" s="165">
        <f t="shared" si="77"/>
        <v>9659.0909090909081</v>
      </c>
      <c r="CS54" s="165">
        <f t="shared" si="77"/>
        <v>9762.532981530343</v>
      </c>
      <c r="CT54" s="165">
        <f t="shared" si="77"/>
        <v>8941.176470588236</v>
      </c>
      <c r="CU54" s="235">
        <f t="shared" si="77"/>
        <v>9161.7933723196875</v>
      </c>
      <c r="CV54" s="165">
        <f>CQ54*(1+CV55)</f>
        <v>9190.6005221932119</v>
      </c>
      <c r="CW54" s="165">
        <f>CR54*(1+CW55)</f>
        <v>10431.818181818182</v>
      </c>
      <c r="CX54" s="165">
        <f>CS54*(1+CX55)</f>
        <v>10445.910290237467</v>
      </c>
      <c r="CY54" s="300">
        <f>CT54*(1+CY55)</f>
        <v>9388.2352941176487</v>
      </c>
      <c r="CZ54" s="235">
        <f>CZ35/CZ16*1000</f>
        <v>9853.59646409979</v>
      </c>
      <c r="DA54" s="235">
        <f>CZ54*(1+DA55)</f>
        <v>9952.1324287407879</v>
      </c>
      <c r="DB54" s="248">
        <f>DA54*(1+DB55)</f>
        <v>10051.653753028197</v>
      </c>
      <c r="DC54" s="235">
        <f>DB54*(1+DC55)</f>
        <v>10152.170290558479</v>
      </c>
      <c r="DF54" s="235">
        <f t="shared" si="55"/>
        <v>8941.176470588236</v>
      </c>
      <c r="DG54" s="235">
        <v>6687.3706004140777</v>
      </c>
      <c r="DH54" s="235">
        <f t="shared" si="56"/>
        <v>7039.3374741200823</v>
      </c>
      <c r="DI54" s="235">
        <f t="shared" si="5"/>
        <v>0.33702422145328748</v>
      </c>
      <c r="DJ54" s="235">
        <f t="shared" si="6"/>
        <v>0.27017301038062302</v>
      </c>
    </row>
    <row r="55" spans="3:114" s="155" customFormat="1">
      <c r="C55" s="336"/>
      <c r="D55" s="339" t="s">
        <v>271</v>
      </c>
      <c r="E55" s="340"/>
      <c r="F55" s="236"/>
      <c r="G55" s="236"/>
      <c r="H55" s="236"/>
      <c r="I55" s="236"/>
      <c r="J55" s="152"/>
      <c r="K55" s="152"/>
      <c r="L55" s="152"/>
      <c r="M55" s="341"/>
      <c r="N55" s="236">
        <f t="shared" ref="N55:AS55" si="78">N54/I54-1</f>
        <v>1.2239908881295669E-2</v>
      </c>
      <c r="O55" s="152">
        <f t="shared" si="78"/>
        <v>0.3817442482611022</v>
      </c>
      <c r="P55" s="152">
        <f t="shared" si="78"/>
        <v>0.46362193396041995</v>
      </c>
      <c r="Q55" s="152">
        <f t="shared" si="78"/>
        <v>-5.8152440716313647E-2</v>
      </c>
      <c r="R55" s="302">
        <f t="shared" si="78"/>
        <v>-1.0748600992503632E-2</v>
      </c>
      <c r="S55" s="236">
        <f t="shared" si="78"/>
        <v>0.1574989845653938</v>
      </c>
      <c r="T55" s="152">
        <f t="shared" si="78"/>
        <v>-0.18664122912057801</v>
      </c>
      <c r="U55" s="152">
        <f t="shared" si="78"/>
        <v>9.8650486452557917E-2</v>
      </c>
      <c r="V55" s="152">
        <f t="shared" si="78"/>
        <v>0.18748755157205865</v>
      </c>
      <c r="W55" s="302">
        <f t="shared" si="78"/>
        <v>0.23583685678301558</v>
      </c>
      <c r="X55" s="236">
        <f t="shared" si="78"/>
        <v>7.9712401662762611E-2</v>
      </c>
      <c r="Y55" s="152">
        <f t="shared" si="78"/>
        <v>-0.13957062215662697</v>
      </c>
      <c r="Z55" s="152">
        <f t="shared" si="78"/>
        <v>-0.13133629694789584</v>
      </c>
      <c r="AA55" s="152">
        <f t="shared" si="78"/>
        <v>-0.12841371295758275</v>
      </c>
      <c r="AB55" s="302">
        <f t="shared" si="78"/>
        <v>4.844164375562654E-2</v>
      </c>
      <c r="AC55" s="236">
        <f t="shared" si="78"/>
        <v>-8.3955433061131401E-2</v>
      </c>
      <c r="AD55" s="152">
        <f t="shared" si="78"/>
        <v>7.6907051282051331E-2</v>
      </c>
      <c r="AE55" s="152">
        <f t="shared" si="78"/>
        <v>3.0363756613756676E-2</v>
      </c>
      <c r="AF55" s="152">
        <f t="shared" si="78"/>
        <v>1.6756756756756808E-2</v>
      </c>
      <c r="AG55" s="302">
        <f t="shared" si="78"/>
        <v>1.2995451591942597E-2</v>
      </c>
      <c r="AH55" s="236">
        <f t="shared" si="78"/>
        <v>3.3240436562923081E-2</v>
      </c>
      <c r="AI55" s="152">
        <f t="shared" si="78"/>
        <v>6.4237775647171702E-2</v>
      </c>
      <c r="AJ55" s="152">
        <f t="shared" si="78"/>
        <v>-2.9348405179402959E-2</v>
      </c>
      <c r="AK55" s="152">
        <f t="shared" si="78"/>
        <v>-2.1970006058133373E-2</v>
      </c>
      <c r="AL55" s="302">
        <f t="shared" si="78"/>
        <v>-0.15561085018360599</v>
      </c>
      <c r="AM55" s="236">
        <f t="shared" si="78"/>
        <v>-4.4712449968400958E-2</v>
      </c>
      <c r="AN55" s="152">
        <f t="shared" si="78"/>
        <v>-0.25351911174695996</v>
      </c>
      <c r="AO55" s="152">
        <f t="shared" si="78"/>
        <v>-0.20719986697705339</v>
      </c>
      <c r="AP55" s="152">
        <f t="shared" si="78"/>
        <v>-0.18697296606120162</v>
      </c>
      <c r="AQ55" s="302">
        <f t="shared" si="78"/>
        <v>-0.14604702756741206</v>
      </c>
      <c r="AR55" s="236">
        <f t="shared" si="78"/>
        <v>-0.19273707067410306</v>
      </c>
      <c r="AS55" s="152">
        <f t="shared" si="78"/>
        <v>5.5770885115595581E-2</v>
      </c>
      <c r="AT55" s="152">
        <f t="shared" ref="AT55:BY55" si="79">AT54/AO54-1</f>
        <v>-1.4997722034625127E-2</v>
      </c>
      <c r="AU55" s="152">
        <f t="shared" si="79"/>
        <v>6.4434667051180616E-2</v>
      </c>
      <c r="AV55" s="302">
        <f t="shared" si="79"/>
        <v>4.9685730611396695E-2</v>
      </c>
      <c r="AW55" s="236">
        <f t="shared" si="79"/>
        <v>3.4651552234960636E-2</v>
      </c>
      <c r="AX55" s="152">
        <f t="shared" si="79"/>
        <v>-9.7033640833011137E-2</v>
      </c>
      <c r="AY55" s="152">
        <f t="shared" si="79"/>
        <v>7.9734317343173489E-2</v>
      </c>
      <c r="AZ55" s="152">
        <f t="shared" si="79"/>
        <v>9.7559102475133042</v>
      </c>
      <c r="BA55" s="302">
        <f t="shared" si="79"/>
        <v>-0.47852823439230041</v>
      </c>
      <c r="BB55" s="236">
        <f t="shared" si="79"/>
        <v>2.3166493508723685E-2</v>
      </c>
      <c r="BC55" s="152">
        <f t="shared" si="79"/>
        <v>-0.209658588918339</v>
      </c>
      <c r="BD55" s="152">
        <f t="shared" si="79"/>
        <v>-0.31623970390797929</v>
      </c>
      <c r="BE55" s="152">
        <f t="shared" si="79"/>
        <v>-0.93079619981092321</v>
      </c>
      <c r="BF55" s="302">
        <f t="shared" si="79"/>
        <v>0.71631176476642344</v>
      </c>
      <c r="BG55" s="236">
        <f t="shared" si="79"/>
        <v>-0.24203831061855885</v>
      </c>
      <c r="BH55" s="152">
        <f t="shared" si="79"/>
        <v>-0.18299611690169615</v>
      </c>
      <c r="BI55" s="152">
        <f t="shared" si="79"/>
        <v>-0.113491553397288</v>
      </c>
      <c r="BJ55" s="152">
        <f t="shared" si="79"/>
        <v>-0.15518046150811904</v>
      </c>
      <c r="BK55" s="302">
        <f t="shared" si="79"/>
        <v>-0.20227492002234304</v>
      </c>
      <c r="BL55" s="236">
        <f t="shared" si="79"/>
        <v>-0.16714534567370121</v>
      </c>
      <c r="BM55" s="152">
        <f t="shared" si="79"/>
        <v>1.8060836501901045E-2</v>
      </c>
      <c r="BN55" s="152">
        <f t="shared" si="79"/>
        <v>7.7197902036085786E-2</v>
      </c>
      <c r="BO55" s="152">
        <f t="shared" si="79"/>
        <v>0.21750580005357789</v>
      </c>
      <c r="BP55" s="302">
        <f t="shared" si="79"/>
        <v>-4.9604488126156365E-2</v>
      </c>
      <c r="BQ55" s="236">
        <f t="shared" si="79"/>
        <v>5.9993705529134855E-2</v>
      </c>
      <c r="BR55" s="152">
        <f t="shared" si="79"/>
        <v>0.24695039306045019</v>
      </c>
      <c r="BS55" s="152">
        <f t="shared" si="79"/>
        <v>-9.4330633635063554E-3</v>
      </c>
      <c r="BT55" s="152">
        <f t="shared" si="79"/>
        <v>-8.2302490516246052E-2</v>
      </c>
      <c r="BU55" s="302">
        <f t="shared" si="79"/>
        <v>4.4548316321663561E-2</v>
      </c>
      <c r="BV55" s="236">
        <f t="shared" si="79"/>
        <v>3.6872139970604012E-2</v>
      </c>
      <c r="BW55" s="152">
        <f t="shared" si="79"/>
        <v>-0.13012642614862791</v>
      </c>
      <c r="BX55" s="152">
        <f t="shared" si="79"/>
        <v>2.8665477986558718E-2</v>
      </c>
      <c r="BY55" s="152">
        <f t="shared" si="79"/>
        <v>-0.17307692307692302</v>
      </c>
      <c r="BZ55" s="302">
        <f t="shared" ref="BZ55:CT55" si="80">BZ54/BU54-1</f>
        <v>-8.5642317380352662E-2</v>
      </c>
      <c r="CA55" s="236">
        <f t="shared" si="80"/>
        <v>-9.3050595238095335E-2</v>
      </c>
      <c r="CB55" s="152">
        <f t="shared" si="80"/>
        <v>-0.19428571428571428</v>
      </c>
      <c r="CC55" s="152">
        <f t="shared" si="80"/>
        <v>-0.15349907918968675</v>
      </c>
      <c r="CD55" s="152">
        <f t="shared" si="80"/>
        <v>-9.8265895953757232E-2</v>
      </c>
      <c r="CE55" s="302">
        <f t="shared" si="80"/>
        <v>-0.17903443887695858</v>
      </c>
      <c r="CF55" s="236">
        <f t="shared" si="80"/>
        <v>-0.15308418039834637</v>
      </c>
      <c r="CG55" s="152">
        <f t="shared" si="80"/>
        <v>-0.15405632618747367</v>
      </c>
      <c r="CH55" s="152">
        <f t="shared" si="80"/>
        <v>-0.14158679972334776</v>
      </c>
      <c r="CI55" s="152">
        <f t="shared" si="80"/>
        <v>0.13071895424836599</v>
      </c>
      <c r="CJ55" s="302">
        <f t="shared" si="80"/>
        <v>0.12467442264282003</v>
      </c>
      <c r="CK55" s="236">
        <f t="shared" si="80"/>
        <v>-1.7076502732240373E-2</v>
      </c>
      <c r="CL55" s="152">
        <f t="shared" si="80"/>
        <v>7.9528075158400879E-2</v>
      </c>
      <c r="CM55" s="152">
        <f t="shared" si="80"/>
        <v>0.24136178861788649</v>
      </c>
      <c r="CN55" s="152">
        <f t="shared" si="80"/>
        <v>-8.3301120989563215E-2</v>
      </c>
      <c r="CO55" s="302">
        <f t="shared" si="80"/>
        <v>-8.2815734989648115E-2</v>
      </c>
      <c r="CP55" s="236">
        <f t="shared" si="80"/>
        <v>2.1698294261670581E-2</v>
      </c>
      <c r="CQ55" s="152">
        <f t="shared" si="80"/>
        <v>0.23160235953969632</v>
      </c>
      <c r="CR55" s="152">
        <f t="shared" si="80"/>
        <v>0.13149350649350611</v>
      </c>
      <c r="CS55" s="152">
        <f t="shared" si="80"/>
        <v>0.25338326666099253</v>
      </c>
      <c r="CT55" s="302">
        <f t="shared" si="80"/>
        <v>0.27017301038062302</v>
      </c>
      <c r="CU55" s="236">
        <f>CU54/CP54-1</f>
        <v>0.22691682910981137</v>
      </c>
      <c r="CV55" s="177">
        <v>0.1</v>
      </c>
      <c r="CW55" s="177">
        <v>0.08</v>
      </c>
      <c r="CX55" s="177">
        <v>7.0000000000000007E-2</v>
      </c>
      <c r="CY55" s="177">
        <v>0.05</v>
      </c>
      <c r="CZ55" s="236">
        <f>CZ54/CU54-1</f>
        <v>7.5509571507062168E-2</v>
      </c>
      <c r="DA55" s="177">
        <v>0.01</v>
      </c>
      <c r="DB55" s="373">
        <v>0.01</v>
      </c>
      <c r="DC55" s="371">
        <v>0.01</v>
      </c>
      <c r="DF55" s="236">
        <f t="shared" si="55"/>
        <v>0.27017301038062302</v>
      </c>
      <c r="DG55" s="236">
        <v>-0.05</v>
      </c>
      <c r="DH55" s="236">
        <f t="shared" si="56"/>
        <v>-8.2815734989648115E-2</v>
      </c>
      <c r="DI55" s="236">
        <f t="shared" si="5"/>
        <v>-6.4034602076124605</v>
      </c>
      <c r="DJ55" s="236">
        <f t="shared" si="6"/>
        <v>-4.2623391003460203</v>
      </c>
    </row>
    <row r="56" spans="3:114" s="155" customFormat="1" hidden="1">
      <c r="C56" s="336"/>
      <c r="D56" s="1" t="s">
        <v>802</v>
      </c>
      <c r="E56" s="235"/>
      <c r="F56" s="235"/>
      <c r="G56" s="235"/>
      <c r="H56" s="235"/>
      <c r="I56" s="235"/>
      <c r="J56" s="165"/>
      <c r="K56" s="165"/>
      <c r="L56" s="165"/>
      <c r="M56" s="165"/>
      <c r="N56" s="235"/>
      <c r="O56" s="165"/>
      <c r="P56" s="165"/>
      <c r="Q56" s="165"/>
      <c r="R56" s="165"/>
      <c r="S56" s="235"/>
      <c r="T56" s="165"/>
      <c r="U56" s="165"/>
      <c r="V56" s="165"/>
      <c r="W56" s="165"/>
      <c r="X56" s="235"/>
      <c r="Y56" s="165" t="e">
        <f>#REF!/Y18*1000</f>
        <v>#REF!</v>
      </c>
      <c r="Z56" s="165" t="e">
        <f>#REF!/Z18*1000</f>
        <v>#REF!</v>
      </c>
      <c r="AA56" s="165" t="e">
        <f>#REF!/AA18*1000</f>
        <v>#REF!</v>
      </c>
      <c r="AB56" s="165" t="e">
        <f>#REF!/AB18*1000</f>
        <v>#REF!</v>
      </c>
      <c r="AC56" s="235" t="e">
        <f>#REF!/AC18*1000</f>
        <v>#REF!</v>
      </c>
      <c r="AD56" s="165" t="e">
        <f>#REF!/AD18*1000</f>
        <v>#REF!</v>
      </c>
      <c r="AE56" s="165" t="e">
        <f>#REF!/AE18*1000</f>
        <v>#REF!</v>
      </c>
      <c r="AF56" s="165" t="e">
        <f>#REF!/AF18*1000</f>
        <v>#REF!</v>
      </c>
      <c r="AG56" s="165" t="e">
        <f>#REF!/AG18*1000</f>
        <v>#REF!</v>
      </c>
      <c r="AH56" s="235" t="e">
        <f>#REF!/AH18*1000</f>
        <v>#REF!</v>
      </c>
      <c r="AI56" s="165" t="e">
        <f>#REF!/AI18*1000</f>
        <v>#REF!</v>
      </c>
      <c r="AJ56" s="165" t="e">
        <f>#REF!/AJ18*1000</f>
        <v>#REF!</v>
      </c>
      <c r="AK56" s="165" t="e">
        <f>#REF!/AK18*1000</f>
        <v>#REF!</v>
      </c>
      <c r="AL56" s="165" t="e">
        <f>#REF!/AL18*1000</f>
        <v>#REF!</v>
      </c>
      <c r="AM56" s="235" t="e">
        <f>#REF!/AM18*1000</f>
        <v>#REF!</v>
      </c>
      <c r="AN56" s="165" t="e">
        <f>#REF!/AN18*1000</f>
        <v>#REF!</v>
      </c>
      <c r="AO56" s="165" t="e">
        <f>#REF!/AO18*1000</f>
        <v>#REF!</v>
      </c>
      <c r="AP56" s="165" t="e">
        <f>#REF!/AP18*1000</f>
        <v>#REF!</v>
      </c>
      <c r="AQ56" s="165" t="e">
        <f>#REF!/AQ18*1000</f>
        <v>#REF!</v>
      </c>
      <c r="AR56" s="235" t="e">
        <f>#REF!/AR18*1000</f>
        <v>#REF!</v>
      </c>
      <c r="AS56" s="165" t="e">
        <f>#REF!/AS18*1000</f>
        <v>#REF!</v>
      </c>
      <c r="AT56" s="165" t="e">
        <f>#REF!/AT18*1000</f>
        <v>#REF!</v>
      </c>
      <c r="AU56" s="165" t="e">
        <f>#REF!/AU18*1000</f>
        <v>#REF!</v>
      </c>
      <c r="AV56" s="165" t="e">
        <f>#REF!/AV18*1000</f>
        <v>#REF!</v>
      </c>
      <c r="AW56" s="235" t="e">
        <f>#REF!/AW18*1000</f>
        <v>#REF!</v>
      </c>
      <c r="AX56" s="165" t="e">
        <f>#REF!/AX18*1000</f>
        <v>#REF!</v>
      </c>
      <c r="AY56" s="165" t="e">
        <f>#REF!/AY18*1000</f>
        <v>#REF!</v>
      </c>
      <c r="AZ56" s="165" t="e">
        <f>#REF!/AZ18*1000</f>
        <v>#REF!</v>
      </c>
      <c r="BA56" s="165" t="e">
        <f>#REF!/BA18*1000</f>
        <v>#REF!</v>
      </c>
      <c r="BB56" s="235" t="e">
        <f>#REF!/BB18*1000</f>
        <v>#REF!</v>
      </c>
      <c r="BC56" s="165" t="e">
        <f>#REF!/BC18*1000</f>
        <v>#REF!</v>
      </c>
      <c r="BD56" s="165" t="e">
        <f>#REF!/BD18*1000</f>
        <v>#REF!</v>
      </c>
      <c r="BE56" s="165" t="e">
        <f>#REF!/BE18*1000</f>
        <v>#REF!</v>
      </c>
      <c r="BF56" s="165" t="e">
        <f>#REF!/BF18*1000</f>
        <v>#REF!</v>
      </c>
      <c r="BG56" s="235" t="e">
        <f>#REF!/BG18*1000</f>
        <v>#REF!</v>
      </c>
      <c r="BH56" s="165"/>
      <c r="BI56" s="165"/>
      <c r="BJ56" s="165"/>
      <c r="BK56" s="165"/>
      <c r="BL56" s="235"/>
      <c r="BM56" s="165"/>
      <c r="BN56" s="165"/>
      <c r="BO56" s="165"/>
      <c r="BP56" s="165"/>
      <c r="BQ56" s="235"/>
      <c r="BR56" s="165"/>
      <c r="BS56" s="165"/>
      <c r="BT56" s="165"/>
      <c r="BU56" s="165"/>
      <c r="BV56" s="235"/>
      <c r="BW56" s="165"/>
      <c r="BX56" s="165"/>
      <c r="BY56" s="165"/>
      <c r="BZ56" s="165"/>
      <c r="CA56" s="235"/>
      <c r="CB56" s="165"/>
      <c r="CC56" s="165"/>
      <c r="CD56" s="165"/>
      <c r="CE56" s="165"/>
      <c r="CF56" s="235"/>
      <c r="CG56" s="165"/>
      <c r="CH56" s="165"/>
      <c r="CI56" s="165"/>
      <c r="CJ56" s="165"/>
      <c r="CK56" s="235"/>
      <c r="CL56" s="165"/>
      <c r="CM56" s="165"/>
      <c r="CN56" s="165"/>
      <c r="CO56" s="165"/>
      <c r="CP56" s="235"/>
      <c r="CQ56" s="165"/>
      <c r="CR56" s="165"/>
      <c r="CS56" s="165"/>
      <c r="CT56" s="300"/>
      <c r="CU56" s="235"/>
      <c r="CV56" s="165"/>
      <c r="CW56" s="165"/>
      <c r="CX56" s="165"/>
      <c r="CY56" s="300"/>
      <c r="CZ56" s="235"/>
      <c r="DA56" s="235"/>
      <c r="DB56" s="248"/>
      <c r="DC56" s="235"/>
      <c r="DF56" s="235"/>
      <c r="DG56" s="235"/>
      <c r="DH56" s="235"/>
      <c r="DI56" s="235"/>
      <c r="DJ56" s="235"/>
    </row>
    <row r="57" spans="3:114" s="155" customFormat="1" hidden="1">
      <c r="C57" s="336"/>
      <c r="D57" s="339" t="s">
        <v>271</v>
      </c>
      <c r="E57" s="340"/>
      <c r="F57" s="236"/>
      <c r="G57" s="236"/>
      <c r="H57" s="236"/>
      <c r="I57" s="236"/>
      <c r="J57" s="152"/>
      <c r="K57" s="152"/>
      <c r="L57" s="152"/>
      <c r="M57" s="341"/>
      <c r="N57" s="236"/>
      <c r="O57" s="152"/>
      <c r="P57" s="152"/>
      <c r="Q57" s="152"/>
      <c r="R57" s="302"/>
      <c r="S57" s="236"/>
      <c r="T57" s="152"/>
      <c r="U57" s="152"/>
      <c r="V57" s="152"/>
      <c r="W57" s="302"/>
      <c r="X57" s="236"/>
      <c r="Y57" s="152"/>
      <c r="Z57" s="152"/>
      <c r="AA57" s="152"/>
      <c r="AB57" s="302"/>
      <c r="AC57" s="236"/>
      <c r="AD57" s="152" t="e">
        <f t="shared" ref="AD57:BG57" si="81">AD56/Y56-1</f>
        <v>#REF!</v>
      </c>
      <c r="AE57" s="152" t="e">
        <f t="shared" si="81"/>
        <v>#REF!</v>
      </c>
      <c r="AF57" s="152" t="e">
        <f t="shared" si="81"/>
        <v>#REF!</v>
      </c>
      <c r="AG57" s="302" t="e">
        <f t="shared" si="81"/>
        <v>#REF!</v>
      </c>
      <c r="AH57" s="236" t="e">
        <f t="shared" si="81"/>
        <v>#REF!</v>
      </c>
      <c r="AI57" s="152" t="e">
        <f t="shared" si="81"/>
        <v>#REF!</v>
      </c>
      <c r="AJ57" s="152" t="e">
        <f t="shared" si="81"/>
        <v>#REF!</v>
      </c>
      <c r="AK57" s="152" t="e">
        <f t="shared" si="81"/>
        <v>#REF!</v>
      </c>
      <c r="AL57" s="302" t="e">
        <f t="shared" si="81"/>
        <v>#REF!</v>
      </c>
      <c r="AM57" s="236" t="e">
        <f t="shared" si="81"/>
        <v>#REF!</v>
      </c>
      <c r="AN57" s="152" t="e">
        <f t="shared" si="81"/>
        <v>#REF!</v>
      </c>
      <c r="AO57" s="152" t="e">
        <f t="shared" si="81"/>
        <v>#REF!</v>
      </c>
      <c r="AP57" s="152" t="e">
        <f t="shared" si="81"/>
        <v>#REF!</v>
      </c>
      <c r="AQ57" s="302" t="e">
        <f t="shared" si="81"/>
        <v>#REF!</v>
      </c>
      <c r="AR57" s="236" t="e">
        <f t="shared" si="81"/>
        <v>#REF!</v>
      </c>
      <c r="AS57" s="152" t="e">
        <f t="shared" si="81"/>
        <v>#REF!</v>
      </c>
      <c r="AT57" s="152" t="e">
        <f t="shared" si="81"/>
        <v>#REF!</v>
      </c>
      <c r="AU57" s="152" t="e">
        <f t="shared" si="81"/>
        <v>#REF!</v>
      </c>
      <c r="AV57" s="302" t="e">
        <f t="shared" si="81"/>
        <v>#REF!</v>
      </c>
      <c r="AW57" s="236" t="e">
        <f t="shared" si="81"/>
        <v>#REF!</v>
      </c>
      <c r="AX57" s="152" t="e">
        <f t="shared" si="81"/>
        <v>#REF!</v>
      </c>
      <c r="AY57" s="152" t="e">
        <f t="shared" si="81"/>
        <v>#REF!</v>
      </c>
      <c r="AZ57" s="152" t="e">
        <f t="shared" si="81"/>
        <v>#REF!</v>
      </c>
      <c r="BA57" s="302" t="e">
        <f t="shared" si="81"/>
        <v>#REF!</v>
      </c>
      <c r="BB57" s="236" t="e">
        <f t="shared" si="81"/>
        <v>#REF!</v>
      </c>
      <c r="BC57" s="152" t="e">
        <f t="shared" si="81"/>
        <v>#REF!</v>
      </c>
      <c r="BD57" s="152" t="e">
        <f t="shared" si="81"/>
        <v>#REF!</v>
      </c>
      <c r="BE57" s="152" t="e">
        <f t="shared" si="81"/>
        <v>#REF!</v>
      </c>
      <c r="BF57" s="302" t="e">
        <f t="shared" si="81"/>
        <v>#REF!</v>
      </c>
      <c r="BG57" s="236" t="e">
        <f t="shared" si="81"/>
        <v>#REF!</v>
      </c>
      <c r="BH57" s="152"/>
      <c r="BI57" s="152"/>
      <c r="BJ57" s="152"/>
      <c r="BK57" s="302"/>
      <c r="BL57" s="236"/>
      <c r="BM57" s="152"/>
      <c r="BN57" s="152"/>
      <c r="BO57" s="152"/>
      <c r="BP57" s="302"/>
      <c r="BQ57" s="236"/>
      <c r="BR57" s="152"/>
      <c r="BS57" s="152"/>
      <c r="BT57" s="152"/>
      <c r="BU57" s="302"/>
      <c r="BV57" s="236"/>
      <c r="BW57" s="152"/>
      <c r="BX57" s="152"/>
      <c r="BY57" s="152"/>
      <c r="BZ57" s="302"/>
      <c r="CA57" s="236"/>
      <c r="CB57" s="152"/>
      <c r="CC57" s="152"/>
      <c r="CD57" s="152"/>
      <c r="CE57" s="302"/>
      <c r="CF57" s="236"/>
      <c r="CG57" s="152"/>
      <c r="CH57" s="152"/>
      <c r="CI57" s="152"/>
      <c r="CJ57" s="302"/>
      <c r="CK57" s="236"/>
      <c r="CL57" s="152"/>
      <c r="CM57" s="152"/>
      <c r="CN57" s="152"/>
      <c r="CO57" s="302"/>
      <c r="CP57" s="236"/>
      <c r="CQ57" s="152"/>
      <c r="CR57" s="241"/>
      <c r="CS57" s="241"/>
      <c r="CT57" s="342"/>
      <c r="CU57" s="236"/>
      <c r="CV57" s="241"/>
      <c r="CW57" s="241"/>
      <c r="CX57" s="241"/>
      <c r="CY57" s="342"/>
      <c r="CZ57" s="239"/>
      <c r="DA57" s="239"/>
      <c r="DB57" s="343"/>
      <c r="DC57" s="239"/>
      <c r="DF57" s="239"/>
      <c r="DG57" s="239"/>
      <c r="DH57" s="239"/>
      <c r="DI57" s="239"/>
      <c r="DJ57" s="239"/>
    </row>
    <row r="58" spans="3:114" s="155" customFormat="1" hidden="1">
      <c r="C58" s="336"/>
      <c r="D58" s="1" t="s">
        <v>72</v>
      </c>
      <c r="E58" s="235"/>
      <c r="F58" s="235"/>
      <c r="G58" s="235"/>
      <c r="H58" s="235"/>
      <c r="I58" s="235"/>
      <c r="J58" s="165"/>
      <c r="K58" s="165"/>
      <c r="L58" s="165"/>
      <c r="M58" s="165"/>
      <c r="N58" s="235"/>
      <c r="O58" s="165"/>
      <c r="P58" s="165"/>
      <c r="Q58" s="165"/>
      <c r="R58" s="165"/>
      <c r="S58" s="235"/>
      <c r="T58" s="165"/>
      <c r="U58" s="165"/>
      <c r="V58" s="165"/>
      <c r="W58" s="165"/>
      <c r="X58" s="235"/>
      <c r="Y58" s="165"/>
      <c r="Z58" s="165"/>
      <c r="AA58" s="165"/>
      <c r="AB58" s="165"/>
      <c r="AC58" s="235"/>
      <c r="AD58" s="165"/>
      <c r="AE58" s="165"/>
      <c r="AF58" s="165"/>
      <c r="AG58" s="165"/>
      <c r="AH58" s="235"/>
      <c r="AI58" s="165"/>
      <c r="AJ58" s="165"/>
      <c r="AK58" s="165"/>
      <c r="AL58" s="165"/>
      <c r="AM58" s="235"/>
      <c r="AN58" s="165"/>
      <c r="AO58" s="165"/>
      <c r="AP58" s="165"/>
      <c r="AQ58" s="165"/>
      <c r="AR58" s="235"/>
      <c r="AS58" s="165"/>
      <c r="AT58" s="165"/>
      <c r="AU58" s="165"/>
      <c r="AV58" s="165"/>
      <c r="AW58" s="235"/>
      <c r="AX58" s="165">
        <f>AX41/AX20*1000</f>
        <v>56013.513513513513</v>
      </c>
      <c r="AY58" s="165">
        <f>AY41/AY20*1000</f>
        <v>55470.588235294119</v>
      </c>
      <c r="AZ58" s="165"/>
      <c r="BA58" s="165"/>
      <c r="BB58" s="235">
        <f>BB41/BB20*1000</f>
        <v>55792</v>
      </c>
      <c r="BC58" s="165"/>
      <c r="BD58" s="165"/>
      <c r="BE58" s="165"/>
      <c r="BF58" s="165"/>
      <c r="BG58" s="235"/>
      <c r="BH58" s="165"/>
      <c r="BI58" s="165"/>
      <c r="BJ58" s="165"/>
      <c r="BK58" s="165"/>
      <c r="BL58" s="235"/>
      <c r="BM58" s="165"/>
      <c r="BN58" s="165"/>
      <c r="BO58" s="165"/>
      <c r="BP58" s="165"/>
      <c r="BQ58" s="235"/>
      <c r="BR58" s="165"/>
      <c r="BS58" s="165"/>
      <c r="BT58" s="165"/>
      <c r="BU58" s="165"/>
      <c r="BV58" s="235"/>
      <c r="BW58" s="165"/>
      <c r="BX58" s="165"/>
      <c r="BY58" s="165"/>
      <c r="BZ58" s="165"/>
      <c r="CA58" s="235"/>
      <c r="CB58" s="165"/>
      <c r="CC58" s="165"/>
      <c r="CD58" s="165"/>
      <c r="CE58" s="165"/>
      <c r="CF58" s="235"/>
      <c r="CG58" s="165"/>
      <c r="CH58" s="165"/>
      <c r="CI58" s="165"/>
      <c r="CJ58" s="165"/>
      <c r="CK58" s="235"/>
      <c r="CL58" s="165"/>
      <c r="CM58" s="165"/>
      <c r="CN58" s="165"/>
      <c r="CO58" s="165"/>
      <c r="CP58" s="235"/>
      <c r="CQ58" s="165"/>
      <c r="CR58" s="165"/>
      <c r="CS58" s="165"/>
      <c r="CT58" s="300"/>
      <c r="CU58" s="235"/>
      <c r="CV58" s="165"/>
      <c r="CW58" s="165"/>
      <c r="CX58" s="165"/>
      <c r="CY58" s="300"/>
      <c r="CZ58" s="235"/>
      <c r="DA58" s="235"/>
      <c r="DB58" s="248"/>
      <c r="DC58" s="235"/>
      <c r="DF58" s="235"/>
      <c r="DG58" s="235"/>
      <c r="DH58" s="235"/>
      <c r="DI58" s="235"/>
      <c r="DJ58" s="235"/>
    </row>
    <row r="59" spans="3:114" s="155" customFormat="1" hidden="1">
      <c r="C59" s="336"/>
      <c r="D59" s="339" t="s">
        <v>271</v>
      </c>
      <c r="E59" s="340"/>
      <c r="F59" s="236"/>
      <c r="G59" s="236"/>
      <c r="H59" s="236"/>
      <c r="I59" s="236"/>
      <c r="J59" s="152"/>
      <c r="K59" s="152"/>
      <c r="L59" s="152"/>
      <c r="M59" s="341"/>
      <c r="N59" s="236"/>
      <c r="O59" s="152"/>
      <c r="P59" s="152"/>
      <c r="Q59" s="152"/>
      <c r="R59" s="302"/>
      <c r="S59" s="236"/>
      <c r="T59" s="152"/>
      <c r="U59" s="152"/>
      <c r="V59" s="152"/>
      <c r="W59" s="302"/>
      <c r="X59" s="236"/>
      <c r="Y59" s="152"/>
      <c r="Z59" s="152"/>
      <c r="AA59" s="152"/>
      <c r="AB59" s="302"/>
      <c r="AC59" s="236"/>
      <c r="AD59" s="152"/>
      <c r="AE59" s="152"/>
      <c r="AF59" s="152"/>
      <c r="AG59" s="302"/>
      <c r="AH59" s="236"/>
      <c r="AI59" s="152"/>
      <c r="AJ59" s="152"/>
      <c r="AK59" s="152"/>
      <c r="AL59" s="302"/>
      <c r="AM59" s="236"/>
      <c r="AN59" s="152"/>
      <c r="AO59" s="152"/>
      <c r="AP59" s="152"/>
      <c r="AQ59" s="302"/>
      <c r="AR59" s="236"/>
      <c r="AS59" s="152"/>
      <c r="AT59" s="152"/>
      <c r="AU59" s="152"/>
      <c r="AV59" s="302"/>
      <c r="AW59" s="236"/>
      <c r="AX59" s="152"/>
      <c r="AY59" s="152"/>
      <c r="AZ59" s="152"/>
      <c r="BA59" s="302"/>
      <c r="BB59" s="236"/>
      <c r="BC59" s="152"/>
      <c r="BD59" s="152"/>
      <c r="BE59" s="152"/>
      <c r="BF59" s="302"/>
      <c r="BG59" s="236"/>
      <c r="BH59" s="152"/>
      <c r="BI59" s="152"/>
      <c r="BJ59" s="152"/>
      <c r="BK59" s="302"/>
      <c r="BL59" s="236"/>
      <c r="BM59" s="152"/>
      <c r="BN59" s="152"/>
      <c r="BO59" s="152"/>
      <c r="BP59" s="302"/>
      <c r="BQ59" s="236"/>
      <c r="BR59" s="152"/>
      <c r="BS59" s="152"/>
      <c r="BT59" s="152"/>
      <c r="BU59" s="302"/>
      <c r="BV59" s="236"/>
      <c r="BW59" s="152"/>
      <c r="BX59" s="152"/>
      <c r="BY59" s="152"/>
      <c r="BZ59" s="302"/>
      <c r="CA59" s="236"/>
      <c r="CB59" s="152"/>
      <c r="CC59" s="152"/>
      <c r="CD59" s="152"/>
      <c r="CE59" s="302"/>
      <c r="CF59" s="236"/>
      <c r="CG59" s="152"/>
      <c r="CH59" s="152"/>
      <c r="CI59" s="152"/>
      <c r="CJ59" s="302"/>
      <c r="CK59" s="236"/>
      <c r="CL59" s="152"/>
      <c r="CM59" s="152"/>
      <c r="CN59" s="152"/>
      <c r="CO59" s="302"/>
      <c r="CP59" s="236"/>
      <c r="CQ59" s="152"/>
      <c r="CR59" s="241"/>
      <c r="CS59" s="241"/>
      <c r="CT59" s="342"/>
      <c r="CU59" s="236"/>
      <c r="CV59" s="241"/>
      <c r="CW59" s="241"/>
      <c r="CX59" s="241"/>
      <c r="CY59" s="342"/>
      <c r="CZ59" s="239"/>
      <c r="DA59" s="239"/>
      <c r="DB59" s="343"/>
      <c r="DC59" s="239"/>
      <c r="DF59" s="239"/>
      <c r="DG59" s="239"/>
      <c r="DH59" s="239"/>
      <c r="DI59" s="239"/>
      <c r="DJ59" s="239"/>
    </row>
    <row r="60" spans="3:114" s="183" customFormat="1" hidden="1">
      <c r="C60" s="336"/>
      <c r="D60" s="140" t="s">
        <v>794</v>
      </c>
      <c r="E60" s="312"/>
      <c r="F60" s="312"/>
      <c r="G60" s="312"/>
      <c r="H60" s="312"/>
      <c r="I60" s="312" t="e">
        <f>#REF!/I22*1000</f>
        <v>#REF!</v>
      </c>
      <c r="J60" s="168" t="e">
        <f>#REF!/J22*1000</f>
        <v>#REF!</v>
      </c>
      <c r="K60" s="168" t="e">
        <f>#REF!/K22*1000</f>
        <v>#REF!</v>
      </c>
      <c r="L60" s="168" t="e">
        <f>#REF!/L22*1000</f>
        <v>#REF!</v>
      </c>
      <c r="M60" s="168" t="e">
        <f>#REF!/M22*1000</f>
        <v>#REF!</v>
      </c>
      <c r="N60" s="312" t="e">
        <f>#REF!/N22*1000</f>
        <v>#REF!</v>
      </c>
      <c r="O60" s="168" t="e">
        <f>#REF!/O22*1000</f>
        <v>#REF!</v>
      </c>
      <c r="P60" s="168" t="e">
        <f>#REF!/P22*1000</f>
        <v>#REF!</v>
      </c>
      <c r="Q60" s="168" t="e">
        <f>#REF!/Q22*1000</f>
        <v>#REF!</v>
      </c>
      <c r="R60" s="168" t="e">
        <f>#REF!/R22*1000</f>
        <v>#REF!</v>
      </c>
      <c r="S60" s="312" t="e">
        <f>#REF!/S22*1000</f>
        <v>#REF!</v>
      </c>
      <c r="T60" s="168" t="e">
        <f>#REF!/T22*1000</f>
        <v>#REF!</v>
      </c>
      <c r="U60" s="168" t="e">
        <f>#REF!/U22*1000</f>
        <v>#REF!</v>
      </c>
      <c r="V60" s="168" t="e">
        <f>#REF!/V22*1000</f>
        <v>#REF!</v>
      </c>
      <c r="W60" s="168" t="e">
        <f>#REF!/W22*1000</f>
        <v>#REF!</v>
      </c>
      <c r="X60" s="312" t="e">
        <f>#REF!/X22*1000</f>
        <v>#REF!</v>
      </c>
      <c r="Y60" s="168" t="e">
        <f>#REF!/Y22*1000</f>
        <v>#REF!</v>
      </c>
      <c r="Z60" s="168" t="e">
        <f>#REF!/Z22*1000</f>
        <v>#REF!</v>
      </c>
      <c r="AA60" s="168" t="e">
        <f>#REF!/AA22*1000</f>
        <v>#REF!</v>
      </c>
      <c r="AB60" s="168" t="e">
        <f>#REF!/AB22*1000</f>
        <v>#REF!</v>
      </c>
      <c r="AC60" s="312" t="e">
        <f>#REF!/AC22*1000</f>
        <v>#REF!</v>
      </c>
      <c r="AD60" s="168" t="e">
        <f>#REF!/AD22*1000</f>
        <v>#REF!</v>
      </c>
      <c r="AE60" s="168" t="e">
        <f>#REF!/AE22*1000</f>
        <v>#REF!</v>
      </c>
      <c r="AF60" s="168" t="e">
        <f>#REF!/AF22*1000</f>
        <v>#REF!</v>
      </c>
      <c r="AG60" s="168" t="e">
        <f>#REF!/AG22*1000</f>
        <v>#REF!</v>
      </c>
      <c r="AH60" s="312" t="e">
        <f>#REF!/AH22*1000</f>
        <v>#REF!</v>
      </c>
      <c r="AI60" s="168" t="e">
        <f>#REF!/AI22*1000</f>
        <v>#REF!</v>
      </c>
      <c r="AJ60" s="168" t="e">
        <f>#REF!/AJ22*1000</f>
        <v>#REF!</v>
      </c>
      <c r="AK60" s="168" t="e">
        <f>#REF!/AK22*1000</f>
        <v>#REF!</v>
      </c>
      <c r="AL60" s="168" t="e">
        <f>#REF!/AL22*1000</f>
        <v>#REF!</v>
      </c>
      <c r="AM60" s="312" t="e">
        <f>#REF!/AM22*1000</f>
        <v>#REF!</v>
      </c>
      <c r="AN60" s="168" t="e">
        <f>#REF!/AN22*1000</f>
        <v>#REF!</v>
      </c>
      <c r="AO60" s="168" t="e">
        <f>#REF!/AO22*1000</f>
        <v>#REF!</v>
      </c>
      <c r="AP60" s="168" t="e">
        <f>#REF!/AP22*1000</f>
        <v>#REF!</v>
      </c>
      <c r="AQ60" s="168" t="e">
        <f>#REF!/AQ22*1000</f>
        <v>#REF!</v>
      </c>
      <c r="AR60" s="312" t="e">
        <f>#REF!/AR22*1000</f>
        <v>#REF!</v>
      </c>
      <c r="AS60" s="168" t="e">
        <f>#REF!/AS22*1000</f>
        <v>#REF!</v>
      </c>
      <c r="AT60" s="168" t="e">
        <f>#REF!/AT22*1000</f>
        <v>#REF!</v>
      </c>
      <c r="AU60" s="168" t="e">
        <f>#REF!/AU22*1000</f>
        <v>#REF!</v>
      </c>
      <c r="AV60" s="168" t="e">
        <f>#REF!/AV22*1000</f>
        <v>#REF!</v>
      </c>
      <c r="AW60" s="312" t="e">
        <f>#REF!/AW22*1000</f>
        <v>#REF!</v>
      </c>
      <c r="AX60" s="168" t="e">
        <f>#REF!/AX22*1000</f>
        <v>#REF!</v>
      </c>
      <c r="AY60" s="168" t="e">
        <f>#REF!/AY22*1000</f>
        <v>#REF!</v>
      </c>
      <c r="AZ60" s="168" t="e">
        <f>#REF!/AZ22*1000</f>
        <v>#REF!</v>
      </c>
      <c r="BA60" s="168" t="e">
        <f>#REF!/BA22*1000</f>
        <v>#REF!</v>
      </c>
      <c r="BB60" s="312" t="e">
        <f>#REF!/BB22*1000</f>
        <v>#REF!</v>
      </c>
      <c r="BC60" s="168" t="e">
        <f>#REF!/BC22*1000</f>
        <v>#REF!</v>
      </c>
      <c r="BD60" s="168" t="e">
        <f>#REF!/BD22*1000</f>
        <v>#REF!</v>
      </c>
      <c r="BE60" s="168" t="e">
        <f>#REF!/BE22*1000</f>
        <v>#REF!</v>
      </c>
      <c r="BF60" s="168" t="e">
        <f>#REF!/BF22*1000</f>
        <v>#REF!</v>
      </c>
      <c r="BG60" s="312" t="e">
        <f>#REF!/BG22*1000</f>
        <v>#REF!</v>
      </c>
      <c r="BH60" s="168" t="e">
        <f>#REF!/BH22*1000</f>
        <v>#REF!</v>
      </c>
      <c r="BI60" s="168" t="e">
        <f>#REF!/BI22*1000</f>
        <v>#REF!</v>
      </c>
      <c r="BJ60" s="168" t="e">
        <f>#REF!/BJ22*1000</f>
        <v>#REF!</v>
      </c>
      <c r="BK60" s="168" t="e">
        <f>#REF!/BK22*1000</f>
        <v>#REF!</v>
      </c>
      <c r="BL60" s="312" t="e">
        <f>#REF!/BL22*1000</f>
        <v>#REF!</v>
      </c>
      <c r="BM60" s="168" t="e">
        <f>#REF!/BM22*1000</f>
        <v>#REF!</v>
      </c>
      <c r="BN60" s="168" t="e">
        <f>#REF!/BN22*1000</f>
        <v>#REF!</v>
      </c>
      <c r="BO60" s="168" t="e">
        <f>#REF!/BO22*1000</f>
        <v>#REF!</v>
      </c>
      <c r="BP60" s="168" t="e">
        <f>#REF!/BP22*1000</f>
        <v>#REF!</v>
      </c>
      <c r="BQ60" s="312" t="e">
        <f>#REF!/BQ22*1000</f>
        <v>#REF!</v>
      </c>
      <c r="BR60" s="168" t="e">
        <f>#REF!/BR22*1000</f>
        <v>#REF!</v>
      </c>
      <c r="BS60" s="168" t="e">
        <f>#REF!/BS22*1000</f>
        <v>#REF!</v>
      </c>
      <c r="BT60" s="168" t="e">
        <f>#REF!/BT22*1000</f>
        <v>#REF!</v>
      </c>
      <c r="BU60" s="168" t="e">
        <f>#REF!/BU22*1000</f>
        <v>#REF!</v>
      </c>
      <c r="BV60" s="312" t="e">
        <f>#REF!/BV22*1000</f>
        <v>#REF!</v>
      </c>
      <c r="BW60" s="168" t="e">
        <f>#REF!/BW22*1000</f>
        <v>#REF!</v>
      </c>
      <c r="BX60" s="168" t="e">
        <f>#REF!/BX22*1000</f>
        <v>#REF!</v>
      </c>
      <c r="BY60" s="168" t="e">
        <f>#REF!/BY22*1000</f>
        <v>#REF!</v>
      </c>
      <c r="BZ60" s="168" t="e">
        <f>#REF!/BZ22*1000</f>
        <v>#REF!</v>
      </c>
      <c r="CA60" s="312" t="e">
        <f>#REF!/CA22*1000</f>
        <v>#REF!</v>
      </c>
      <c r="CB60" s="168" t="e">
        <f>#REF!/CB22*1000</f>
        <v>#REF!</v>
      </c>
      <c r="CC60" s="168" t="e">
        <f>#REF!/CC22*1000</f>
        <v>#REF!</v>
      </c>
      <c r="CD60" s="168" t="e">
        <f>#REF!/CD22*1000</f>
        <v>#REF!</v>
      </c>
      <c r="CE60" s="168" t="e">
        <f>#REF!/CE22*1000</f>
        <v>#REF!</v>
      </c>
      <c r="CF60" s="312" t="e">
        <f>#REF!/CF22*1000</f>
        <v>#REF!</v>
      </c>
      <c r="CG60" s="168" t="e">
        <f>#REF!/CG22*1000</f>
        <v>#REF!</v>
      </c>
      <c r="CH60" s="168" t="e">
        <f>#REF!/CH22*1000</f>
        <v>#REF!</v>
      </c>
      <c r="CI60" s="168" t="e">
        <f>#REF!/CI22*1000</f>
        <v>#REF!</v>
      </c>
      <c r="CJ60" s="168" t="e">
        <f>#REF!/CJ22*1000</f>
        <v>#REF!</v>
      </c>
      <c r="CK60" s="312" t="e">
        <f>#REF!/CK22*1000</f>
        <v>#REF!</v>
      </c>
      <c r="CL60" s="168" t="e">
        <f>#REF!/CL22*1000</f>
        <v>#REF!</v>
      </c>
      <c r="CM60" s="168" t="e">
        <f>#REF!/CM22*1000</f>
        <v>#REF!</v>
      </c>
      <c r="CN60" s="168" t="e">
        <f>#REF!/CN22*1000</f>
        <v>#REF!</v>
      </c>
      <c r="CO60" s="168" t="e">
        <f>#REF!/CO22*1000</f>
        <v>#REF!</v>
      </c>
      <c r="CP60" s="312" t="e">
        <f>#REF!/CP22*1000</f>
        <v>#REF!</v>
      </c>
      <c r="CQ60" s="168" t="e">
        <f>#REF!/CQ22*1000</f>
        <v>#REF!</v>
      </c>
      <c r="CR60" s="168" t="e">
        <f>#REF!/CR22*1000</f>
        <v>#REF!</v>
      </c>
      <c r="CS60" s="168" t="e">
        <f>#REF!/CS22*1000</f>
        <v>#REF!</v>
      </c>
      <c r="CT60" s="168" t="e">
        <f>#REF!/CT22*1000</f>
        <v>#REF!</v>
      </c>
      <c r="CU60" s="312" t="e">
        <f>#REF!/CU22*1000</f>
        <v>#REF!</v>
      </c>
      <c r="CV60" s="168" t="e">
        <f>#REF!/CV22*1000</f>
        <v>#REF!</v>
      </c>
      <c r="CW60" s="168" t="e">
        <f>#REF!/CW22*1000</f>
        <v>#REF!</v>
      </c>
      <c r="CX60" s="168" t="e">
        <f>#REF!/CX22*1000</f>
        <v>#REF!</v>
      </c>
      <c r="CY60" s="168" t="e">
        <f>#REF!/CY22*1000</f>
        <v>#REF!</v>
      </c>
      <c r="CZ60" s="312" t="e">
        <f>#REF!/CZ22*1000</f>
        <v>#REF!</v>
      </c>
      <c r="DA60" s="312" t="e">
        <f>#REF!/DA22*1000</f>
        <v>#REF!</v>
      </c>
      <c r="DB60" s="347" t="e">
        <f>#REF!/DB22*1000</f>
        <v>#REF!</v>
      </c>
      <c r="DC60" s="312" t="e">
        <f>#REF!/DC22*1000</f>
        <v>#REF!</v>
      </c>
      <c r="DF60" s="312" t="e">
        <f>CT60</f>
        <v>#REF!</v>
      </c>
      <c r="DG60" s="312">
        <v>13016.264140017372</v>
      </c>
      <c r="DH60" s="312" t="e">
        <f>CO60</f>
        <v>#REF!</v>
      </c>
      <c r="DI60" s="312" t="str">
        <f t="shared" si="5"/>
        <v>NM</v>
      </c>
      <c r="DJ60" s="312" t="str">
        <f t="shared" si="6"/>
        <v>NM</v>
      </c>
    </row>
    <row r="61" spans="3:114" s="155" customFormat="1" hidden="1">
      <c r="C61" s="336"/>
      <c r="D61" s="339" t="s">
        <v>271</v>
      </c>
      <c r="E61" s="340"/>
      <c r="F61" s="236"/>
      <c r="G61" s="236"/>
      <c r="H61" s="236"/>
      <c r="I61" s="236"/>
      <c r="J61" s="152"/>
      <c r="K61" s="152"/>
      <c r="L61" s="152"/>
      <c r="M61" s="341"/>
      <c r="N61" s="236" t="e">
        <f t="shared" ref="N61:AS61" si="82">N60/I60-1</f>
        <v>#REF!</v>
      </c>
      <c r="O61" s="152" t="e">
        <f t="shared" si="82"/>
        <v>#REF!</v>
      </c>
      <c r="P61" s="152" t="e">
        <f t="shared" si="82"/>
        <v>#REF!</v>
      </c>
      <c r="Q61" s="152" t="e">
        <f t="shared" si="82"/>
        <v>#REF!</v>
      </c>
      <c r="R61" s="302" t="e">
        <f t="shared" si="82"/>
        <v>#REF!</v>
      </c>
      <c r="S61" s="236" t="e">
        <f t="shared" si="82"/>
        <v>#REF!</v>
      </c>
      <c r="T61" s="152" t="e">
        <f t="shared" si="82"/>
        <v>#REF!</v>
      </c>
      <c r="U61" s="152" t="e">
        <f t="shared" si="82"/>
        <v>#REF!</v>
      </c>
      <c r="V61" s="152" t="e">
        <f t="shared" si="82"/>
        <v>#REF!</v>
      </c>
      <c r="W61" s="302" t="e">
        <f t="shared" si="82"/>
        <v>#REF!</v>
      </c>
      <c r="X61" s="236" t="e">
        <f t="shared" si="82"/>
        <v>#REF!</v>
      </c>
      <c r="Y61" s="152" t="e">
        <f t="shared" si="82"/>
        <v>#REF!</v>
      </c>
      <c r="Z61" s="152" t="e">
        <f t="shared" si="82"/>
        <v>#REF!</v>
      </c>
      <c r="AA61" s="152" t="e">
        <f t="shared" si="82"/>
        <v>#REF!</v>
      </c>
      <c r="AB61" s="302" t="e">
        <f t="shared" si="82"/>
        <v>#REF!</v>
      </c>
      <c r="AC61" s="236" t="e">
        <f t="shared" si="82"/>
        <v>#REF!</v>
      </c>
      <c r="AD61" s="152" t="e">
        <f t="shared" si="82"/>
        <v>#REF!</v>
      </c>
      <c r="AE61" s="152" t="e">
        <f t="shared" si="82"/>
        <v>#REF!</v>
      </c>
      <c r="AF61" s="152" t="e">
        <f t="shared" si="82"/>
        <v>#REF!</v>
      </c>
      <c r="AG61" s="302" t="e">
        <f t="shared" si="82"/>
        <v>#REF!</v>
      </c>
      <c r="AH61" s="236" t="e">
        <f t="shared" si="82"/>
        <v>#REF!</v>
      </c>
      <c r="AI61" s="152" t="e">
        <f t="shared" si="82"/>
        <v>#REF!</v>
      </c>
      <c r="AJ61" s="152" t="e">
        <f t="shared" si="82"/>
        <v>#REF!</v>
      </c>
      <c r="AK61" s="152" t="e">
        <f t="shared" si="82"/>
        <v>#REF!</v>
      </c>
      <c r="AL61" s="302" t="e">
        <f t="shared" si="82"/>
        <v>#REF!</v>
      </c>
      <c r="AM61" s="236" t="e">
        <f t="shared" si="82"/>
        <v>#REF!</v>
      </c>
      <c r="AN61" s="152" t="e">
        <f t="shared" si="82"/>
        <v>#REF!</v>
      </c>
      <c r="AO61" s="152" t="e">
        <f t="shared" si="82"/>
        <v>#REF!</v>
      </c>
      <c r="AP61" s="152" t="e">
        <f t="shared" si="82"/>
        <v>#REF!</v>
      </c>
      <c r="AQ61" s="302" t="e">
        <f t="shared" si="82"/>
        <v>#REF!</v>
      </c>
      <c r="AR61" s="236" t="e">
        <f t="shared" si="82"/>
        <v>#REF!</v>
      </c>
      <c r="AS61" s="152" t="e">
        <f t="shared" si="82"/>
        <v>#REF!</v>
      </c>
      <c r="AT61" s="152" t="e">
        <f t="shared" ref="AT61:BY61" si="83">AT60/AO60-1</f>
        <v>#REF!</v>
      </c>
      <c r="AU61" s="152" t="e">
        <f t="shared" si="83"/>
        <v>#REF!</v>
      </c>
      <c r="AV61" s="302" t="e">
        <f t="shared" si="83"/>
        <v>#REF!</v>
      </c>
      <c r="AW61" s="236" t="e">
        <f t="shared" si="83"/>
        <v>#REF!</v>
      </c>
      <c r="AX61" s="152" t="e">
        <f t="shared" si="83"/>
        <v>#REF!</v>
      </c>
      <c r="AY61" s="152" t="e">
        <f t="shared" si="83"/>
        <v>#REF!</v>
      </c>
      <c r="AZ61" s="152" t="e">
        <f t="shared" si="83"/>
        <v>#REF!</v>
      </c>
      <c r="BA61" s="302" t="e">
        <f t="shared" si="83"/>
        <v>#REF!</v>
      </c>
      <c r="BB61" s="236" t="e">
        <f t="shared" si="83"/>
        <v>#REF!</v>
      </c>
      <c r="BC61" s="152" t="e">
        <f t="shared" si="83"/>
        <v>#REF!</v>
      </c>
      <c r="BD61" s="152" t="e">
        <f t="shared" si="83"/>
        <v>#REF!</v>
      </c>
      <c r="BE61" s="152" t="e">
        <f t="shared" si="83"/>
        <v>#REF!</v>
      </c>
      <c r="BF61" s="302" t="e">
        <f t="shared" si="83"/>
        <v>#REF!</v>
      </c>
      <c r="BG61" s="236" t="e">
        <f t="shared" si="83"/>
        <v>#REF!</v>
      </c>
      <c r="BH61" s="152" t="e">
        <f t="shared" si="83"/>
        <v>#REF!</v>
      </c>
      <c r="BI61" s="152" t="e">
        <f t="shared" si="83"/>
        <v>#REF!</v>
      </c>
      <c r="BJ61" s="152" t="e">
        <f t="shared" si="83"/>
        <v>#REF!</v>
      </c>
      <c r="BK61" s="302" t="e">
        <f t="shared" si="83"/>
        <v>#REF!</v>
      </c>
      <c r="BL61" s="236" t="e">
        <f t="shared" si="83"/>
        <v>#REF!</v>
      </c>
      <c r="BM61" s="152" t="e">
        <f t="shared" si="83"/>
        <v>#REF!</v>
      </c>
      <c r="BN61" s="152" t="e">
        <f t="shared" si="83"/>
        <v>#REF!</v>
      </c>
      <c r="BO61" s="152" t="e">
        <f t="shared" si="83"/>
        <v>#REF!</v>
      </c>
      <c r="BP61" s="302" t="e">
        <f t="shared" si="83"/>
        <v>#REF!</v>
      </c>
      <c r="BQ61" s="236" t="e">
        <f t="shared" si="83"/>
        <v>#REF!</v>
      </c>
      <c r="BR61" s="152" t="e">
        <f t="shared" si="83"/>
        <v>#REF!</v>
      </c>
      <c r="BS61" s="152" t="e">
        <f t="shared" si="83"/>
        <v>#REF!</v>
      </c>
      <c r="BT61" s="152" t="e">
        <f t="shared" si="83"/>
        <v>#REF!</v>
      </c>
      <c r="BU61" s="302" t="e">
        <f t="shared" si="83"/>
        <v>#REF!</v>
      </c>
      <c r="BV61" s="236" t="e">
        <f t="shared" si="83"/>
        <v>#REF!</v>
      </c>
      <c r="BW61" s="152" t="e">
        <f t="shared" si="83"/>
        <v>#REF!</v>
      </c>
      <c r="BX61" s="152" t="e">
        <f t="shared" si="83"/>
        <v>#REF!</v>
      </c>
      <c r="BY61" s="152" t="e">
        <f t="shared" si="83"/>
        <v>#REF!</v>
      </c>
      <c r="BZ61" s="302" t="e">
        <f t="shared" ref="BZ61:CP61" si="84">BZ60/BU60-1</f>
        <v>#REF!</v>
      </c>
      <c r="CA61" s="236" t="e">
        <f t="shared" si="84"/>
        <v>#REF!</v>
      </c>
      <c r="CB61" s="152" t="e">
        <f t="shared" si="84"/>
        <v>#REF!</v>
      </c>
      <c r="CC61" s="152" t="e">
        <f t="shared" si="84"/>
        <v>#REF!</v>
      </c>
      <c r="CD61" s="152" t="e">
        <f t="shared" si="84"/>
        <v>#REF!</v>
      </c>
      <c r="CE61" s="302" t="e">
        <f t="shared" si="84"/>
        <v>#REF!</v>
      </c>
      <c r="CF61" s="236" t="e">
        <f t="shared" si="84"/>
        <v>#REF!</v>
      </c>
      <c r="CG61" s="152" t="e">
        <f t="shared" si="84"/>
        <v>#REF!</v>
      </c>
      <c r="CH61" s="152" t="e">
        <f t="shared" si="84"/>
        <v>#REF!</v>
      </c>
      <c r="CI61" s="152" t="e">
        <f t="shared" si="84"/>
        <v>#REF!</v>
      </c>
      <c r="CJ61" s="302" t="e">
        <f t="shared" si="84"/>
        <v>#REF!</v>
      </c>
      <c r="CK61" s="236" t="e">
        <f t="shared" si="84"/>
        <v>#REF!</v>
      </c>
      <c r="CL61" s="152" t="e">
        <f t="shared" si="84"/>
        <v>#REF!</v>
      </c>
      <c r="CM61" s="152" t="e">
        <f t="shared" si="84"/>
        <v>#REF!</v>
      </c>
      <c r="CN61" s="152" t="e">
        <f t="shared" si="84"/>
        <v>#REF!</v>
      </c>
      <c r="CO61" s="302" t="e">
        <f t="shared" si="84"/>
        <v>#REF!</v>
      </c>
      <c r="CP61" s="236" t="e">
        <f t="shared" si="84"/>
        <v>#REF!</v>
      </c>
      <c r="CQ61" s="152" t="e">
        <f t="shared" ref="CQ61:CZ61" si="85">CQ60/CL60-1</f>
        <v>#REF!</v>
      </c>
      <c r="CR61" s="152" t="e">
        <f t="shared" si="85"/>
        <v>#REF!</v>
      </c>
      <c r="CS61" s="152" t="e">
        <f t="shared" si="85"/>
        <v>#REF!</v>
      </c>
      <c r="CT61" s="302" t="e">
        <f t="shared" si="85"/>
        <v>#REF!</v>
      </c>
      <c r="CU61" s="236" t="e">
        <f t="shared" si="85"/>
        <v>#REF!</v>
      </c>
      <c r="CV61" s="152" t="e">
        <f t="shared" si="85"/>
        <v>#REF!</v>
      </c>
      <c r="CW61" s="152" t="e">
        <f t="shared" si="85"/>
        <v>#REF!</v>
      </c>
      <c r="CX61" s="152" t="e">
        <f t="shared" si="85"/>
        <v>#REF!</v>
      </c>
      <c r="CY61" s="302" t="e">
        <f t="shared" si="85"/>
        <v>#REF!</v>
      </c>
      <c r="CZ61" s="236" t="e">
        <f t="shared" si="85"/>
        <v>#REF!</v>
      </c>
      <c r="DA61" s="236" t="e">
        <f>+DA60/CZ60-1</f>
        <v>#REF!</v>
      </c>
      <c r="DB61" s="352" t="e">
        <f>+DB60/DA60-1</f>
        <v>#REF!</v>
      </c>
      <c r="DC61" s="236" t="e">
        <f>+DC60/DB60-1</f>
        <v>#REF!</v>
      </c>
      <c r="DF61" s="236" t="e">
        <f>CT61</f>
        <v>#REF!</v>
      </c>
      <c r="DG61" s="236">
        <v>9.4491886742964493E-3</v>
      </c>
      <c r="DH61" s="236" t="e">
        <f>CO61</f>
        <v>#REF!</v>
      </c>
      <c r="DI61" s="236" t="str">
        <f t="shared" si="5"/>
        <v>NM</v>
      </c>
      <c r="DJ61" s="236" t="str">
        <f t="shared" si="6"/>
        <v>NM</v>
      </c>
    </row>
    <row r="62" spans="3:114" s="183" customFormat="1">
      <c r="C62" s="336"/>
      <c r="D62" s="217" t="s">
        <v>110</v>
      </c>
      <c r="E62" s="348"/>
      <c r="F62" s="348"/>
      <c r="G62" s="348"/>
      <c r="H62" s="348"/>
      <c r="I62" s="348" t="e">
        <f t="shared" ref="I62:AN62" si="86">I43/I24*1000</f>
        <v>#REF!</v>
      </c>
      <c r="J62" s="349" t="e">
        <f t="shared" si="86"/>
        <v>#REF!</v>
      </c>
      <c r="K62" s="349" t="e">
        <f t="shared" si="86"/>
        <v>#REF!</v>
      </c>
      <c r="L62" s="349" t="e">
        <f t="shared" si="86"/>
        <v>#REF!</v>
      </c>
      <c r="M62" s="350" t="e">
        <f t="shared" si="86"/>
        <v>#REF!</v>
      </c>
      <c r="N62" s="348" t="e">
        <f t="shared" si="86"/>
        <v>#REF!</v>
      </c>
      <c r="O62" s="349" t="e">
        <f t="shared" si="86"/>
        <v>#REF!</v>
      </c>
      <c r="P62" s="349" t="e">
        <f t="shared" si="86"/>
        <v>#REF!</v>
      </c>
      <c r="Q62" s="349" t="e">
        <f t="shared" si="86"/>
        <v>#REF!</v>
      </c>
      <c r="R62" s="350" t="e">
        <f t="shared" si="86"/>
        <v>#REF!</v>
      </c>
      <c r="S62" s="348" t="e">
        <f t="shared" si="86"/>
        <v>#REF!</v>
      </c>
      <c r="T62" s="349" t="e">
        <f t="shared" si="86"/>
        <v>#REF!</v>
      </c>
      <c r="U62" s="349" t="e">
        <f t="shared" si="86"/>
        <v>#REF!</v>
      </c>
      <c r="V62" s="349" t="e">
        <f t="shared" si="86"/>
        <v>#REF!</v>
      </c>
      <c r="W62" s="350" t="e">
        <f t="shared" si="86"/>
        <v>#REF!</v>
      </c>
      <c r="X62" s="348" t="e">
        <f t="shared" si="86"/>
        <v>#REF!</v>
      </c>
      <c r="Y62" s="349" t="e">
        <f t="shared" si="86"/>
        <v>#REF!</v>
      </c>
      <c r="Z62" s="349" t="e">
        <f t="shared" si="86"/>
        <v>#REF!</v>
      </c>
      <c r="AA62" s="349" t="e">
        <f t="shared" si="86"/>
        <v>#REF!</v>
      </c>
      <c r="AB62" s="350" t="e">
        <f t="shared" si="86"/>
        <v>#REF!</v>
      </c>
      <c r="AC62" s="348" t="e">
        <f t="shared" si="86"/>
        <v>#REF!</v>
      </c>
      <c r="AD62" s="349" t="e">
        <f t="shared" si="86"/>
        <v>#REF!</v>
      </c>
      <c r="AE62" s="349" t="e">
        <f t="shared" si="86"/>
        <v>#REF!</v>
      </c>
      <c r="AF62" s="349" t="e">
        <f t="shared" si="86"/>
        <v>#REF!</v>
      </c>
      <c r="AG62" s="350" t="e">
        <f t="shared" si="86"/>
        <v>#REF!</v>
      </c>
      <c r="AH62" s="348" t="e">
        <f t="shared" si="86"/>
        <v>#REF!</v>
      </c>
      <c r="AI62" s="349" t="e">
        <f t="shared" si="86"/>
        <v>#REF!</v>
      </c>
      <c r="AJ62" s="349" t="e">
        <f t="shared" si="86"/>
        <v>#REF!</v>
      </c>
      <c r="AK62" s="349" t="e">
        <f t="shared" si="86"/>
        <v>#REF!</v>
      </c>
      <c r="AL62" s="350" t="e">
        <f t="shared" si="86"/>
        <v>#REF!</v>
      </c>
      <c r="AM62" s="348" t="e">
        <f t="shared" si="86"/>
        <v>#REF!</v>
      </c>
      <c r="AN62" s="349" t="e">
        <f t="shared" si="86"/>
        <v>#REF!</v>
      </c>
      <c r="AO62" s="349" t="e">
        <f t="shared" ref="AO62:BT62" si="87">AO43/AO24*1000</f>
        <v>#REF!</v>
      </c>
      <c r="AP62" s="349" t="e">
        <f t="shared" si="87"/>
        <v>#REF!</v>
      </c>
      <c r="AQ62" s="350" t="e">
        <f t="shared" si="87"/>
        <v>#REF!</v>
      </c>
      <c r="AR62" s="348" t="e">
        <f t="shared" si="87"/>
        <v>#REF!</v>
      </c>
      <c r="AS62" s="349" t="e">
        <f t="shared" si="87"/>
        <v>#REF!</v>
      </c>
      <c r="AT62" s="349" t="e">
        <f t="shared" si="87"/>
        <v>#REF!</v>
      </c>
      <c r="AU62" s="349" t="e">
        <f t="shared" si="87"/>
        <v>#REF!</v>
      </c>
      <c r="AV62" s="350" t="e">
        <f t="shared" si="87"/>
        <v>#REF!</v>
      </c>
      <c r="AW62" s="348" t="e">
        <f t="shared" si="87"/>
        <v>#REF!</v>
      </c>
      <c r="AX62" s="349" t="e">
        <f t="shared" si="87"/>
        <v>#REF!</v>
      </c>
      <c r="AY62" s="349" t="e">
        <f t="shared" si="87"/>
        <v>#REF!</v>
      </c>
      <c r="AZ62" s="349" t="e">
        <f t="shared" si="87"/>
        <v>#REF!</v>
      </c>
      <c r="BA62" s="350" t="e">
        <f t="shared" si="87"/>
        <v>#REF!</v>
      </c>
      <c r="BB62" s="348" t="e">
        <f t="shared" si="87"/>
        <v>#REF!</v>
      </c>
      <c r="BC62" s="349" t="e">
        <f t="shared" si="87"/>
        <v>#REF!</v>
      </c>
      <c r="BD62" s="349" t="e">
        <f t="shared" si="87"/>
        <v>#REF!</v>
      </c>
      <c r="BE62" s="349" t="e">
        <f t="shared" si="87"/>
        <v>#REF!</v>
      </c>
      <c r="BF62" s="350" t="e">
        <f t="shared" si="87"/>
        <v>#REF!</v>
      </c>
      <c r="BG62" s="348" t="e">
        <f t="shared" si="87"/>
        <v>#REF!</v>
      </c>
      <c r="BH62" s="349">
        <f t="shared" si="87"/>
        <v>0</v>
      </c>
      <c r="BI62" s="349">
        <f t="shared" si="87"/>
        <v>0</v>
      </c>
      <c r="BJ62" s="349">
        <f t="shared" si="87"/>
        <v>0</v>
      </c>
      <c r="BK62" s="350">
        <f t="shared" si="87"/>
        <v>0</v>
      </c>
      <c r="BL62" s="348">
        <f t="shared" si="87"/>
        <v>0</v>
      </c>
      <c r="BM62" s="349">
        <f t="shared" si="87"/>
        <v>0</v>
      </c>
      <c r="BN62" s="349">
        <f t="shared" si="87"/>
        <v>0</v>
      </c>
      <c r="BO62" s="349">
        <f t="shared" si="87"/>
        <v>0</v>
      </c>
      <c r="BP62" s="350">
        <f t="shared" si="87"/>
        <v>0</v>
      </c>
      <c r="BQ62" s="348">
        <f t="shared" si="87"/>
        <v>0</v>
      </c>
      <c r="BR62" s="349">
        <f t="shared" si="87"/>
        <v>0</v>
      </c>
      <c r="BS62" s="349">
        <f t="shared" si="87"/>
        <v>0</v>
      </c>
      <c r="BT62" s="349">
        <f t="shared" si="87"/>
        <v>0</v>
      </c>
      <c r="BU62" s="350">
        <f t="shared" ref="BU62:BZ62" si="88">BU43/BU24*1000</f>
        <v>0</v>
      </c>
      <c r="BV62" s="348">
        <f t="shared" si="88"/>
        <v>0</v>
      </c>
      <c r="BW62" s="349">
        <f t="shared" si="88"/>
        <v>0</v>
      </c>
      <c r="BX62" s="349">
        <f t="shared" si="88"/>
        <v>0</v>
      </c>
      <c r="BY62" s="349">
        <f t="shared" si="88"/>
        <v>0</v>
      </c>
      <c r="BZ62" s="350">
        <f t="shared" si="88"/>
        <v>0</v>
      </c>
      <c r="CA62" s="348"/>
      <c r="CB62" s="349"/>
      <c r="CC62" s="349"/>
      <c r="CD62" s="349"/>
      <c r="CE62" s="350"/>
      <c r="CF62" s="348"/>
      <c r="CG62" s="349"/>
      <c r="CH62" s="349"/>
      <c r="CI62" s="349"/>
      <c r="CJ62" s="350"/>
      <c r="CK62" s="348"/>
      <c r="CL62" s="349">
        <f t="shared" ref="CL62:DC62" si="89">CL43/CL24*1000</f>
        <v>21895.930232558141</v>
      </c>
      <c r="CM62" s="349">
        <f t="shared" si="89"/>
        <v>23348.87839433294</v>
      </c>
      <c r="CN62" s="349">
        <f t="shared" si="89"/>
        <v>23471.895424836599</v>
      </c>
      <c r="CO62" s="350">
        <f t="shared" si="89"/>
        <v>22655.536028119506</v>
      </c>
      <c r="CP62" s="348">
        <f t="shared" si="89"/>
        <v>22823.485190196963</v>
      </c>
      <c r="CQ62" s="349">
        <f t="shared" si="89"/>
        <v>23000</v>
      </c>
      <c r="CR62" s="349">
        <f t="shared" si="89"/>
        <v>24489.933875765098</v>
      </c>
      <c r="CS62" s="349">
        <f t="shared" si="89"/>
        <v>24234.042553191488</v>
      </c>
      <c r="CT62" s="350">
        <f t="shared" si="89"/>
        <v>23921.414053426251</v>
      </c>
      <c r="CU62" s="348">
        <f t="shared" si="89"/>
        <v>23894.896312520588</v>
      </c>
      <c r="CV62" s="349">
        <f t="shared" si="89"/>
        <v>23741.82653744323</v>
      </c>
      <c r="CW62" s="349">
        <f t="shared" si="89"/>
        <v>24913.057528935631</v>
      </c>
      <c r="CX62" s="349">
        <f t="shared" si="89"/>
        <v>24454.134799710795</v>
      </c>
      <c r="CY62" s="350">
        <f t="shared" si="89"/>
        <v>24090.543067378443</v>
      </c>
      <c r="CZ62" s="348">
        <f t="shared" si="89"/>
        <v>24289.182882346136</v>
      </c>
      <c r="DA62" s="348">
        <f t="shared" si="89"/>
        <v>24365.357610453317</v>
      </c>
      <c r="DB62" s="351">
        <f t="shared" si="89"/>
        <v>24581.430769577069</v>
      </c>
      <c r="DC62" s="348">
        <f t="shared" si="89"/>
        <v>24728.493669697185</v>
      </c>
      <c r="DF62" s="348">
        <f>CT62</f>
        <v>23921.414053426251</v>
      </c>
      <c r="DG62" s="348">
        <v>20838.755097509962</v>
      </c>
      <c r="DH62" s="348">
        <f>CO62</f>
        <v>22655.536028119506</v>
      </c>
      <c r="DI62" s="348">
        <f t="shared" si="5"/>
        <v>0.14792913211426151</v>
      </c>
      <c r="DJ62" s="348">
        <f t="shared" si="6"/>
        <v>5.5874997781361957E-2</v>
      </c>
    </row>
    <row r="63" spans="3:114" s="183" customFormat="1">
      <c r="C63" s="336"/>
      <c r="D63" s="339" t="s">
        <v>271</v>
      </c>
      <c r="E63" s="236"/>
      <c r="F63" s="236"/>
      <c r="G63" s="236"/>
      <c r="H63" s="236"/>
      <c r="I63" s="236"/>
      <c r="J63" s="152"/>
      <c r="K63" s="152"/>
      <c r="L63" s="152"/>
      <c r="M63" s="302"/>
      <c r="N63" s="236" t="e">
        <f t="shared" ref="N63:AS63" si="90">N62/I62-1</f>
        <v>#REF!</v>
      </c>
      <c r="O63" s="152" t="e">
        <f t="shared" si="90"/>
        <v>#REF!</v>
      </c>
      <c r="P63" s="152" t="e">
        <f t="shared" si="90"/>
        <v>#REF!</v>
      </c>
      <c r="Q63" s="152" t="e">
        <f t="shared" si="90"/>
        <v>#REF!</v>
      </c>
      <c r="R63" s="302" t="e">
        <f t="shared" si="90"/>
        <v>#REF!</v>
      </c>
      <c r="S63" s="236" t="e">
        <f t="shared" si="90"/>
        <v>#REF!</v>
      </c>
      <c r="T63" s="152" t="e">
        <f t="shared" si="90"/>
        <v>#REF!</v>
      </c>
      <c r="U63" s="152" t="e">
        <f t="shared" si="90"/>
        <v>#REF!</v>
      </c>
      <c r="V63" s="152" t="e">
        <f t="shared" si="90"/>
        <v>#REF!</v>
      </c>
      <c r="W63" s="302" t="e">
        <f t="shared" si="90"/>
        <v>#REF!</v>
      </c>
      <c r="X63" s="236" t="e">
        <f t="shared" si="90"/>
        <v>#REF!</v>
      </c>
      <c r="Y63" s="152" t="e">
        <f t="shared" si="90"/>
        <v>#REF!</v>
      </c>
      <c r="Z63" s="152" t="e">
        <f t="shared" si="90"/>
        <v>#REF!</v>
      </c>
      <c r="AA63" s="152" t="e">
        <f t="shared" si="90"/>
        <v>#REF!</v>
      </c>
      <c r="AB63" s="302" t="e">
        <f t="shared" si="90"/>
        <v>#REF!</v>
      </c>
      <c r="AC63" s="236" t="e">
        <f t="shared" si="90"/>
        <v>#REF!</v>
      </c>
      <c r="AD63" s="152" t="e">
        <f t="shared" si="90"/>
        <v>#REF!</v>
      </c>
      <c r="AE63" s="152" t="e">
        <f t="shared" si="90"/>
        <v>#REF!</v>
      </c>
      <c r="AF63" s="152" t="e">
        <f t="shared" si="90"/>
        <v>#REF!</v>
      </c>
      <c r="AG63" s="302" t="e">
        <f t="shared" si="90"/>
        <v>#REF!</v>
      </c>
      <c r="AH63" s="236" t="e">
        <f t="shared" si="90"/>
        <v>#REF!</v>
      </c>
      <c r="AI63" s="152" t="e">
        <f t="shared" si="90"/>
        <v>#REF!</v>
      </c>
      <c r="AJ63" s="152" t="e">
        <f t="shared" si="90"/>
        <v>#REF!</v>
      </c>
      <c r="AK63" s="152" t="e">
        <f t="shared" si="90"/>
        <v>#REF!</v>
      </c>
      <c r="AL63" s="302" t="e">
        <f t="shared" si="90"/>
        <v>#REF!</v>
      </c>
      <c r="AM63" s="236" t="e">
        <f t="shared" si="90"/>
        <v>#REF!</v>
      </c>
      <c r="AN63" s="152" t="e">
        <f t="shared" si="90"/>
        <v>#REF!</v>
      </c>
      <c r="AO63" s="152" t="e">
        <f t="shared" si="90"/>
        <v>#REF!</v>
      </c>
      <c r="AP63" s="152" t="e">
        <f t="shared" si="90"/>
        <v>#REF!</v>
      </c>
      <c r="AQ63" s="302" t="e">
        <f t="shared" si="90"/>
        <v>#REF!</v>
      </c>
      <c r="AR63" s="236" t="e">
        <f t="shared" si="90"/>
        <v>#REF!</v>
      </c>
      <c r="AS63" s="152" t="e">
        <f t="shared" si="90"/>
        <v>#REF!</v>
      </c>
      <c r="AT63" s="152" t="e">
        <f t="shared" ref="AT63:BY63" si="91">AT62/AO62-1</f>
        <v>#REF!</v>
      </c>
      <c r="AU63" s="152" t="e">
        <f t="shared" si="91"/>
        <v>#REF!</v>
      </c>
      <c r="AV63" s="302" t="e">
        <f t="shared" si="91"/>
        <v>#REF!</v>
      </c>
      <c r="AW63" s="236" t="e">
        <f t="shared" si="91"/>
        <v>#REF!</v>
      </c>
      <c r="AX63" s="152" t="e">
        <f t="shared" si="91"/>
        <v>#REF!</v>
      </c>
      <c r="AY63" s="152" t="e">
        <f t="shared" si="91"/>
        <v>#REF!</v>
      </c>
      <c r="AZ63" s="152" t="e">
        <f t="shared" si="91"/>
        <v>#REF!</v>
      </c>
      <c r="BA63" s="302" t="e">
        <f t="shared" si="91"/>
        <v>#REF!</v>
      </c>
      <c r="BB63" s="236" t="e">
        <f t="shared" si="91"/>
        <v>#REF!</v>
      </c>
      <c r="BC63" s="152" t="e">
        <f t="shared" si="91"/>
        <v>#REF!</v>
      </c>
      <c r="BD63" s="152" t="e">
        <f t="shared" si="91"/>
        <v>#REF!</v>
      </c>
      <c r="BE63" s="152" t="e">
        <f t="shared" si="91"/>
        <v>#REF!</v>
      </c>
      <c r="BF63" s="302" t="e">
        <f t="shared" si="91"/>
        <v>#REF!</v>
      </c>
      <c r="BG63" s="236" t="e">
        <f t="shared" si="91"/>
        <v>#REF!</v>
      </c>
      <c r="BH63" s="152" t="e">
        <f t="shared" si="91"/>
        <v>#REF!</v>
      </c>
      <c r="BI63" s="152" t="e">
        <f t="shared" si="91"/>
        <v>#REF!</v>
      </c>
      <c r="BJ63" s="152" t="e">
        <f t="shared" si="91"/>
        <v>#REF!</v>
      </c>
      <c r="BK63" s="302" t="e">
        <f t="shared" si="91"/>
        <v>#REF!</v>
      </c>
      <c r="BL63" s="236" t="e">
        <f t="shared" si="91"/>
        <v>#REF!</v>
      </c>
      <c r="BM63" s="152" t="e">
        <f t="shared" si="91"/>
        <v>#DIV/0!</v>
      </c>
      <c r="BN63" s="152" t="e">
        <f t="shared" si="91"/>
        <v>#DIV/0!</v>
      </c>
      <c r="BO63" s="152" t="e">
        <f t="shared" si="91"/>
        <v>#DIV/0!</v>
      </c>
      <c r="BP63" s="302" t="e">
        <f t="shared" si="91"/>
        <v>#DIV/0!</v>
      </c>
      <c r="BQ63" s="236" t="e">
        <f t="shared" si="91"/>
        <v>#DIV/0!</v>
      </c>
      <c r="BR63" s="152" t="e">
        <f t="shared" si="91"/>
        <v>#DIV/0!</v>
      </c>
      <c r="BS63" s="152" t="e">
        <f t="shared" si="91"/>
        <v>#DIV/0!</v>
      </c>
      <c r="BT63" s="152" t="e">
        <f t="shared" si="91"/>
        <v>#DIV/0!</v>
      </c>
      <c r="BU63" s="302" t="e">
        <f t="shared" si="91"/>
        <v>#DIV/0!</v>
      </c>
      <c r="BV63" s="236" t="e">
        <f t="shared" si="91"/>
        <v>#DIV/0!</v>
      </c>
      <c r="BW63" s="152" t="e">
        <f t="shared" si="91"/>
        <v>#DIV/0!</v>
      </c>
      <c r="BX63" s="152" t="e">
        <f t="shared" si="91"/>
        <v>#DIV/0!</v>
      </c>
      <c r="BY63" s="152" t="e">
        <f t="shared" si="91"/>
        <v>#DIV/0!</v>
      </c>
      <c r="BZ63" s="302" t="e">
        <f t="shared" ref="BZ63:CZ63" si="92">BZ62/BU62-1</f>
        <v>#DIV/0!</v>
      </c>
      <c r="CA63" s="236"/>
      <c r="CB63" s="152"/>
      <c r="CC63" s="152"/>
      <c r="CD63" s="152"/>
      <c r="CE63" s="302"/>
      <c r="CF63" s="236"/>
      <c r="CG63" s="152"/>
      <c r="CH63" s="152"/>
      <c r="CI63" s="152"/>
      <c r="CJ63" s="302"/>
      <c r="CK63" s="236"/>
      <c r="CL63" s="152"/>
      <c r="CM63" s="152"/>
      <c r="CN63" s="152"/>
      <c r="CO63" s="302"/>
      <c r="CP63" s="236"/>
      <c r="CQ63" s="152">
        <f t="shared" si="92"/>
        <v>5.0423515042085976E-2</v>
      </c>
      <c r="CR63" s="152">
        <f t="shared" si="92"/>
        <v>4.8869819875763554E-2</v>
      </c>
      <c r="CS63" s="152">
        <f t="shared" si="92"/>
        <v>3.2470625595427238E-2</v>
      </c>
      <c r="CT63" s="302">
        <f t="shared" si="92"/>
        <v>5.5874997781361957E-2</v>
      </c>
      <c r="CU63" s="236">
        <f t="shared" si="92"/>
        <v>4.6943361778235992E-2</v>
      </c>
      <c r="CV63" s="152">
        <f t="shared" si="92"/>
        <v>3.2253327714923063E-2</v>
      </c>
      <c r="CW63" s="152">
        <f t="shared" si="92"/>
        <v>1.7277451842744762E-2</v>
      </c>
      <c r="CX63" s="152">
        <f t="shared" si="92"/>
        <v>9.0819452031671855E-3</v>
      </c>
      <c r="CY63" s="302">
        <f t="shared" si="92"/>
        <v>7.070192990032087E-3</v>
      </c>
      <c r="CZ63" s="236">
        <f t="shared" si="92"/>
        <v>1.6500869669769047E-2</v>
      </c>
      <c r="DA63" s="236">
        <f>+DA62/CZ62-1</f>
        <v>3.1361585309872542E-3</v>
      </c>
      <c r="DB63" s="352">
        <f>+DB62/DA62-1</f>
        <v>8.8680479301093129E-3</v>
      </c>
      <c r="DC63" s="236">
        <f>+DC62/DB62-1</f>
        <v>5.9826826802176214E-3</v>
      </c>
      <c r="DF63" s="236"/>
      <c r="DG63" s="236"/>
      <c r="DH63" s="236"/>
      <c r="DI63" s="236"/>
      <c r="DJ63" s="236"/>
    </row>
    <row r="64" spans="3:114" s="183" customFormat="1" ht="6.75" customHeight="1">
      <c r="C64" s="336"/>
      <c r="D64" s="225"/>
      <c r="E64" s="356"/>
      <c r="F64" s="356"/>
      <c r="G64" s="356"/>
      <c r="H64" s="356"/>
      <c r="I64" s="356"/>
      <c r="J64" s="354"/>
      <c r="K64" s="354"/>
      <c r="L64" s="354"/>
      <c r="M64" s="355"/>
      <c r="N64" s="356"/>
      <c r="O64" s="354"/>
      <c r="P64" s="354"/>
      <c r="Q64" s="354"/>
      <c r="R64" s="355"/>
      <c r="S64" s="356"/>
      <c r="T64" s="354"/>
      <c r="U64" s="354"/>
      <c r="V64" s="354"/>
      <c r="W64" s="355"/>
      <c r="X64" s="356"/>
      <c r="Y64" s="354"/>
      <c r="Z64" s="354"/>
      <c r="AA64" s="354"/>
      <c r="AB64" s="355"/>
      <c r="AC64" s="356"/>
      <c r="AD64" s="354"/>
      <c r="AE64" s="354"/>
      <c r="AF64" s="354"/>
      <c r="AG64" s="355"/>
      <c r="AH64" s="356"/>
      <c r="AI64" s="354"/>
      <c r="AJ64" s="354"/>
      <c r="AK64" s="354"/>
      <c r="AL64" s="355"/>
      <c r="AM64" s="356"/>
      <c r="AN64" s="354"/>
      <c r="AO64" s="354"/>
      <c r="AP64" s="354"/>
      <c r="AQ64" s="355"/>
      <c r="AR64" s="356"/>
      <c r="AS64" s="354"/>
      <c r="AT64" s="354"/>
      <c r="AU64" s="354"/>
      <c r="AV64" s="355"/>
      <c r="AW64" s="356"/>
      <c r="AX64" s="354"/>
      <c r="AY64" s="354"/>
      <c r="AZ64" s="354"/>
      <c r="BA64" s="355"/>
      <c r="BB64" s="356"/>
      <c r="BC64" s="354"/>
      <c r="BD64" s="354"/>
      <c r="BE64" s="354"/>
      <c r="BF64" s="355"/>
      <c r="BG64" s="356"/>
      <c r="BH64" s="354"/>
      <c r="BI64" s="354"/>
      <c r="BJ64" s="354"/>
      <c r="BK64" s="355"/>
      <c r="BL64" s="356"/>
      <c r="BM64" s="354"/>
      <c r="BN64" s="354"/>
      <c r="BO64" s="354"/>
      <c r="BP64" s="355"/>
      <c r="BQ64" s="356"/>
      <c r="BR64" s="354"/>
      <c r="BS64" s="354"/>
      <c r="BT64" s="354"/>
      <c r="BU64" s="355"/>
      <c r="BV64" s="356"/>
      <c r="BW64" s="354"/>
      <c r="BX64" s="354"/>
      <c r="BY64" s="354"/>
      <c r="BZ64" s="355"/>
      <c r="CA64" s="356"/>
      <c r="CB64" s="354"/>
      <c r="CC64" s="354"/>
      <c r="CD64" s="354"/>
      <c r="CE64" s="355"/>
      <c r="CF64" s="356"/>
      <c r="CG64" s="354"/>
      <c r="CH64" s="354"/>
      <c r="CI64" s="354"/>
      <c r="CJ64" s="355"/>
      <c r="CK64" s="356"/>
      <c r="CL64" s="354"/>
      <c r="CM64" s="354"/>
      <c r="CN64" s="354"/>
      <c r="CO64" s="355"/>
      <c r="CP64" s="356"/>
      <c r="CQ64" s="354"/>
      <c r="CR64" s="354"/>
      <c r="CS64" s="354"/>
      <c r="CT64" s="355"/>
      <c r="CU64" s="356"/>
      <c r="CV64" s="354"/>
      <c r="CW64" s="354"/>
      <c r="CX64" s="354"/>
      <c r="CY64" s="355"/>
      <c r="CZ64" s="356"/>
      <c r="DA64" s="356"/>
      <c r="DB64" s="359"/>
      <c r="DC64" s="356"/>
      <c r="DF64" s="356"/>
      <c r="DG64" s="356"/>
      <c r="DH64" s="356"/>
      <c r="DI64" s="356"/>
      <c r="DJ64" s="356"/>
    </row>
    <row r="65" spans="3:114">
      <c r="C65" s="204"/>
      <c r="D65" s="208" t="s">
        <v>1132</v>
      </c>
      <c r="E65" s="210"/>
      <c r="F65" s="210"/>
      <c r="G65" s="210"/>
      <c r="H65" s="210"/>
      <c r="I65" s="210"/>
      <c r="J65" s="209"/>
      <c r="K65" s="209"/>
      <c r="L65" s="209"/>
      <c r="M65" s="209"/>
      <c r="N65" s="210"/>
      <c r="O65" s="209"/>
      <c r="P65" s="209"/>
      <c r="Q65" s="209"/>
      <c r="R65" s="209"/>
      <c r="S65" s="210"/>
      <c r="T65" s="209"/>
      <c r="U65" s="209"/>
      <c r="V65" s="209"/>
      <c r="W65" s="209"/>
      <c r="X65" s="210"/>
      <c r="Y65" s="209"/>
      <c r="Z65" s="209"/>
      <c r="AA65" s="209"/>
      <c r="AB65" s="209"/>
      <c r="AC65" s="210"/>
      <c r="AD65" s="209"/>
      <c r="AE65" s="209"/>
      <c r="AF65" s="209"/>
      <c r="AG65" s="209"/>
      <c r="AH65" s="210"/>
      <c r="AI65" s="209"/>
      <c r="AJ65" s="209"/>
      <c r="AK65" s="209"/>
      <c r="AL65" s="209"/>
      <c r="AM65" s="210"/>
      <c r="AN65" s="209"/>
      <c r="AO65" s="209"/>
      <c r="AP65" s="209"/>
      <c r="AQ65" s="209"/>
      <c r="AR65" s="210"/>
      <c r="AS65" s="209"/>
      <c r="AT65" s="209"/>
      <c r="AU65" s="209"/>
      <c r="AV65" s="209"/>
      <c r="AW65" s="210"/>
      <c r="AX65" s="209"/>
      <c r="AY65" s="209"/>
      <c r="AZ65" s="209"/>
      <c r="BA65" s="209"/>
      <c r="BB65" s="210"/>
      <c r="BC65" s="209"/>
      <c r="BD65" s="209"/>
      <c r="BE65" s="209"/>
      <c r="BF65" s="209"/>
      <c r="BG65" s="210"/>
      <c r="BH65" s="209"/>
      <c r="BI65" s="209"/>
      <c r="BJ65" s="209"/>
      <c r="BK65" s="209"/>
      <c r="BL65" s="210"/>
      <c r="BM65" s="209"/>
      <c r="BN65" s="209"/>
      <c r="BO65" s="209"/>
      <c r="BP65" s="209"/>
      <c r="BQ65" s="210"/>
      <c r="BR65" s="209"/>
      <c r="BS65" s="209"/>
      <c r="BT65" s="209"/>
      <c r="BU65" s="209"/>
      <c r="BV65" s="210"/>
      <c r="BW65" s="209"/>
      <c r="BX65" s="209"/>
      <c r="BY65" s="209"/>
      <c r="BZ65" s="209"/>
      <c r="CA65" s="210"/>
      <c r="CB65" s="209"/>
      <c r="CC65" s="209"/>
      <c r="CD65" s="209"/>
      <c r="CE65" s="209"/>
      <c r="CF65" s="210"/>
      <c r="CG65" s="209"/>
      <c r="CH65" s="209"/>
      <c r="CI65" s="209"/>
      <c r="CJ65" s="209"/>
      <c r="CK65" s="210"/>
      <c r="CL65" s="209"/>
      <c r="CM65" s="209"/>
      <c r="CN65" s="209"/>
      <c r="CO65" s="209"/>
      <c r="CP65" s="210"/>
      <c r="CQ65" s="209"/>
      <c r="CR65" s="211"/>
      <c r="CS65" s="211"/>
      <c r="CT65" s="212"/>
      <c r="CU65" s="210"/>
      <c r="CV65" s="211"/>
      <c r="CW65" s="211"/>
      <c r="CX65" s="211"/>
      <c r="CY65" s="212"/>
      <c r="CZ65" s="210"/>
      <c r="DA65" s="210"/>
      <c r="DB65" s="213"/>
      <c r="DC65" s="210"/>
      <c r="DF65" s="210">
        <f t="shared" ref="DF65:DF73" si="93">CT65</f>
        <v>0</v>
      </c>
      <c r="DG65" s="210">
        <v>0</v>
      </c>
      <c r="DH65" s="210">
        <f t="shared" ref="DH65:DH73" si="94">CO65</f>
        <v>0</v>
      </c>
      <c r="DI65" s="210" t="str">
        <f t="shared" ref="DI65:DI73" si="95">IF(ISERROR(DF65/DG65-1),"NM",DF65/DG65-1)</f>
        <v>NM</v>
      </c>
      <c r="DJ65" s="210" t="str">
        <f t="shared" ref="DJ65:DJ73" si="96">IF(ISERROR(DF65/DH65-1),"NM",DF65/DH65-1)</f>
        <v>NM</v>
      </c>
    </row>
    <row r="66" spans="3:114">
      <c r="C66" s="336"/>
      <c r="D66" s="1" t="s">
        <v>789</v>
      </c>
      <c r="E66" s="337"/>
      <c r="F66" s="337"/>
      <c r="G66" s="337"/>
      <c r="H66" s="337"/>
      <c r="I66" s="337"/>
      <c r="J66" s="338"/>
      <c r="K66" s="338"/>
      <c r="L66" s="338"/>
      <c r="M66" s="337"/>
      <c r="N66" s="235"/>
      <c r="O66" s="338"/>
      <c r="P66" s="338"/>
      <c r="Q66" s="338"/>
      <c r="R66" s="337"/>
      <c r="S66" s="235"/>
      <c r="T66" s="338"/>
      <c r="U66" s="338"/>
      <c r="V66" s="338"/>
      <c r="W66" s="337"/>
      <c r="X66" s="235"/>
      <c r="Y66" s="338"/>
      <c r="Z66" s="338"/>
      <c r="AA66" s="338"/>
      <c r="AB66" s="337"/>
      <c r="AC66" s="235"/>
      <c r="AD66" s="338"/>
      <c r="AE66" s="338"/>
      <c r="AF66" s="338"/>
      <c r="AG66" s="337"/>
      <c r="AH66" s="235"/>
      <c r="AI66" s="338"/>
      <c r="AJ66" s="338"/>
      <c r="AK66" s="338"/>
      <c r="AL66" s="337"/>
      <c r="AM66" s="235"/>
      <c r="AN66" s="338"/>
      <c r="AO66" s="338"/>
      <c r="AP66" s="338"/>
      <c r="AQ66" s="337"/>
      <c r="AR66" s="235"/>
      <c r="AS66" s="338"/>
      <c r="AT66" s="338"/>
      <c r="AU66" s="338"/>
      <c r="AV66" s="337"/>
      <c r="AW66" s="235"/>
      <c r="AX66" s="338"/>
      <c r="AY66" s="338"/>
      <c r="AZ66" s="338"/>
      <c r="BA66" s="337"/>
      <c r="BB66" s="235"/>
      <c r="BC66" s="338"/>
      <c r="BD66" s="338"/>
      <c r="BE66" s="338"/>
      <c r="BF66" s="337"/>
      <c r="BG66" s="235"/>
      <c r="BH66" s="338"/>
      <c r="BI66" s="338"/>
      <c r="BJ66" s="338"/>
      <c r="BK66" s="337"/>
      <c r="BL66" s="235"/>
      <c r="BM66" s="338"/>
      <c r="BN66" s="338"/>
      <c r="BO66" s="338"/>
      <c r="BP66" s="337"/>
      <c r="BQ66" s="235"/>
      <c r="BR66" s="338"/>
      <c r="BS66" s="338"/>
      <c r="BT66" s="338"/>
      <c r="BU66" s="337"/>
      <c r="BV66" s="235"/>
      <c r="BW66" s="338"/>
      <c r="BX66" s="338"/>
      <c r="BY66" s="338"/>
      <c r="BZ66" s="337"/>
      <c r="CA66" s="235"/>
      <c r="CB66" s="338"/>
      <c r="CC66" s="338"/>
      <c r="CD66" s="338"/>
      <c r="CE66" s="337"/>
      <c r="CF66" s="235"/>
      <c r="CG66" s="338"/>
      <c r="CH66" s="338"/>
      <c r="CI66" s="338"/>
      <c r="CJ66" s="337"/>
      <c r="CK66" s="235">
        <v>9573</v>
      </c>
      <c r="CL66" s="338">
        <v>3167</v>
      </c>
      <c r="CM66" s="338">
        <v>2796</v>
      </c>
      <c r="CN66" s="338">
        <v>1372</v>
      </c>
      <c r="CO66" s="337">
        <v>2059</v>
      </c>
      <c r="CP66" s="235">
        <f>SUM(CL66:CO66)</f>
        <v>9394</v>
      </c>
      <c r="CQ66" s="338">
        <v>2122</v>
      </c>
      <c r="CR66" s="338">
        <v>2325</v>
      </c>
      <c r="CS66" s="338">
        <v>1811</v>
      </c>
      <c r="CT66" s="338">
        <v>1788</v>
      </c>
      <c r="CU66" s="235">
        <f>SUM(CQ66:CT66)</f>
        <v>8046</v>
      </c>
      <c r="CV66" s="165">
        <f>CV129</f>
        <v>1918</v>
      </c>
      <c r="CW66" s="165">
        <f>CW129</f>
        <v>2044</v>
      </c>
      <c r="CX66" s="165">
        <f>CX129</f>
        <v>1600.6</v>
      </c>
      <c r="CY66" s="300">
        <f>CY129</f>
        <v>1606.6</v>
      </c>
      <c r="CZ66" s="235">
        <f>SUM(CV66:CY66)</f>
        <v>7169.2000000000007</v>
      </c>
      <c r="DA66" s="235">
        <f>DA129</f>
        <v>6869.6125400000001</v>
      </c>
      <c r="DB66" s="248">
        <f>DB129</f>
        <v>7350.8664843080005</v>
      </c>
      <c r="DC66" s="235">
        <f>DC129</f>
        <v>7787.5942977341019</v>
      </c>
      <c r="DF66" s="235">
        <f t="shared" si="93"/>
        <v>1788</v>
      </c>
      <c r="DG66" s="235">
        <v>1858.75</v>
      </c>
      <c r="DH66" s="235">
        <f t="shared" si="94"/>
        <v>2059</v>
      </c>
      <c r="DI66" s="235">
        <f t="shared" si="95"/>
        <v>-3.8063214525891009E-2</v>
      </c>
      <c r="DJ66" s="235">
        <f t="shared" si="96"/>
        <v>-0.13161728994657595</v>
      </c>
    </row>
    <row r="67" spans="3:114">
      <c r="C67" s="336"/>
      <c r="D67" s="339" t="s">
        <v>77</v>
      </c>
      <c r="E67" s="236"/>
      <c r="F67" s="236"/>
      <c r="G67" s="236"/>
      <c r="H67" s="236"/>
      <c r="I67" s="236"/>
      <c r="J67" s="152"/>
      <c r="K67" s="152"/>
      <c r="L67" s="152"/>
      <c r="M67" s="152"/>
      <c r="N67" s="236"/>
      <c r="O67" s="152"/>
      <c r="P67" s="152"/>
      <c r="Q67" s="152"/>
      <c r="R67" s="152"/>
      <c r="S67" s="236"/>
      <c r="T67" s="152"/>
      <c r="U67" s="152"/>
      <c r="V67" s="152"/>
      <c r="W67" s="152"/>
      <c r="X67" s="236"/>
      <c r="Y67" s="152"/>
      <c r="Z67" s="152"/>
      <c r="AA67" s="152"/>
      <c r="AB67" s="152"/>
      <c r="AC67" s="236"/>
      <c r="AD67" s="152"/>
      <c r="AE67" s="152"/>
      <c r="AF67" s="152"/>
      <c r="AG67" s="152"/>
      <c r="AH67" s="236"/>
      <c r="AI67" s="152"/>
      <c r="AJ67" s="152"/>
      <c r="AK67" s="152"/>
      <c r="AL67" s="152"/>
      <c r="AM67" s="236"/>
      <c r="AN67" s="152"/>
      <c r="AO67" s="152"/>
      <c r="AP67" s="152"/>
      <c r="AQ67" s="152"/>
      <c r="AR67" s="236"/>
      <c r="AS67" s="152"/>
      <c r="AT67" s="152"/>
      <c r="AU67" s="152"/>
      <c r="AV67" s="152"/>
      <c r="AW67" s="236"/>
      <c r="AX67" s="152"/>
      <c r="AY67" s="152"/>
      <c r="AZ67" s="152"/>
      <c r="BA67" s="152"/>
      <c r="BB67" s="236"/>
      <c r="BC67" s="152"/>
      <c r="BD67" s="152"/>
      <c r="BE67" s="152"/>
      <c r="BF67" s="152"/>
      <c r="BG67" s="236"/>
      <c r="BH67" s="152"/>
      <c r="BI67" s="152"/>
      <c r="BJ67" s="152"/>
      <c r="BK67" s="152"/>
      <c r="BL67" s="236"/>
      <c r="BM67" s="152"/>
      <c r="BN67" s="152"/>
      <c r="BO67" s="152"/>
      <c r="BP67" s="152"/>
      <c r="BQ67" s="236"/>
      <c r="BR67" s="152"/>
      <c r="BS67" s="152"/>
      <c r="BT67" s="152"/>
      <c r="BU67" s="152"/>
      <c r="BV67" s="236"/>
      <c r="BW67" s="152"/>
      <c r="BX67" s="152"/>
      <c r="BY67" s="152"/>
      <c r="BZ67" s="152"/>
      <c r="CA67" s="236"/>
      <c r="CB67" s="152"/>
      <c r="CC67" s="152"/>
      <c r="CD67" s="152"/>
      <c r="CE67" s="152"/>
      <c r="CF67" s="1034"/>
      <c r="CG67" s="152"/>
      <c r="CH67" s="152"/>
      <c r="CI67" s="152"/>
      <c r="CJ67" s="152"/>
      <c r="CK67" s="236">
        <f>CK66/CK$29</f>
        <v>0.10416757344940153</v>
      </c>
      <c r="CL67" s="1035">
        <f t="shared" ref="CL67:DC73" si="97">CL66/CL$29</f>
        <v>0.13251046025104601</v>
      </c>
      <c r="CM67" s="152">
        <f t="shared" si="97"/>
        <v>0.11747899159663866</v>
      </c>
      <c r="CN67" s="152">
        <f t="shared" si="97"/>
        <v>6.2935779816513757E-2</v>
      </c>
      <c r="CO67" s="302">
        <f t="shared" si="97"/>
        <v>8.9134199134199135E-2</v>
      </c>
      <c r="CP67" s="236">
        <f t="shared" si="97"/>
        <v>0.10144708423326133</v>
      </c>
      <c r="CQ67" s="1035">
        <f t="shared" si="97"/>
        <v>8.8416666666666671E-2</v>
      </c>
      <c r="CR67" s="152">
        <f t="shared" si="97"/>
        <v>9.4897959183673469E-2</v>
      </c>
      <c r="CS67" s="152">
        <f t="shared" si="97"/>
        <v>8.6650717703349284E-2</v>
      </c>
      <c r="CT67" s="302">
        <f t="shared" si="97"/>
        <v>7.41908713692946E-2</v>
      </c>
      <c r="CU67" s="236">
        <f t="shared" si="97"/>
        <v>8.6053475935828877E-2</v>
      </c>
      <c r="CV67" s="1035">
        <f t="shared" ref="CV67" si="98">CV66/CV$29</f>
        <v>8.157259024871559E-2</v>
      </c>
      <c r="CW67" s="152">
        <f t="shared" ref="CW67" si="99">CW66/CW$29</f>
        <v>8.6044318717586041E-2</v>
      </c>
      <c r="CX67" s="152">
        <f t="shared" ref="CX67" si="100">CX66/CX$29</f>
        <v>7.8170595138732535E-2</v>
      </c>
      <c r="CY67" s="302">
        <f t="shared" ref="CY67" si="101">CY66/CY$29</f>
        <v>6.7350879384661305E-2</v>
      </c>
      <c r="CZ67" s="236">
        <f t="shared" si="97"/>
        <v>7.82681613587035E-2</v>
      </c>
      <c r="DA67" s="236">
        <f t="shared" si="97"/>
        <v>7.5800971573083673E-2</v>
      </c>
      <c r="DB67" s="236">
        <f t="shared" si="97"/>
        <v>7.8733492878575784E-2</v>
      </c>
      <c r="DC67" s="236">
        <f t="shared" si="97"/>
        <v>8.1364860917594761E-2</v>
      </c>
      <c r="DD67" s="16"/>
      <c r="DF67" s="236">
        <f t="shared" si="93"/>
        <v>7.41908713692946E-2</v>
      </c>
      <c r="DG67" s="236">
        <v>8.2132660983329539E-2</v>
      </c>
      <c r="DH67" s="236">
        <f t="shared" si="94"/>
        <v>8.9134199134199135E-2</v>
      </c>
      <c r="DI67" s="236">
        <f t="shared" si="95"/>
        <v>-9.669465860416826E-2</v>
      </c>
      <c r="DJ67" s="236">
        <f t="shared" si="96"/>
        <v>-0.16764976754215388</v>
      </c>
    </row>
    <row r="68" spans="3:114">
      <c r="C68" s="336"/>
      <c r="D68" s="1" t="s">
        <v>790</v>
      </c>
      <c r="E68" s="337"/>
      <c r="F68" s="337"/>
      <c r="G68" s="337"/>
      <c r="H68" s="337"/>
      <c r="I68" s="337"/>
      <c r="J68" s="338"/>
      <c r="K68" s="338"/>
      <c r="L68" s="338"/>
      <c r="M68" s="337"/>
      <c r="N68" s="235"/>
      <c r="O68" s="338"/>
      <c r="P68" s="338"/>
      <c r="Q68" s="338"/>
      <c r="R68" s="337"/>
      <c r="S68" s="235"/>
      <c r="T68" s="338"/>
      <c r="U68" s="338"/>
      <c r="V68" s="338"/>
      <c r="W68" s="337"/>
      <c r="X68" s="235"/>
      <c r="Y68" s="338"/>
      <c r="Z68" s="338"/>
      <c r="AA68" s="338"/>
      <c r="AB68" s="337"/>
      <c r="AC68" s="235"/>
      <c r="AD68" s="338"/>
      <c r="AE68" s="338"/>
      <c r="AF68" s="338"/>
      <c r="AG68" s="337"/>
      <c r="AH68" s="235"/>
      <c r="AI68" s="338"/>
      <c r="AJ68" s="338"/>
      <c r="AK68" s="338"/>
      <c r="AL68" s="337"/>
      <c r="AM68" s="235"/>
      <c r="AN68" s="338"/>
      <c r="AO68" s="338"/>
      <c r="AP68" s="338"/>
      <c r="AQ68" s="337"/>
      <c r="AR68" s="235"/>
      <c r="AS68" s="338"/>
      <c r="AT68" s="338"/>
      <c r="AU68" s="338"/>
      <c r="AV68" s="337"/>
      <c r="AW68" s="235"/>
      <c r="AX68" s="338"/>
      <c r="AY68" s="338"/>
      <c r="AZ68" s="338"/>
      <c r="BA68" s="337"/>
      <c r="BB68" s="235"/>
      <c r="BC68" s="338"/>
      <c r="BD68" s="338"/>
      <c r="BE68" s="338"/>
      <c r="BF68" s="337"/>
      <c r="BG68" s="235"/>
      <c r="BH68" s="338"/>
      <c r="BI68" s="338"/>
      <c r="BJ68" s="338"/>
      <c r="BK68" s="337"/>
      <c r="BL68" s="235"/>
      <c r="BM68" s="338"/>
      <c r="BN68" s="338"/>
      <c r="BO68" s="338"/>
      <c r="BP68" s="337"/>
      <c r="BQ68" s="235"/>
      <c r="BR68" s="338"/>
      <c r="BS68" s="338"/>
      <c r="BT68" s="338"/>
      <c r="BU68" s="337"/>
      <c r="BV68" s="235"/>
      <c r="BW68" s="338"/>
      <c r="BX68" s="338"/>
      <c r="BY68" s="338"/>
      <c r="BZ68" s="337"/>
      <c r="CA68" s="235"/>
      <c r="CB68" s="338"/>
      <c r="CC68" s="338"/>
      <c r="CD68" s="338"/>
      <c r="CE68" s="337"/>
      <c r="CF68" s="235"/>
      <c r="CG68" s="338"/>
      <c r="CH68" s="338"/>
      <c r="CI68" s="338"/>
      <c r="CJ68" s="337"/>
      <c r="CK68" s="235">
        <v>-800</v>
      </c>
      <c r="CL68" s="338">
        <v>-249</v>
      </c>
      <c r="CM68" s="338">
        <v>-257</v>
      </c>
      <c r="CN68" s="338">
        <v>-287</v>
      </c>
      <c r="CO68" s="337">
        <v>-284</v>
      </c>
      <c r="CP68" s="235">
        <f>SUM(CL68:CO68)</f>
        <v>-1077</v>
      </c>
      <c r="CQ68" s="338">
        <v>-237</v>
      </c>
      <c r="CR68" s="338">
        <v>-177</v>
      </c>
      <c r="CS68" s="338">
        <v>-150</v>
      </c>
      <c r="CT68" s="338">
        <v>-189</v>
      </c>
      <c r="CU68" s="235">
        <f>SUM(CQ68:CT68)</f>
        <v>-753</v>
      </c>
      <c r="CV68" s="165">
        <f>CV145</f>
        <v>-181.75</v>
      </c>
      <c r="CW68" s="165">
        <f>CW145</f>
        <v>-111.5</v>
      </c>
      <c r="CX68" s="165">
        <f>CX145</f>
        <v>-83</v>
      </c>
      <c r="CY68" s="300">
        <f>CY145</f>
        <v>-120</v>
      </c>
      <c r="CZ68" s="235">
        <f>SUM(CV68:CY68)</f>
        <v>-496.25</v>
      </c>
      <c r="DA68" s="235">
        <f>DA145</f>
        <v>-255.99990000000003</v>
      </c>
      <c r="DB68" s="248">
        <f>DB145</f>
        <v>-18.534871220000014</v>
      </c>
      <c r="DC68" s="235">
        <f>DC145</f>
        <v>230.84299821983399</v>
      </c>
      <c r="DF68" s="235">
        <f t="shared" si="93"/>
        <v>-189</v>
      </c>
      <c r="DG68" s="235">
        <v>-155.5</v>
      </c>
      <c r="DH68" s="235">
        <f t="shared" si="94"/>
        <v>-284</v>
      </c>
      <c r="DI68" s="235">
        <f t="shared" si="95"/>
        <v>0.21543408360128624</v>
      </c>
      <c r="DJ68" s="235">
        <f t="shared" si="96"/>
        <v>-0.33450704225352113</v>
      </c>
    </row>
    <row r="69" spans="3:114">
      <c r="C69" s="336"/>
      <c r="D69" s="339" t="s">
        <v>77</v>
      </c>
      <c r="E69" s="236"/>
      <c r="F69" s="236"/>
      <c r="G69" s="236"/>
      <c r="H69" s="236"/>
      <c r="I69" s="236"/>
      <c r="J69" s="152"/>
      <c r="K69" s="152"/>
      <c r="L69" s="152"/>
      <c r="M69" s="152"/>
      <c r="N69" s="236"/>
      <c r="O69" s="152"/>
      <c r="P69" s="152"/>
      <c r="Q69" s="152"/>
      <c r="R69" s="152"/>
      <c r="S69" s="236"/>
      <c r="T69" s="152"/>
      <c r="U69" s="152"/>
      <c r="V69" s="152"/>
      <c r="W69" s="152"/>
      <c r="X69" s="236"/>
      <c r="Y69" s="152"/>
      <c r="Z69" s="152"/>
      <c r="AA69" s="152"/>
      <c r="AB69" s="152"/>
      <c r="AC69" s="236"/>
      <c r="AD69" s="152"/>
      <c r="AE69" s="152"/>
      <c r="AF69" s="152"/>
      <c r="AG69" s="152"/>
      <c r="AH69" s="236"/>
      <c r="AI69" s="152"/>
      <c r="AJ69" s="152"/>
      <c r="AK69" s="152"/>
      <c r="AL69" s="152"/>
      <c r="AM69" s="236"/>
      <c r="AN69" s="152"/>
      <c r="AO69" s="152"/>
      <c r="AP69" s="152"/>
      <c r="AQ69" s="152"/>
      <c r="AR69" s="236"/>
      <c r="AS69" s="152"/>
      <c r="AT69" s="152"/>
      <c r="AU69" s="152"/>
      <c r="AV69" s="152"/>
      <c r="AW69" s="236"/>
      <c r="AX69" s="152"/>
      <c r="AY69" s="152"/>
      <c r="AZ69" s="152"/>
      <c r="BA69" s="152"/>
      <c r="BB69" s="236"/>
      <c r="BC69" s="152"/>
      <c r="BD69" s="152"/>
      <c r="BE69" s="152"/>
      <c r="BF69" s="152"/>
      <c r="BG69" s="236"/>
      <c r="BH69" s="152"/>
      <c r="BI69" s="152"/>
      <c r="BJ69" s="152"/>
      <c r="BK69" s="152"/>
      <c r="BL69" s="236"/>
      <c r="BM69" s="152"/>
      <c r="BN69" s="152"/>
      <c r="BO69" s="152"/>
      <c r="BP69" s="152"/>
      <c r="BQ69" s="236"/>
      <c r="BR69" s="152"/>
      <c r="BS69" s="152"/>
      <c r="BT69" s="152"/>
      <c r="BU69" s="152"/>
      <c r="BV69" s="236"/>
      <c r="BW69" s="152"/>
      <c r="BX69" s="152"/>
      <c r="BY69" s="152"/>
      <c r="BZ69" s="152"/>
      <c r="CA69" s="236"/>
      <c r="CB69" s="152"/>
      <c r="CC69" s="152"/>
      <c r="CD69" s="152"/>
      <c r="CE69" s="152"/>
      <c r="CF69" s="236"/>
      <c r="CG69" s="152"/>
      <c r="CH69" s="152"/>
      <c r="CI69" s="152"/>
      <c r="CJ69" s="152"/>
      <c r="CK69" s="236">
        <f>CK68/CK$29</f>
        <v>-8.7051142546245922E-3</v>
      </c>
      <c r="CL69" s="1035">
        <f t="shared" ref="CL69" si="102">CL68/CL$29</f>
        <v>-1.0418410041841004E-2</v>
      </c>
      <c r="CM69" s="152">
        <f t="shared" ref="CM69" si="103">CM68/CM$29</f>
        <v>-1.0798319327731093E-2</v>
      </c>
      <c r="CN69" s="152">
        <f t="shared" ref="CN69" si="104">CN68/CN$29</f>
        <v>-1.3165137614678898E-2</v>
      </c>
      <c r="CO69" s="302">
        <f t="shared" ref="CO69" si="105">CO68/CO$29</f>
        <v>-1.2294372294372295E-2</v>
      </c>
      <c r="CP69" s="236">
        <f t="shared" si="97"/>
        <v>-1.1630669546436285E-2</v>
      </c>
      <c r="CQ69" s="1035">
        <f t="shared" ref="CQ69" si="106">CQ68/CQ$29</f>
        <v>-9.8750000000000001E-3</v>
      </c>
      <c r="CR69" s="152">
        <f t="shared" ref="CR69" si="107">CR68/CR$29</f>
        <v>-7.2244897959183674E-3</v>
      </c>
      <c r="CS69" s="152">
        <f t="shared" ref="CS69" si="108">CS68/CS$29</f>
        <v>-7.1770334928229667E-3</v>
      </c>
      <c r="CT69" s="302">
        <f t="shared" ref="CT69" si="109">CT68/CT$29</f>
        <v>-7.8423236514522827E-3</v>
      </c>
      <c r="CU69" s="236">
        <f t="shared" si="97"/>
        <v>-8.0534759358288771E-3</v>
      </c>
      <c r="CV69" s="1035">
        <f t="shared" ref="CV69:CW69" si="110">CV68/CV$29</f>
        <v>-7.7298322615766734E-3</v>
      </c>
      <c r="CW69" s="152">
        <f t="shared" si="110"/>
        <v>-4.6937091668350509E-3</v>
      </c>
      <c r="CX69" s="152">
        <f t="shared" ref="CX69:CY69" si="111">CX68/CX$29</f>
        <v>-4.0535795304978139E-3</v>
      </c>
      <c r="CY69" s="302">
        <f t="shared" si="111"/>
        <v>-5.0305648737453976E-3</v>
      </c>
      <c r="CZ69" s="236">
        <f t="shared" si="97"/>
        <v>-5.417700032675418E-3</v>
      </c>
      <c r="DA69" s="236">
        <f t="shared" si="97"/>
        <v>-2.8247650110718274E-3</v>
      </c>
      <c r="DB69" s="236">
        <f t="shared" si="97"/>
        <v>-1.9852287540800953E-4</v>
      </c>
      <c r="DC69" s="236">
        <f t="shared" si="97"/>
        <v>2.4118498891785327E-3</v>
      </c>
      <c r="DF69" s="236">
        <f t="shared" si="93"/>
        <v>-7.8423236514522827E-3</v>
      </c>
      <c r="DG69" s="236">
        <v>-0.10350519855691788</v>
      </c>
      <c r="DH69" s="236">
        <f t="shared" si="94"/>
        <v>-1.2294372294372295E-2</v>
      </c>
      <c r="DI69" s="236">
        <f t="shared" si="95"/>
        <v>-0.92423256260757025</v>
      </c>
      <c r="DJ69" s="236">
        <f t="shared" si="96"/>
        <v>-0.36212085792764892</v>
      </c>
    </row>
    <row r="70" spans="3:114">
      <c r="C70" s="336"/>
      <c r="D70" s="1" t="s">
        <v>791</v>
      </c>
      <c r="E70" s="337"/>
      <c r="F70" s="337"/>
      <c r="G70" s="337"/>
      <c r="H70" s="337"/>
      <c r="I70" s="337"/>
      <c r="J70" s="338"/>
      <c r="K70" s="338"/>
      <c r="L70" s="338"/>
      <c r="M70" s="337"/>
      <c r="N70" s="235"/>
      <c r="O70" s="338"/>
      <c r="P70" s="338"/>
      <c r="Q70" s="338"/>
      <c r="R70" s="337"/>
      <c r="S70" s="235"/>
      <c r="T70" s="338"/>
      <c r="U70" s="338"/>
      <c r="V70" s="338"/>
      <c r="W70" s="337"/>
      <c r="X70" s="235"/>
      <c r="Y70" s="338"/>
      <c r="Z70" s="338"/>
      <c r="AA70" s="338"/>
      <c r="AB70" s="337"/>
      <c r="AC70" s="235"/>
      <c r="AD70" s="338"/>
      <c r="AE70" s="338"/>
      <c r="AF70" s="338"/>
      <c r="AG70" s="337"/>
      <c r="AH70" s="235"/>
      <c r="AI70" s="338"/>
      <c r="AJ70" s="338"/>
      <c r="AK70" s="338"/>
      <c r="AL70" s="337"/>
      <c r="AM70" s="235"/>
      <c r="AN70" s="338"/>
      <c r="AO70" s="338"/>
      <c r="AP70" s="338"/>
      <c r="AQ70" s="337"/>
      <c r="AR70" s="235"/>
      <c r="AS70" s="338"/>
      <c r="AT70" s="338"/>
      <c r="AU70" s="338"/>
      <c r="AV70" s="337"/>
      <c r="AW70" s="235"/>
      <c r="AX70" s="338"/>
      <c r="AY70" s="338"/>
      <c r="AZ70" s="338"/>
      <c r="BA70" s="337"/>
      <c r="BB70" s="235"/>
      <c r="BC70" s="338"/>
      <c r="BD70" s="338"/>
      <c r="BE70" s="338"/>
      <c r="BF70" s="337"/>
      <c r="BG70" s="235"/>
      <c r="BH70" s="338"/>
      <c r="BI70" s="338"/>
      <c r="BJ70" s="338"/>
      <c r="BK70" s="337"/>
      <c r="BL70" s="235"/>
      <c r="BM70" s="338"/>
      <c r="BN70" s="338"/>
      <c r="BO70" s="338"/>
      <c r="BP70" s="337"/>
      <c r="BQ70" s="235"/>
      <c r="BR70" s="338"/>
      <c r="BS70" s="338"/>
      <c r="BT70" s="338"/>
      <c r="BU70" s="337"/>
      <c r="BV70" s="235"/>
      <c r="BW70" s="338"/>
      <c r="BX70" s="338"/>
      <c r="BY70" s="338"/>
      <c r="BZ70" s="337"/>
      <c r="CA70" s="235"/>
      <c r="CB70" s="338"/>
      <c r="CC70" s="338"/>
      <c r="CD70" s="338"/>
      <c r="CE70" s="337"/>
      <c r="CF70" s="235"/>
      <c r="CG70" s="338"/>
      <c r="CH70" s="338"/>
      <c r="CI70" s="338"/>
      <c r="CJ70" s="337"/>
      <c r="CK70" s="235">
        <f>350+45</f>
        <v>395</v>
      </c>
      <c r="CL70" s="338">
        <f>461-10</f>
        <v>451</v>
      </c>
      <c r="CM70" s="338">
        <f>495-61</f>
        <v>434</v>
      </c>
      <c r="CN70" s="338">
        <f>168-148</f>
        <v>20</v>
      </c>
      <c r="CO70" s="337">
        <f>194-66</f>
        <v>128</v>
      </c>
      <c r="CP70" s="235">
        <f>SUM(CL70:CO70)</f>
        <v>1033</v>
      </c>
      <c r="CQ70" s="338">
        <f>209-75</f>
        <v>134</v>
      </c>
      <c r="CR70" s="338">
        <f>122-49</f>
        <v>73</v>
      </c>
      <c r="CS70" s="338">
        <f>-53-56</f>
        <v>-109</v>
      </c>
      <c r="CT70" s="338">
        <f>89-66</f>
        <v>23</v>
      </c>
      <c r="CU70" s="235">
        <f>SUM(CQ70:CT70)</f>
        <v>121</v>
      </c>
      <c r="CV70" s="165">
        <f>CV162</f>
        <v>118.80000000000001</v>
      </c>
      <c r="CW70" s="165">
        <f>CW162</f>
        <v>55.8</v>
      </c>
      <c r="CX70" s="165">
        <f>CX162</f>
        <v>-156</v>
      </c>
      <c r="CY70" s="300">
        <f>CY162</f>
        <v>-24</v>
      </c>
      <c r="CZ70" s="235">
        <f>SUM(CV70:CY70)</f>
        <v>-5.3999999999999773</v>
      </c>
      <c r="DA70" s="235">
        <f>DA162</f>
        <v>-103.41230000000002</v>
      </c>
      <c r="DB70" s="248">
        <f>DB162</f>
        <v>-229.37719692250002</v>
      </c>
      <c r="DC70" s="235">
        <f>DC162</f>
        <v>-323.25358915071928</v>
      </c>
      <c r="DF70" s="235">
        <f t="shared" si="93"/>
        <v>23</v>
      </c>
      <c r="DG70" s="235">
        <v>-142.19999999999999</v>
      </c>
      <c r="DH70" s="235">
        <f t="shared" si="94"/>
        <v>128</v>
      </c>
      <c r="DI70" s="235">
        <f t="shared" si="95"/>
        <v>-1.1617440225035163</v>
      </c>
      <c r="DJ70" s="235">
        <f t="shared" si="96"/>
        <v>-0.8203125</v>
      </c>
    </row>
    <row r="71" spans="3:114">
      <c r="C71" s="336"/>
      <c r="D71" s="339" t="s">
        <v>77</v>
      </c>
      <c r="E71" s="236"/>
      <c r="F71" s="236"/>
      <c r="G71" s="236"/>
      <c r="H71" s="236"/>
      <c r="I71" s="236"/>
      <c r="J71" s="152"/>
      <c r="K71" s="152"/>
      <c r="L71" s="152"/>
      <c r="M71" s="152"/>
      <c r="N71" s="236"/>
      <c r="O71" s="152"/>
      <c r="P71" s="152"/>
      <c r="Q71" s="152"/>
      <c r="R71" s="152"/>
      <c r="S71" s="236"/>
      <c r="T71" s="152"/>
      <c r="U71" s="152"/>
      <c r="V71" s="152"/>
      <c r="W71" s="152"/>
      <c r="X71" s="236"/>
      <c r="Y71" s="152"/>
      <c r="Z71" s="152"/>
      <c r="AA71" s="152"/>
      <c r="AB71" s="152"/>
      <c r="AC71" s="236"/>
      <c r="AD71" s="152"/>
      <c r="AE71" s="152"/>
      <c r="AF71" s="152"/>
      <c r="AG71" s="152"/>
      <c r="AH71" s="236"/>
      <c r="AI71" s="152"/>
      <c r="AJ71" s="152"/>
      <c r="AK71" s="152"/>
      <c r="AL71" s="152"/>
      <c r="AM71" s="236"/>
      <c r="AN71" s="152"/>
      <c r="AO71" s="152"/>
      <c r="AP71" s="152"/>
      <c r="AQ71" s="152"/>
      <c r="AR71" s="236"/>
      <c r="AS71" s="152"/>
      <c r="AT71" s="152"/>
      <c r="AU71" s="152"/>
      <c r="AV71" s="152"/>
      <c r="AW71" s="236"/>
      <c r="AX71" s="152"/>
      <c r="AY71" s="152"/>
      <c r="AZ71" s="152"/>
      <c r="BA71" s="152"/>
      <c r="BB71" s="236"/>
      <c r="BC71" s="152"/>
      <c r="BD71" s="152"/>
      <c r="BE71" s="152"/>
      <c r="BF71" s="152"/>
      <c r="BG71" s="236"/>
      <c r="BH71" s="152"/>
      <c r="BI71" s="152"/>
      <c r="BJ71" s="152"/>
      <c r="BK71" s="152"/>
      <c r="BL71" s="236"/>
      <c r="BM71" s="152"/>
      <c r="BN71" s="152"/>
      <c r="BO71" s="152"/>
      <c r="BP71" s="152"/>
      <c r="BQ71" s="236"/>
      <c r="BR71" s="152"/>
      <c r="BS71" s="152"/>
      <c r="BT71" s="152"/>
      <c r="BU71" s="152"/>
      <c r="BV71" s="236"/>
      <c r="BW71" s="152"/>
      <c r="BX71" s="152"/>
      <c r="BY71" s="152"/>
      <c r="BZ71" s="152"/>
      <c r="CA71" s="236"/>
      <c r="CB71" s="152"/>
      <c r="CC71" s="152"/>
      <c r="CD71" s="152"/>
      <c r="CE71" s="152"/>
      <c r="CF71" s="236"/>
      <c r="CG71" s="152"/>
      <c r="CH71" s="152"/>
      <c r="CI71" s="152"/>
      <c r="CJ71" s="152"/>
      <c r="CK71" s="236">
        <f>CK70/CK$29</f>
        <v>4.2981501632208922E-3</v>
      </c>
      <c r="CL71" s="1035">
        <f t="shared" ref="CL71" si="112">CL70/CL$29</f>
        <v>1.8870292887029287E-2</v>
      </c>
      <c r="CM71" s="152">
        <f t="shared" ref="CM71" si="113">CM70/CM$29</f>
        <v>1.8235294117647058E-2</v>
      </c>
      <c r="CN71" s="152">
        <f t="shared" ref="CN71" si="114">CN70/CN$29</f>
        <v>9.1743119266055051E-4</v>
      </c>
      <c r="CO71" s="302">
        <f t="shared" ref="CO71" si="115">CO70/CO$29</f>
        <v>5.5411255411255411E-3</v>
      </c>
      <c r="CP71" s="236">
        <f t="shared" si="97"/>
        <v>1.1155507559395249E-2</v>
      </c>
      <c r="CQ71" s="1035">
        <f t="shared" ref="CQ71" si="116">CQ70/CQ$29</f>
        <v>5.5833333333333334E-3</v>
      </c>
      <c r="CR71" s="152">
        <f t="shared" ref="CR71" si="117">CR70/CR$29</f>
        <v>2.9795918367346939E-3</v>
      </c>
      <c r="CS71" s="152">
        <f t="shared" ref="CS71" si="118">CS70/CS$29</f>
        <v>-5.2153110047846894E-3</v>
      </c>
      <c r="CT71" s="302">
        <f t="shared" ref="CT71" si="119">CT70/CT$29</f>
        <v>9.5435684647302899E-4</v>
      </c>
      <c r="CU71" s="236">
        <f t="shared" si="97"/>
        <v>1.2941176470588236E-3</v>
      </c>
      <c r="CV71" s="1035">
        <f t="shared" ref="CV71:CW71" si="120">CV70/CV$29</f>
        <v>5.0525671123813421E-3</v>
      </c>
      <c r="CW71" s="152">
        <f t="shared" si="120"/>
        <v>2.3489593857344915E-3</v>
      </c>
      <c r="CX71" s="152">
        <f t="shared" ref="CX71:CY71" si="121">CX70/CX$29</f>
        <v>-7.6187759850320355E-3</v>
      </c>
      <c r="CY71" s="302">
        <f t="shared" si="121"/>
        <v>-1.0061129747490796E-3</v>
      </c>
      <c r="CZ71" s="236">
        <f t="shared" si="97"/>
        <v>-5.8953310179238552E-5</v>
      </c>
      <c r="DA71" s="236">
        <f t="shared" si="97"/>
        <v>-1.1410764096175942E-3</v>
      </c>
      <c r="DB71" s="236">
        <f t="shared" si="97"/>
        <v>-2.4568080428283606E-3</v>
      </c>
      <c r="DC71" s="236">
        <f t="shared" si="97"/>
        <v>-3.3773566414488664E-3</v>
      </c>
      <c r="DF71" s="236">
        <f t="shared" si="93"/>
        <v>9.5435684647302899E-4</v>
      </c>
      <c r="DG71" s="236">
        <v>-1.6796360079942171E-2</v>
      </c>
      <c r="DH71" s="236">
        <f t="shared" si="94"/>
        <v>5.5411255411255411E-3</v>
      </c>
      <c r="DI71" s="236">
        <f t="shared" si="95"/>
        <v>-1.0568192657177373</v>
      </c>
      <c r="DJ71" s="236">
        <f t="shared" si="96"/>
        <v>-0.82776841286307057</v>
      </c>
    </row>
    <row r="72" spans="3:114">
      <c r="C72" s="336"/>
      <c r="D72" s="1" t="s">
        <v>792</v>
      </c>
      <c r="E72" s="337"/>
      <c r="F72" s="337"/>
      <c r="G72" s="337"/>
      <c r="H72" s="337"/>
      <c r="I72" s="337"/>
      <c r="J72" s="338"/>
      <c r="K72" s="338"/>
      <c r="L72" s="338"/>
      <c r="M72" s="337"/>
      <c r="N72" s="235"/>
      <c r="O72" s="338"/>
      <c r="P72" s="338"/>
      <c r="Q72" s="338"/>
      <c r="R72" s="337"/>
      <c r="S72" s="235"/>
      <c r="T72" s="338"/>
      <c r="U72" s="338"/>
      <c r="V72" s="338"/>
      <c r="W72" s="337"/>
      <c r="X72" s="235"/>
      <c r="Y72" s="338"/>
      <c r="Z72" s="338"/>
      <c r="AA72" s="338"/>
      <c r="AB72" s="337"/>
      <c r="AC72" s="235"/>
      <c r="AD72" s="338"/>
      <c r="AE72" s="338"/>
      <c r="AF72" s="338"/>
      <c r="AG72" s="337"/>
      <c r="AH72" s="235"/>
      <c r="AI72" s="338"/>
      <c r="AJ72" s="338"/>
      <c r="AK72" s="338"/>
      <c r="AL72" s="337"/>
      <c r="AM72" s="235"/>
      <c r="AN72" s="338"/>
      <c r="AO72" s="338"/>
      <c r="AP72" s="338"/>
      <c r="AQ72" s="337"/>
      <c r="AR72" s="235"/>
      <c r="AS72" s="338"/>
      <c r="AT72" s="338"/>
      <c r="AU72" s="338"/>
      <c r="AV72" s="337"/>
      <c r="AW72" s="235"/>
      <c r="AX72" s="338"/>
      <c r="AY72" s="338"/>
      <c r="AZ72" s="338"/>
      <c r="BA72" s="337"/>
      <c r="BB72" s="235"/>
      <c r="BC72" s="338"/>
      <c r="BD72" s="338"/>
      <c r="BE72" s="338"/>
      <c r="BF72" s="337"/>
      <c r="BG72" s="235"/>
      <c r="BH72" s="338"/>
      <c r="BI72" s="338"/>
      <c r="BJ72" s="338"/>
      <c r="BK72" s="337"/>
      <c r="BL72" s="235"/>
      <c r="BM72" s="338"/>
      <c r="BN72" s="338"/>
      <c r="BO72" s="338"/>
      <c r="BP72" s="337"/>
      <c r="BQ72" s="235"/>
      <c r="BR72" s="338"/>
      <c r="BS72" s="338"/>
      <c r="BT72" s="338"/>
      <c r="BU72" s="337"/>
      <c r="BV72" s="235"/>
      <c r="BW72" s="338"/>
      <c r="BX72" s="338"/>
      <c r="BY72" s="338"/>
      <c r="BZ72" s="337"/>
      <c r="CA72" s="235"/>
      <c r="CB72" s="338"/>
      <c r="CC72" s="338"/>
      <c r="CD72" s="338"/>
      <c r="CE72" s="337"/>
      <c r="CF72" s="235"/>
      <c r="CG72" s="338"/>
      <c r="CH72" s="338"/>
      <c r="CI72" s="338"/>
      <c r="CJ72" s="337"/>
      <c r="CK72" s="235">
        <v>827</v>
      </c>
      <c r="CL72" s="338">
        <v>241</v>
      </c>
      <c r="CM72" s="338">
        <v>14</v>
      </c>
      <c r="CN72" s="338">
        <v>152</v>
      </c>
      <c r="CO72" s="337">
        <v>305</v>
      </c>
      <c r="CP72" s="235">
        <f>SUM(CL72:CO72)</f>
        <v>712</v>
      </c>
      <c r="CQ72" s="338">
        <v>148</v>
      </c>
      <c r="CR72" s="338">
        <v>167</v>
      </c>
      <c r="CS72" s="338">
        <v>314</v>
      </c>
      <c r="CT72" s="338">
        <v>30</v>
      </c>
      <c r="CU72" s="235">
        <f>SUM(CQ72:CT72)</f>
        <v>659</v>
      </c>
      <c r="CV72" s="165">
        <f>CV178</f>
        <v>55.599999999999994</v>
      </c>
      <c r="CW72" s="165">
        <f>CW178</f>
        <v>118.1</v>
      </c>
      <c r="CX72" s="165">
        <f>CX178</f>
        <v>287.75</v>
      </c>
      <c r="CY72" s="300">
        <f>CY178</f>
        <v>3.5</v>
      </c>
      <c r="CZ72" s="235">
        <f>SUM(CV72:CY72)</f>
        <v>464.95</v>
      </c>
      <c r="DA72" s="235">
        <f>DA178</f>
        <v>366.68245717316091</v>
      </c>
      <c r="DB72" s="248">
        <f>DB178</f>
        <v>272.35910837114261</v>
      </c>
      <c r="DC72" s="235">
        <f>DC178</f>
        <v>277.30080837114264</v>
      </c>
      <c r="DF72" s="235">
        <f t="shared" si="93"/>
        <v>30</v>
      </c>
      <c r="DG72" s="235">
        <v>219</v>
      </c>
      <c r="DH72" s="235">
        <f t="shared" si="94"/>
        <v>305</v>
      </c>
      <c r="DI72" s="235">
        <f t="shared" si="95"/>
        <v>-0.86301369863013699</v>
      </c>
      <c r="DJ72" s="235">
        <f t="shared" si="96"/>
        <v>-0.90163934426229508</v>
      </c>
    </row>
    <row r="73" spans="3:114">
      <c r="C73" s="336"/>
      <c r="D73" s="339" t="s">
        <v>77</v>
      </c>
      <c r="E73" s="236"/>
      <c r="F73" s="236"/>
      <c r="G73" s="236"/>
      <c r="H73" s="236"/>
      <c r="I73" s="236"/>
      <c r="J73" s="152"/>
      <c r="K73" s="152"/>
      <c r="L73" s="152"/>
      <c r="M73" s="152"/>
      <c r="N73" s="236"/>
      <c r="O73" s="152"/>
      <c r="P73" s="152"/>
      <c r="Q73" s="152"/>
      <c r="R73" s="152"/>
      <c r="S73" s="236"/>
      <c r="T73" s="152"/>
      <c r="U73" s="152"/>
      <c r="V73" s="152"/>
      <c r="W73" s="152"/>
      <c r="X73" s="236"/>
      <c r="Y73" s="152"/>
      <c r="Z73" s="152"/>
      <c r="AA73" s="152"/>
      <c r="AB73" s="152"/>
      <c r="AC73" s="236"/>
      <c r="AD73" s="152"/>
      <c r="AE73" s="152"/>
      <c r="AF73" s="152"/>
      <c r="AG73" s="152"/>
      <c r="AH73" s="236"/>
      <c r="AI73" s="152"/>
      <c r="AJ73" s="152"/>
      <c r="AK73" s="152"/>
      <c r="AL73" s="152"/>
      <c r="AM73" s="236"/>
      <c r="AN73" s="152"/>
      <c r="AO73" s="152"/>
      <c r="AP73" s="152"/>
      <c r="AQ73" s="152"/>
      <c r="AR73" s="236"/>
      <c r="AS73" s="152"/>
      <c r="AT73" s="152"/>
      <c r="AU73" s="152"/>
      <c r="AV73" s="152"/>
      <c r="AW73" s="236"/>
      <c r="AX73" s="152"/>
      <c r="AY73" s="152"/>
      <c r="AZ73" s="152"/>
      <c r="BA73" s="152"/>
      <c r="BB73" s="236"/>
      <c r="BC73" s="152"/>
      <c r="BD73" s="152"/>
      <c r="BE73" s="152"/>
      <c r="BF73" s="152"/>
      <c r="BG73" s="236"/>
      <c r="BH73" s="152"/>
      <c r="BI73" s="152"/>
      <c r="BJ73" s="152"/>
      <c r="BK73" s="152"/>
      <c r="BL73" s="236"/>
      <c r="BM73" s="152"/>
      <c r="BN73" s="152"/>
      <c r="BO73" s="152"/>
      <c r="BP73" s="152"/>
      <c r="BQ73" s="236"/>
      <c r="BR73" s="152"/>
      <c r="BS73" s="152"/>
      <c r="BT73" s="152"/>
      <c r="BU73" s="152"/>
      <c r="BV73" s="236"/>
      <c r="BW73" s="152"/>
      <c r="BX73" s="152"/>
      <c r="BY73" s="152"/>
      <c r="BZ73" s="152"/>
      <c r="CA73" s="236"/>
      <c r="CB73" s="152"/>
      <c r="CC73" s="152"/>
      <c r="CD73" s="152"/>
      <c r="CE73" s="152"/>
      <c r="CF73" s="236"/>
      <c r="CG73" s="152"/>
      <c r="CH73" s="152"/>
      <c r="CI73" s="152"/>
      <c r="CJ73" s="152"/>
      <c r="CK73" s="236">
        <f>CK72/CK$29</f>
        <v>8.9989118607181721E-3</v>
      </c>
      <c r="CL73" s="1035">
        <f t="shared" ref="CL73" si="122">CL72/CL$29</f>
        <v>1.00836820083682E-2</v>
      </c>
      <c r="CM73" s="152">
        <f t="shared" ref="CM73" si="123">CM72/CM$29</f>
        <v>5.8823529411764701E-4</v>
      </c>
      <c r="CN73" s="152">
        <f t="shared" ref="CN73" si="124">CN72/CN$29</f>
        <v>6.9724770642201834E-3</v>
      </c>
      <c r="CO73" s="302">
        <f t="shared" ref="CO73" si="125">CO72/CO$29</f>
        <v>1.3203463203463203E-2</v>
      </c>
      <c r="CP73" s="236">
        <f t="shared" si="97"/>
        <v>7.6889848812095032E-3</v>
      </c>
      <c r="CQ73" s="1035">
        <f t="shared" ref="CQ73" si="126">CQ72/CQ$29</f>
        <v>6.1666666666666667E-3</v>
      </c>
      <c r="CR73" s="152">
        <f t="shared" ref="CR73" si="127">CR72/CR$29</f>
        <v>6.8163265306122453E-3</v>
      </c>
      <c r="CS73" s="152">
        <f t="shared" ref="CS73" si="128">CS72/CS$29</f>
        <v>1.5023923444976077E-2</v>
      </c>
      <c r="CT73" s="302">
        <f t="shared" ref="CT73" si="129">CT72/CT$29</f>
        <v>1.2448132780082987E-3</v>
      </c>
      <c r="CU73" s="236">
        <f t="shared" si="97"/>
        <v>7.0481283422459892E-3</v>
      </c>
      <c r="CV73" s="1035">
        <f t="shared" ref="CV73" si="130">CV72/CV$29</f>
        <v>2.3646694566363852E-3</v>
      </c>
      <c r="CW73" s="152">
        <f t="shared" ref="CW73" si="131">CW72/CW$29</f>
        <v>4.9715430726746139E-3</v>
      </c>
      <c r="CX73" s="152">
        <f t="shared" ref="CX73" si="132">CX72/CX$29</f>
        <v>1.4053223010852361E-2</v>
      </c>
      <c r="CY73" s="302">
        <f t="shared" ref="CY73" si="133">CY72/CY$29</f>
        <v>1.467248088175741E-4</v>
      </c>
      <c r="CZ73" s="236">
        <f t="shared" si="97"/>
        <v>5.0759891792290894E-3</v>
      </c>
      <c r="DA73" s="236">
        <f t="shared" si="97"/>
        <v>4.0460632023551135E-3</v>
      </c>
      <c r="DB73" s="236">
        <f t="shared" si="97"/>
        <v>2.9171777184541386E-3</v>
      </c>
      <c r="DC73" s="236">
        <f t="shared" si="97"/>
        <v>2.8972415412060527E-3</v>
      </c>
      <c r="DF73" s="236">
        <f t="shared" si="93"/>
        <v>1.2448132780082987E-3</v>
      </c>
      <c r="DG73" s="236">
        <v>7.1370376405409816E-2</v>
      </c>
      <c r="DH73" s="236">
        <f t="shared" si="94"/>
        <v>1.3203463203463203E-2</v>
      </c>
      <c r="DI73" s="236">
        <f t="shared" si="95"/>
        <v>-0.98255840391064631</v>
      </c>
      <c r="DJ73" s="236">
        <f t="shared" si="96"/>
        <v>-0.90572069927215837</v>
      </c>
    </row>
    <row r="74" spans="3:114">
      <c r="C74" s="336"/>
      <c r="D74" s="1" t="s">
        <v>1131</v>
      </c>
      <c r="E74" s="1039"/>
      <c r="F74" s="1039"/>
      <c r="G74" s="1039"/>
      <c r="H74" s="1039"/>
      <c r="I74" s="1039"/>
      <c r="J74" s="152"/>
      <c r="K74" s="152"/>
      <c r="L74" s="152"/>
      <c r="M74" s="152"/>
      <c r="N74" s="1039"/>
      <c r="O74" s="152"/>
      <c r="P74" s="152"/>
      <c r="Q74" s="152"/>
      <c r="R74" s="152"/>
      <c r="S74" s="1039"/>
      <c r="T74" s="152"/>
      <c r="U74" s="152"/>
      <c r="V74" s="152"/>
      <c r="W74" s="152"/>
      <c r="X74" s="1039"/>
      <c r="Y74" s="152"/>
      <c r="Z74" s="152"/>
      <c r="AA74" s="152"/>
      <c r="AB74" s="152"/>
      <c r="AC74" s="1039"/>
      <c r="AD74" s="152"/>
      <c r="AE74" s="152"/>
      <c r="AF74" s="152"/>
      <c r="AG74" s="152"/>
      <c r="AH74" s="1039"/>
      <c r="AI74" s="152"/>
      <c r="AJ74" s="152"/>
      <c r="AK74" s="152"/>
      <c r="AL74" s="152"/>
      <c r="AM74" s="1039"/>
      <c r="AN74" s="152"/>
      <c r="AO74" s="152"/>
      <c r="AP74" s="152"/>
      <c r="AQ74" s="152"/>
      <c r="AR74" s="1039"/>
      <c r="AS74" s="152"/>
      <c r="AT74" s="152"/>
      <c r="AU74" s="152"/>
      <c r="AV74" s="152"/>
      <c r="AW74" s="1039"/>
      <c r="AX74" s="152"/>
      <c r="AY74" s="152"/>
      <c r="AZ74" s="152"/>
      <c r="BA74" s="152"/>
      <c r="BB74" s="1039"/>
      <c r="BC74" s="152"/>
      <c r="BD74" s="152"/>
      <c r="BE74" s="152"/>
      <c r="BF74" s="152"/>
      <c r="BG74" s="1039"/>
      <c r="BH74" s="152"/>
      <c r="BI74" s="152"/>
      <c r="BJ74" s="152"/>
      <c r="BK74" s="152"/>
      <c r="BL74" s="1039"/>
      <c r="BM74" s="152"/>
      <c r="BN74" s="152"/>
      <c r="BO74" s="152"/>
      <c r="BP74" s="152"/>
      <c r="BQ74" s="1039"/>
      <c r="BR74" s="152"/>
      <c r="BS74" s="152"/>
      <c r="BT74" s="152"/>
      <c r="BU74" s="152"/>
      <c r="BV74" s="1039"/>
      <c r="BW74" s="152"/>
      <c r="BX74" s="152"/>
      <c r="BY74" s="152"/>
      <c r="BZ74" s="152"/>
      <c r="CA74" s="1039"/>
      <c r="CB74" s="152"/>
      <c r="CC74" s="152"/>
      <c r="CD74" s="152"/>
      <c r="CE74" s="152"/>
      <c r="CF74" s="1039"/>
      <c r="CG74" s="152"/>
      <c r="CH74" s="152"/>
      <c r="CI74" s="152"/>
      <c r="CJ74" s="152"/>
      <c r="CK74" s="235">
        <v>0</v>
      </c>
      <c r="CL74" s="338">
        <v>-12</v>
      </c>
      <c r="CM74" s="338">
        <v>-20</v>
      </c>
      <c r="CN74" s="338">
        <v>-42</v>
      </c>
      <c r="CO74" s="338">
        <v>-43</v>
      </c>
      <c r="CP74" s="235">
        <f>SUM(CL74:CO74)</f>
        <v>-117</v>
      </c>
      <c r="CQ74" s="338">
        <v>-64</v>
      </c>
      <c r="CR74" s="338">
        <v>-63</v>
      </c>
      <c r="CS74" s="338">
        <v>-72</v>
      </c>
      <c r="CT74" s="338">
        <v>-100</v>
      </c>
      <c r="CU74" s="235">
        <f>SUM(CQ74:CT74)</f>
        <v>-299</v>
      </c>
      <c r="CV74" s="338">
        <v>-150</v>
      </c>
      <c r="CW74" s="338">
        <v>-150</v>
      </c>
      <c r="CX74" s="338">
        <v>-150</v>
      </c>
      <c r="CY74" s="338">
        <v>-150</v>
      </c>
      <c r="CZ74" s="235">
        <f>SUM(CV74:CY74)</f>
        <v>-600</v>
      </c>
      <c r="DA74" s="235">
        <f>CZ74*(1+DA75)</f>
        <v>-660</v>
      </c>
      <c r="DB74" s="248">
        <f>DA74*(1+DB75)</f>
        <v>-726.00000000000011</v>
      </c>
      <c r="DC74" s="235">
        <f>DB74*(1+DC75)</f>
        <v>-798.60000000000014</v>
      </c>
      <c r="DF74" s="1039"/>
      <c r="DG74" s="1039"/>
      <c r="DH74" s="1039"/>
      <c r="DI74" s="1039"/>
      <c r="DJ74" s="1039"/>
    </row>
    <row r="75" spans="3:114">
      <c r="C75" s="336"/>
      <c r="D75" s="339" t="s">
        <v>1136</v>
      </c>
      <c r="E75" s="1039"/>
      <c r="F75" s="1039"/>
      <c r="G75" s="1039"/>
      <c r="H75" s="1039"/>
      <c r="I75" s="1039"/>
      <c r="J75" s="152"/>
      <c r="K75" s="152"/>
      <c r="L75" s="152"/>
      <c r="M75" s="152"/>
      <c r="N75" s="1039"/>
      <c r="O75" s="152"/>
      <c r="P75" s="152"/>
      <c r="Q75" s="152"/>
      <c r="R75" s="152"/>
      <c r="S75" s="1039"/>
      <c r="T75" s="152"/>
      <c r="U75" s="152"/>
      <c r="V75" s="152"/>
      <c r="W75" s="152"/>
      <c r="X75" s="1039"/>
      <c r="Y75" s="152"/>
      <c r="Z75" s="152"/>
      <c r="AA75" s="152"/>
      <c r="AB75" s="152"/>
      <c r="AC75" s="1039"/>
      <c r="AD75" s="152"/>
      <c r="AE75" s="152"/>
      <c r="AF75" s="152"/>
      <c r="AG75" s="152"/>
      <c r="AH75" s="1039"/>
      <c r="AI75" s="152"/>
      <c r="AJ75" s="152"/>
      <c r="AK75" s="152"/>
      <c r="AL75" s="152"/>
      <c r="AM75" s="1039"/>
      <c r="AN75" s="152"/>
      <c r="AO75" s="152"/>
      <c r="AP75" s="152"/>
      <c r="AQ75" s="152"/>
      <c r="AR75" s="1039"/>
      <c r="AS75" s="152"/>
      <c r="AT75" s="152"/>
      <c r="AU75" s="152"/>
      <c r="AV75" s="152"/>
      <c r="AW75" s="1039"/>
      <c r="AX75" s="152"/>
      <c r="AY75" s="152"/>
      <c r="AZ75" s="152"/>
      <c r="BA75" s="152"/>
      <c r="BB75" s="1039"/>
      <c r="BC75" s="152"/>
      <c r="BD75" s="152"/>
      <c r="BE75" s="152"/>
      <c r="BF75" s="152"/>
      <c r="BG75" s="1039"/>
      <c r="BH75" s="152"/>
      <c r="BI75" s="152"/>
      <c r="BJ75" s="152"/>
      <c r="BK75" s="152"/>
      <c r="BL75" s="1039"/>
      <c r="BM75" s="152"/>
      <c r="BN75" s="152"/>
      <c r="BO75" s="152"/>
      <c r="BP75" s="152"/>
      <c r="BQ75" s="1039"/>
      <c r="BR75" s="152"/>
      <c r="BS75" s="152"/>
      <c r="BT75" s="152"/>
      <c r="BU75" s="152"/>
      <c r="BV75" s="1039"/>
      <c r="BW75" s="152"/>
      <c r="BX75" s="152"/>
      <c r="BY75" s="152"/>
      <c r="BZ75" s="152"/>
      <c r="CA75" s="1039"/>
      <c r="CB75" s="152"/>
      <c r="CC75" s="152"/>
      <c r="CD75" s="152"/>
      <c r="CE75" s="152"/>
      <c r="CF75" s="1039"/>
      <c r="CG75" s="152"/>
      <c r="CH75" s="152"/>
      <c r="CI75" s="152"/>
      <c r="CJ75" s="152"/>
      <c r="CK75" s="1052" t="s">
        <v>1077</v>
      </c>
      <c r="CL75" s="1051" t="s">
        <v>1077</v>
      </c>
      <c r="CM75" s="1051" t="s">
        <v>1077</v>
      </c>
      <c r="CN75" s="1051" t="s">
        <v>1077</v>
      </c>
      <c r="CO75" s="1051" t="s">
        <v>1077</v>
      </c>
      <c r="CP75" s="1052" t="s">
        <v>1077</v>
      </c>
      <c r="CQ75" s="1051" t="s">
        <v>1077</v>
      </c>
      <c r="CR75" s="1051" t="s">
        <v>1077</v>
      </c>
      <c r="CS75" s="1051" t="s">
        <v>1077</v>
      </c>
      <c r="CT75" s="1051" t="s">
        <v>1077</v>
      </c>
      <c r="CU75" s="1052" t="s">
        <v>1077</v>
      </c>
      <c r="CV75" s="1051" t="s">
        <v>1077</v>
      </c>
      <c r="CW75" s="1051" t="s">
        <v>1077</v>
      </c>
      <c r="CX75" s="1051" t="s">
        <v>1077</v>
      </c>
      <c r="CY75" s="1051" t="s">
        <v>1077</v>
      </c>
      <c r="CZ75" s="1052" t="s">
        <v>1077</v>
      </c>
      <c r="DA75" s="1053">
        <v>0.1</v>
      </c>
      <c r="DB75" s="1053">
        <v>0.1</v>
      </c>
      <c r="DC75" s="1053">
        <v>0.1</v>
      </c>
      <c r="DF75" s="1039"/>
      <c r="DG75" s="1039"/>
      <c r="DH75" s="1039"/>
      <c r="DI75" s="1039"/>
      <c r="DJ75" s="1039"/>
    </row>
    <row r="76" spans="3:114">
      <c r="C76" s="336"/>
      <c r="D76" s="1033" t="s">
        <v>1045</v>
      </c>
      <c r="E76" s="1039"/>
      <c r="F76" s="1039"/>
      <c r="G76" s="1039"/>
      <c r="H76" s="1039"/>
      <c r="I76" s="1039"/>
      <c r="J76" s="152"/>
      <c r="K76" s="152"/>
      <c r="L76" s="152"/>
      <c r="M76" s="152"/>
      <c r="N76" s="1039"/>
      <c r="O76" s="152"/>
      <c r="P76" s="152"/>
      <c r="Q76" s="152"/>
      <c r="R76" s="152"/>
      <c r="S76" s="1039"/>
      <c r="T76" s="152"/>
      <c r="U76" s="152"/>
      <c r="V76" s="152"/>
      <c r="W76" s="152"/>
      <c r="X76" s="1039"/>
      <c r="Y76" s="152"/>
      <c r="Z76" s="152"/>
      <c r="AA76" s="152"/>
      <c r="AB76" s="152"/>
      <c r="AC76" s="1039"/>
      <c r="AD76" s="152"/>
      <c r="AE76" s="152"/>
      <c r="AF76" s="152"/>
      <c r="AG76" s="152"/>
      <c r="AH76" s="1039"/>
      <c r="AI76" s="152"/>
      <c r="AJ76" s="152"/>
      <c r="AK76" s="152"/>
      <c r="AL76" s="152"/>
      <c r="AM76" s="1039"/>
      <c r="AN76" s="152"/>
      <c r="AO76" s="152"/>
      <c r="AP76" s="152"/>
      <c r="AQ76" s="152"/>
      <c r="AR76" s="1039"/>
      <c r="AS76" s="152"/>
      <c r="AT76" s="152"/>
      <c r="AU76" s="152"/>
      <c r="AV76" s="152"/>
      <c r="AW76" s="1039"/>
      <c r="AX76" s="152"/>
      <c r="AY76" s="152"/>
      <c r="AZ76" s="152"/>
      <c r="BA76" s="152"/>
      <c r="BB76" s="1039"/>
      <c r="BC76" s="152"/>
      <c r="BD76" s="152"/>
      <c r="BE76" s="152"/>
      <c r="BF76" s="152"/>
      <c r="BG76" s="1039"/>
      <c r="BH76" s="152"/>
      <c r="BI76" s="152"/>
      <c r="BJ76" s="152"/>
      <c r="BK76" s="152"/>
      <c r="BL76" s="1039"/>
      <c r="BM76" s="152"/>
      <c r="BN76" s="152"/>
      <c r="BO76" s="152"/>
      <c r="BP76" s="152"/>
      <c r="BQ76" s="1039"/>
      <c r="BR76" s="152"/>
      <c r="BS76" s="152"/>
      <c r="BT76" s="152"/>
      <c r="BU76" s="152"/>
      <c r="BV76" s="1039"/>
      <c r="BW76" s="152"/>
      <c r="BX76" s="152"/>
      <c r="BY76" s="152"/>
      <c r="BZ76" s="152"/>
      <c r="CA76" s="1039"/>
      <c r="CB76" s="152"/>
      <c r="CC76" s="152"/>
      <c r="CD76" s="152"/>
      <c r="CE76" s="152"/>
      <c r="CF76" s="1039"/>
      <c r="CG76" s="152"/>
      <c r="CH76" s="152"/>
      <c r="CI76" s="152"/>
      <c r="CJ76" s="152"/>
      <c r="CK76" s="235">
        <v>20.86</v>
      </c>
      <c r="CL76" s="338">
        <v>514</v>
      </c>
      <c r="CM76" s="338">
        <v>400</v>
      </c>
      <c r="CN76" s="338">
        <v>567</v>
      </c>
      <c r="CO76" s="338">
        <v>398</v>
      </c>
      <c r="CP76" s="235">
        <f>SUM(CL76:CO76)</f>
        <v>1879</v>
      </c>
      <c r="CQ76" s="338">
        <v>481</v>
      </c>
      <c r="CR76" s="338">
        <v>619</v>
      </c>
      <c r="CS76" s="338">
        <v>600</v>
      </c>
      <c r="CT76" s="338">
        <v>610</v>
      </c>
      <c r="CU76" s="235">
        <f>SUM(CQ76:CT76)</f>
        <v>2310</v>
      </c>
      <c r="CV76" s="1044">
        <f>CV192</f>
        <v>431</v>
      </c>
      <c r="CW76" s="1044">
        <f>CW192</f>
        <v>559</v>
      </c>
      <c r="CX76" s="1044">
        <f>CX192</f>
        <v>500</v>
      </c>
      <c r="CY76" s="1044">
        <f>CY192</f>
        <v>510</v>
      </c>
      <c r="CZ76" s="235">
        <f>SUM(CV76:CY76)</f>
        <v>2000</v>
      </c>
      <c r="DA76" s="235">
        <f>DA192</f>
        <v>1945</v>
      </c>
      <c r="DB76" s="248">
        <f>DB192</f>
        <v>1905</v>
      </c>
      <c r="DC76" s="235">
        <f>DC192</f>
        <v>1860</v>
      </c>
      <c r="DF76" s="1039"/>
      <c r="DG76" s="1039"/>
      <c r="DH76" s="1039"/>
      <c r="DI76" s="1039"/>
      <c r="DJ76" s="1039"/>
    </row>
    <row r="77" spans="3:114">
      <c r="C77" s="336"/>
      <c r="D77" s="1033" t="s">
        <v>1135</v>
      </c>
      <c r="E77" s="1039"/>
      <c r="F77" s="1039"/>
      <c r="G77" s="1039"/>
      <c r="H77" s="1039"/>
      <c r="I77" s="1039"/>
      <c r="J77" s="152"/>
      <c r="K77" s="152"/>
      <c r="L77" s="152"/>
      <c r="M77" s="152"/>
      <c r="N77" s="1039"/>
      <c r="O77" s="152"/>
      <c r="P77" s="152"/>
      <c r="Q77" s="152"/>
      <c r="R77" s="152"/>
      <c r="S77" s="1039"/>
      <c r="T77" s="152"/>
      <c r="U77" s="152"/>
      <c r="V77" s="152"/>
      <c r="W77" s="152"/>
      <c r="X77" s="1039"/>
      <c r="Y77" s="152"/>
      <c r="Z77" s="152"/>
      <c r="AA77" s="152"/>
      <c r="AB77" s="152"/>
      <c r="AC77" s="1039"/>
      <c r="AD77" s="152"/>
      <c r="AE77" s="152"/>
      <c r="AF77" s="152"/>
      <c r="AG77" s="152"/>
      <c r="AH77" s="1039"/>
      <c r="AI77" s="152"/>
      <c r="AJ77" s="152"/>
      <c r="AK77" s="152"/>
      <c r="AL77" s="152"/>
      <c r="AM77" s="1039"/>
      <c r="AN77" s="152"/>
      <c r="AO77" s="152"/>
      <c r="AP77" s="152"/>
      <c r="AQ77" s="152"/>
      <c r="AR77" s="1039"/>
      <c r="AS77" s="152"/>
      <c r="AT77" s="152"/>
      <c r="AU77" s="152"/>
      <c r="AV77" s="152"/>
      <c r="AW77" s="1039"/>
      <c r="AX77" s="152"/>
      <c r="AY77" s="152"/>
      <c r="AZ77" s="152"/>
      <c r="BA77" s="152"/>
      <c r="BB77" s="1039"/>
      <c r="BC77" s="152"/>
      <c r="BD77" s="152"/>
      <c r="BE77" s="152"/>
      <c r="BF77" s="152"/>
      <c r="BG77" s="1039"/>
      <c r="BH77" s="152"/>
      <c r="BI77" s="152"/>
      <c r="BJ77" s="152"/>
      <c r="BK77" s="152"/>
      <c r="BL77" s="1039"/>
      <c r="BM77" s="152"/>
      <c r="BN77" s="152"/>
      <c r="BO77" s="152"/>
      <c r="BP77" s="152"/>
      <c r="BQ77" s="1039"/>
      <c r="BR77" s="152"/>
      <c r="BS77" s="152"/>
      <c r="BT77" s="152"/>
      <c r="BU77" s="152"/>
      <c r="BV77" s="1039"/>
      <c r="BW77" s="152"/>
      <c r="BX77" s="152"/>
      <c r="BY77" s="152"/>
      <c r="BZ77" s="152"/>
      <c r="CA77" s="1039"/>
      <c r="CB77" s="152"/>
      <c r="CC77" s="152"/>
      <c r="CD77" s="152"/>
      <c r="CE77" s="152"/>
      <c r="CF77" s="1039"/>
      <c r="CG77" s="152"/>
      <c r="CH77" s="152"/>
      <c r="CI77" s="152"/>
      <c r="CJ77" s="152"/>
      <c r="CK77" s="235">
        <v>-4.5199999999999996</v>
      </c>
      <c r="CL77" s="338">
        <v>-60</v>
      </c>
      <c r="CM77" s="338">
        <v>-149</v>
      </c>
      <c r="CN77" s="338">
        <v>-117</v>
      </c>
      <c r="CO77" s="338">
        <v>-173</v>
      </c>
      <c r="CP77" s="235">
        <f>SUM(CL77:CO77)</f>
        <v>-499</v>
      </c>
      <c r="CQ77" s="338">
        <v>-72</v>
      </c>
      <c r="CR77" s="338">
        <v>-146</v>
      </c>
      <c r="CS77" s="338">
        <v>-122</v>
      </c>
      <c r="CT77" s="338">
        <v>-118</v>
      </c>
      <c r="CU77" s="235">
        <f>SUM(CQ77:CT77)</f>
        <v>-458</v>
      </c>
      <c r="CV77" s="338">
        <v>-100</v>
      </c>
      <c r="CW77" s="338">
        <v>-100</v>
      </c>
      <c r="CX77" s="338">
        <v>-100</v>
      </c>
      <c r="CY77" s="338">
        <v>-100</v>
      </c>
      <c r="CZ77" s="235">
        <f>SUM(CV77:CY77)</f>
        <v>-400</v>
      </c>
      <c r="DA77" s="1054">
        <v>-500</v>
      </c>
      <c r="DB77" s="1055">
        <v>-500</v>
      </c>
      <c r="DC77" s="1054">
        <v>-500</v>
      </c>
      <c r="DF77" s="1039"/>
      <c r="DG77" s="1039"/>
      <c r="DH77" s="1039"/>
      <c r="DI77" s="1039"/>
      <c r="DJ77" s="1039"/>
    </row>
    <row r="78" spans="3:114" ht="13.5" thickBot="1">
      <c r="C78" s="336"/>
      <c r="D78" s="228" t="s">
        <v>1133</v>
      </c>
      <c r="E78" s="378"/>
      <c r="F78" s="378"/>
      <c r="G78" s="378"/>
      <c r="H78" s="378"/>
      <c r="I78" s="378"/>
      <c r="J78" s="379"/>
      <c r="K78" s="379"/>
      <c r="L78" s="379"/>
      <c r="M78" s="380"/>
      <c r="N78" s="378"/>
      <c r="O78" s="379"/>
      <c r="P78" s="379"/>
      <c r="Q78" s="379"/>
      <c r="R78" s="380"/>
      <c r="S78" s="378"/>
      <c r="T78" s="379"/>
      <c r="U78" s="379"/>
      <c r="V78" s="379"/>
      <c r="W78" s="380"/>
      <c r="X78" s="378"/>
      <c r="Y78" s="379"/>
      <c r="Z78" s="379"/>
      <c r="AA78" s="379"/>
      <c r="AB78" s="380"/>
      <c r="AC78" s="378"/>
      <c r="AD78" s="379"/>
      <c r="AE78" s="379"/>
      <c r="AF78" s="379"/>
      <c r="AG78" s="380"/>
      <c r="AH78" s="378"/>
      <c r="AI78" s="379"/>
      <c r="AJ78" s="379"/>
      <c r="AK78" s="379"/>
      <c r="AL78" s="380"/>
      <c r="AM78" s="378"/>
      <c r="AN78" s="379"/>
      <c r="AO78" s="379"/>
      <c r="AP78" s="379"/>
      <c r="AQ78" s="380"/>
      <c r="AR78" s="378"/>
      <c r="AS78" s="379"/>
      <c r="AT78" s="379"/>
      <c r="AU78" s="379"/>
      <c r="AV78" s="380"/>
      <c r="AW78" s="378"/>
      <c r="AX78" s="379"/>
      <c r="AY78" s="379"/>
      <c r="AZ78" s="379"/>
      <c r="BA78" s="380"/>
      <c r="BB78" s="378"/>
      <c r="BC78" s="379"/>
      <c r="BD78" s="379"/>
      <c r="BE78" s="379"/>
      <c r="BF78" s="380"/>
      <c r="BG78" s="378"/>
      <c r="BH78" s="379"/>
      <c r="BI78" s="379"/>
      <c r="BJ78" s="379"/>
      <c r="BK78" s="380"/>
      <c r="BL78" s="378"/>
      <c r="BM78" s="379"/>
      <c r="BN78" s="379"/>
      <c r="BO78" s="379"/>
      <c r="BP78" s="380"/>
      <c r="BQ78" s="378"/>
      <c r="BR78" s="379"/>
      <c r="BS78" s="379"/>
      <c r="BT78" s="379"/>
      <c r="BU78" s="380"/>
      <c r="BV78" s="378"/>
      <c r="BW78" s="379"/>
      <c r="BX78" s="379"/>
      <c r="BY78" s="379"/>
      <c r="BZ78" s="380"/>
      <c r="CA78" s="378"/>
      <c r="CB78" s="379"/>
      <c r="CC78" s="379"/>
      <c r="CD78" s="379"/>
      <c r="CE78" s="380"/>
      <c r="CF78" s="378"/>
      <c r="CG78" s="379"/>
      <c r="CH78" s="379"/>
      <c r="CI78" s="379"/>
      <c r="CJ78" s="380"/>
      <c r="CK78" s="378">
        <f>SUM(CK66:CK73)</f>
        <v>9995.1087595212175</v>
      </c>
      <c r="CL78" s="379">
        <f t="shared" ref="CL78:DC78" si="134">SUM(CL66,CL68,CL70,CL72,CL74,CL76,CL77)</f>
        <v>4052</v>
      </c>
      <c r="CM78" s="379">
        <f t="shared" si="134"/>
        <v>3218</v>
      </c>
      <c r="CN78" s="379">
        <f t="shared" si="134"/>
        <v>1665</v>
      </c>
      <c r="CO78" s="379">
        <f t="shared" si="134"/>
        <v>2390</v>
      </c>
      <c r="CP78" s="378">
        <f t="shared" si="134"/>
        <v>11325</v>
      </c>
      <c r="CQ78" s="379">
        <f t="shared" si="134"/>
        <v>2512</v>
      </c>
      <c r="CR78" s="379">
        <f t="shared" si="134"/>
        <v>2798</v>
      </c>
      <c r="CS78" s="379">
        <f t="shared" si="134"/>
        <v>2272</v>
      </c>
      <c r="CT78" s="379">
        <f t="shared" si="134"/>
        <v>2044</v>
      </c>
      <c r="CU78" s="378">
        <f t="shared" si="134"/>
        <v>9626</v>
      </c>
      <c r="CV78" s="379">
        <f t="shared" si="134"/>
        <v>2091.6499999999996</v>
      </c>
      <c r="CW78" s="379">
        <f t="shared" si="134"/>
        <v>2415.4</v>
      </c>
      <c r="CX78" s="379">
        <f t="shared" si="134"/>
        <v>1899.35</v>
      </c>
      <c r="CY78" s="379">
        <f t="shared" si="134"/>
        <v>1726.1</v>
      </c>
      <c r="CZ78" s="378">
        <f t="shared" si="134"/>
        <v>8132.5</v>
      </c>
      <c r="DA78" s="378">
        <f t="shared" si="134"/>
        <v>7661.8827971731616</v>
      </c>
      <c r="DB78" s="378">
        <f t="shared" si="134"/>
        <v>8054.3135245366429</v>
      </c>
      <c r="DC78" s="378">
        <f t="shared" si="134"/>
        <v>8533.884515174359</v>
      </c>
      <c r="DF78" s="378">
        <f>CT78</f>
        <v>2044</v>
      </c>
      <c r="DG78" s="378">
        <v>1580.05</v>
      </c>
      <c r="DH78" s="378">
        <f>CO78</f>
        <v>2390</v>
      </c>
      <c r="DI78" s="378">
        <f t="shared" ref="DI78:DI79" si="135">IF(ISERROR(DF78/DG78-1),"NM",DF78/DG78-1)</f>
        <v>0.29362994841935386</v>
      </c>
      <c r="DJ78" s="378">
        <f t="shared" ref="DJ78:DJ79" si="136">IF(ISERROR(DF78/DH78-1),"NM",DF78/DH78-1)</f>
        <v>-0.14476987447698741</v>
      </c>
    </row>
    <row r="79" spans="3:114">
      <c r="C79" s="336"/>
      <c r="D79" s="215" t="s">
        <v>77</v>
      </c>
      <c r="E79" s="361"/>
      <c r="F79" s="361"/>
      <c r="G79" s="361"/>
      <c r="H79" s="361"/>
      <c r="I79" s="361"/>
      <c r="J79" s="362"/>
      <c r="K79" s="362"/>
      <c r="L79" s="362"/>
      <c r="M79" s="362"/>
      <c r="N79" s="361"/>
      <c r="O79" s="362"/>
      <c r="P79" s="362"/>
      <c r="Q79" s="362"/>
      <c r="R79" s="362"/>
      <c r="S79" s="361"/>
      <c r="T79" s="362"/>
      <c r="U79" s="362"/>
      <c r="V79" s="362"/>
      <c r="W79" s="362"/>
      <c r="X79" s="361"/>
      <c r="Y79" s="362"/>
      <c r="Z79" s="362"/>
      <c r="AA79" s="362"/>
      <c r="AB79" s="362"/>
      <c r="AC79" s="361"/>
      <c r="AD79" s="362"/>
      <c r="AE79" s="362"/>
      <c r="AF79" s="362"/>
      <c r="AG79" s="362"/>
      <c r="AH79" s="361"/>
      <c r="AI79" s="362"/>
      <c r="AJ79" s="362"/>
      <c r="AK79" s="362"/>
      <c r="AL79" s="362"/>
      <c r="AM79" s="361"/>
      <c r="AN79" s="362"/>
      <c r="AO79" s="362"/>
      <c r="AP79" s="362"/>
      <c r="AQ79" s="362"/>
      <c r="AR79" s="361"/>
      <c r="AS79" s="362"/>
      <c r="AT79" s="362"/>
      <c r="AU79" s="362"/>
      <c r="AV79" s="362"/>
      <c r="AW79" s="361"/>
      <c r="AX79" s="362"/>
      <c r="AY79" s="362"/>
      <c r="AZ79" s="362"/>
      <c r="BA79" s="362"/>
      <c r="BB79" s="361"/>
      <c r="BC79" s="362"/>
      <c r="BD79" s="362"/>
      <c r="BE79" s="362"/>
      <c r="BF79" s="362"/>
      <c r="BG79" s="361"/>
      <c r="BH79" s="362"/>
      <c r="BI79" s="362"/>
      <c r="BJ79" s="362"/>
      <c r="BK79" s="362"/>
      <c r="BL79" s="361"/>
      <c r="BM79" s="362"/>
      <c r="BN79" s="362"/>
      <c r="BO79" s="362"/>
      <c r="BP79" s="362"/>
      <c r="BQ79" s="361"/>
      <c r="BR79" s="362"/>
      <c r="BS79" s="362"/>
      <c r="BT79" s="362"/>
      <c r="BU79" s="362"/>
      <c r="BV79" s="361"/>
      <c r="BW79" s="362"/>
      <c r="BX79" s="362"/>
      <c r="BY79" s="362"/>
      <c r="BZ79" s="362"/>
      <c r="CA79" s="361"/>
      <c r="CB79" s="362"/>
      <c r="CC79" s="362"/>
      <c r="CD79" s="362"/>
      <c r="CE79" s="362"/>
      <c r="CF79" s="361"/>
      <c r="CG79" s="362"/>
      <c r="CH79" s="362"/>
      <c r="CI79" s="362"/>
      <c r="CJ79" s="362"/>
      <c r="CK79" s="236"/>
      <c r="CL79" s="1036">
        <f t="shared" ref="CL79:CO79" si="137">CL78/CL$29</f>
        <v>0.16953974895397489</v>
      </c>
      <c r="CM79" s="1037">
        <f t="shared" si="137"/>
        <v>0.13521008403361345</v>
      </c>
      <c r="CN79" s="1037">
        <f t="shared" si="137"/>
        <v>7.6376146788990823E-2</v>
      </c>
      <c r="CO79" s="1038">
        <f t="shared" si="137"/>
        <v>0.10346320346320347</v>
      </c>
      <c r="CP79" s="236">
        <f t="shared" ref="CP79:DC79" si="138">CP78/CP$43</f>
        <v>7.4605234553587307E-2</v>
      </c>
      <c r="CQ79" s="1036">
        <f t="shared" si="138"/>
        <v>6.4132349562153745E-2</v>
      </c>
      <c r="CR79" s="1037">
        <f t="shared" si="138"/>
        <v>7.0211537978971672E-2</v>
      </c>
      <c r="CS79" s="1037">
        <f t="shared" si="138"/>
        <v>6.2335381913959612E-2</v>
      </c>
      <c r="CT79" s="1038">
        <f t="shared" si="138"/>
        <v>4.9620472571883227E-2</v>
      </c>
      <c r="CU79" s="236">
        <f t="shared" si="138"/>
        <v>6.144490313219958E-2</v>
      </c>
      <c r="CV79" s="1036">
        <f t="shared" si="138"/>
        <v>5.3132658784511518E-2</v>
      </c>
      <c r="CW79" s="1037">
        <f t="shared" si="138"/>
        <v>6.0300082408947589E-2</v>
      </c>
      <c r="CX79" s="1037">
        <f t="shared" si="138"/>
        <v>5.1519923876318548E-2</v>
      </c>
      <c r="CY79" s="1038">
        <f t="shared" si="138"/>
        <v>4.1350756069503905E-2</v>
      </c>
      <c r="CZ79" s="236">
        <f t="shared" si="138"/>
        <v>5.1461064411544209E-2</v>
      </c>
      <c r="DA79" s="236">
        <f t="shared" si="138"/>
        <v>4.820938411937041E-2</v>
      </c>
      <c r="DB79" s="236">
        <f t="shared" si="138"/>
        <v>4.9249993293490474E-2</v>
      </c>
      <c r="DC79" s="236">
        <f t="shared" si="138"/>
        <v>5.0849344225051156E-2</v>
      </c>
      <c r="DF79" s="361">
        <f>CT79</f>
        <v>4.9620472571883227E-2</v>
      </c>
      <c r="DG79" s="361">
        <v>4.4298774000134017E-2</v>
      </c>
      <c r="DH79" s="361">
        <f>CO79</f>
        <v>0.10346320346320347</v>
      </c>
      <c r="DI79" s="361">
        <f t="shared" si="135"/>
        <v>0.1201319605759994</v>
      </c>
      <c r="DJ79" s="361">
        <f t="shared" si="136"/>
        <v>-0.52040463748514543</v>
      </c>
    </row>
    <row r="80" spans="3:114" s="183" customFormat="1" ht="6.75" customHeight="1">
      <c r="C80" s="214"/>
      <c r="D80" s="280"/>
      <c r="E80" s="221"/>
      <c r="F80" s="221"/>
      <c r="G80" s="221"/>
      <c r="H80" s="221"/>
      <c r="I80" s="221"/>
      <c r="J80" s="219"/>
      <c r="K80" s="219"/>
      <c r="L80" s="219"/>
      <c r="M80" s="220"/>
      <c r="N80" s="221"/>
      <c r="O80" s="219"/>
      <c r="P80" s="219"/>
      <c r="Q80" s="219"/>
      <c r="R80" s="220"/>
      <c r="S80" s="221"/>
      <c r="T80" s="219"/>
      <c r="U80" s="219"/>
      <c r="V80" s="219"/>
      <c r="W80" s="220"/>
      <c r="X80" s="221"/>
      <c r="Y80" s="219"/>
      <c r="Z80" s="219"/>
      <c r="AA80" s="219"/>
      <c r="AB80" s="220"/>
      <c r="AC80" s="221"/>
      <c r="AD80" s="219"/>
      <c r="AE80" s="219"/>
      <c r="AF80" s="219"/>
      <c r="AG80" s="220"/>
      <c r="AH80" s="221"/>
      <c r="AI80" s="219"/>
      <c r="AJ80" s="219"/>
      <c r="AK80" s="219"/>
      <c r="AL80" s="220"/>
      <c r="AM80" s="221"/>
      <c r="AN80" s="219"/>
      <c r="AO80" s="219"/>
      <c r="AP80" s="219"/>
      <c r="AQ80" s="220"/>
      <c r="AR80" s="221"/>
      <c r="AS80" s="219"/>
      <c r="AT80" s="219"/>
      <c r="AU80" s="219"/>
      <c r="AV80" s="220"/>
      <c r="AW80" s="221"/>
      <c r="AX80" s="219"/>
      <c r="AY80" s="219"/>
      <c r="AZ80" s="219"/>
      <c r="BA80" s="220"/>
      <c r="BB80" s="221"/>
      <c r="BC80" s="219"/>
      <c r="BD80" s="219"/>
      <c r="BE80" s="219"/>
      <c r="BF80" s="220"/>
      <c r="BG80" s="221"/>
      <c r="BH80" s="219"/>
      <c r="BI80" s="219"/>
      <c r="BJ80" s="219"/>
      <c r="BK80" s="220"/>
      <c r="BL80" s="221"/>
      <c r="BM80" s="219"/>
      <c r="BN80" s="219"/>
      <c r="BO80" s="219"/>
      <c r="BP80" s="220"/>
      <c r="BQ80" s="221"/>
      <c r="BR80" s="219"/>
      <c r="BS80" s="219"/>
      <c r="BT80" s="219"/>
      <c r="BU80" s="220"/>
      <c r="BV80" s="221"/>
      <c r="BW80" s="219"/>
      <c r="BX80" s="219"/>
      <c r="BY80" s="219"/>
      <c r="BZ80" s="220"/>
      <c r="CA80" s="221"/>
      <c r="CB80" s="219"/>
      <c r="CC80" s="219"/>
      <c r="CD80" s="219"/>
      <c r="CE80" s="220"/>
      <c r="CF80" s="221"/>
      <c r="CG80" s="219"/>
      <c r="CH80" s="219"/>
      <c r="CI80" s="219"/>
      <c r="CJ80" s="285"/>
      <c r="CK80" s="221"/>
      <c r="CL80" s="219"/>
      <c r="CM80" s="219"/>
      <c r="CN80" s="219"/>
      <c r="CO80" s="220"/>
      <c r="CP80" s="221"/>
      <c r="CQ80" s="219"/>
      <c r="CR80" s="219"/>
      <c r="CS80" s="219"/>
      <c r="CT80" s="220"/>
      <c r="CU80" s="221"/>
      <c r="CV80" s="219"/>
      <c r="CW80" s="219"/>
      <c r="CX80" s="219"/>
      <c r="CY80" s="220"/>
      <c r="CZ80" s="221"/>
      <c r="DA80" s="221"/>
      <c r="DB80" s="222"/>
      <c r="DC80" s="221"/>
      <c r="DF80" s="221"/>
      <c r="DG80" s="221"/>
      <c r="DH80" s="221"/>
      <c r="DI80" s="221"/>
      <c r="DJ80" s="221"/>
    </row>
    <row r="81" spans="3:114">
      <c r="C81" s="388"/>
      <c r="D81" s="208" t="s">
        <v>1134</v>
      </c>
      <c r="E81" s="389"/>
      <c r="F81" s="389"/>
      <c r="G81" s="389"/>
      <c r="H81" s="389"/>
      <c r="I81" s="389"/>
      <c r="J81" s="390"/>
      <c r="K81" s="390"/>
      <c r="L81" s="390"/>
      <c r="M81" s="390"/>
      <c r="N81" s="389"/>
      <c r="O81" s="390"/>
      <c r="P81" s="390"/>
      <c r="Q81" s="390"/>
      <c r="R81" s="390"/>
      <c r="S81" s="389"/>
      <c r="T81" s="390"/>
      <c r="U81" s="390"/>
      <c r="V81" s="390"/>
      <c r="W81" s="390"/>
      <c r="X81" s="389"/>
      <c r="Y81" s="390"/>
      <c r="Z81" s="390"/>
      <c r="AA81" s="390"/>
      <c r="AB81" s="390"/>
      <c r="AC81" s="389"/>
      <c r="AD81" s="390"/>
      <c r="AE81" s="390"/>
      <c r="AF81" s="390"/>
      <c r="AG81" s="390"/>
      <c r="AH81" s="389"/>
      <c r="AI81" s="390"/>
      <c r="AJ81" s="390"/>
      <c r="AK81" s="390"/>
      <c r="AL81" s="390"/>
      <c r="AM81" s="389"/>
      <c r="AN81" s="390"/>
      <c r="AO81" s="390"/>
      <c r="AP81" s="390"/>
      <c r="AQ81" s="390"/>
      <c r="AR81" s="389"/>
      <c r="AS81" s="390"/>
      <c r="AT81" s="390"/>
      <c r="AU81" s="390"/>
      <c r="AV81" s="390"/>
      <c r="AW81" s="389"/>
      <c r="AX81" s="390"/>
      <c r="AY81" s="390"/>
      <c r="AZ81" s="390"/>
      <c r="BA81" s="390"/>
      <c r="BB81" s="389"/>
      <c r="BC81" s="390"/>
      <c r="BD81" s="390"/>
      <c r="BE81" s="390"/>
      <c r="BF81" s="390"/>
      <c r="BG81" s="389"/>
      <c r="BH81" s="390"/>
      <c r="BI81" s="390"/>
      <c r="BJ81" s="390"/>
      <c r="BK81" s="390"/>
      <c r="BL81" s="389"/>
      <c r="BM81" s="390"/>
      <c r="BN81" s="390"/>
      <c r="BO81" s="390"/>
      <c r="BP81" s="390"/>
      <c r="BQ81" s="389"/>
      <c r="BR81" s="390"/>
      <c r="BS81" s="390"/>
      <c r="BT81" s="390"/>
      <c r="BU81" s="390"/>
      <c r="BV81" s="389"/>
      <c r="BW81" s="390"/>
      <c r="BX81" s="390"/>
      <c r="BY81" s="390"/>
      <c r="BZ81" s="390"/>
      <c r="CA81" s="389"/>
      <c r="CB81" s="390"/>
      <c r="CC81" s="390"/>
      <c r="CD81" s="390"/>
      <c r="CE81" s="390"/>
      <c r="CF81" s="389"/>
      <c r="CG81" s="390"/>
      <c r="CH81" s="390"/>
      <c r="CI81" s="390"/>
      <c r="CJ81" s="390"/>
      <c r="CK81" s="389"/>
      <c r="CL81" s="390"/>
      <c r="CM81" s="390"/>
      <c r="CN81" s="390"/>
      <c r="CO81" s="390"/>
      <c r="CP81" s="389"/>
      <c r="CQ81" s="390"/>
      <c r="CR81" s="391"/>
      <c r="CS81" s="391"/>
      <c r="CT81" s="392"/>
      <c r="CU81" s="389"/>
      <c r="CV81" s="391"/>
      <c r="CW81" s="391"/>
      <c r="CX81" s="391"/>
      <c r="CY81" s="392"/>
      <c r="CZ81" s="389"/>
      <c r="DA81" s="389"/>
      <c r="DB81" s="393"/>
      <c r="DC81" s="389"/>
      <c r="DF81" s="389">
        <f t="shared" ref="DF81:DF89" si="139">CT81</f>
        <v>0</v>
      </c>
      <c r="DG81" s="389">
        <v>0</v>
      </c>
      <c r="DH81" s="389">
        <f t="shared" ref="DH81:DH89" si="140">CO81</f>
        <v>0</v>
      </c>
      <c r="DI81" s="389" t="str">
        <f t="shared" ref="DI81:DI89" si="141">IF(ISERROR(DF81/DG81-1),"NM",DF81/DG81-1)</f>
        <v>NM</v>
      </c>
      <c r="DJ81" s="389" t="str">
        <f t="shared" ref="DJ81:DJ89" si="142">IF(ISERROR(DF81/DH81-1),"NM",DF81/DH81-1)</f>
        <v>NM</v>
      </c>
    </row>
    <row r="82" spans="3:114">
      <c r="C82" s="336"/>
      <c r="D82" s="1" t="s">
        <v>789</v>
      </c>
      <c r="E82" s="235"/>
      <c r="F82" s="235"/>
      <c r="G82" s="235"/>
      <c r="H82" s="235"/>
      <c r="I82" s="235"/>
      <c r="J82" s="165"/>
      <c r="K82" s="165"/>
      <c r="L82" s="165"/>
      <c r="M82" s="300"/>
      <c r="N82" s="235"/>
      <c r="O82" s="165"/>
      <c r="P82" s="165"/>
      <c r="Q82" s="165"/>
      <c r="R82" s="300"/>
      <c r="S82" s="235"/>
      <c r="T82" s="165"/>
      <c r="U82" s="165"/>
      <c r="V82" s="165"/>
      <c r="W82" s="300"/>
      <c r="X82" s="235"/>
      <c r="Y82" s="165"/>
      <c r="Z82" s="165"/>
      <c r="AA82" s="165"/>
      <c r="AB82" s="300"/>
      <c r="AC82" s="235"/>
      <c r="AD82" s="165"/>
      <c r="AE82" s="165"/>
      <c r="AF82" s="165"/>
      <c r="AG82" s="300"/>
      <c r="AH82" s="235"/>
      <c r="AI82" s="165"/>
      <c r="AJ82" s="165"/>
      <c r="AK82" s="165"/>
      <c r="AL82" s="300"/>
      <c r="AM82" s="235"/>
      <c r="AN82" s="165"/>
      <c r="AO82" s="165"/>
      <c r="AP82" s="165"/>
      <c r="AQ82" s="300"/>
      <c r="AR82" s="235"/>
      <c r="AS82" s="165"/>
      <c r="AT82" s="165"/>
      <c r="AU82" s="165"/>
      <c r="AV82" s="300"/>
      <c r="AW82" s="235"/>
      <c r="AX82" s="165"/>
      <c r="AY82" s="165"/>
      <c r="AZ82" s="165"/>
      <c r="BA82" s="300"/>
      <c r="BB82" s="235"/>
      <c r="BC82" s="165"/>
      <c r="BD82" s="165"/>
      <c r="BE82" s="165"/>
      <c r="BF82" s="300"/>
      <c r="BG82" s="235"/>
      <c r="BH82" s="165"/>
      <c r="BI82" s="165"/>
      <c r="BJ82" s="165"/>
      <c r="BK82" s="300"/>
      <c r="BL82" s="235"/>
      <c r="BM82" s="165"/>
      <c r="BN82" s="165"/>
      <c r="BO82" s="165"/>
      <c r="BP82" s="300"/>
      <c r="BQ82" s="235"/>
      <c r="BR82" s="165"/>
      <c r="BS82" s="165"/>
      <c r="BT82" s="165"/>
      <c r="BU82" s="300"/>
      <c r="BV82" s="235"/>
      <c r="BW82" s="165"/>
      <c r="BX82" s="165"/>
      <c r="BY82" s="165"/>
      <c r="BZ82" s="300"/>
      <c r="CA82" s="235"/>
      <c r="CB82" s="165"/>
      <c r="CC82" s="165"/>
      <c r="CD82" s="165"/>
      <c r="CE82" s="300"/>
      <c r="CF82" s="235"/>
      <c r="CG82" s="165"/>
      <c r="CH82" s="165"/>
      <c r="CI82" s="165"/>
      <c r="CJ82" s="300"/>
      <c r="CK82" s="235">
        <f t="shared" ref="CK82:DC82" si="143">CK66/CK10*1000</f>
        <v>3115.1968760169216</v>
      </c>
      <c r="CL82" s="165">
        <f t="shared" si="143"/>
        <v>3890.6633906633906</v>
      </c>
      <c r="CM82" s="165">
        <f t="shared" si="143"/>
        <v>3430.6748466257673</v>
      </c>
      <c r="CN82" s="165">
        <f t="shared" si="143"/>
        <v>1997.0887918486171</v>
      </c>
      <c r="CO82" s="165">
        <f t="shared" si="143"/>
        <v>2928.8762446657183</v>
      </c>
      <c r="CP82" s="235">
        <f t="shared" si="143"/>
        <v>3111.6263663464724</v>
      </c>
      <c r="CQ82" s="165">
        <f t="shared" si="143"/>
        <v>2752.2697795071335</v>
      </c>
      <c r="CR82" s="165">
        <f t="shared" si="143"/>
        <v>2881.0408921933085</v>
      </c>
      <c r="CS82" s="165">
        <f t="shared" si="143"/>
        <v>2786.1538461538462</v>
      </c>
      <c r="CT82" s="165">
        <f t="shared" si="143"/>
        <v>2419.4857916102842</v>
      </c>
      <c r="CU82" s="235">
        <f t="shared" si="143"/>
        <v>2711.830131445905</v>
      </c>
      <c r="CV82" s="165">
        <f t="shared" si="143"/>
        <v>2564.6168451736262</v>
      </c>
      <c r="CW82" s="165">
        <f t="shared" si="143"/>
        <v>2638.3725733168112</v>
      </c>
      <c r="CX82" s="165">
        <f t="shared" si="143"/>
        <v>2538.6201427438541</v>
      </c>
      <c r="CY82" s="165">
        <f t="shared" si="143"/>
        <v>2218.3866780812459</v>
      </c>
      <c r="CZ82" s="235">
        <f t="shared" si="143"/>
        <v>2491.6328098119425</v>
      </c>
      <c r="DA82" s="235">
        <f t="shared" si="143"/>
        <v>2461.352716080351</v>
      </c>
      <c r="DB82" s="235">
        <f t="shared" si="143"/>
        <v>2607.7068719819531</v>
      </c>
      <c r="DC82" s="235">
        <f t="shared" si="143"/>
        <v>2735.2824659905182</v>
      </c>
      <c r="DF82" s="235">
        <f t="shared" si="139"/>
        <v>2419.4857916102842</v>
      </c>
      <c r="DG82" s="235">
        <v>2617.8471332197232</v>
      </c>
      <c r="DH82" s="235">
        <f t="shared" si="140"/>
        <v>2928.8762446657183</v>
      </c>
      <c r="DI82" s="235">
        <f t="shared" si="141"/>
        <v>-7.5772698524788185E-2</v>
      </c>
      <c r="DJ82" s="235">
        <f t="shared" si="142"/>
        <v>-0.17392010126176305</v>
      </c>
    </row>
    <row r="83" spans="3:114" s="155" customFormat="1">
      <c r="C83" s="336"/>
      <c r="D83" s="339" t="s">
        <v>271</v>
      </c>
      <c r="E83" s="340"/>
      <c r="F83" s="236"/>
      <c r="G83" s="236"/>
      <c r="H83" s="236"/>
      <c r="I83" s="236"/>
      <c r="J83" s="152"/>
      <c r="K83" s="152"/>
      <c r="L83" s="152"/>
      <c r="M83" s="341"/>
      <c r="N83" s="236"/>
      <c r="O83" s="152"/>
      <c r="P83" s="152"/>
      <c r="Q83" s="152"/>
      <c r="R83" s="302"/>
      <c r="S83" s="236"/>
      <c r="T83" s="152"/>
      <c r="U83" s="152"/>
      <c r="V83" s="152"/>
      <c r="W83" s="302"/>
      <c r="X83" s="236"/>
      <c r="Y83" s="152"/>
      <c r="Z83" s="152"/>
      <c r="AA83" s="152"/>
      <c r="AB83" s="302"/>
      <c r="AC83" s="236"/>
      <c r="AD83" s="152"/>
      <c r="AE83" s="152"/>
      <c r="AF83" s="152"/>
      <c r="AG83" s="302"/>
      <c r="AH83" s="236"/>
      <c r="AI83" s="152"/>
      <c r="AJ83" s="152"/>
      <c r="AK83" s="152"/>
      <c r="AL83" s="302"/>
      <c r="AM83" s="236"/>
      <c r="AN83" s="152"/>
      <c r="AO83" s="152"/>
      <c r="AP83" s="152"/>
      <c r="AQ83" s="302"/>
      <c r="AR83" s="236"/>
      <c r="AS83" s="152"/>
      <c r="AT83" s="152"/>
      <c r="AU83" s="152"/>
      <c r="AV83" s="302"/>
      <c r="AW83" s="236"/>
      <c r="AX83" s="152"/>
      <c r="AY83" s="152"/>
      <c r="AZ83" s="152"/>
      <c r="BA83" s="302"/>
      <c r="BB83" s="236"/>
      <c r="BC83" s="152"/>
      <c r="BD83" s="152"/>
      <c r="BE83" s="152"/>
      <c r="BF83" s="302"/>
      <c r="BG83" s="236"/>
      <c r="BH83" s="152"/>
      <c r="BI83" s="152"/>
      <c r="BJ83" s="152"/>
      <c r="BK83" s="302"/>
      <c r="BL83" s="236"/>
      <c r="BM83" s="152"/>
      <c r="BN83" s="152"/>
      <c r="BO83" s="152"/>
      <c r="BP83" s="302"/>
      <c r="BQ83" s="236"/>
      <c r="BR83" s="152"/>
      <c r="BS83" s="152"/>
      <c r="BT83" s="152"/>
      <c r="BU83" s="302"/>
      <c r="BV83" s="236"/>
      <c r="BW83" s="152"/>
      <c r="BX83" s="152"/>
      <c r="BY83" s="152"/>
      <c r="BZ83" s="302"/>
      <c r="CA83" s="236"/>
      <c r="CB83" s="152"/>
      <c r="CC83" s="152"/>
      <c r="CD83" s="152"/>
      <c r="CE83" s="302"/>
      <c r="CF83" s="236"/>
      <c r="CG83" s="152"/>
      <c r="CH83" s="152"/>
      <c r="CI83" s="152"/>
      <c r="CJ83" s="302"/>
      <c r="CK83" s="236"/>
      <c r="CL83" s="152"/>
      <c r="CM83" s="152"/>
      <c r="CN83" s="152"/>
      <c r="CO83" s="302"/>
      <c r="CP83" s="236">
        <f t="shared" ref="CP83:CP89" si="144">CP82/CK82-1</f>
        <v>-1.1461585936791696E-3</v>
      </c>
      <c r="CQ83" s="152">
        <f t="shared" ref="CQ83" si="145">CQ82/CL82-1</f>
        <v>-0.29259627391259657</v>
      </c>
      <c r="CR83" s="152">
        <f t="shared" ref="CR83" si="146">CR82/CM82-1</f>
        <v>-0.1602116140423655</v>
      </c>
      <c r="CS83" s="152">
        <f t="shared" ref="CS83" si="147">CS82/CN82-1</f>
        <v>0.39510764745458626</v>
      </c>
      <c r="CT83" s="302">
        <f t="shared" ref="CT83:CU89" si="148">CT82/CO82-1</f>
        <v>-0.17392010126176305</v>
      </c>
      <c r="CU83" s="236">
        <f t="shared" si="148"/>
        <v>-0.12848465330687808</v>
      </c>
      <c r="CV83" s="152">
        <f t="shared" ref="CV83" si="149">CV82/CQ82-1</f>
        <v>-6.8181155688564643E-2</v>
      </c>
      <c r="CW83" s="152">
        <f t="shared" ref="CW83" si="150">CW82/CR82-1</f>
        <v>-8.4229390681003546E-2</v>
      </c>
      <c r="CX83" s="152">
        <f t="shared" ref="CX83" si="151">CX82/CS82-1</f>
        <v>-8.8844233692156216E-2</v>
      </c>
      <c r="CY83" s="302">
        <f t="shared" ref="CY83" si="152">CY82/CT82-1</f>
        <v>-8.3116468063735627E-2</v>
      </c>
      <c r="CZ83" s="236">
        <f t="shared" ref="CZ83:DC89" si="153">CZ82/CU82-1</f>
        <v>-8.1198788626394069E-2</v>
      </c>
      <c r="DA83" s="236">
        <f t="shared" si="153"/>
        <v>-4.0264934423872689E-2</v>
      </c>
      <c r="DB83" s="236">
        <f t="shared" si="153"/>
        <v>-1.1622960928640569E-2</v>
      </c>
      <c r="DC83" s="236">
        <f t="shared" si="153"/>
        <v>7.7468196180820792E-2</v>
      </c>
      <c r="DF83" s="236">
        <f t="shared" si="139"/>
        <v>-0.17392010126176305</v>
      </c>
      <c r="DG83" s="236">
        <v>-5.9127538520723166E-2</v>
      </c>
      <c r="DH83" s="236">
        <f t="shared" si="140"/>
        <v>0</v>
      </c>
      <c r="DI83" s="236">
        <f t="shared" si="141"/>
        <v>1.9414399045346205</v>
      </c>
      <c r="DJ83" s="236" t="str">
        <f t="shared" si="142"/>
        <v>NM</v>
      </c>
    </row>
    <row r="84" spans="3:114">
      <c r="C84" s="336"/>
      <c r="D84" s="1" t="s">
        <v>790</v>
      </c>
      <c r="E84" s="394"/>
      <c r="F84" s="394"/>
      <c r="G84" s="394"/>
      <c r="H84" s="394"/>
      <c r="I84" s="394"/>
      <c r="J84" s="165"/>
      <c r="K84" s="165"/>
      <c r="L84" s="165"/>
      <c r="M84" s="300"/>
      <c r="N84" s="394"/>
      <c r="O84" s="165"/>
      <c r="P84" s="165"/>
      <c r="Q84" s="165"/>
      <c r="R84" s="300"/>
      <c r="S84" s="394"/>
      <c r="T84" s="165"/>
      <c r="U84" s="165"/>
      <c r="V84" s="165"/>
      <c r="W84" s="300"/>
      <c r="X84" s="394"/>
      <c r="Y84" s="165"/>
      <c r="Z84" s="165"/>
      <c r="AA84" s="165"/>
      <c r="AB84" s="300"/>
      <c r="AC84" s="394"/>
      <c r="AD84" s="165"/>
      <c r="AE84" s="165"/>
      <c r="AF84" s="165"/>
      <c r="AG84" s="300"/>
      <c r="AH84" s="394"/>
      <c r="AI84" s="165"/>
      <c r="AJ84" s="165"/>
      <c r="AK84" s="165"/>
      <c r="AL84" s="300"/>
      <c r="AM84" s="394"/>
      <c r="AN84" s="165"/>
      <c r="AO84" s="165"/>
      <c r="AP84" s="165"/>
      <c r="AQ84" s="300"/>
      <c r="AR84" s="394"/>
      <c r="AS84" s="165"/>
      <c r="AT84" s="165"/>
      <c r="AU84" s="165"/>
      <c r="AV84" s="300"/>
      <c r="AW84" s="394"/>
      <c r="AX84" s="165"/>
      <c r="AY84" s="165"/>
      <c r="AZ84" s="165"/>
      <c r="BA84" s="300"/>
      <c r="BB84" s="394"/>
      <c r="BC84" s="165"/>
      <c r="BD84" s="165"/>
      <c r="BE84" s="165"/>
      <c r="BF84" s="300"/>
      <c r="BG84" s="394"/>
      <c r="BH84" s="165"/>
      <c r="BI84" s="165"/>
      <c r="BJ84" s="165"/>
      <c r="BK84" s="300"/>
      <c r="BL84" s="394"/>
      <c r="BM84" s="165"/>
      <c r="BN84" s="165"/>
      <c r="BO84" s="165"/>
      <c r="BP84" s="300"/>
      <c r="BQ84" s="394"/>
      <c r="BR84" s="165"/>
      <c r="BS84" s="165"/>
      <c r="BT84" s="165"/>
      <c r="BU84" s="300"/>
      <c r="BV84" s="394"/>
      <c r="BW84" s="165"/>
      <c r="BX84" s="165"/>
      <c r="BY84" s="165"/>
      <c r="BZ84" s="300"/>
      <c r="CA84" s="394"/>
      <c r="CB84" s="165"/>
      <c r="CC84" s="165"/>
      <c r="CD84" s="165"/>
      <c r="CE84" s="300"/>
      <c r="CF84" s="394"/>
      <c r="CG84" s="165"/>
      <c r="CH84" s="165"/>
      <c r="CI84" s="165"/>
      <c r="CJ84" s="300"/>
      <c r="CK84" s="235">
        <f t="shared" ref="CK84:DC84" si="154">CK68/CK12*1000</f>
        <v>-2099.737532808399</v>
      </c>
      <c r="CL84" s="165">
        <f t="shared" si="154"/>
        <v>-3952.3809523809527</v>
      </c>
      <c r="CM84" s="165">
        <f t="shared" si="154"/>
        <v>-3096.3855421686744</v>
      </c>
      <c r="CN84" s="165">
        <f t="shared" si="154"/>
        <v>-3224.7191011235955</v>
      </c>
      <c r="CO84" s="165">
        <f t="shared" si="154"/>
        <v>-3155.5555555555557</v>
      </c>
      <c r="CP84" s="235">
        <f t="shared" si="154"/>
        <v>-3313.8461538461538</v>
      </c>
      <c r="CQ84" s="165">
        <f t="shared" si="154"/>
        <v>-3385.7142857142858</v>
      </c>
      <c r="CR84" s="165">
        <f t="shared" si="154"/>
        <v>-1903.2258064516129</v>
      </c>
      <c r="CS84" s="165">
        <f t="shared" si="154"/>
        <v>-1456.3106796116506</v>
      </c>
      <c r="CT84" s="165">
        <f t="shared" si="154"/>
        <v>-1766.3551401869161</v>
      </c>
      <c r="CU84" s="235">
        <f t="shared" si="154"/>
        <v>-2018.7667560321713</v>
      </c>
      <c r="CV84" s="165">
        <f t="shared" si="154"/>
        <v>-2622.6551226551228</v>
      </c>
      <c r="CW84" s="165">
        <f t="shared" si="154"/>
        <v>-1175.4164031203879</v>
      </c>
      <c r="CX84" s="165">
        <f t="shared" si="154"/>
        <v>-774.8319641523525</v>
      </c>
      <c r="CY84" s="165">
        <f t="shared" si="154"/>
        <v>-1078.3608914450035</v>
      </c>
      <c r="CZ84" s="235">
        <f t="shared" si="154"/>
        <v>-1297.1821413634464</v>
      </c>
      <c r="DA84" s="235">
        <f t="shared" si="154"/>
        <v>-643.43828419071519</v>
      </c>
      <c r="DB84" s="235">
        <f t="shared" si="154"/>
        <v>-45.229256652404857</v>
      </c>
      <c r="DC84" s="235">
        <f t="shared" si="154"/>
        <v>546.90180769579149</v>
      </c>
      <c r="DF84" s="394">
        <f t="shared" si="139"/>
        <v>-1766.3551401869161</v>
      </c>
      <c r="DG84" s="394">
        <v>-1645.5026455026455</v>
      </c>
      <c r="DH84" s="394">
        <f t="shared" si="140"/>
        <v>-3155.5555555555557</v>
      </c>
      <c r="DI84" s="394">
        <f t="shared" si="141"/>
        <v>7.3444120563752824E-2</v>
      </c>
      <c r="DJ84" s="394">
        <f t="shared" si="142"/>
        <v>-0.44023956825062516</v>
      </c>
    </row>
    <row r="85" spans="3:114" s="155" customFormat="1">
      <c r="C85" s="336"/>
      <c r="D85" s="339" t="s">
        <v>271</v>
      </c>
      <c r="E85" s="340"/>
      <c r="F85" s="236"/>
      <c r="G85" s="236"/>
      <c r="H85" s="236"/>
      <c r="I85" s="236"/>
      <c r="J85" s="152"/>
      <c r="K85" s="152"/>
      <c r="L85" s="152"/>
      <c r="M85" s="341"/>
      <c r="N85" s="236"/>
      <c r="O85" s="152"/>
      <c r="P85" s="152"/>
      <c r="Q85" s="152"/>
      <c r="R85" s="302"/>
      <c r="S85" s="236"/>
      <c r="T85" s="152"/>
      <c r="U85" s="152"/>
      <c r="V85" s="152"/>
      <c r="W85" s="302"/>
      <c r="X85" s="236"/>
      <c r="Y85" s="152"/>
      <c r="Z85" s="152"/>
      <c r="AA85" s="152"/>
      <c r="AB85" s="302"/>
      <c r="AC85" s="236"/>
      <c r="AD85" s="152"/>
      <c r="AE85" s="152"/>
      <c r="AF85" s="152"/>
      <c r="AG85" s="302"/>
      <c r="AH85" s="236"/>
      <c r="AI85" s="152"/>
      <c r="AJ85" s="152"/>
      <c r="AK85" s="152"/>
      <c r="AL85" s="302"/>
      <c r="AM85" s="236"/>
      <c r="AN85" s="152"/>
      <c r="AO85" s="152"/>
      <c r="AP85" s="152"/>
      <c r="AQ85" s="302"/>
      <c r="AR85" s="236"/>
      <c r="AS85" s="152"/>
      <c r="AT85" s="152"/>
      <c r="AU85" s="152"/>
      <c r="AV85" s="302"/>
      <c r="AW85" s="236"/>
      <c r="AX85" s="152"/>
      <c r="AY85" s="152"/>
      <c r="AZ85" s="152"/>
      <c r="BA85" s="302"/>
      <c r="BB85" s="236"/>
      <c r="BC85" s="152"/>
      <c r="BD85" s="152"/>
      <c r="BE85" s="152"/>
      <c r="BF85" s="302"/>
      <c r="BG85" s="236"/>
      <c r="BH85" s="152"/>
      <c r="BI85" s="152"/>
      <c r="BJ85" s="152"/>
      <c r="BK85" s="302"/>
      <c r="BL85" s="236"/>
      <c r="BM85" s="152"/>
      <c r="BN85" s="152"/>
      <c r="BO85" s="152"/>
      <c r="BP85" s="302"/>
      <c r="BQ85" s="236"/>
      <c r="BR85" s="152"/>
      <c r="BS85" s="152"/>
      <c r="BT85" s="152"/>
      <c r="BU85" s="302"/>
      <c r="BV85" s="236"/>
      <c r="BW85" s="152"/>
      <c r="BX85" s="152"/>
      <c r="BY85" s="152"/>
      <c r="BZ85" s="302"/>
      <c r="CA85" s="236"/>
      <c r="CB85" s="152"/>
      <c r="CC85" s="152"/>
      <c r="CD85" s="152"/>
      <c r="CE85" s="302"/>
      <c r="CF85" s="236"/>
      <c r="CG85" s="152"/>
      <c r="CH85" s="152"/>
      <c r="CI85" s="152"/>
      <c r="CJ85" s="302"/>
      <c r="CK85" s="236"/>
      <c r="CL85" s="152"/>
      <c r="CM85" s="152"/>
      <c r="CN85" s="152"/>
      <c r="CO85" s="302"/>
      <c r="CP85" s="236">
        <f t="shared" si="144"/>
        <v>0.57821923076923065</v>
      </c>
      <c r="CQ85" s="152">
        <f t="shared" ref="CQ85" si="155">CQ84/CL84-1</f>
        <v>-0.14337349397590371</v>
      </c>
      <c r="CR85" s="152">
        <f t="shared" ref="CR85" si="156">CR84/CM84-1</f>
        <v>-0.38533952554286421</v>
      </c>
      <c r="CS85" s="152">
        <f t="shared" ref="CS85" si="157">CS84/CN84-1</f>
        <v>-0.5483914617232164</v>
      </c>
      <c r="CT85" s="302">
        <f t="shared" ref="CT85" si="158">CT84/CO84-1</f>
        <v>-0.44023956825062516</v>
      </c>
      <c r="CU85" s="236">
        <f t="shared" si="148"/>
        <v>-0.39080854622984618</v>
      </c>
      <c r="CV85" s="152">
        <f t="shared" ref="CV85" si="159">CV84/CQ84-1</f>
        <v>-0.22537612411030128</v>
      </c>
      <c r="CW85" s="152">
        <f t="shared" ref="CW85" si="160">CW84/CR84-1</f>
        <v>-0.38240833056386392</v>
      </c>
      <c r="CX85" s="152">
        <f t="shared" ref="CX85" si="161">CX84/CS84-1</f>
        <v>-0.46794871794871795</v>
      </c>
      <c r="CY85" s="302">
        <f t="shared" ref="CY85" si="162">CY84/CT84-1</f>
        <v>-0.38949938949938956</v>
      </c>
      <c r="CZ85" s="236">
        <f t="shared" si="153"/>
        <v>-0.35743832838171907</v>
      </c>
      <c r="DA85" s="236">
        <f t="shared" si="153"/>
        <v>-0.75466149604172461</v>
      </c>
      <c r="DB85" s="236">
        <f t="shared" si="153"/>
        <v>-0.96152065214307514</v>
      </c>
      <c r="DC85" s="236">
        <f t="shared" si="153"/>
        <v>-1.7058327908478697</v>
      </c>
      <c r="DF85" s="236">
        <f t="shared" si="139"/>
        <v>-0.44023956825062516</v>
      </c>
      <c r="DG85" s="236">
        <v>-0.49455550138144</v>
      </c>
      <c r="DH85" s="236">
        <f t="shared" si="140"/>
        <v>0</v>
      </c>
      <c r="DI85" s="236">
        <f t="shared" si="141"/>
        <v>-0.1098277806618152</v>
      </c>
      <c r="DJ85" s="236" t="str">
        <f t="shared" si="142"/>
        <v>NM</v>
      </c>
    </row>
    <row r="86" spans="3:114">
      <c r="C86" s="336"/>
      <c r="D86" s="1" t="s">
        <v>791</v>
      </c>
      <c r="E86" s="235"/>
      <c r="F86" s="235"/>
      <c r="G86" s="235"/>
      <c r="H86" s="235"/>
      <c r="I86" s="235"/>
      <c r="J86" s="165"/>
      <c r="K86" s="165"/>
      <c r="L86" s="165"/>
      <c r="M86" s="300"/>
      <c r="N86" s="235"/>
      <c r="O86" s="165"/>
      <c r="P86" s="165"/>
      <c r="Q86" s="165"/>
      <c r="R86" s="300"/>
      <c r="S86" s="235"/>
      <c r="T86" s="165"/>
      <c r="U86" s="165"/>
      <c r="V86" s="165"/>
      <c r="W86" s="300"/>
      <c r="X86" s="235"/>
      <c r="Y86" s="165"/>
      <c r="Z86" s="165"/>
      <c r="AA86" s="165"/>
      <c r="AB86" s="300"/>
      <c r="AC86" s="235"/>
      <c r="AD86" s="165"/>
      <c r="AE86" s="165"/>
      <c r="AF86" s="165"/>
      <c r="AG86" s="300"/>
      <c r="AH86" s="235"/>
      <c r="AI86" s="165"/>
      <c r="AJ86" s="165"/>
      <c r="AK86" s="165"/>
      <c r="AL86" s="300"/>
      <c r="AM86" s="235"/>
      <c r="AN86" s="165"/>
      <c r="AO86" s="165"/>
      <c r="AP86" s="165"/>
      <c r="AQ86" s="300"/>
      <c r="AR86" s="235"/>
      <c r="AS86" s="165"/>
      <c r="AT86" s="165"/>
      <c r="AU86" s="165"/>
      <c r="AV86" s="300"/>
      <c r="AW86" s="235"/>
      <c r="AX86" s="165"/>
      <c r="AY86" s="165"/>
      <c r="AZ86" s="165"/>
      <c r="BA86" s="300"/>
      <c r="BB86" s="235"/>
      <c r="BC86" s="165"/>
      <c r="BD86" s="165"/>
      <c r="BE86" s="165"/>
      <c r="BF86" s="300"/>
      <c r="BG86" s="235"/>
      <c r="BH86" s="165"/>
      <c r="BI86" s="165"/>
      <c r="BJ86" s="165"/>
      <c r="BK86" s="300"/>
      <c r="BL86" s="235"/>
      <c r="BM86" s="165"/>
      <c r="BN86" s="165"/>
      <c r="BO86" s="165"/>
      <c r="BP86" s="300"/>
      <c r="BQ86" s="235"/>
      <c r="BR86" s="165"/>
      <c r="BS86" s="165"/>
      <c r="BT86" s="165"/>
      <c r="BU86" s="300"/>
      <c r="BV86" s="235"/>
      <c r="BW86" s="165"/>
      <c r="BX86" s="165"/>
      <c r="BY86" s="165"/>
      <c r="BZ86" s="300"/>
      <c r="CA86" s="235"/>
      <c r="CB86" s="165"/>
      <c r="CC86" s="165"/>
      <c r="CD86" s="165"/>
      <c r="CE86" s="300"/>
      <c r="CF86" s="235"/>
      <c r="CG86" s="165"/>
      <c r="CH86" s="165"/>
      <c r="CI86" s="165"/>
      <c r="CJ86" s="300"/>
      <c r="CK86" s="235">
        <f t="shared" ref="CK86:DC86" si="163">CK70/CK14*1000</f>
        <v>230.05241700640653</v>
      </c>
      <c r="CL86" s="165">
        <f t="shared" si="163"/>
        <v>1013.4831460674156</v>
      </c>
      <c r="CM86" s="165">
        <f t="shared" si="163"/>
        <v>927.35042735042737</v>
      </c>
      <c r="CN86" s="165">
        <f t="shared" si="163"/>
        <v>56.179775280898873</v>
      </c>
      <c r="CO86" s="165">
        <f t="shared" si="163"/>
        <v>296.98375870069606</v>
      </c>
      <c r="CP86" s="235">
        <f t="shared" si="163"/>
        <v>607.64705882352939</v>
      </c>
      <c r="CQ86" s="165">
        <f t="shared" si="163"/>
        <v>279.74947807933194</v>
      </c>
      <c r="CR86" s="165">
        <f t="shared" si="163"/>
        <v>194.5421596844686</v>
      </c>
      <c r="CS86" s="165">
        <f t="shared" si="163"/>
        <v>-293.01075268817203</v>
      </c>
      <c r="CT86" s="165">
        <f t="shared" si="163"/>
        <v>50.997782705099773</v>
      </c>
      <c r="CU86" s="235">
        <f t="shared" si="163"/>
        <v>72.14232906441535</v>
      </c>
      <c r="CV86" s="165">
        <f t="shared" si="163"/>
        <v>243.15362888370382</v>
      </c>
      <c r="CW86" s="165">
        <f t="shared" si="163"/>
        <v>145.78904795048817</v>
      </c>
      <c r="CX86" s="165">
        <f t="shared" si="163"/>
        <v>-419.35483870967744</v>
      </c>
      <c r="CY86" s="165">
        <f t="shared" si="163"/>
        <v>-53.215077605321511</v>
      </c>
      <c r="CZ86" s="235">
        <f t="shared" si="163"/>
        <v>-3.1871102872365311</v>
      </c>
      <c r="DA86" s="235">
        <f t="shared" si="163"/>
        <v>-60.13253150096547</v>
      </c>
      <c r="DB86" s="235">
        <f t="shared" si="163"/>
        <v>-131.40790423688148</v>
      </c>
      <c r="DC86" s="235">
        <f t="shared" si="163"/>
        <v>-182.45197177814569</v>
      </c>
      <c r="DF86" s="235">
        <f t="shared" si="139"/>
        <v>50.997782705099773</v>
      </c>
      <c r="DG86" s="235">
        <v>-317.24076387649467</v>
      </c>
      <c r="DH86" s="235">
        <f t="shared" si="140"/>
        <v>296.98375870069606</v>
      </c>
      <c r="DI86" s="235">
        <f t="shared" si="141"/>
        <v>-1.1607541921218982</v>
      </c>
      <c r="DJ86" s="235">
        <f t="shared" si="142"/>
        <v>-0.82828090354767192</v>
      </c>
    </row>
    <row r="87" spans="3:114" s="155" customFormat="1">
      <c r="C87" s="336"/>
      <c r="D87" s="339" t="s">
        <v>271</v>
      </c>
      <c r="E87" s="340"/>
      <c r="F87" s="236"/>
      <c r="G87" s="236"/>
      <c r="H87" s="236"/>
      <c r="I87" s="236"/>
      <c r="J87" s="152"/>
      <c r="K87" s="152"/>
      <c r="L87" s="152"/>
      <c r="M87" s="341"/>
      <c r="N87" s="236"/>
      <c r="O87" s="152"/>
      <c r="P87" s="152"/>
      <c r="Q87" s="152"/>
      <c r="R87" s="302"/>
      <c r="S87" s="236"/>
      <c r="T87" s="152"/>
      <c r="U87" s="152"/>
      <c r="V87" s="152"/>
      <c r="W87" s="302"/>
      <c r="X87" s="236"/>
      <c r="Y87" s="152"/>
      <c r="Z87" s="152"/>
      <c r="AA87" s="152"/>
      <c r="AB87" s="302"/>
      <c r="AC87" s="236"/>
      <c r="AD87" s="152"/>
      <c r="AE87" s="152"/>
      <c r="AF87" s="152"/>
      <c r="AG87" s="302"/>
      <c r="AH87" s="236"/>
      <c r="AI87" s="152"/>
      <c r="AJ87" s="152"/>
      <c r="AK87" s="152"/>
      <c r="AL87" s="302"/>
      <c r="AM87" s="236"/>
      <c r="AN87" s="152"/>
      <c r="AO87" s="152"/>
      <c r="AP87" s="152"/>
      <c r="AQ87" s="302"/>
      <c r="AR87" s="236"/>
      <c r="AS87" s="152"/>
      <c r="AT87" s="152"/>
      <c r="AU87" s="152"/>
      <c r="AV87" s="302"/>
      <c r="AW87" s="236"/>
      <c r="AX87" s="152"/>
      <c r="AY87" s="152"/>
      <c r="AZ87" s="152"/>
      <c r="BA87" s="302"/>
      <c r="BB87" s="236"/>
      <c r="BC87" s="152"/>
      <c r="BD87" s="152"/>
      <c r="BE87" s="152"/>
      <c r="BF87" s="302"/>
      <c r="BG87" s="236"/>
      <c r="BH87" s="152"/>
      <c r="BI87" s="152"/>
      <c r="BJ87" s="152"/>
      <c r="BK87" s="302"/>
      <c r="BL87" s="236"/>
      <c r="BM87" s="152"/>
      <c r="BN87" s="152"/>
      <c r="BO87" s="152"/>
      <c r="BP87" s="302"/>
      <c r="BQ87" s="236"/>
      <c r="BR87" s="152"/>
      <c r="BS87" s="152"/>
      <c r="BT87" s="152"/>
      <c r="BU87" s="302"/>
      <c r="BV87" s="236"/>
      <c r="BW87" s="152"/>
      <c r="BX87" s="152"/>
      <c r="BY87" s="152"/>
      <c r="BZ87" s="302"/>
      <c r="CA87" s="236"/>
      <c r="CB87" s="152"/>
      <c r="CC87" s="152"/>
      <c r="CD87" s="152"/>
      <c r="CE87" s="302"/>
      <c r="CF87" s="236"/>
      <c r="CG87" s="152"/>
      <c r="CH87" s="152"/>
      <c r="CI87" s="152"/>
      <c r="CJ87" s="302"/>
      <c r="CK87" s="236"/>
      <c r="CL87" s="152"/>
      <c r="CM87" s="152"/>
      <c r="CN87" s="152"/>
      <c r="CO87" s="302"/>
      <c r="CP87" s="236">
        <f t="shared" si="144"/>
        <v>1.6413417721518986</v>
      </c>
      <c r="CQ87" s="152">
        <f t="shared" ref="CQ87" si="164">CQ86/CL86-1</f>
        <v>-0.72397224446717801</v>
      </c>
      <c r="CR87" s="152">
        <f t="shared" ref="CR87" si="165">CR86/CM86-1</f>
        <v>-0.79021721029416747</v>
      </c>
      <c r="CS87" s="152">
        <f t="shared" ref="CS87" si="166">CS86/CN86-1</f>
        <v>-6.2155913978494626</v>
      </c>
      <c r="CT87" s="302">
        <f t="shared" ref="CT87" si="167">CT86/CO86-1</f>
        <v>-0.82828090354767192</v>
      </c>
      <c r="CU87" s="236">
        <f t="shared" si="148"/>
        <v>-0.88127593474394372</v>
      </c>
      <c r="CV87" s="152">
        <f t="shared" ref="CV87" si="168">CV86/CQ86-1</f>
        <v>-0.13081650570676018</v>
      </c>
      <c r="CW87" s="152">
        <f t="shared" ref="CW87" si="169">CW86/CR86-1</f>
        <v>-0.25060435132957282</v>
      </c>
      <c r="CX87" s="152">
        <f t="shared" ref="CX87" si="170">CX86/CS86-1</f>
        <v>0.4311926605504588</v>
      </c>
      <c r="CY87" s="302">
        <f t="shared" ref="CY87" si="171">CY86/CT86-1</f>
        <v>-2.0434782608695654</v>
      </c>
      <c r="CZ87" s="236">
        <f t="shared" si="153"/>
        <v>-1.0441780897368975</v>
      </c>
      <c r="DA87" s="236">
        <f t="shared" si="153"/>
        <v>-1.2473026282890716</v>
      </c>
      <c r="DB87" s="236">
        <f t="shared" si="153"/>
        <v>-1.9013564879133398</v>
      </c>
      <c r="DC87" s="236">
        <f t="shared" si="153"/>
        <v>-0.56492222114442181</v>
      </c>
      <c r="DF87" s="236">
        <f t="shared" si="139"/>
        <v>-0.82828090354767192</v>
      </c>
      <c r="DG87" s="236">
        <v>-2.4392712550607283</v>
      </c>
      <c r="DH87" s="236">
        <f t="shared" si="140"/>
        <v>0</v>
      </c>
      <c r="DI87" s="236">
        <f t="shared" si="141"/>
        <v>-0.66043919804767637</v>
      </c>
      <c r="DJ87" s="236" t="str">
        <f t="shared" si="142"/>
        <v>NM</v>
      </c>
    </row>
    <row r="88" spans="3:114">
      <c r="C88" s="336"/>
      <c r="D88" s="1" t="s">
        <v>792</v>
      </c>
      <c r="E88" s="235"/>
      <c r="F88" s="235"/>
      <c r="G88" s="235"/>
      <c r="H88" s="235"/>
      <c r="I88" s="235"/>
      <c r="J88" s="165"/>
      <c r="K88" s="165"/>
      <c r="L88" s="165"/>
      <c r="M88" s="300"/>
      <c r="N88" s="235"/>
      <c r="O88" s="165"/>
      <c r="P88" s="165"/>
      <c r="Q88" s="165"/>
      <c r="R88" s="300"/>
      <c r="S88" s="235"/>
      <c r="T88" s="165"/>
      <c r="U88" s="165"/>
      <c r="V88" s="165"/>
      <c r="W88" s="300"/>
      <c r="X88" s="235"/>
      <c r="Y88" s="165"/>
      <c r="Z88" s="165"/>
      <c r="AA88" s="165"/>
      <c r="AB88" s="300"/>
      <c r="AC88" s="235"/>
      <c r="AD88" s="165"/>
      <c r="AE88" s="165"/>
      <c r="AF88" s="165"/>
      <c r="AG88" s="300"/>
      <c r="AH88" s="235"/>
      <c r="AI88" s="165"/>
      <c r="AJ88" s="165"/>
      <c r="AK88" s="165"/>
      <c r="AL88" s="300"/>
      <c r="AM88" s="235"/>
      <c r="AN88" s="165"/>
      <c r="AO88" s="165"/>
      <c r="AP88" s="165"/>
      <c r="AQ88" s="300"/>
      <c r="AR88" s="235"/>
      <c r="AS88" s="165"/>
      <c r="AT88" s="165"/>
      <c r="AU88" s="165"/>
      <c r="AV88" s="300"/>
      <c r="AW88" s="235"/>
      <c r="AX88" s="165"/>
      <c r="AY88" s="165"/>
      <c r="AZ88" s="165"/>
      <c r="BA88" s="300"/>
      <c r="BB88" s="235"/>
      <c r="BC88" s="165"/>
      <c r="BD88" s="165"/>
      <c r="BE88" s="165"/>
      <c r="BF88" s="300"/>
      <c r="BG88" s="235"/>
      <c r="BH88" s="165"/>
      <c r="BI88" s="165"/>
      <c r="BJ88" s="165"/>
      <c r="BK88" s="300"/>
      <c r="BL88" s="235"/>
      <c r="BM88" s="165"/>
      <c r="BN88" s="165"/>
      <c r="BO88" s="165"/>
      <c r="BP88" s="300"/>
      <c r="BQ88" s="235"/>
      <c r="BR88" s="165"/>
      <c r="BS88" s="165"/>
      <c r="BT88" s="165"/>
      <c r="BU88" s="300"/>
      <c r="BV88" s="235"/>
      <c r="BW88" s="165"/>
      <c r="BX88" s="165"/>
      <c r="BY88" s="165"/>
      <c r="BZ88" s="300"/>
      <c r="CA88" s="235"/>
      <c r="CB88" s="165"/>
      <c r="CC88" s="165"/>
      <c r="CD88" s="165"/>
      <c r="CE88" s="300"/>
      <c r="CF88" s="235"/>
      <c r="CG88" s="165"/>
      <c r="CH88" s="165"/>
      <c r="CI88" s="165"/>
      <c r="CJ88" s="300"/>
      <c r="CK88" s="235">
        <f t="shared" ref="CK88:DC88" si="172">CK72/CK16*1000</f>
        <v>564.8907103825137</v>
      </c>
      <c r="CL88" s="165">
        <f t="shared" si="172"/>
        <v>605.5276381909548</v>
      </c>
      <c r="CM88" s="165">
        <f t="shared" si="172"/>
        <v>42.682926829268297</v>
      </c>
      <c r="CN88" s="165">
        <f t="shared" si="172"/>
        <v>381.90954773869345</v>
      </c>
      <c r="CO88" s="165">
        <f t="shared" si="172"/>
        <v>631.4699792960663</v>
      </c>
      <c r="CP88" s="235">
        <f t="shared" si="172"/>
        <v>443.06160547604236</v>
      </c>
      <c r="CQ88" s="165">
        <f t="shared" si="172"/>
        <v>386.42297650130547</v>
      </c>
      <c r="CR88" s="165">
        <f t="shared" si="172"/>
        <v>474.43181818181819</v>
      </c>
      <c r="CS88" s="165">
        <f t="shared" si="172"/>
        <v>828.49604221635889</v>
      </c>
      <c r="CT88" s="165">
        <f t="shared" si="172"/>
        <v>70.588235294117652</v>
      </c>
      <c r="CU88" s="235">
        <f t="shared" si="172"/>
        <v>428.20012995451589</v>
      </c>
      <c r="CV88" s="165">
        <f t="shared" si="172"/>
        <v>157.79316608014528</v>
      </c>
      <c r="CW88" s="165">
        <f t="shared" si="172"/>
        <v>332.18946894689469</v>
      </c>
      <c r="CX88" s="165">
        <f t="shared" si="172"/>
        <v>723.08078904384979</v>
      </c>
      <c r="CY88" s="165">
        <f t="shared" si="172"/>
        <v>7.8431372549019605</v>
      </c>
      <c r="CZ88" s="235">
        <f t="shared" si="172"/>
        <v>299.56574403381268</v>
      </c>
      <c r="DA88" s="235">
        <f t="shared" si="172"/>
        <v>227.16566526430591</v>
      </c>
      <c r="DB88" s="235">
        <f t="shared" si="172"/>
        <v>162.24118976890043</v>
      </c>
      <c r="DC88" s="235">
        <f t="shared" si="172"/>
        <v>158.83163812332285</v>
      </c>
      <c r="DF88" s="235">
        <f t="shared" si="139"/>
        <v>70.588235294117652</v>
      </c>
      <c r="DG88" s="235">
        <v>477.28015691402419</v>
      </c>
      <c r="DH88" s="235">
        <f t="shared" si="140"/>
        <v>631.4699792960663</v>
      </c>
      <c r="DI88" s="235">
        <f t="shared" si="141"/>
        <v>-0.85210314262691378</v>
      </c>
      <c r="DJ88" s="235">
        <f t="shared" si="142"/>
        <v>-0.88821600771456122</v>
      </c>
    </row>
    <row r="89" spans="3:114" s="155" customFormat="1">
      <c r="C89" s="336"/>
      <c r="D89" s="339" t="s">
        <v>271</v>
      </c>
      <c r="E89" s="340"/>
      <c r="F89" s="236"/>
      <c r="G89" s="236"/>
      <c r="H89" s="236"/>
      <c r="I89" s="236"/>
      <c r="J89" s="152"/>
      <c r="K89" s="152"/>
      <c r="L89" s="152"/>
      <c r="M89" s="341"/>
      <c r="N89" s="236"/>
      <c r="O89" s="152"/>
      <c r="P89" s="152"/>
      <c r="Q89" s="152"/>
      <c r="R89" s="302"/>
      <c r="S89" s="236"/>
      <c r="T89" s="152"/>
      <c r="U89" s="152"/>
      <c r="V89" s="152"/>
      <c r="W89" s="302"/>
      <c r="X89" s="236"/>
      <c r="Y89" s="152"/>
      <c r="Z89" s="152"/>
      <c r="AA89" s="152"/>
      <c r="AB89" s="302"/>
      <c r="AC89" s="236"/>
      <c r="AD89" s="152"/>
      <c r="AE89" s="152"/>
      <c r="AF89" s="152"/>
      <c r="AG89" s="302"/>
      <c r="AH89" s="236"/>
      <c r="AI89" s="152"/>
      <c r="AJ89" s="152"/>
      <c r="AK89" s="152"/>
      <c r="AL89" s="302"/>
      <c r="AM89" s="236"/>
      <c r="AN89" s="152"/>
      <c r="AO89" s="152"/>
      <c r="AP89" s="152"/>
      <c r="AQ89" s="302"/>
      <c r="AR89" s="236"/>
      <c r="AS89" s="152"/>
      <c r="AT89" s="152"/>
      <c r="AU89" s="152"/>
      <c r="AV89" s="302"/>
      <c r="AW89" s="236"/>
      <c r="AX89" s="152"/>
      <c r="AY89" s="152"/>
      <c r="AZ89" s="152"/>
      <c r="BA89" s="302"/>
      <c r="BB89" s="236"/>
      <c r="BC89" s="152"/>
      <c r="BD89" s="152"/>
      <c r="BE89" s="152"/>
      <c r="BF89" s="302"/>
      <c r="BG89" s="236"/>
      <c r="BH89" s="152"/>
      <c r="BI89" s="152"/>
      <c r="BJ89" s="152"/>
      <c r="BK89" s="302"/>
      <c r="BL89" s="236"/>
      <c r="BM89" s="152"/>
      <c r="BN89" s="152"/>
      <c r="BO89" s="152"/>
      <c r="BP89" s="302"/>
      <c r="BQ89" s="236"/>
      <c r="BR89" s="152"/>
      <c r="BS89" s="152"/>
      <c r="BT89" s="152"/>
      <c r="BU89" s="302"/>
      <c r="BV89" s="236"/>
      <c r="BW89" s="152"/>
      <c r="BX89" s="152"/>
      <c r="BY89" s="152"/>
      <c r="BZ89" s="302"/>
      <c r="CA89" s="236"/>
      <c r="CB89" s="152"/>
      <c r="CC89" s="152"/>
      <c r="CD89" s="152"/>
      <c r="CE89" s="302"/>
      <c r="CF89" s="236"/>
      <c r="CG89" s="152"/>
      <c r="CH89" s="152"/>
      <c r="CI89" s="152"/>
      <c r="CJ89" s="302"/>
      <c r="CK89" s="236"/>
      <c r="CL89" s="152"/>
      <c r="CM89" s="152"/>
      <c r="CN89" s="152"/>
      <c r="CO89" s="302"/>
      <c r="CP89" s="236">
        <f t="shared" si="144"/>
        <v>-0.21566845173285853</v>
      </c>
      <c r="CQ89" s="152">
        <f t="shared" ref="CQ89" si="173">CQ88/CL88-1</f>
        <v>-0.36184089357875693</v>
      </c>
      <c r="CR89" s="152">
        <f t="shared" ref="CR89" si="174">CR88/CM88-1</f>
        <v>10.11525974025974</v>
      </c>
      <c r="CS89" s="152">
        <f t="shared" ref="CS89" si="175">CS88/CN88-1</f>
        <v>1.1693514789612558</v>
      </c>
      <c r="CT89" s="302">
        <f t="shared" ref="CT89" si="176">CT88/CO88-1</f>
        <v>-0.88821600771456122</v>
      </c>
      <c r="CU89" s="236">
        <f t="shared" si="148"/>
        <v>-3.3542684217827357E-2</v>
      </c>
      <c r="CV89" s="152">
        <f t="shared" ref="CV89" si="177">CV88/CQ88-1</f>
        <v>-0.5916568742655699</v>
      </c>
      <c r="CW89" s="152">
        <f t="shared" ref="CW89" si="178">CW88/CR88-1</f>
        <v>-0.29981620916582674</v>
      </c>
      <c r="CX89" s="152">
        <f t="shared" ref="CX89" si="179">CX88/CS88-1</f>
        <v>-0.127236882013952</v>
      </c>
      <c r="CY89" s="302">
        <f t="shared" ref="CY89" si="180">CY88/CT88-1</f>
        <v>-0.88888888888888884</v>
      </c>
      <c r="CZ89" s="236">
        <f t="shared" si="153"/>
        <v>-0.30040716226397912</v>
      </c>
      <c r="DA89" s="236">
        <f t="shared" si="153"/>
        <v>0.43964197504551872</v>
      </c>
      <c r="DB89" s="236">
        <f t="shared" si="153"/>
        <v>-0.51160044211143541</v>
      </c>
      <c r="DC89" s="236">
        <f t="shared" si="153"/>
        <v>-0.78034039829304491</v>
      </c>
      <c r="DF89" s="236">
        <f t="shared" si="139"/>
        <v>-0.88821600771456122</v>
      </c>
      <c r="DG89" s="236">
        <v>-0.18828762045959968</v>
      </c>
      <c r="DH89" s="236">
        <f t="shared" si="140"/>
        <v>0</v>
      </c>
      <c r="DI89" s="236">
        <f t="shared" si="141"/>
        <v>3.7173361984525322</v>
      </c>
      <c r="DJ89" s="236" t="str">
        <f t="shared" si="142"/>
        <v>NM</v>
      </c>
    </row>
    <row r="90" spans="3:114">
      <c r="C90" s="336"/>
      <c r="D90" s="229" t="s">
        <v>1147</v>
      </c>
      <c r="E90" s="348"/>
      <c r="F90" s="348"/>
      <c r="G90" s="348"/>
      <c r="H90" s="348"/>
      <c r="I90" s="348"/>
      <c r="J90" s="349"/>
      <c r="K90" s="349"/>
      <c r="L90" s="349"/>
      <c r="M90" s="350"/>
      <c r="N90" s="348"/>
      <c r="O90" s="349"/>
      <c r="P90" s="349"/>
      <c r="Q90" s="349"/>
      <c r="R90" s="350"/>
      <c r="S90" s="348"/>
      <c r="T90" s="349"/>
      <c r="U90" s="349"/>
      <c r="V90" s="349"/>
      <c r="W90" s="350"/>
      <c r="X90" s="348"/>
      <c r="Y90" s="349"/>
      <c r="Z90" s="349"/>
      <c r="AA90" s="349"/>
      <c r="AB90" s="350"/>
      <c r="AC90" s="348"/>
      <c r="AD90" s="349"/>
      <c r="AE90" s="349"/>
      <c r="AF90" s="349"/>
      <c r="AG90" s="350"/>
      <c r="AH90" s="348"/>
      <c r="AI90" s="349"/>
      <c r="AJ90" s="349"/>
      <c r="AK90" s="349"/>
      <c r="AL90" s="350"/>
      <c r="AM90" s="348"/>
      <c r="AN90" s="349"/>
      <c r="AO90" s="349"/>
      <c r="AP90" s="349"/>
      <c r="AQ90" s="350"/>
      <c r="AR90" s="348"/>
      <c r="AS90" s="349"/>
      <c r="AT90" s="349"/>
      <c r="AU90" s="349"/>
      <c r="AV90" s="350"/>
      <c r="AW90" s="348"/>
      <c r="AX90" s="349"/>
      <c r="AY90" s="349"/>
      <c r="AZ90" s="349"/>
      <c r="BA90" s="350"/>
      <c r="BB90" s="348"/>
      <c r="BC90" s="349"/>
      <c r="BD90" s="349"/>
      <c r="BE90" s="349"/>
      <c r="BF90" s="350"/>
      <c r="BG90" s="348"/>
      <c r="BH90" s="349"/>
      <c r="BI90" s="349"/>
      <c r="BJ90" s="349"/>
      <c r="BK90" s="350"/>
      <c r="BL90" s="348"/>
      <c r="BM90" s="349"/>
      <c r="BN90" s="349"/>
      <c r="BO90" s="349"/>
      <c r="BP90" s="350"/>
      <c r="BQ90" s="348"/>
      <c r="BR90" s="349"/>
      <c r="BS90" s="349"/>
      <c r="BT90" s="349"/>
      <c r="BU90" s="350"/>
      <c r="BV90" s="348"/>
      <c r="BW90" s="349"/>
      <c r="BX90" s="349"/>
      <c r="BY90" s="349"/>
      <c r="BZ90" s="350"/>
      <c r="CA90" s="348"/>
      <c r="CB90" s="349"/>
      <c r="CC90" s="349"/>
      <c r="CD90" s="349"/>
      <c r="CE90" s="350"/>
      <c r="CF90" s="348"/>
      <c r="CG90" s="349"/>
      <c r="CH90" s="349"/>
      <c r="CI90" s="349"/>
      <c r="CJ90" s="350"/>
      <c r="CK90" s="348">
        <f t="shared" ref="CK90:DC90" si="181">CK78/CK10*1000</f>
        <v>3252.5573574751766</v>
      </c>
      <c r="CL90" s="351">
        <f t="shared" si="181"/>
        <v>4977.8869778869785</v>
      </c>
      <c r="CM90" s="349">
        <f t="shared" si="181"/>
        <v>3948.4662576687115</v>
      </c>
      <c r="CN90" s="349">
        <f t="shared" si="181"/>
        <v>2423.5807860262007</v>
      </c>
      <c r="CO90" s="350">
        <f t="shared" si="181"/>
        <v>3399.7155049786629</v>
      </c>
      <c r="CP90" s="348">
        <f t="shared" si="181"/>
        <v>3751.2421331566748</v>
      </c>
      <c r="CQ90" s="351">
        <f t="shared" si="181"/>
        <v>3258.1063553826198</v>
      </c>
      <c r="CR90" s="349">
        <f t="shared" si="181"/>
        <v>3467.1623296158614</v>
      </c>
      <c r="CS90" s="349">
        <f t="shared" si="181"/>
        <v>3495.3846153846152</v>
      </c>
      <c r="CT90" s="350">
        <f t="shared" si="181"/>
        <v>2765.8998646820028</v>
      </c>
      <c r="CU90" s="348">
        <f t="shared" si="181"/>
        <v>3244.3545669025953</v>
      </c>
      <c r="CV90" s="351">
        <f t="shared" si="181"/>
        <v>2796.809605947557</v>
      </c>
      <c r="CW90" s="349">
        <f t="shared" si="181"/>
        <v>3117.7715819909126</v>
      </c>
      <c r="CX90" s="349">
        <f t="shared" si="181"/>
        <v>3012.4504361617765</v>
      </c>
      <c r="CY90" s="350">
        <f t="shared" si="181"/>
        <v>2383.3917870260416</v>
      </c>
      <c r="CZ90" s="348">
        <f t="shared" si="181"/>
        <v>2826.4246813864333</v>
      </c>
      <c r="DA90" s="348">
        <f t="shared" si="181"/>
        <v>2745.2197519587439</v>
      </c>
      <c r="DB90" s="348">
        <f t="shared" si="181"/>
        <v>2857.2534641824077</v>
      </c>
      <c r="DC90" s="348">
        <f t="shared" si="181"/>
        <v>2997.4063605157548</v>
      </c>
      <c r="DF90" s="348">
        <f>CT90</f>
        <v>2765.8998646820028</v>
      </c>
      <c r="DG90" s="348">
        <v>923.13130250873439</v>
      </c>
      <c r="DH90" s="348">
        <f>CO90</f>
        <v>3399.7155049786629</v>
      </c>
      <c r="DI90" s="348">
        <f t="shared" ref="DI90:DI91" si="182">IF(ISERROR(DF90/DG90-1),"NM",DF90/DG90-1)</f>
        <v>1.9962150098965283</v>
      </c>
      <c r="DJ90" s="348">
        <f t="shared" ref="DJ90:DJ91" si="183">IF(ISERROR(DF90/DH90-1),"NM",DF90/DH90-1)</f>
        <v>-0.18643196448893395</v>
      </c>
    </row>
    <row r="91" spans="3:114">
      <c r="C91" s="336"/>
      <c r="D91" s="339" t="s">
        <v>271</v>
      </c>
      <c r="E91" s="236"/>
      <c r="F91" s="236"/>
      <c r="G91" s="236"/>
      <c r="H91" s="236"/>
      <c r="I91" s="236"/>
      <c r="J91" s="152"/>
      <c r="K91" s="152"/>
      <c r="L91" s="152"/>
      <c r="M91" s="302"/>
      <c r="N91" s="236"/>
      <c r="O91" s="152"/>
      <c r="P91" s="152"/>
      <c r="Q91" s="152"/>
      <c r="R91" s="302"/>
      <c r="S91" s="236"/>
      <c r="T91" s="152"/>
      <c r="U91" s="152"/>
      <c r="V91" s="152"/>
      <c r="W91" s="302"/>
      <c r="X91" s="236"/>
      <c r="Y91" s="152"/>
      <c r="Z91" s="152"/>
      <c r="AA91" s="152"/>
      <c r="AB91" s="302"/>
      <c r="AC91" s="236"/>
      <c r="AD91" s="152"/>
      <c r="AE91" s="152"/>
      <c r="AF91" s="152"/>
      <c r="AG91" s="302"/>
      <c r="AH91" s="236"/>
      <c r="AI91" s="152"/>
      <c r="AJ91" s="152"/>
      <c r="AK91" s="152"/>
      <c r="AL91" s="302"/>
      <c r="AM91" s="236"/>
      <c r="AN91" s="152"/>
      <c r="AO91" s="152"/>
      <c r="AP91" s="152"/>
      <c r="AQ91" s="302"/>
      <c r="AR91" s="236"/>
      <c r="AS91" s="152"/>
      <c r="AT91" s="152"/>
      <c r="AU91" s="152"/>
      <c r="AV91" s="302"/>
      <c r="AW91" s="236"/>
      <c r="AX91" s="152"/>
      <c r="AY91" s="152"/>
      <c r="AZ91" s="152"/>
      <c r="BA91" s="302"/>
      <c r="BB91" s="236"/>
      <c r="BC91" s="152"/>
      <c r="BD91" s="152"/>
      <c r="BE91" s="152"/>
      <c r="BF91" s="302"/>
      <c r="BG91" s="236"/>
      <c r="BH91" s="152"/>
      <c r="BI91" s="152"/>
      <c r="BJ91" s="152"/>
      <c r="BK91" s="302"/>
      <c r="BL91" s="236"/>
      <c r="BM91" s="152"/>
      <c r="BN91" s="152"/>
      <c r="BO91" s="152"/>
      <c r="BP91" s="302"/>
      <c r="BQ91" s="236"/>
      <c r="BR91" s="152"/>
      <c r="BS91" s="152"/>
      <c r="BT91" s="152"/>
      <c r="BU91" s="302"/>
      <c r="BV91" s="236"/>
      <c r="BW91" s="152"/>
      <c r="BX91" s="152"/>
      <c r="BY91" s="152"/>
      <c r="BZ91" s="302"/>
      <c r="CA91" s="236"/>
      <c r="CB91" s="152"/>
      <c r="CC91" s="152"/>
      <c r="CD91" s="152"/>
      <c r="CE91" s="302"/>
      <c r="CF91" s="236"/>
      <c r="CG91" s="152"/>
      <c r="CH91" s="152"/>
      <c r="CI91" s="152"/>
      <c r="CJ91" s="302"/>
      <c r="CK91" s="236"/>
      <c r="CL91" s="152"/>
      <c r="CM91" s="152"/>
      <c r="CN91" s="152"/>
      <c r="CO91" s="302"/>
      <c r="CP91" s="236">
        <f t="shared" ref="CP91" si="184">CP90/CK90-1</f>
        <v>0.1533208244692128</v>
      </c>
      <c r="CQ91" s="152">
        <f t="shared" ref="CQ91" si="185">CQ90/CL90-1</f>
        <v>-0.34548406384959229</v>
      </c>
      <c r="CR91" s="152">
        <f t="shared" ref="CR91" si="186">CR90/CM90-1</f>
        <v>-0.12189642677534895</v>
      </c>
      <c r="CS91" s="152">
        <f t="shared" ref="CS91" si="187">CS90/CN90-1</f>
        <v>0.44223977823977823</v>
      </c>
      <c r="CT91" s="302">
        <f t="shared" ref="CT91" si="188">CT90/CO90-1</f>
        <v>-0.18643196448893395</v>
      </c>
      <c r="CU91" s="236">
        <f t="shared" ref="CU91" si="189">CU90/CP90-1</f>
        <v>-0.13512525938375852</v>
      </c>
      <c r="CV91" s="152">
        <f t="shared" ref="CV91" si="190">CV90/CQ90-1</f>
        <v>-0.14158431282421713</v>
      </c>
      <c r="CW91" s="152">
        <f t="shared" ref="CW91" si="191">CW90/CR90-1</f>
        <v>-0.10077138432213495</v>
      </c>
      <c r="CX91" s="152">
        <f t="shared" ref="CX91" si="192">CX90/CS90-1</f>
        <v>-0.13816338754174529</v>
      </c>
      <c r="CY91" s="302">
        <f t="shared" ref="CY91" si="193">CY90/CT90-1</f>
        <v>-0.13829426095291353</v>
      </c>
      <c r="CZ91" s="236">
        <f t="shared" ref="CZ91" si="194">CZ90/CU90-1</f>
        <v>-0.12881757431191065</v>
      </c>
      <c r="DA91" s="236">
        <f>DA90/CZ90-1</f>
        <v>-2.8730618566441435E-2</v>
      </c>
      <c r="DB91" s="236">
        <f>DB90/DA90-1</f>
        <v>4.0810471418081029E-2</v>
      </c>
      <c r="DC91" s="236">
        <f>DC90/DB90-1</f>
        <v>4.9051614807806843E-2</v>
      </c>
      <c r="DF91" s="236">
        <f>CT91</f>
        <v>-0.18643196448893395</v>
      </c>
      <c r="DG91" s="236">
        <v>-0.22831286318197375</v>
      </c>
      <c r="DH91" s="236">
        <f>CO91</f>
        <v>0</v>
      </c>
      <c r="DI91" s="236">
        <f t="shared" si="182"/>
        <v>-0.18343643940752985</v>
      </c>
      <c r="DJ91" s="236" t="str">
        <f t="shared" si="183"/>
        <v>NM</v>
      </c>
    </row>
    <row r="92" spans="3:114">
      <c r="C92" s="336"/>
      <c r="D92" s="339"/>
      <c r="E92" s="1039"/>
      <c r="F92" s="1039"/>
      <c r="G92" s="1039"/>
      <c r="H92" s="1039"/>
      <c r="I92" s="1039"/>
      <c r="J92" s="152"/>
      <c r="K92" s="152"/>
      <c r="L92" s="152"/>
      <c r="M92" s="152"/>
      <c r="N92" s="1039"/>
      <c r="O92" s="152"/>
      <c r="P92" s="152"/>
      <c r="Q92" s="152"/>
      <c r="R92" s="152"/>
      <c r="S92" s="1039"/>
      <c r="T92" s="152"/>
      <c r="U92" s="152"/>
      <c r="V92" s="152"/>
      <c r="W92" s="152"/>
      <c r="X92" s="1039"/>
      <c r="Y92" s="152"/>
      <c r="Z92" s="152"/>
      <c r="AA92" s="152"/>
      <c r="AB92" s="152"/>
      <c r="AC92" s="1039"/>
      <c r="AD92" s="152"/>
      <c r="AE92" s="152"/>
      <c r="AF92" s="152"/>
      <c r="AG92" s="152"/>
      <c r="AH92" s="1039"/>
      <c r="AI92" s="152"/>
      <c r="AJ92" s="152"/>
      <c r="AK92" s="152"/>
      <c r="AL92" s="152"/>
      <c r="AM92" s="1039"/>
      <c r="AN92" s="152"/>
      <c r="AO92" s="152"/>
      <c r="AP92" s="152"/>
      <c r="AQ92" s="152"/>
      <c r="AR92" s="1039"/>
      <c r="AS92" s="152"/>
      <c r="AT92" s="152"/>
      <c r="AU92" s="152"/>
      <c r="AV92" s="152"/>
      <c r="AW92" s="1039"/>
      <c r="AX92" s="152"/>
      <c r="AY92" s="152"/>
      <c r="AZ92" s="152"/>
      <c r="BA92" s="152"/>
      <c r="BB92" s="1039"/>
      <c r="BC92" s="152"/>
      <c r="BD92" s="152"/>
      <c r="BE92" s="152"/>
      <c r="BF92" s="152"/>
      <c r="BG92" s="1039"/>
      <c r="BH92" s="152"/>
      <c r="BI92" s="152"/>
      <c r="BJ92" s="152"/>
      <c r="BK92" s="152"/>
      <c r="BL92" s="1039"/>
      <c r="BM92" s="152"/>
      <c r="BN92" s="152"/>
      <c r="BO92" s="152"/>
      <c r="BP92" s="152"/>
      <c r="BQ92" s="1039"/>
      <c r="BR92" s="152"/>
      <c r="BS92" s="152"/>
      <c r="BT92" s="152"/>
      <c r="BU92" s="152"/>
      <c r="BV92" s="1039"/>
      <c r="BW92" s="152"/>
      <c r="BX92" s="152"/>
      <c r="BY92" s="152"/>
      <c r="BZ92" s="152"/>
      <c r="CA92" s="1039"/>
      <c r="CB92" s="152"/>
      <c r="CC92" s="152"/>
      <c r="CD92" s="152"/>
      <c r="CE92" s="152"/>
      <c r="CF92" s="1039"/>
      <c r="CG92" s="152"/>
      <c r="CH92" s="152"/>
      <c r="CI92" s="152"/>
      <c r="CJ92" s="152"/>
      <c r="CK92" s="1039"/>
      <c r="CL92" s="152"/>
      <c r="CM92" s="152"/>
      <c r="CN92" s="152"/>
      <c r="CO92" s="152"/>
      <c r="CP92" s="1039"/>
      <c r="CQ92" s="152"/>
      <c r="CR92" s="152"/>
      <c r="CS92" s="152"/>
      <c r="CT92" s="302"/>
      <c r="CU92" s="1039"/>
      <c r="CV92" s="152"/>
      <c r="CW92" s="152"/>
      <c r="CX92" s="152"/>
      <c r="CY92" s="302"/>
      <c r="CZ92" s="1039"/>
      <c r="DA92" s="1039"/>
      <c r="DB92" s="1035"/>
      <c r="DC92" s="1039"/>
      <c r="DF92" s="1039"/>
      <c r="DG92" s="1039"/>
      <c r="DH92" s="1039"/>
      <c r="DI92" s="1039"/>
      <c r="DJ92" s="1039"/>
    </row>
    <row r="93" spans="3:114" hidden="1" outlineLevel="1">
      <c r="C93" s="204"/>
      <c r="D93" s="208" t="s">
        <v>796</v>
      </c>
      <c r="E93" s="210"/>
      <c r="F93" s="210"/>
      <c r="G93" s="210"/>
      <c r="H93" s="210"/>
      <c r="I93" s="210"/>
      <c r="J93" s="209"/>
      <c r="K93" s="209"/>
      <c r="L93" s="209"/>
      <c r="M93" s="209"/>
      <c r="N93" s="210"/>
      <c r="O93" s="209"/>
      <c r="P93" s="209"/>
      <c r="Q93" s="209"/>
      <c r="R93" s="209"/>
      <c r="S93" s="210"/>
      <c r="T93" s="209"/>
      <c r="U93" s="209"/>
      <c r="V93" s="209"/>
      <c r="W93" s="209"/>
      <c r="X93" s="210"/>
      <c r="Y93" s="209"/>
      <c r="Z93" s="209"/>
      <c r="AA93" s="209"/>
      <c r="AB93" s="209"/>
      <c r="AC93" s="210"/>
      <c r="AD93" s="209"/>
      <c r="AE93" s="209"/>
      <c r="AF93" s="209"/>
      <c r="AG93" s="209"/>
      <c r="AH93" s="210"/>
      <c r="AI93" s="209"/>
      <c r="AJ93" s="209"/>
      <c r="AK93" s="209"/>
      <c r="AL93" s="209"/>
      <c r="AM93" s="210"/>
      <c r="AN93" s="209"/>
      <c r="AO93" s="209"/>
      <c r="AP93" s="209"/>
      <c r="AQ93" s="209"/>
      <c r="AR93" s="210"/>
      <c r="AS93" s="209"/>
      <c r="AT93" s="209"/>
      <c r="AU93" s="209"/>
      <c r="AV93" s="209"/>
      <c r="AW93" s="210"/>
      <c r="AX93" s="209"/>
      <c r="AY93" s="209"/>
      <c r="AZ93" s="209"/>
      <c r="BA93" s="209"/>
      <c r="BB93" s="210"/>
      <c r="BC93" s="209"/>
      <c r="BD93" s="209"/>
      <c r="BE93" s="209"/>
      <c r="BF93" s="209"/>
      <c r="BG93" s="210"/>
      <c r="BH93" s="209"/>
      <c r="BI93" s="209"/>
      <c r="BJ93" s="209"/>
      <c r="BK93" s="209"/>
      <c r="BL93" s="210"/>
      <c r="BM93" s="209"/>
      <c r="BN93" s="209"/>
      <c r="BO93" s="209"/>
      <c r="BP93" s="209"/>
      <c r="BQ93" s="210"/>
      <c r="BR93" s="209"/>
      <c r="BS93" s="209"/>
      <c r="BT93" s="209"/>
      <c r="BU93" s="209"/>
      <c r="BV93" s="210"/>
      <c r="BW93" s="209"/>
      <c r="BX93" s="209"/>
      <c r="BY93" s="209"/>
      <c r="BZ93" s="209"/>
      <c r="CA93" s="210"/>
      <c r="CB93" s="209"/>
      <c r="CC93" s="209"/>
      <c r="CD93" s="209"/>
      <c r="CE93" s="209"/>
      <c r="CF93" s="210"/>
      <c r="CG93" s="209"/>
      <c r="CH93" s="209"/>
      <c r="CI93" s="209"/>
      <c r="CJ93" s="209"/>
      <c r="CK93" s="210"/>
      <c r="CL93" s="209"/>
      <c r="CM93" s="209"/>
      <c r="CN93" s="209"/>
      <c r="CO93" s="209"/>
      <c r="CP93" s="210"/>
      <c r="CQ93" s="209"/>
      <c r="CR93" s="211"/>
      <c r="CS93" s="211"/>
      <c r="CT93" s="212"/>
      <c r="CU93" s="210"/>
      <c r="CV93" s="211"/>
      <c r="CW93" s="211"/>
      <c r="CX93" s="211"/>
      <c r="CY93" s="212"/>
      <c r="CZ93" s="210"/>
      <c r="DA93" s="210"/>
      <c r="DB93" s="213"/>
      <c r="DC93" s="210"/>
      <c r="DF93" s="210">
        <f t="shared" ref="DF93:DF101" si="195">CT93</f>
        <v>0</v>
      </c>
      <c r="DG93" s="210">
        <v>0</v>
      </c>
      <c r="DH93" s="210">
        <f t="shared" ref="DH93:DH101" si="196">CO93</f>
        <v>0</v>
      </c>
      <c r="DI93" s="210" t="str">
        <f t="shared" si="5"/>
        <v>NM</v>
      </c>
      <c r="DJ93" s="210" t="str">
        <f t="shared" si="6"/>
        <v>NM</v>
      </c>
    </row>
    <row r="94" spans="3:114" hidden="1" outlineLevel="1">
      <c r="C94" s="336"/>
      <c r="D94" s="1" t="s">
        <v>789</v>
      </c>
      <c r="E94" s="337"/>
      <c r="F94" s="337"/>
      <c r="G94" s="337"/>
      <c r="H94" s="337"/>
      <c r="I94" s="337">
        <v>8425</v>
      </c>
      <c r="J94" s="338">
        <v>2527</v>
      </c>
      <c r="K94" s="338">
        <v>2788</v>
      </c>
      <c r="L94" s="338">
        <v>1139</v>
      </c>
      <c r="M94" s="337">
        <f>7557-SUM(J94:L94)</f>
        <v>1103</v>
      </c>
      <c r="N94" s="235">
        <f>SUM(J94:M94)</f>
        <v>7557</v>
      </c>
      <c r="O94" s="338">
        <v>1103</v>
      </c>
      <c r="P94" s="338">
        <v>-1692</v>
      </c>
      <c r="Q94" s="338">
        <v>-1296</v>
      </c>
      <c r="R94" s="337">
        <f>-3232-SUM(O94:Q94)</f>
        <v>-1347</v>
      </c>
      <c r="S94" s="235">
        <f>SUM(O94:R94)</f>
        <v>-3232</v>
      </c>
      <c r="T94" s="338">
        <v>-597</v>
      </c>
      <c r="U94" s="338">
        <v>147</v>
      </c>
      <c r="V94" s="338">
        <v>4</v>
      </c>
      <c r="W94" s="337">
        <f>-605-SUM(T94:V94)</f>
        <v>-159</v>
      </c>
      <c r="X94" s="235">
        <f>SUM(T94:W94)</f>
        <v>-605</v>
      </c>
      <c r="Y94" s="338">
        <v>1236</v>
      </c>
      <c r="Z94" s="338">
        <v>445</v>
      </c>
      <c r="AA94" s="338">
        <v>-116</v>
      </c>
      <c r="AB94" s="337">
        <f>1762-SUM(Y94:AA94)</f>
        <v>197</v>
      </c>
      <c r="AC94" s="235">
        <f>SUM(Y94:AB94)</f>
        <v>1762</v>
      </c>
      <c r="AD94" s="338">
        <v>1962</v>
      </c>
      <c r="AE94" s="338">
        <v>455</v>
      </c>
      <c r="AF94" s="338">
        <v>-481</v>
      </c>
      <c r="AG94" s="337">
        <f>1466-SUM(AD94:AF94)</f>
        <v>-470</v>
      </c>
      <c r="AH94" s="235">
        <f>SUM(AD94:AG94)</f>
        <v>1466</v>
      </c>
      <c r="AI94" s="338">
        <f>-570-AJ94</f>
        <v>580</v>
      </c>
      <c r="AJ94" s="338">
        <v>-1150</v>
      </c>
      <c r="AK94" s="338">
        <v>-1434</v>
      </c>
      <c r="AL94" s="337">
        <f>-2444-SUM(AI94:AK94)</f>
        <v>-440</v>
      </c>
      <c r="AM94" s="235">
        <f>SUM(AI94:AL94)</f>
        <v>-2444</v>
      </c>
      <c r="AN94" s="338">
        <f>-4222-AO94</f>
        <v>-2958</v>
      </c>
      <c r="AO94" s="338">
        <v>-1264</v>
      </c>
      <c r="AP94" s="338">
        <v>-5733</v>
      </c>
      <c r="AQ94" s="337">
        <f>-15969-SUM(AN94:AP94)</f>
        <v>-6014</v>
      </c>
      <c r="AR94" s="235">
        <f>SUM(AN94:AQ94)</f>
        <v>-15969</v>
      </c>
      <c r="AS94" s="338">
        <v>-703</v>
      </c>
      <c r="AT94" s="338">
        <v>-76</v>
      </c>
      <c r="AU94" s="338">
        <v>-693</v>
      </c>
      <c r="AV94" s="337">
        <f>-4161-SUM(AS94:AU94)</f>
        <v>-2689</v>
      </c>
      <c r="AW94" s="235">
        <f>SUM(AS94:AV94)</f>
        <v>-4161</v>
      </c>
      <c r="AX94" s="338">
        <v>-445</v>
      </c>
      <c r="AY94" s="338">
        <v>-7153</v>
      </c>
      <c r="AZ94" s="338">
        <v>-36</v>
      </c>
      <c r="BA94" s="337">
        <f>-10248-SUM(AX94:AZ94)</f>
        <v>-2614</v>
      </c>
      <c r="BB94" s="235">
        <f>SUM(AX94:BA94)</f>
        <v>-10248</v>
      </c>
      <c r="BC94" s="338">
        <v>-775</v>
      </c>
      <c r="BD94" s="338">
        <v>-1048</v>
      </c>
      <c r="BE94" s="338">
        <v>223</v>
      </c>
      <c r="BF94" s="337">
        <f>-1649-SUM(BC94:BE94)</f>
        <v>-49</v>
      </c>
      <c r="BG94" s="235">
        <f>SUM(BC94:BF94)</f>
        <v>-1649</v>
      </c>
      <c r="BH94" s="338">
        <v>1223</v>
      </c>
      <c r="BI94" s="338">
        <v>1898</v>
      </c>
      <c r="BJ94" s="338">
        <v>1588</v>
      </c>
      <c r="BK94" s="337">
        <f>5409-SUM(BH94:BJ94)</f>
        <v>700</v>
      </c>
      <c r="BL94" s="235">
        <f>SUM(BH94:BK94)</f>
        <v>5409</v>
      </c>
      <c r="BM94" s="338">
        <v>1844</v>
      </c>
      <c r="BN94" s="338">
        <v>1908</v>
      </c>
      <c r="BO94" s="338">
        <v>1550</v>
      </c>
      <c r="BP94" s="337">
        <f>6191-SUM(BM94:BO94)</f>
        <v>889</v>
      </c>
      <c r="BQ94" s="235">
        <f>SUM(BM94:BP94)</f>
        <v>6191</v>
      </c>
      <c r="BR94" s="338">
        <v>2133</v>
      </c>
      <c r="BS94" s="338">
        <v>2010</v>
      </c>
      <c r="BT94" s="338">
        <v>2328</v>
      </c>
      <c r="BU94" s="337">
        <f>8343-SUM(BR94:BT94)</f>
        <v>1872</v>
      </c>
      <c r="BV94" s="235">
        <f>SUM(BR94:BU94)</f>
        <v>8343</v>
      </c>
      <c r="BW94" s="338">
        <v>2442</v>
      </c>
      <c r="BX94" s="338">
        <v>2329</v>
      </c>
      <c r="BY94" s="338">
        <v>2308</v>
      </c>
      <c r="BZ94" s="337">
        <f>8781-SUM(BW94:BY94)</f>
        <v>1702</v>
      </c>
      <c r="CA94" s="235">
        <f>SUM(BW94:BZ94)</f>
        <v>8781</v>
      </c>
      <c r="CB94" s="338">
        <v>1500</v>
      </c>
      <c r="CC94" s="338">
        <v>2440</v>
      </c>
      <c r="CD94" s="338">
        <v>1410</v>
      </c>
      <c r="CE94" s="337">
        <f>6898-SUM(CB94:CD94)</f>
        <v>1548</v>
      </c>
      <c r="CF94" s="235">
        <f>SUM(CB94:CE94)</f>
        <v>6898</v>
      </c>
      <c r="CG94" s="338">
        <v>1340</v>
      </c>
      <c r="CH94" s="338">
        <v>2597</v>
      </c>
      <c r="CI94" s="338">
        <v>2670</v>
      </c>
      <c r="CJ94" s="337">
        <v>2029</v>
      </c>
      <c r="CK94" s="235">
        <f>SUM(CG94:CJ94)</f>
        <v>8636</v>
      </c>
      <c r="CL94" s="338">
        <v>3080</v>
      </c>
      <c r="CM94" s="338">
        <v>2703</v>
      </c>
      <c r="CN94" s="338">
        <v>1262</v>
      </c>
      <c r="CO94" s="337">
        <v>1956</v>
      </c>
      <c r="CP94" s="235">
        <f>SUM(CL94:CO94)</f>
        <v>9001</v>
      </c>
      <c r="CQ94" s="338">
        <v>1989</v>
      </c>
      <c r="CR94" s="338">
        <v>2198</v>
      </c>
      <c r="CS94" s="338">
        <v>1683</v>
      </c>
      <c r="CT94" s="338">
        <v>1641</v>
      </c>
      <c r="CU94" s="235">
        <f>SUM(CQ94:CT94)</f>
        <v>7511</v>
      </c>
      <c r="CV94" s="165"/>
      <c r="CW94" s="165"/>
      <c r="CX94" s="165"/>
      <c r="CY94" s="300"/>
      <c r="CZ94" s="235"/>
      <c r="DA94" s="235"/>
      <c r="DB94" s="248"/>
      <c r="DC94" s="235"/>
      <c r="DF94" s="235">
        <f t="shared" si="195"/>
        <v>1641</v>
      </c>
      <c r="DG94" s="235">
        <v>1858.75</v>
      </c>
      <c r="DH94" s="235">
        <f t="shared" si="196"/>
        <v>1956</v>
      </c>
      <c r="DI94" s="235">
        <f t="shared" si="5"/>
        <v>-0.11714862138533966</v>
      </c>
      <c r="DJ94" s="235">
        <f t="shared" si="6"/>
        <v>-0.16104294478527603</v>
      </c>
    </row>
    <row r="95" spans="3:114" hidden="1" outlineLevel="1">
      <c r="C95" s="336"/>
      <c r="D95" s="339" t="s">
        <v>77</v>
      </c>
      <c r="E95" s="236"/>
      <c r="F95" s="236"/>
      <c r="G95" s="236"/>
      <c r="H95" s="236"/>
      <c r="I95" s="236">
        <f t="shared" ref="I95:AN95" si="197">I94/I29</f>
        <v>8.4902903326581416E-2</v>
      </c>
      <c r="J95" s="152">
        <f t="shared" si="197"/>
        <v>9.2866855315864902E-2</v>
      </c>
      <c r="K95" s="152">
        <f t="shared" si="197"/>
        <v>0.10073710073710074</v>
      </c>
      <c r="L95" s="152">
        <f t="shared" si="197"/>
        <v>4.8706435749412018E-2</v>
      </c>
      <c r="M95" s="152">
        <f t="shared" si="197"/>
        <v>4.30977220333685E-2</v>
      </c>
      <c r="N95" s="236">
        <f t="shared" si="197"/>
        <v>7.2757906898377703E-2</v>
      </c>
      <c r="O95" s="152">
        <f t="shared" si="197"/>
        <v>4.662467768525172E-2</v>
      </c>
      <c r="P95" s="152">
        <f t="shared" si="197"/>
        <v>-6.9732937685459948E-2</v>
      </c>
      <c r="Q95" s="152">
        <f t="shared" si="197"/>
        <v>-6.555718549243765E-2</v>
      </c>
      <c r="R95" s="152">
        <f t="shared" si="197"/>
        <v>-5.7905597111168432E-2</v>
      </c>
      <c r="S95" s="236">
        <f t="shared" si="197"/>
        <v>-3.5535227372680098E-2</v>
      </c>
      <c r="T95" s="152">
        <f t="shared" si="197"/>
        <v>-2.5797251750064816E-2</v>
      </c>
      <c r="U95" s="152">
        <f t="shared" si="197"/>
        <v>5.8631142310146779E-3</v>
      </c>
      <c r="V95" s="152">
        <f t="shared" si="197"/>
        <v>1.7567745619043436E-4</v>
      </c>
      <c r="W95" s="152">
        <f t="shared" si="197"/>
        <v>-6.8872909988737761E-3</v>
      </c>
      <c r="X95" s="236">
        <f t="shared" si="197"/>
        <v>-6.431449255333851E-3</v>
      </c>
      <c r="Y95" s="152">
        <f t="shared" si="197"/>
        <v>5.5675675675675676E-2</v>
      </c>
      <c r="Z95" s="152">
        <f t="shared" si="197"/>
        <v>2.1497584541062802E-2</v>
      </c>
      <c r="AA95" s="152">
        <f t="shared" si="197"/>
        <v>-6.4804469273743014E-3</v>
      </c>
      <c r="AB95" s="152">
        <f t="shared" si="197"/>
        <v>8.6414879150765456E-3</v>
      </c>
      <c r="AC95" s="236">
        <f t="shared" si="197"/>
        <v>2.1077311386772251E-2</v>
      </c>
      <c r="AD95" s="152">
        <f t="shared" si="197"/>
        <v>8.437620952135208E-2</v>
      </c>
      <c r="AE95" s="152">
        <f t="shared" si="197"/>
        <v>2.2194039315155359E-2</v>
      </c>
      <c r="AF95" s="152">
        <f t="shared" si="197"/>
        <v>-2.6543788974118427E-2</v>
      </c>
      <c r="AG95" s="152">
        <f t="shared" si="197"/>
        <v>-2.2230630971525871E-2</v>
      </c>
      <c r="AH95" s="236">
        <f t="shared" si="197"/>
        <v>1.7659033691894432E-2</v>
      </c>
      <c r="AI95" s="152">
        <f t="shared" si="197"/>
        <v>2.7380446584525327E-2</v>
      </c>
      <c r="AJ95" s="152">
        <f t="shared" si="197"/>
        <v>-5.7615230460921846E-2</v>
      </c>
      <c r="AK95" s="152">
        <f t="shared" si="197"/>
        <v>-7.8847528454390498E-2</v>
      </c>
      <c r="AL95" s="152">
        <f t="shared" si="197"/>
        <v>-2.0626289143071443E-2</v>
      </c>
      <c r="AM95" s="236">
        <f t="shared" si="197"/>
        <v>-3.0299273511690757E-2</v>
      </c>
      <c r="AN95" s="152">
        <f t="shared" si="197"/>
        <v>-0.14962820577672112</v>
      </c>
      <c r="AO95" s="152">
        <f t="shared" ref="AO95:BT95" si="198">AO94/AO29</f>
        <v>-6.5932919513849039E-2</v>
      </c>
      <c r="AP95" s="152">
        <f t="shared" si="198"/>
        <v>-0.37239363429684963</v>
      </c>
      <c r="AQ95" s="152">
        <f t="shared" si="198"/>
        <v>-0.39854208084824388</v>
      </c>
      <c r="AR95" s="236">
        <f t="shared" si="198"/>
        <v>-0.23001800504141159</v>
      </c>
      <c r="AS95" s="152">
        <f t="shared" si="198"/>
        <v>-3.857762168687922E-2</v>
      </c>
      <c r="AT95" s="152">
        <f t="shared" si="198"/>
        <v>-4.0444893832153692E-3</v>
      </c>
      <c r="AU95" s="152">
        <f t="shared" si="198"/>
        <v>-4.1987276582853679E-2</v>
      </c>
      <c r="AV95" s="152">
        <f t="shared" si="198"/>
        <v>-0.16969582228953678</v>
      </c>
      <c r="AW95" s="236">
        <f t="shared" si="198"/>
        <v>-5.9987025156779353E-2</v>
      </c>
      <c r="AX95" s="152">
        <f t="shared" si="198"/>
        <v>-2.6008182349503216E-2</v>
      </c>
      <c r="AY95" s="152">
        <f t="shared" si="198"/>
        <v>-0.50305928686968138</v>
      </c>
      <c r="AZ95" s="152">
        <f t="shared" si="198"/>
        <v>-3.3494603647190174E-3</v>
      </c>
      <c r="BA95" s="152">
        <f t="shared" si="198"/>
        <v>-0.2312251216275984</v>
      </c>
      <c r="BB95" s="236">
        <f t="shared" si="198"/>
        <v>-0.1919748229740362</v>
      </c>
      <c r="BC95" s="152">
        <f t="shared" si="198"/>
        <v>-7.6272020470426138E-2</v>
      </c>
      <c r="BD95" s="152">
        <f t="shared" si="198"/>
        <v>-9.680399039349713E-2</v>
      </c>
      <c r="BE95" s="152">
        <f t="shared" si="198"/>
        <v>1.6256013996209361E-2</v>
      </c>
      <c r="BF95" s="152">
        <f t="shared" si="198"/>
        <v>-3.0995002846479851E-3</v>
      </c>
      <c r="BG95" s="236">
        <f t="shared" si="198"/>
        <v>-3.2644415409589421E-2</v>
      </c>
      <c r="BH95" s="152">
        <f t="shared" si="198"/>
        <v>8.6541183130484006E-2</v>
      </c>
      <c r="BI95" s="152">
        <f t="shared" si="198"/>
        <v>0.112254554057251</v>
      </c>
      <c r="BJ95" s="152">
        <f t="shared" si="198"/>
        <v>9.7994446158593027E-2</v>
      </c>
      <c r="BK95" s="152">
        <f t="shared" si="198"/>
        <v>4.0737938660303785E-2</v>
      </c>
      <c r="BL95" s="236">
        <f t="shared" si="198"/>
        <v>8.3954181411808534E-2</v>
      </c>
      <c r="BM95" s="152">
        <f t="shared" si="198"/>
        <v>0.10268975886840787</v>
      </c>
      <c r="BN95" s="152">
        <f t="shared" si="198"/>
        <v>9.8117864856525766E-2</v>
      </c>
      <c r="BO95" s="152">
        <f t="shared" si="198"/>
        <v>8.6461761588665142E-2</v>
      </c>
      <c r="BP95" s="152">
        <f t="shared" si="198"/>
        <v>4.5145236644322566E-2</v>
      </c>
      <c r="BQ95" s="236">
        <f t="shared" si="198"/>
        <v>8.2522460078377005E-2</v>
      </c>
      <c r="BR95" s="152">
        <f t="shared" si="198"/>
        <v>0.1146774193548387</v>
      </c>
      <c r="BS95" s="152">
        <f t="shared" si="198"/>
        <v>0.10203045685279188</v>
      </c>
      <c r="BT95" s="152">
        <f t="shared" si="198"/>
        <v>0.11938461538461538</v>
      </c>
      <c r="BU95" s="152">
        <f t="shared" ref="BU95:CU95" si="199">BU94/BU29</f>
        <v>8.4705882352941173E-2</v>
      </c>
      <c r="BV95" s="236">
        <f t="shared" si="199"/>
        <v>0.1044180225281602</v>
      </c>
      <c r="BW95" s="152">
        <f t="shared" si="199"/>
        <v>0.1095067264573991</v>
      </c>
      <c r="BX95" s="152">
        <f t="shared" si="199"/>
        <v>0.10397321428571428</v>
      </c>
      <c r="BY95" s="152">
        <f t="shared" si="199"/>
        <v>0.1063594470046083</v>
      </c>
      <c r="BZ95" s="152">
        <f t="shared" si="199"/>
        <v>7.5644444444444445E-2</v>
      </c>
      <c r="CA95" s="236">
        <f t="shared" si="199"/>
        <v>9.8773903262092233E-2</v>
      </c>
      <c r="CB95" s="152">
        <f t="shared" si="199"/>
        <v>7.3529411764705885E-2</v>
      </c>
      <c r="CC95" s="152">
        <f t="shared" si="199"/>
        <v>0.11509433962264151</v>
      </c>
      <c r="CD95" s="152">
        <f t="shared" si="199"/>
        <v>7.0854271356783918E-2</v>
      </c>
      <c r="CE95" s="152">
        <f t="shared" si="199"/>
        <v>7.4066985645933017E-2</v>
      </c>
      <c r="CF95" s="236">
        <f t="shared" si="199"/>
        <v>8.3713592233009712E-2</v>
      </c>
      <c r="CG95" s="152">
        <f t="shared" si="199"/>
        <v>6.7000000000000004E-2</v>
      </c>
      <c r="CH95" s="152">
        <f t="shared" si="199"/>
        <v>0.11145922746781116</v>
      </c>
      <c r="CI95" s="152">
        <f t="shared" si="199"/>
        <v>0.11265822784810127</v>
      </c>
      <c r="CJ95" s="152">
        <f t="shared" si="199"/>
        <v>8.1485943775100406E-2</v>
      </c>
      <c r="CK95" s="236">
        <f t="shared" si="199"/>
        <v>9.3971708378672469E-2</v>
      </c>
      <c r="CL95" s="152">
        <f t="shared" si="199"/>
        <v>0.12887029288702928</v>
      </c>
      <c r="CM95" s="152">
        <f t="shared" si="199"/>
        <v>0.11357142857142857</v>
      </c>
      <c r="CN95" s="152">
        <f t="shared" si="199"/>
        <v>5.7889908256880736E-2</v>
      </c>
      <c r="CO95" s="302">
        <f t="shared" si="199"/>
        <v>8.4675324675324681E-2</v>
      </c>
      <c r="CP95" s="236">
        <f t="shared" si="199"/>
        <v>9.7203023758099347E-2</v>
      </c>
      <c r="CQ95" s="152">
        <f t="shared" si="199"/>
        <v>8.2875000000000004E-2</v>
      </c>
      <c r="CR95" s="152">
        <f t="shared" si="199"/>
        <v>8.9714285714285719E-2</v>
      </c>
      <c r="CS95" s="152">
        <f t="shared" si="199"/>
        <v>8.0526315789473682E-2</v>
      </c>
      <c r="CT95" s="152">
        <f t="shared" si="199"/>
        <v>6.8091286307053939E-2</v>
      </c>
      <c r="CU95" s="236">
        <f t="shared" si="199"/>
        <v>8.0331550802139037E-2</v>
      </c>
      <c r="CV95" s="152"/>
      <c r="CW95" s="152"/>
      <c r="CX95" s="152"/>
      <c r="CY95" s="302"/>
      <c r="CZ95" s="236"/>
      <c r="DA95" s="236"/>
      <c r="DB95" s="352"/>
      <c r="DC95" s="236"/>
      <c r="DF95" s="236">
        <f t="shared" si="195"/>
        <v>6.8091286307053939E-2</v>
      </c>
      <c r="DG95" s="236">
        <v>8.2132660983329539E-2</v>
      </c>
      <c r="DH95" s="236">
        <f t="shared" si="196"/>
        <v>8.4675324675324681E-2</v>
      </c>
      <c r="DI95" s="236">
        <f t="shared" si="5"/>
        <v>-0.17095969506120812</v>
      </c>
      <c r="DJ95" s="236">
        <f t="shared" si="6"/>
        <v>-0.19585444085227721</v>
      </c>
    </row>
    <row r="96" spans="3:114" hidden="1" outlineLevel="1">
      <c r="C96" s="336"/>
      <c r="D96" s="1" t="s">
        <v>790</v>
      </c>
      <c r="E96" s="337"/>
      <c r="F96" s="337"/>
      <c r="G96" s="337"/>
      <c r="H96" s="337"/>
      <c r="I96" s="337">
        <v>-683</v>
      </c>
      <c r="J96" s="338">
        <v>-126</v>
      </c>
      <c r="K96" s="338">
        <v>-98</v>
      </c>
      <c r="L96" s="338">
        <v>-100</v>
      </c>
      <c r="M96" s="337">
        <f>-373-SUM(J96:L96)</f>
        <v>-49</v>
      </c>
      <c r="N96" s="235">
        <f>SUM(J96:M96)</f>
        <v>-373</v>
      </c>
      <c r="O96" s="338">
        <v>-81</v>
      </c>
      <c r="P96" s="338">
        <v>-109</v>
      </c>
      <c r="Q96" s="338">
        <v>-86</v>
      </c>
      <c r="R96" s="337">
        <f>-350-SUM(O96:Q96)</f>
        <v>-74</v>
      </c>
      <c r="S96" s="235">
        <f>SUM(O96:R96)</f>
        <v>-350</v>
      </c>
      <c r="T96" s="338">
        <v>-79</v>
      </c>
      <c r="U96" s="338">
        <v>-141</v>
      </c>
      <c r="V96" s="338">
        <v>-211</v>
      </c>
      <c r="W96" s="337">
        <f>-483-SUM(T96:V96)</f>
        <v>-52</v>
      </c>
      <c r="X96" s="235">
        <f>SUM(T96:W96)</f>
        <v>-483</v>
      </c>
      <c r="Y96" s="338">
        <v>-31</v>
      </c>
      <c r="Z96" s="338">
        <v>-69</v>
      </c>
      <c r="AA96" s="338">
        <v>-26</v>
      </c>
      <c r="AB96" s="337">
        <f>-130-SUM(Y96:AA96)</f>
        <v>-4</v>
      </c>
      <c r="AC96" s="235">
        <f>SUM(Y96:AB96)</f>
        <v>-130</v>
      </c>
      <c r="AD96" s="338">
        <v>15</v>
      </c>
      <c r="AE96" s="338">
        <v>22</v>
      </c>
      <c r="AF96" s="338">
        <v>59</v>
      </c>
      <c r="AG96" s="337">
        <f>140-SUM(AD96:AF96)</f>
        <v>44</v>
      </c>
      <c r="AH96" s="235">
        <f>SUM(AD96:AG96)</f>
        <v>140</v>
      </c>
      <c r="AI96" s="338">
        <f>170-AJ96</f>
        <v>79</v>
      </c>
      <c r="AJ96" s="338">
        <v>91</v>
      </c>
      <c r="AK96" s="338">
        <v>98</v>
      </c>
      <c r="AL96" s="337">
        <f>399-SUM(AI96:AK96)</f>
        <v>131</v>
      </c>
      <c r="AM96" s="235">
        <f>SUM(AI96:AL96)</f>
        <v>399</v>
      </c>
      <c r="AN96" s="338">
        <f>247-AO96</f>
        <v>148</v>
      </c>
      <c r="AO96" s="338">
        <v>99</v>
      </c>
      <c r="AP96" s="338">
        <v>300</v>
      </c>
      <c r="AQ96" s="337">
        <f>661-SUM(AN96:AP96)</f>
        <v>114</v>
      </c>
      <c r="AR96" s="235">
        <f>SUM(AN96:AQ96)</f>
        <v>661</v>
      </c>
      <c r="AS96" s="338">
        <v>113</v>
      </c>
      <c r="AT96" s="338">
        <v>255</v>
      </c>
      <c r="AU96" s="338">
        <v>386</v>
      </c>
      <c r="AV96" s="337">
        <f>1172-SUM(AS96:AU96)</f>
        <v>418</v>
      </c>
      <c r="AW96" s="235">
        <f>SUM(AS96:AV96)</f>
        <v>1172</v>
      </c>
      <c r="AX96" s="338">
        <v>257</v>
      </c>
      <c r="AY96" s="338">
        <v>388</v>
      </c>
      <c r="AZ96" s="338">
        <v>480</v>
      </c>
      <c r="BA96" s="337">
        <f>1230-SUM(AX96:AZ96)</f>
        <v>105</v>
      </c>
      <c r="BB96" s="235">
        <f>SUM(AX96:BA96)</f>
        <v>1230</v>
      </c>
      <c r="BC96" s="338">
        <v>63</v>
      </c>
      <c r="BD96" s="338">
        <v>73</v>
      </c>
      <c r="BE96" s="338">
        <v>241</v>
      </c>
      <c r="BF96" s="337">
        <f>745-SUM(BC96:BE96)</f>
        <v>368</v>
      </c>
      <c r="BG96" s="235">
        <f>SUM(BC96:BF96)</f>
        <v>745</v>
      </c>
      <c r="BH96" s="338">
        <v>203</v>
      </c>
      <c r="BI96" s="338">
        <v>285</v>
      </c>
      <c r="BJ96" s="338">
        <v>241</v>
      </c>
      <c r="BK96" s="337">
        <f>1010-SUM(BH96:BJ96)</f>
        <v>281</v>
      </c>
      <c r="BL96" s="235">
        <f>SUM(BH96:BK96)</f>
        <v>1010</v>
      </c>
      <c r="BM96" s="338">
        <v>210</v>
      </c>
      <c r="BN96" s="338">
        <v>267</v>
      </c>
      <c r="BO96" s="338">
        <v>276</v>
      </c>
      <c r="BP96" s="337">
        <f>861-SUM(BM96:BO96)</f>
        <v>108</v>
      </c>
      <c r="BQ96" s="235">
        <f>SUM(BM96:BP96)</f>
        <v>861</v>
      </c>
      <c r="BR96" s="338">
        <v>54</v>
      </c>
      <c r="BS96" s="338">
        <v>5</v>
      </c>
      <c r="BT96" s="338">
        <v>9</v>
      </c>
      <c r="BU96" s="337">
        <f>213-SUM(BR96:BT96)</f>
        <v>145</v>
      </c>
      <c r="BV96" s="235">
        <f>SUM(BR96:BU96)</f>
        <v>213</v>
      </c>
      <c r="BW96" s="338">
        <v>-218</v>
      </c>
      <c r="BX96" s="338">
        <v>151</v>
      </c>
      <c r="BY96" s="338">
        <v>159</v>
      </c>
      <c r="BZ96" s="337">
        <f>-34-SUM(BW96:BY96)</f>
        <v>-126</v>
      </c>
      <c r="CA96" s="235">
        <f>SUM(BW96:BZ96)</f>
        <v>-34</v>
      </c>
      <c r="CB96" s="338">
        <v>-510</v>
      </c>
      <c r="CC96" s="338">
        <v>-295</v>
      </c>
      <c r="CD96" s="338">
        <v>-170</v>
      </c>
      <c r="CE96" s="337">
        <f>-1162-SUM(CB96:CD96)</f>
        <v>-187</v>
      </c>
      <c r="CF96" s="235">
        <f>SUM(CB96:CE96)</f>
        <v>-1162</v>
      </c>
      <c r="CG96" s="338">
        <v>-189</v>
      </c>
      <c r="CH96" s="338">
        <v>-185</v>
      </c>
      <c r="CI96" s="338">
        <v>-163</v>
      </c>
      <c r="CJ96" s="337">
        <v>-295</v>
      </c>
      <c r="CK96" s="235">
        <f>SUM(CG96:CJ96)</f>
        <v>-832</v>
      </c>
      <c r="CL96" s="338">
        <f>-256</f>
        <v>-256</v>
      </c>
      <c r="CM96" s="338">
        <f>-265</f>
        <v>-265</v>
      </c>
      <c r="CN96" s="338">
        <v>-295</v>
      </c>
      <c r="CO96" s="337">
        <v>-293</v>
      </c>
      <c r="CP96" s="235">
        <f>SUM(CL96:CO96)</f>
        <v>-1109</v>
      </c>
      <c r="CQ96" s="338">
        <v>-244</v>
      </c>
      <c r="CR96" s="338">
        <v>-185</v>
      </c>
      <c r="CS96" s="338">
        <v>-158</v>
      </c>
      <c r="CT96" s="338">
        <v>-197</v>
      </c>
      <c r="CU96" s="235">
        <f>SUM(CQ96:CT96)</f>
        <v>-784</v>
      </c>
      <c r="CV96" s="165"/>
      <c r="CW96" s="165"/>
      <c r="CX96" s="165"/>
      <c r="CY96" s="300"/>
      <c r="CZ96" s="235"/>
      <c r="DA96" s="235"/>
      <c r="DB96" s="248"/>
      <c r="DC96" s="235"/>
      <c r="DF96" s="235">
        <f t="shared" si="195"/>
        <v>-197</v>
      </c>
      <c r="DG96" s="235">
        <v>-155.5</v>
      </c>
      <c r="DH96" s="235">
        <f t="shared" si="196"/>
        <v>-293</v>
      </c>
      <c r="DI96" s="235">
        <f t="shared" si="5"/>
        <v>0.26688102893890675</v>
      </c>
      <c r="DJ96" s="235">
        <f t="shared" si="6"/>
        <v>-0.32764505119453924</v>
      </c>
    </row>
    <row r="97" spans="3:114" hidden="1" outlineLevel="1">
      <c r="C97" s="336"/>
      <c r="D97" s="339" t="s">
        <v>77</v>
      </c>
      <c r="E97" s="236"/>
      <c r="F97" s="236"/>
      <c r="G97" s="236"/>
      <c r="H97" s="236"/>
      <c r="I97" s="236">
        <f t="shared" ref="I97:AN97" si="200">I96/I31</f>
        <v>-0.30048394192696876</v>
      </c>
      <c r="J97" s="152">
        <f t="shared" si="200"/>
        <v>-0.21392190152801357</v>
      </c>
      <c r="K97" s="152">
        <f t="shared" si="200"/>
        <v>-0.15030674846625766</v>
      </c>
      <c r="L97" s="152">
        <f t="shared" si="200"/>
        <v>-0.15313935681470137</v>
      </c>
      <c r="M97" s="152">
        <f t="shared" si="200"/>
        <v>-7.6323987538940805E-2</v>
      </c>
      <c r="N97" s="236">
        <f t="shared" si="200"/>
        <v>-0.1470820189274448</v>
      </c>
      <c r="O97" s="152">
        <f t="shared" si="200"/>
        <v>-0.13278688524590163</v>
      </c>
      <c r="P97" s="152">
        <f t="shared" si="200"/>
        <v>-0.17165354330708663</v>
      </c>
      <c r="Q97" s="152">
        <f t="shared" si="200"/>
        <v>-0.16602316602316602</v>
      </c>
      <c r="R97" s="152">
        <f t="shared" si="200"/>
        <v>-0.15879828326180256</v>
      </c>
      <c r="S97" s="236">
        <f t="shared" si="200"/>
        <v>-0.15702108568864961</v>
      </c>
      <c r="T97" s="152">
        <f t="shared" si="200"/>
        <v>-0.19174757281553398</v>
      </c>
      <c r="U97" s="152">
        <f t="shared" si="200"/>
        <v>-0.31614349775784756</v>
      </c>
      <c r="V97" s="152">
        <f t="shared" si="200"/>
        <v>-0.51970443349753692</v>
      </c>
      <c r="W97" s="152">
        <f t="shared" si="200"/>
        <v>-0.14772727272727273</v>
      </c>
      <c r="X97" s="236">
        <f t="shared" si="200"/>
        <v>-0.29888613861386137</v>
      </c>
      <c r="Y97" s="152">
        <f t="shared" si="200"/>
        <v>-0.10333333333333333</v>
      </c>
      <c r="Z97" s="152">
        <f t="shared" si="200"/>
        <v>-0.17249999999999999</v>
      </c>
      <c r="AA97" s="152">
        <f t="shared" si="200"/>
        <v>-5.1999999999999998E-2</v>
      </c>
      <c r="AB97" s="152">
        <f t="shared" si="200"/>
        <v>-5.9084194977843431E-3</v>
      </c>
      <c r="AC97" s="236">
        <f t="shared" si="200"/>
        <v>-6.9259456579648382E-2</v>
      </c>
      <c r="AD97" s="152">
        <f t="shared" si="200"/>
        <v>2.3076923076923078E-2</v>
      </c>
      <c r="AE97" s="152">
        <f t="shared" si="200"/>
        <v>3.308270676691729E-2</v>
      </c>
      <c r="AF97" s="152">
        <f t="shared" si="200"/>
        <v>7.5255102040816327E-2</v>
      </c>
      <c r="AG97" s="152">
        <f t="shared" si="200"/>
        <v>4.8943270300333706E-2</v>
      </c>
      <c r="AH97" s="236">
        <f t="shared" si="200"/>
        <v>4.6697798532354902E-2</v>
      </c>
      <c r="AI97" s="152">
        <f t="shared" si="200"/>
        <v>9.1224018475750582E-2</v>
      </c>
      <c r="AJ97" s="152">
        <f t="shared" si="200"/>
        <v>8.7332053742802299E-2</v>
      </c>
      <c r="AK97" s="152">
        <f t="shared" si="200"/>
        <v>8.4555651423641076E-2</v>
      </c>
      <c r="AL97" s="152">
        <f t="shared" si="200"/>
        <v>0.100846805234796</v>
      </c>
      <c r="AM97" s="236">
        <f t="shared" si="200"/>
        <v>9.138799816765919E-2</v>
      </c>
      <c r="AN97" s="152">
        <f t="shared" si="200"/>
        <v>0.12736660929432014</v>
      </c>
      <c r="AO97" s="152">
        <f t="shared" ref="AO97:BT97" si="201">AO96/AO31</f>
        <v>7.6803723816912334E-2</v>
      </c>
      <c r="AP97" s="152">
        <f t="shared" si="201"/>
        <v>0.19697964543663821</v>
      </c>
      <c r="AQ97" s="152">
        <f t="shared" si="201"/>
        <v>6.6163668020893796E-2</v>
      </c>
      <c r="AR97" s="236">
        <f t="shared" si="201"/>
        <v>0.11602597858522029</v>
      </c>
      <c r="AS97" s="152">
        <f t="shared" si="201"/>
        <v>8.8074824629773965E-2</v>
      </c>
      <c r="AT97" s="152">
        <f t="shared" si="201"/>
        <v>0.13957307060755336</v>
      </c>
      <c r="AU97" s="152">
        <f t="shared" si="201"/>
        <v>0.18701550387596899</v>
      </c>
      <c r="AV97" s="152">
        <f t="shared" si="201"/>
        <v>0.17337204479469101</v>
      </c>
      <c r="AW97" s="236">
        <f t="shared" si="201"/>
        <v>0.15451549110085697</v>
      </c>
      <c r="AX97" s="152">
        <f t="shared" si="201"/>
        <v>0.13952225841476656</v>
      </c>
      <c r="AY97" s="152">
        <f t="shared" si="201"/>
        <v>0.16538789428815004</v>
      </c>
      <c r="AZ97" s="152">
        <f t="shared" si="201"/>
        <v>0.17699115044247787</v>
      </c>
      <c r="BA97" s="152">
        <f t="shared" si="201"/>
        <v>6.0068649885583525E-2</v>
      </c>
      <c r="BB97" s="236">
        <f t="shared" si="201"/>
        <v>0.14222941720629048</v>
      </c>
      <c r="BC97" s="152">
        <f t="shared" si="201"/>
        <v>4.4871794871794872E-2</v>
      </c>
      <c r="BD97" s="152">
        <f t="shared" si="201"/>
        <v>3.9673913043478261E-2</v>
      </c>
      <c r="BE97" s="152">
        <f t="shared" si="201"/>
        <v>0.11536620392532312</v>
      </c>
      <c r="BF97" s="152">
        <f t="shared" si="201"/>
        <v>0.14078041315990819</v>
      </c>
      <c r="BG97" s="236">
        <f t="shared" si="201"/>
        <v>9.3746067698502578E-2</v>
      </c>
      <c r="BH97" s="152">
        <f t="shared" si="201"/>
        <v>0.10079443892750745</v>
      </c>
      <c r="BI97" s="152">
        <f t="shared" si="201"/>
        <v>0.10877862595419847</v>
      </c>
      <c r="BJ97" s="152">
        <f t="shared" si="201"/>
        <v>9.8649201801064262E-2</v>
      </c>
      <c r="BK97" s="152">
        <f t="shared" si="201"/>
        <v>9.9363507779349367E-2</v>
      </c>
      <c r="BL97" s="236">
        <f t="shared" si="201"/>
        <v>0.10196870267541645</v>
      </c>
      <c r="BM97" s="152">
        <f t="shared" si="201"/>
        <v>9.0556274256144889E-2</v>
      </c>
      <c r="BN97" s="152">
        <f t="shared" si="201"/>
        <v>9.1095189355168887E-2</v>
      </c>
      <c r="BO97" s="152">
        <f t="shared" si="201"/>
        <v>9.264853977844914E-2</v>
      </c>
      <c r="BP97" s="152">
        <f t="shared" si="201"/>
        <v>3.9315617036767385E-2</v>
      </c>
      <c r="BQ97" s="236">
        <f t="shared" si="201"/>
        <v>7.8443877551020405E-2</v>
      </c>
      <c r="BR97" s="152">
        <f t="shared" si="201"/>
        <v>2.2499999999999999E-2</v>
      </c>
      <c r="BS97" s="152">
        <f t="shared" si="201"/>
        <v>2.1739130434782609E-3</v>
      </c>
      <c r="BT97" s="152">
        <f t="shared" si="201"/>
        <v>3.9130434782608699E-3</v>
      </c>
      <c r="BU97" s="152">
        <f t="shared" ref="BU97:CU97" si="202">BU96/BU31</f>
        <v>4.6774193548387098E-2</v>
      </c>
      <c r="BV97" s="236">
        <f t="shared" si="202"/>
        <v>2.108910891089109E-2</v>
      </c>
      <c r="BW97" s="152">
        <f t="shared" si="202"/>
        <v>-9.4782608695652179E-2</v>
      </c>
      <c r="BX97" s="152">
        <f t="shared" si="202"/>
        <v>5.0333333333333334E-2</v>
      </c>
      <c r="BY97" s="152">
        <f t="shared" si="202"/>
        <v>5.6785714285714287E-2</v>
      </c>
      <c r="BZ97" s="152">
        <f t="shared" si="202"/>
        <v>-4.6666666666666669E-2</v>
      </c>
      <c r="CA97" s="236">
        <f t="shared" si="202"/>
        <v>-3.1481481481481482E-3</v>
      </c>
      <c r="CB97" s="152">
        <f t="shared" si="202"/>
        <v>-0.26842105263157895</v>
      </c>
      <c r="CC97" s="152">
        <f t="shared" si="202"/>
        <v>-0.14047619047619048</v>
      </c>
      <c r="CD97" s="152">
        <f t="shared" si="202"/>
        <v>-7.3913043478260873E-2</v>
      </c>
      <c r="CE97" s="152">
        <f t="shared" si="202"/>
        <v>-7.4800000000000005E-2</v>
      </c>
      <c r="CF97" s="236">
        <f t="shared" si="202"/>
        <v>-0.13204545454545455</v>
      </c>
      <c r="CG97" s="152">
        <f t="shared" si="202"/>
        <v>-0.126</v>
      </c>
      <c r="CH97" s="152">
        <f t="shared" si="202"/>
        <v>-0.12333333333333334</v>
      </c>
      <c r="CI97" s="152">
        <f t="shared" si="202"/>
        <v>-0.10187499999999999</v>
      </c>
      <c r="CJ97" s="152">
        <f t="shared" si="202"/>
        <v>-0.24583333333333332</v>
      </c>
      <c r="CK97" s="236">
        <f t="shared" si="202"/>
        <v>-0.14344827586206896</v>
      </c>
      <c r="CL97" s="152">
        <f t="shared" si="202"/>
        <v>-0.32</v>
      </c>
      <c r="CM97" s="152">
        <f t="shared" si="202"/>
        <v>-0.20384615384615384</v>
      </c>
      <c r="CN97" s="152">
        <f t="shared" si="202"/>
        <v>-0.22692307692307692</v>
      </c>
      <c r="CO97" s="302">
        <f t="shared" si="202"/>
        <v>-0.2092857142857143</v>
      </c>
      <c r="CP97" s="236">
        <f t="shared" si="202"/>
        <v>-0.23104166666666667</v>
      </c>
      <c r="CQ97" s="152">
        <f t="shared" si="202"/>
        <v>-0.22181818181818183</v>
      </c>
      <c r="CR97" s="152">
        <f t="shared" si="202"/>
        <v>-0.12333333333333334</v>
      </c>
      <c r="CS97" s="152">
        <f t="shared" si="202"/>
        <v>-0.10533333333333333</v>
      </c>
      <c r="CT97" s="152">
        <f t="shared" si="202"/>
        <v>-0.11588235294117646</v>
      </c>
      <c r="CU97" s="236">
        <f t="shared" si="202"/>
        <v>-0.13517241379310344</v>
      </c>
      <c r="CV97" s="152"/>
      <c r="CW97" s="152"/>
      <c r="CX97" s="152"/>
      <c r="CY97" s="302"/>
      <c r="CZ97" s="236"/>
      <c r="DA97" s="236"/>
      <c r="DB97" s="352"/>
      <c r="DC97" s="236"/>
      <c r="DF97" s="236">
        <f t="shared" si="195"/>
        <v>-0.11588235294117646</v>
      </c>
      <c r="DG97" s="236">
        <v>-0.10350519855691788</v>
      </c>
      <c r="DH97" s="236">
        <f t="shared" si="196"/>
        <v>-0.2092857142857143</v>
      </c>
      <c r="DI97" s="236">
        <f t="shared" si="5"/>
        <v>0.11958002648004529</v>
      </c>
      <c r="DJ97" s="236">
        <f t="shared" si="6"/>
        <v>-0.44629592451315003</v>
      </c>
    </row>
    <row r="98" spans="3:114" hidden="1" outlineLevel="1">
      <c r="C98" s="336"/>
      <c r="D98" s="1" t="s">
        <v>791</v>
      </c>
      <c r="E98" s="337"/>
      <c r="F98" s="337"/>
      <c r="G98" s="337"/>
      <c r="H98" s="337"/>
      <c r="I98" s="337">
        <v>-160</v>
      </c>
      <c r="J98" s="338">
        <v>-19</v>
      </c>
      <c r="K98" s="338">
        <v>235</v>
      </c>
      <c r="L98" s="338">
        <v>-344</v>
      </c>
      <c r="M98" s="337">
        <f>-97-SUM(J98:L98)</f>
        <v>31</v>
      </c>
      <c r="N98" s="235">
        <f>SUM(J98:M98)</f>
        <v>-97</v>
      </c>
      <c r="O98" s="338">
        <v>138</v>
      </c>
      <c r="P98" s="338">
        <v>212</v>
      </c>
      <c r="Q98" s="338">
        <v>-30</v>
      </c>
      <c r="R98" s="337">
        <f>424-SUM(O98:Q98)</f>
        <v>104</v>
      </c>
      <c r="S98" s="235">
        <f>SUM(O98:R98)</f>
        <v>424</v>
      </c>
      <c r="T98" s="338">
        <v>177</v>
      </c>
      <c r="U98" s="338">
        <v>231</v>
      </c>
      <c r="V98" s="338">
        <v>-188</v>
      </c>
      <c r="W98" s="337">
        <f>-6-SUM(T98:V98)</f>
        <v>-226</v>
      </c>
      <c r="X98" s="235">
        <f>SUM(T98:W98)</f>
        <v>-6</v>
      </c>
      <c r="Y98" s="338">
        <v>-249</v>
      </c>
      <c r="Z98" s="338">
        <v>-525</v>
      </c>
      <c r="AA98" s="338">
        <v>-452</v>
      </c>
      <c r="AB98" s="337">
        <f>-1113-SUM(Y98:AA98)</f>
        <v>113</v>
      </c>
      <c r="AC98" s="235">
        <f>SUM(Y98:AB98)</f>
        <v>-1113</v>
      </c>
      <c r="AD98" s="338">
        <v>5</v>
      </c>
      <c r="AE98" s="338">
        <v>211</v>
      </c>
      <c r="AF98" s="338">
        <v>-33</v>
      </c>
      <c r="AG98" s="337">
        <f>114-SUM(AD98:AF98)</f>
        <v>-69</v>
      </c>
      <c r="AH98" s="235">
        <f>SUM(AD98:AG98)</f>
        <v>114</v>
      </c>
      <c r="AI98" s="338">
        <f>131-AJ98</f>
        <v>70</v>
      </c>
      <c r="AJ98" s="338">
        <v>61</v>
      </c>
      <c r="AK98" s="338">
        <v>-131</v>
      </c>
      <c r="AL98" s="337">
        <f>-437-SUM(AI98:AK98)</f>
        <v>-437</v>
      </c>
      <c r="AM98" s="235">
        <f>SUM(AI98:AL98)</f>
        <v>-437</v>
      </c>
      <c r="AN98" s="338">
        <f>227-AO98</f>
        <v>56</v>
      </c>
      <c r="AO98" s="338">
        <v>171</v>
      </c>
      <c r="AP98" s="338">
        <v>-34</v>
      </c>
      <c r="AQ98" s="337">
        <f>371-SUM(AN98:AP98)</f>
        <v>178</v>
      </c>
      <c r="AR98" s="235">
        <f>SUM(AN98:AQ98)</f>
        <v>371</v>
      </c>
      <c r="AS98" s="338">
        <v>208</v>
      </c>
      <c r="AT98" s="338">
        <v>184</v>
      </c>
      <c r="AU98" s="338">
        <v>254</v>
      </c>
      <c r="AV98" s="337">
        <f>744-SUM(AS98:AU98)</f>
        <v>98</v>
      </c>
      <c r="AW98" s="235">
        <f>SUM(AS98:AV98)</f>
        <v>744</v>
      </c>
      <c r="AX98" s="338">
        <v>728</v>
      </c>
      <c r="AY98" s="338">
        <v>579</v>
      </c>
      <c r="AZ98" s="338">
        <v>29</v>
      </c>
      <c r="BA98" s="337">
        <f>970-SUM(AX98:AZ98)</f>
        <v>-366</v>
      </c>
      <c r="BB98" s="235">
        <f>SUM(AX98:BA98)</f>
        <v>970</v>
      </c>
      <c r="BC98" s="338">
        <v>-555</v>
      </c>
      <c r="BD98" s="338">
        <v>-101</v>
      </c>
      <c r="BE98" s="338">
        <v>177</v>
      </c>
      <c r="BF98" s="337">
        <f>-226-SUM(BC98:BE98)</f>
        <v>253</v>
      </c>
      <c r="BG98" s="235">
        <f>SUM(BC98:BF98)</f>
        <v>-226</v>
      </c>
      <c r="BH98" s="338">
        <v>75</v>
      </c>
      <c r="BI98" s="338">
        <v>322</v>
      </c>
      <c r="BJ98" s="338">
        <v>-196</v>
      </c>
      <c r="BK98" s="337">
        <f>182-SUM(BH98:BJ98)</f>
        <v>-19</v>
      </c>
      <c r="BL98" s="235">
        <f>SUM(BH98:BK98)</f>
        <v>182</v>
      </c>
      <c r="BM98" s="338">
        <v>293</v>
      </c>
      <c r="BN98" s="338">
        <v>176</v>
      </c>
      <c r="BO98" s="338">
        <v>-306</v>
      </c>
      <c r="BP98" s="337">
        <f>-27-SUM(BM98:BO98)</f>
        <v>-190</v>
      </c>
      <c r="BQ98" s="235">
        <f>SUM(BM98:BP98)</f>
        <v>-27</v>
      </c>
      <c r="BR98" s="338">
        <v>-149</v>
      </c>
      <c r="BS98" s="338">
        <v>-404</v>
      </c>
      <c r="BT98" s="338">
        <v>-468</v>
      </c>
      <c r="BU98" s="337">
        <f>-1753-SUM(BR98:BT98)</f>
        <v>-732</v>
      </c>
      <c r="BV98" s="235">
        <f>SUM(BR98:BU98)</f>
        <v>-1753</v>
      </c>
      <c r="BW98" s="338">
        <v>-462</v>
      </c>
      <c r="BX98" s="338">
        <v>-348</v>
      </c>
      <c r="BY98" s="338">
        <v>-228</v>
      </c>
      <c r="BZ98" s="337">
        <f>-1609-SUM(BW98:BY98)</f>
        <v>-571</v>
      </c>
      <c r="CA98" s="235">
        <f>SUM(BW98:BZ98)</f>
        <v>-1609</v>
      </c>
      <c r="CB98" s="338">
        <f>-194+54</f>
        <v>-140</v>
      </c>
      <c r="CC98" s="338">
        <f>14+23</f>
        <v>37</v>
      </c>
      <c r="CD98" s="338">
        <f>-439-15</f>
        <v>-454</v>
      </c>
      <c r="CE98" s="337">
        <f>-1062-20-SUM(CB98:CD98)</f>
        <v>-525</v>
      </c>
      <c r="CF98" s="235">
        <f>SUM(CB98:CE98)</f>
        <v>-1082</v>
      </c>
      <c r="CG98" s="338">
        <f>-185+79</f>
        <v>-106</v>
      </c>
      <c r="CH98" s="338">
        <f>-14-46</f>
        <v>-60</v>
      </c>
      <c r="CI98" s="338">
        <f>-182-15</f>
        <v>-197</v>
      </c>
      <c r="CJ98" s="337">
        <f>131+13</f>
        <v>144</v>
      </c>
      <c r="CK98" s="235">
        <f>SUM(CG98:CJ98)</f>
        <v>-219</v>
      </c>
      <c r="CL98" s="338">
        <f>434-14</f>
        <v>420</v>
      </c>
      <c r="CM98" s="338">
        <f>467-65</f>
        <v>402</v>
      </c>
      <c r="CN98" s="338">
        <f>138-152</f>
        <v>-14</v>
      </c>
      <c r="CO98" s="337">
        <f>166-71</f>
        <v>95</v>
      </c>
      <c r="CP98" s="235">
        <f>SUM(CL98:CO98)</f>
        <v>903</v>
      </c>
      <c r="CQ98" s="338">
        <f>176-80</f>
        <v>96</v>
      </c>
      <c r="CR98" s="338">
        <f>88-53</f>
        <v>35</v>
      </c>
      <c r="CS98" s="338">
        <f>-86-60</f>
        <v>-146</v>
      </c>
      <c r="CT98" s="338">
        <f>56-70</f>
        <v>-14</v>
      </c>
      <c r="CU98" s="235">
        <f>SUM(CQ98:CT98)</f>
        <v>-29</v>
      </c>
      <c r="CV98" s="165"/>
      <c r="CW98" s="165"/>
      <c r="CX98" s="165"/>
      <c r="CY98" s="300"/>
      <c r="CZ98" s="235"/>
      <c r="DA98" s="235"/>
      <c r="DB98" s="248"/>
      <c r="DC98" s="235"/>
      <c r="DF98" s="235">
        <f t="shared" si="195"/>
        <v>-14</v>
      </c>
      <c r="DG98" s="235">
        <v>-142.19999999999999</v>
      </c>
      <c r="DH98" s="235">
        <f t="shared" si="196"/>
        <v>95</v>
      </c>
      <c r="DI98" s="235">
        <f t="shared" si="5"/>
        <v>-0.90154711673699017</v>
      </c>
      <c r="DJ98" s="235">
        <f t="shared" si="6"/>
        <v>-1.1473684210526316</v>
      </c>
    </row>
    <row r="99" spans="3:114" hidden="1" outlineLevel="1">
      <c r="C99" s="336"/>
      <c r="D99" s="339" t="s">
        <v>77</v>
      </c>
      <c r="E99" s="236"/>
      <c r="F99" s="236"/>
      <c r="G99" s="236"/>
      <c r="H99" s="236"/>
      <c r="I99" s="236">
        <f t="shared" ref="I99:AN99" si="203">I98/I33</f>
        <v>-5.4525627044711015E-3</v>
      </c>
      <c r="J99" s="152">
        <f t="shared" si="203"/>
        <v>-2.6651704306354328E-3</v>
      </c>
      <c r="K99" s="152">
        <f t="shared" si="203"/>
        <v>3.0916984607288516E-2</v>
      </c>
      <c r="L99" s="152">
        <f t="shared" si="203"/>
        <v>-5.2026618269812461E-2</v>
      </c>
      <c r="M99" s="152">
        <f t="shared" si="203"/>
        <v>4.2280414620840152E-3</v>
      </c>
      <c r="N99" s="236">
        <f t="shared" si="203"/>
        <v>-3.3828555485805956E-3</v>
      </c>
      <c r="O99" s="152">
        <f t="shared" si="203"/>
        <v>1.5891294334408106E-2</v>
      </c>
      <c r="P99" s="152">
        <f t="shared" si="203"/>
        <v>2.6237623762376237E-2</v>
      </c>
      <c r="Q99" s="152">
        <f t="shared" si="203"/>
        <v>-4.4742729306487695E-3</v>
      </c>
      <c r="R99" s="152">
        <f t="shared" si="203"/>
        <v>1.2298959318826869E-2</v>
      </c>
      <c r="S99" s="236">
        <f t="shared" si="203"/>
        <v>1.3281127642913077E-2</v>
      </c>
      <c r="T99" s="152">
        <f t="shared" si="203"/>
        <v>2.4706867671691793E-2</v>
      </c>
      <c r="U99" s="152">
        <f t="shared" si="203"/>
        <v>2.8218910334717812E-2</v>
      </c>
      <c r="V99" s="152">
        <f t="shared" si="203"/>
        <v>-2.4903960789508545E-2</v>
      </c>
      <c r="W99" s="152">
        <f t="shared" si="203"/>
        <v>-2.4575902566333189E-2</v>
      </c>
      <c r="X99" s="236">
        <f t="shared" si="203"/>
        <v>-1.8694500701043777E-4</v>
      </c>
      <c r="Y99" s="152">
        <f t="shared" si="203"/>
        <v>-4.9799999999999997E-2</v>
      </c>
      <c r="Z99" s="152">
        <f t="shared" si="203"/>
        <v>-0.10096153846153846</v>
      </c>
      <c r="AA99" s="152">
        <f t="shared" si="203"/>
        <v>-9.6170212765957441E-2</v>
      </c>
      <c r="AB99" s="152">
        <f t="shared" si="203"/>
        <v>1.5509195717814988E-2</v>
      </c>
      <c r="AC99" s="236">
        <f t="shared" si="203"/>
        <v>-5.0166771838096098E-2</v>
      </c>
      <c r="AD99" s="152">
        <f t="shared" si="203"/>
        <v>7.7399380804953565E-4</v>
      </c>
      <c r="AE99" s="152">
        <f t="shared" si="203"/>
        <v>3.1328878990348925E-2</v>
      </c>
      <c r="AF99" s="152">
        <f t="shared" si="203"/>
        <v>-5.5780933062880324E-3</v>
      </c>
      <c r="AG99" s="152">
        <f t="shared" si="203"/>
        <v>-9.2929292929292938E-3</v>
      </c>
      <c r="AH99" s="236">
        <f t="shared" si="203"/>
        <v>4.2960506481760623E-3</v>
      </c>
      <c r="AI99" s="152">
        <f t="shared" si="203"/>
        <v>9.0968161143599735E-3</v>
      </c>
      <c r="AJ99" s="152">
        <f t="shared" si="203"/>
        <v>7.734246227970077E-3</v>
      </c>
      <c r="AK99" s="152">
        <f t="shared" si="203"/>
        <v>-2.0462355513901905E-2</v>
      </c>
      <c r="AL99" s="152">
        <f t="shared" si="203"/>
        <v>-5.5079405092009072E-2</v>
      </c>
      <c r="AM99" s="236">
        <f t="shared" si="203"/>
        <v>-1.460659134968915E-2</v>
      </c>
      <c r="AN99" s="152">
        <f t="shared" si="203"/>
        <v>8.2669028638913487E-3</v>
      </c>
      <c r="AO99" s="152">
        <f t="shared" ref="AO99:BT99" si="204">AO98/AO33</f>
        <v>2.2721233058729737E-2</v>
      </c>
      <c r="AP99" s="152">
        <f t="shared" si="204"/>
        <v>-4.6735395189003437E-3</v>
      </c>
      <c r="AQ99" s="152">
        <f t="shared" si="204"/>
        <v>2.0183694296405489E-2</v>
      </c>
      <c r="AR99" s="236">
        <f t="shared" si="204"/>
        <v>1.2206356517733764E-2</v>
      </c>
      <c r="AS99" s="152">
        <f t="shared" si="204"/>
        <v>2.4096385542168676E-2</v>
      </c>
      <c r="AT99" s="152">
        <f t="shared" si="204"/>
        <v>1.9993480386830381E-2</v>
      </c>
      <c r="AU99" s="152">
        <f t="shared" si="204"/>
        <v>3.0499519692603266E-2</v>
      </c>
      <c r="AV99" s="152">
        <f t="shared" si="204"/>
        <v>9.6390282285826693E-3</v>
      </c>
      <c r="AW99" s="236">
        <f t="shared" si="204"/>
        <v>2.0478943022295623E-2</v>
      </c>
      <c r="AX99" s="152">
        <f t="shared" si="204"/>
        <v>7.1688823239783359E-2</v>
      </c>
      <c r="AY99" s="152">
        <f t="shared" si="204"/>
        <v>5.0090838307812094E-2</v>
      </c>
      <c r="AZ99" s="152">
        <f t="shared" si="204"/>
        <v>3.0020703933747411E-3</v>
      </c>
      <c r="BA99" s="152">
        <f t="shared" si="204"/>
        <v>-4.7937131630648333E-2</v>
      </c>
      <c r="BB99" s="236">
        <f t="shared" si="204"/>
        <v>2.4866056551052323E-2</v>
      </c>
      <c r="BC99" s="152">
        <f t="shared" si="204"/>
        <v>-9.2608042716502581E-2</v>
      </c>
      <c r="BD99" s="152">
        <f t="shared" si="204"/>
        <v>-1.3961846834393143E-2</v>
      </c>
      <c r="BE99" s="152">
        <f t="shared" si="204"/>
        <v>2.3338607594936708E-2</v>
      </c>
      <c r="BF99" s="152">
        <f t="shared" si="204"/>
        <v>2.9272243433992828E-2</v>
      </c>
      <c r="BG99" s="236">
        <f t="shared" si="204"/>
        <v>-7.672981598424662E-3</v>
      </c>
      <c r="BH99" s="152">
        <f t="shared" si="204"/>
        <v>9.8077677520596318E-3</v>
      </c>
      <c r="BI99" s="152">
        <f t="shared" si="204"/>
        <v>4.265465624586038E-2</v>
      </c>
      <c r="BJ99" s="152">
        <f t="shared" si="204"/>
        <v>-3.1496062992125984E-2</v>
      </c>
      <c r="BK99" s="152">
        <f t="shared" si="204"/>
        <v>-2.3552745754307674E-3</v>
      </c>
      <c r="BL99" s="236">
        <f t="shared" si="204"/>
        <v>6.1724208098758735E-3</v>
      </c>
      <c r="BM99" s="152">
        <f t="shared" si="204"/>
        <v>3.3658816771970135E-2</v>
      </c>
      <c r="BN99" s="152">
        <f t="shared" si="204"/>
        <v>1.9555555555555555E-2</v>
      </c>
      <c r="BO99" s="152">
        <f t="shared" si="204"/>
        <v>-3.9296263002439963E-2</v>
      </c>
      <c r="BP99" s="152">
        <f t="shared" si="204"/>
        <v>-2.2985724655214129E-2</v>
      </c>
      <c r="BQ99" s="236">
        <f t="shared" si="204"/>
        <v>-7.9981041530896384E-4</v>
      </c>
      <c r="BR99" s="152">
        <f t="shared" si="204"/>
        <v>-2.0694444444444446E-2</v>
      </c>
      <c r="BS99" s="152">
        <f t="shared" si="204"/>
        <v>-5.6901408450704224E-2</v>
      </c>
      <c r="BT99" s="152">
        <f t="shared" si="204"/>
        <v>-8.0689655172413791E-2</v>
      </c>
      <c r="BU99" s="152">
        <f t="shared" ref="BU99:CU99" si="205">BU98/BU33</f>
        <v>-0.11261538461538462</v>
      </c>
      <c r="BV99" s="236">
        <f t="shared" si="205"/>
        <v>-6.590225563909774E-2</v>
      </c>
      <c r="BW99" s="152">
        <f t="shared" si="205"/>
        <v>-6.8955223880597008E-2</v>
      </c>
      <c r="BX99" s="152">
        <f t="shared" si="205"/>
        <v>-4.5789473684210526E-2</v>
      </c>
      <c r="BY99" s="152">
        <f t="shared" si="205"/>
        <v>-3.5076923076923075E-2</v>
      </c>
      <c r="BZ99" s="152">
        <f t="shared" si="205"/>
        <v>-8.0422535211267604E-2</v>
      </c>
      <c r="CA99" s="236">
        <f t="shared" si="205"/>
        <v>-5.7670250896057346E-2</v>
      </c>
      <c r="CB99" s="152">
        <f t="shared" si="205"/>
        <v>-1.5555555555555555E-2</v>
      </c>
      <c r="CC99" s="152">
        <f t="shared" si="205"/>
        <v>4.0659340659340657E-3</v>
      </c>
      <c r="CD99" s="152">
        <f t="shared" si="205"/>
        <v>-5.6750000000000002E-2</v>
      </c>
      <c r="CE99" s="152">
        <f t="shared" si="205"/>
        <v>-6.7307692307692304E-2</v>
      </c>
      <c r="CF99" s="236">
        <f t="shared" si="205"/>
        <v>-3.1917404129793513E-2</v>
      </c>
      <c r="CG99" s="152">
        <f t="shared" si="205"/>
        <v>-1.325E-2</v>
      </c>
      <c r="CH99" s="152">
        <f t="shared" si="205"/>
        <v>-7.5949367088607592E-3</v>
      </c>
      <c r="CI99" s="152">
        <f t="shared" si="205"/>
        <v>-2.4936708860759493E-2</v>
      </c>
      <c r="CJ99" s="152">
        <f t="shared" si="205"/>
        <v>1.7142857142857144E-2</v>
      </c>
      <c r="CK99" s="236">
        <f t="shared" si="205"/>
        <v>-6.8012422360248445E-3</v>
      </c>
      <c r="CL99" s="152">
        <f t="shared" si="205"/>
        <v>5.3846153846153849E-2</v>
      </c>
      <c r="CM99" s="152">
        <f t="shared" si="205"/>
        <v>4.4175824175824177E-2</v>
      </c>
      <c r="CN99" s="152">
        <f t="shared" si="205"/>
        <v>-1.9718309859154928E-3</v>
      </c>
      <c r="CO99" s="302">
        <f t="shared" si="205"/>
        <v>1.1728395061728396E-2</v>
      </c>
      <c r="CP99" s="236">
        <f t="shared" si="205"/>
        <v>2.8130841121495328E-2</v>
      </c>
      <c r="CQ99" s="152">
        <f t="shared" si="205"/>
        <v>1.1707317073170732E-2</v>
      </c>
      <c r="CR99" s="152">
        <f t="shared" si="205"/>
        <v>4.5454545454545452E-3</v>
      </c>
      <c r="CS99" s="152">
        <f t="shared" si="205"/>
        <v>-1.9466666666666667E-2</v>
      </c>
      <c r="CT99" s="152">
        <f t="shared" si="205"/>
        <v>-1.5730337078651685E-3</v>
      </c>
      <c r="CU99" s="236">
        <f t="shared" si="205"/>
        <v>-8.9783281733746127E-4</v>
      </c>
      <c r="CV99" s="152"/>
      <c r="CW99" s="152"/>
      <c r="CX99" s="152"/>
      <c r="CY99" s="302"/>
      <c r="CZ99" s="236"/>
      <c r="DA99" s="236"/>
      <c r="DB99" s="352"/>
      <c r="DC99" s="236"/>
      <c r="DF99" s="236">
        <f t="shared" si="195"/>
        <v>-1.5730337078651685E-3</v>
      </c>
      <c r="DG99" s="236">
        <v>-1.6796360079942171E-2</v>
      </c>
      <c r="DH99" s="236">
        <f t="shared" si="196"/>
        <v>1.1728395061728396E-2</v>
      </c>
      <c r="DI99" s="236">
        <f t="shared" si="5"/>
        <v>-0.90634675010667043</v>
      </c>
      <c r="DJ99" s="236">
        <f t="shared" si="6"/>
        <v>-1.1341218214074513</v>
      </c>
    </row>
    <row r="100" spans="3:114" hidden="1" outlineLevel="1">
      <c r="C100" s="336"/>
      <c r="D100" s="1" t="s">
        <v>792</v>
      </c>
      <c r="E100" s="337"/>
      <c r="F100" s="337"/>
      <c r="G100" s="337"/>
      <c r="H100" s="337"/>
      <c r="I100" s="337">
        <v>91</v>
      </c>
      <c r="J100" s="338">
        <v>-42</v>
      </c>
      <c r="K100" s="338">
        <v>147</v>
      </c>
      <c r="L100" s="338">
        <v>-5</v>
      </c>
      <c r="M100" s="337">
        <f>115-SUM(J100:L100)</f>
        <v>15</v>
      </c>
      <c r="N100" s="235">
        <f>SUM(J100:M100)</f>
        <v>115</v>
      </c>
      <c r="O100" s="338">
        <v>-31</v>
      </c>
      <c r="P100" s="338">
        <v>74</v>
      </c>
      <c r="Q100" s="338">
        <v>80</v>
      </c>
      <c r="R100" s="337">
        <f>262-SUM(O100:Q100)</f>
        <v>139</v>
      </c>
      <c r="S100" s="235">
        <f>SUM(O100:R100)</f>
        <v>262</v>
      </c>
      <c r="T100" s="338">
        <v>97</v>
      </c>
      <c r="U100" s="338">
        <v>144</v>
      </c>
      <c r="V100" s="338">
        <v>105</v>
      </c>
      <c r="W100" s="337">
        <f>472-SUM(T100:V100)</f>
        <v>126</v>
      </c>
      <c r="X100" s="235">
        <f>SUM(T100:W100)</f>
        <v>472</v>
      </c>
      <c r="Y100" s="338">
        <f>-26+41</f>
        <v>15</v>
      </c>
      <c r="Z100" s="338">
        <f>-28+45</f>
        <v>17</v>
      </c>
      <c r="AA100" s="338">
        <f>1+5</f>
        <v>6</v>
      </c>
      <c r="AB100" s="337">
        <f>-25+69-SUM(Y100:AA100)</f>
        <v>6</v>
      </c>
      <c r="AC100" s="235">
        <f>SUM(Y100:AB100)</f>
        <v>44</v>
      </c>
      <c r="AD100" s="338">
        <f>28+54</f>
        <v>82</v>
      </c>
      <c r="AE100" s="338">
        <f>-5+60</f>
        <v>55</v>
      </c>
      <c r="AF100" s="338">
        <f>35+13</f>
        <v>48</v>
      </c>
      <c r="AG100" s="337">
        <f>45+118-SUM(AD100:AF100)</f>
        <v>-22</v>
      </c>
      <c r="AH100" s="235">
        <f>SUM(AD100:AG100)</f>
        <v>163</v>
      </c>
      <c r="AI100" s="338">
        <f>204-AJ100</f>
        <v>97</v>
      </c>
      <c r="AJ100" s="338">
        <v>107</v>
      </c>
      <c r="AK100" s="338">
        <v>133</v>
      </c>
      <c r="AL100" s="337">
        <f>297-SUM(AI100:AK100)</f>
        <v>-40</v>
      </c>
      <c r="AM100" s="235">
        <f>SUM(AI100:AL100)</f>
        <v>297</v>
      </c>
      <c r="AN100" s="338">
        <f>220-AO100</f>
        <v>47</v>
      </c>
      <c r="AO100" s="338">
        <v>173</v>
      </c>
      <c r="AP100" s="338">
        <v>-16</v>
      </c>
      <c r="AQ100" s="337">
        <f>-5-SUM(AN100:AP100)</f>
        <v>-209</v>
      </c>
      <c r="AR100" s="235">
        <f>SUM(AN100:AQ100)</f>
        <v>-5</v>
      </c>
      <c r="AS100" s="338">
        <v>-6</v>
      </c>
      <c r="AT100" s="338">
        <v>99</v>
      </c>
      <c r="AU100" s="338">
        <v>37</v>
      </c>
      <c r="AV100" s="337">
        <f>206-SUM(AS100:AU100)</f>
        <v>76</v>
      </c>
      <c r="AW100" s="235">
        <f>SUM(AS100:AV100)</f>
        <v>206</v>
      </c>
      <c r="AX100" s="338">
        <f>-4+49</f>
        <v>45</v>
      </c>
      <c r="AY100" s="338">
        <f>43-111</f>
        <v>-68</v>
      </c>
      <c r="AZ100" s="338">
        <f>-24-1</f>
        <v>-25</v>
      </c>
      <c r="BA100" s="337">
        <f>-290-105-SUM(AX100:AZ100)</f>
        <v>-347</v>
      </c>
      <c r="BB100" s="235">
        <f>SUM(AX100:BA100)</f>
        <v>-395</v>
      </c>
      <c r="BC100" s="338">
        <v>-103</v>
      </c>
      <c r="BD100" s="338">
        <v>-26</v>
      </c>
      <c r="BE100" s="338">
        <v>21</v>
      </c>
      <c r="BF100" s="337">
        <f>-97-SUM(BC100:BE100)</f>
        <v>11</v>
      </c>
      <c r="BG100" s="235">
        <f>SUM(BC100:BF100)</f>
        <v>-97</v>
      </c>
      <c r="BH100" s="338">
        <v>22</v>
      </c>
      <c r="BI100" s="338">
        <v>113</v>
      </c>
      <c r="BJ100" s="338">
        <v>30</v>
      </c>
      <c r="BK100" s="337">
        <f>189-SUM(BH100:BJ100)</f>
        <v>24</v>
      </c>
      <c r="BL100" s="235">
        <f>SUM(BH100:BK100)</f>
        <v>189</v>
      </c>
      <c r="BM100" s="338">
        <v>33</v>
      </c>
      <c r="BN100" s="338">
        <v>1</v>
      </c>
      <c r="BO100" s="338">
        <v>-43</v>
      </c>
      <c r="BP100" s="337">
        <f>-92-SUM(BM100:BO100)</f>
        <v>-83</v>
      </c>
      <c r="BQ100" s="235">
        <f>SUM(BM100:BP100)</f>
        <v>-92</v>
      </c>
      <c r="BR100" s="338">
        <v>-95</v>
      </c>
      <c r="BS100" s="338">
        <v>-66</v>
      </c>
      <c r="BT100" s="338">
        <v>45</v>
      </c>
      <c r="BU100" s="337">
        <f>-77-SUM(BR100:BT100)</f>
        <v>39</v>
      </c>
      <c r="BV100" s="235">
        <f>SUM(BR100:BU100)</f>
        <v>-77</v>
      </c>
      <c r="BW100" s="338">
        <v>6</v>
      </c>
      <c r="BX100" s="338">
        <v>177</v>
      </c>
      <c r="BY100" s="338">
        <v>126</v>
      </c>
      <c r="BZ100" s="337">
        <f>415-SUM(BW100:BY100)</f>
        <v>106</v>
      </c>
      <c r="CA100" s="235">
        <f>SUM(BW100:BZ100)</f>
        <v>415</v>
      </c>
      <c r="CB100" s="338">
        <v>291</v>
      </c>
      <c r="CC100" s="338">
        <v>159</v>
      </c>
      <c r="CD100" s="338">
        <v>44</v>
      </c>
      <c r="CE100" s="337">
        <f>589-SUM(CB100:CD100)</f>
        <v>95</v>
      </c>
      <c r="CF100" s="235">
        <f>SUM(CB100:CE100)</f>
        <v>589</v>
      </c>
      <c r="CG100" s="338">
        <v>103</v>
      </c>
      <c r="CH100" s="338">
        <v>192</v>
      </c>
      <c r="CI100" s="338">
        <v>20</v>
      </c>
      <c r="CJ100" s="337">
        <v>444</v>
      </c>
      <c r="CK100" s="235">
        <f>SUM(CG100:CJ100)</f>
        <v>759</v>
      </c>
      <c r="CL100" s="338">
        <v>220</v>
      </c>
      <c r="CM100" s="338">
        <f>-8</f>
        <v>-8</v>
      </c>
      <c r="CN100" s="338">
        <v>131</v>
      </c>
      <c r="CO100" s="337">
        <v>284</v>
      </c>
      <c r="CP100" s="235">
        <f>SUM(CL100:CO100)</f>
        <v>627</v>
      </c>
      <c r="CQ100" s="338">
        <v>124</v>
      </c>
      <c r="CR100" s="338">
        <v>143</v>
      </c>
      <c r="CS100" s="338">
        <v>289</v>
      </c>
      <c r="CT100" s="338">
        <v>5</v>
      </c>
      <c r="CU100" s="235">
        <f>SUM(CQ100:CT100)</f>
        <v>561</v>
      </c>
      <c r="CV100" s="165"/>
      <c r="CW100" s="165"/>
      <c r="CX100" s="165"/>
      <c r="CY100" s="300"/>
      <c r="CZ100" s="235"/>
      <c r="DA100" s="235"/>
      <c r="DB100" s="248"/>
      <c r="DC100" s="235"/>
      <c r="DF100" s="235">
        <f t="shared" si="195"/>
        <v>5</v>
      </c>
      <c r="DG100" s="235">
        <v>219</v>
      </c>
      <c r="DH100" s="235">
        <f t="shared" si="196"/>
        <v>284</v>
      </c>
      <c r="DI100" s="235">
        <f t="shared" si="5"/>
        <v>-0.97716894977168955</v>
      </c>
      <c r="DJ100" s="235">
        <f t="shared" si="6"/>
        <v>-0.98239436619718312</v>
      </c>
    </row>
    <row r="101" spans="3:114" hidden="1" outlineLevel="1">
      <c r="C101" s="336"/>
      <c r="D101" s="339" t="s">
        <v>77</v>
      </c>
      <c r="E101" s="236"/>
      <c r="F101" s="236"/>
      <c r="G101" s="236"/>
      <c r="H101" s="236"/>
      <c r="I101" s="236">
        <f t="shared" ref="I101:AN101" si="206">I100/I35</f>
        <v>2.1538461538461538E-2</v>
      </c>
      <c r="J101" s="152">
        <f t="shared" si="206"/>
        <v>-3.3707865168539325E-2</v>
      </c>
      <c r="K101" s="152">
        <f t="shared" si="206"/>
        <v>0.1022964509394572</v>
      </c>
      <c r="L101" s="152">
        <f t="shared" si="206"/>
        <v>-2.587991718426501E-3</v>
      </c>
      <c r="M101" s="152">
        <f t="shared" si="206"/>
        <v>9.74025974025974E-3</v>
      </c>
      <c r="N101" s="236">
        <f t="shared" si="206"/>
        <v>1.868399675060926E-2</v>
      </c>
      <c r="O101" s="152">
        <f t="shared" si="206"/>
        <v>-1.8246027074749854E-2</v>
      </c>
      <c r="P101" s="152">
        <f t="shared" si="206"/>
        <v>4.7043865225683407E-2</v>
      </c>
      <c r="Q101" s="152">
        <f t="shared" si="206"/>
        <v>5.1216389244558257E-2</v>
      </c>
      <c r="R101" s="152">
        <f t="shared" si="206"/>
        <v>8.7531486146095724E-2</v>
      </c>
      <c r="S101" s="236">
        <f t="shared" si="206"/>
        <v>4.0797259420741201E-2</v>
      </c>
      <c r="T101" s="152">
        <f t="shared" si="206"/>
        <v>6.0511540860885837E-2</v>
      </c>
      <c r="U101" s="152">
        <f t="shared" si="206"/>
        <v>9.3872229465449805E-2</v>
      </c>
      <c r="V101" s="152">
        <f t="shared" si="206"/>
        <v>6.1011040092969204E-2</v>
      </c>
      <c r="W101" s="152">
        <f t="shared" si="206"/>
        <v>7.0509233351986569E-2</v>
      </c>
      <c r="X101" s="236">
        <f t="shared" si="206"/>
        <v>7.1030850263355913E-2</v>
      </c>
      <c r="Y101" s="152">
        <f t="shared" si="206"/>
        <v>1.1538461538461539E-2</v>
      </c>
      <c r="Z101" s="152">
        <f t="shared" si="206"/>
        <v>1.2142857142857143E-2</v>
      </c>
      <c r="AA101" s="152">
        <f t="shared" si="206"/>
        <v>3.7499999999999999E-3</v>
      </c>
      <c r="AB101" s="152">
        <f t="shared" si="206"/>
        <v>3.8986354775828458E-3</v>
      </c>
      <c r="AC101" s="236">
        <f t="shared" si="206"/>
        <v>7.535536907004624E-3</v>
      </c>
      <c r="AD101" s="152">
        <f t="shared" si="206"/>
        <v>5.0030506406345335E-2</v>
      </c>
      <c r="AE101" s="152">
        <f t="shared" si="206"/>
        <v>2.9302077783697391E-2</v>
      </c>
      <c r="AF101" s="152">
        <f t="shared" si="206"/>
        <v>2.5518341307814992E-2</v>
      </c>
      <c r="AG101" s="152">
        <f t="shared" si="206"/>
        <v>-1.4111610006414367E-2</v>
      </c>
      <c r="AH101" s="236">
        <f t="shared" si="206"/>
        <v>2.3433007475560666E-2</v>
      </c>
      <c r="AI101" s="152">
        <f t="shared" si="206"/>
        <v>4.7665847665847666E-2</v>
      </c>
      <c r="AJ101" s="152">
        <f t="shared" si="206"/>
        <v>5.515463917525773E-2</v>
      </c>
      <c r="AK101" s="152">
        <f t="shared" si="206"/>
        <v>6.2207670720299348E-2</v>
      </c>
      <c r="AL101" s="152">
        <f t="shared" si="206"/>
        <v>-1.8761726078799251E-2</v>
      </c>
      <c r="AM101" s="236">
        <f t="shared" si="206"/>
        <v>3.6021831412977559E-2</v>
      </c>
      <c r="AN101" s="152">
        <f t="shared" si="206"/>
        <v>2.1931871208586095E-2</v>
      </c>
      <c r="AO101" s="152">
        <f t="shared" ref="AO101:BT101" si="207">AO100/AO35</f>
        <v>8.3453931500241191E-2</v>
      </c>
      <c r="AP101" s="152">
        <f t="shared" si="207"/>
        <v>-8.5424452749599568E-3</v>
      </c>
      <c r="AQ101" s="152">
        <f t="shared" si="207"/>
        <v>-0.12485065710872162</v>
      </c>
      <c r="AR101" s="236">
        <f t="shared" si="207"/>
        <v>-6.4408089656060798E-4</v>
      </c>
      <c r="AS101" s="152">
        <f t="shared" si="207"/>
        <v>-2.8503562945368173E-3</v>
      </c>
      <c r="AT101" s="152">
        <f t="shared" si="207"/>
        <v>5.2187664733790197E-2</v>
      </c>
      <c r="AU101" s="152">
        <f t="shared" si="207"/>
        <v>1.8829516539440202E-2</v>
      </c>
      <c r="AV101" s="152">
        <f t="shared" si="207"/>
        <v>3.6803874092009685E-2</v>
      </c>
      <c r="AW101" s="236">
        <f t="shared" si="207"/>
        <v>2.5647410358565739E-2</v>
      </c>
      <c r="AX101" s="152">
        <f t="shared" si="207"/>
        <v>2.6978417266187049E-2</v>
      </c>
      <c r="AY101" s="152">
        <f t="shared" si="207"/>
        <v>-3.8245219347581551E-2</v>
      </c>
      <c r="AZ101" s="152">
        <f t="shared" si="207"/>
        <v>-1.4731879787860931E-2</v>
      </c>
      <c r="BA101" s="152">
        <f t="shared" si="207"/>
        <v>-0.26070623591284747</v>
      </c>
      <c r="BB101" s="236">
        <f t="shared" si="207"/>
        <v>-6.1013283904850169E-2</v>
      </c>
      <c r="BC101" s="152">
        <f t="shared" si="207"/>
        <v>-8.8412017167381979E-2</v>
      </c>
      <c r="BD101" s="152">
        <f t="shared" si="207"/>
        <v>-2.1558872305140961E-2</v>
      </c>
      <c r="BE101" s="152">
        <f t="shared" si="207"/>
        <v>1.4150943396226415E-2</v>
      </c>
      <c r="BF101" s="152">
        <f t="shared" si="207"/>
        <v>6.5632458233890216E-3</v>
      </c>
      <c r="BG101" s="236">
        <f t="shared" si="207"/>
        <v>-1.7537515819924063E-2</v>
      </c>
      <c r="BH101" s="152">
        <f t="shared" si="207"/>
        <v>1.3941698352344741E-2</v>
      </c>
      <c r="BI101" s="152">
        <f t="shared" si="207"/>
        <v>6.2708102108768038E-2</v>
      </c>
      <c r="BJ101" s="152">
        <f t="shared" si="207"/>
        <v>1.6224986479177934E-2</v>
      </c>
      <c r="BK101" s="152">
        <f t="shared" si="207"/>
        <v>1.1152416356877323E-2</v>
      </c>
      <c r="BL101" s="236">
        <f t="shared" si="207"/>
        <v>2.5606286411055411E-2</v>
      </c>
      <c r="BM101" s="152">
        <f t="shared" si="207"/>
        <v>1.6042780748663103E-2</v>
      </c>
      <c r="BN101" s="152">
        <f t="shared" si="207"/>
        <v>4.764173415912339E-4</v>
      </c>
      <c r="BO101" s="152">
        <f t="shared" si="207"/>
        <v>-1.8297872340425531E-2</v>
      </c>
      <c r="BP101" s="152">
        <f t="shared" si="207"/>
        <v>-4.354669464847849E-2</v>
      </c>
      <c r="BQ101" s="236">
        <f t="shared" si="207"/>
        <v>-1.0936757013789824E-2</v>
      </c>
      <c r="BR101" s="152">
        <f t="shared" si="207"/>
        <v>-4.1304347826086954E-2</v>
      </c>
      <c r="BS101" s="152">
        <f t="shared" si="207"/>
        <v>-2.8695652173913042E-2</v>
      </c>
      <c r="BT101" s="152">
        <f t="shared" si="207"/>
        <v>1.7307692307692309E-2</v>
      </c>
      <c r="BU101" s="152">
        <f t="shared" ref="BU101:CU101" si="208">BU100/BU35</f>
        <v>1.3928571428571429E-2</v>
      </c>
      <c r="BV101" s="236">
        <f t="shared" si="208"/>
        <v>-7.7000000000000002E-3</v>
      </c>
      <c r="BW101" s="152">
        <f t="shared" si="208"/>
        <v>2.3076923076923079E-3</v>
      </c>
      <c r="BX101" s="152">
        <f t="shared" si="208"/>
        <v>5.8999999999999997E-2</v>
      </c>
      <c r="BY101" s="152">
        <f t="shared" si="208"/>
        <v>4.3448275862068966E-2</v>
      </c>
      <c r="BZ101" s="152">
        <f t="shared" si="208"/>
        <v>3.212121212121212E-2</v>
      </c>
      <c r="CA101" s="236">
        <f t="shared" si="208"/>
        <v>3.5169491525423729E-2</v>
      </c>
      <c r="CB101" s="152">
        <f t="shared" si="208"/>
        <v>0.11192307692307692</v>
      </c>
      <c r="CC101" s="152">
        <f t="shared" si="208"/>
        <v>5.4827586206896553E-2</v>
      </c>
      <c r="CD101" s="152">
        <f t="shared" si="208"/>
        <v>1.6923076923076923E-2</v>
      </c>
      <c r="CE101" s="152">
        <f t="shared" si="208"/>
        <v>3.653846153846154E-2</v>
      </c>
      <c r="CF101" s="236">
        <f t="shared" si="208"/>
        <v>5.5046728971962618E-2</v>
      </c>
      <c r="CG101" s="152">
        <f t="shared" si="208"/>
        <v>4.4782608695652176E-2</v>
      </c>
      <c r="CH101" s="152">
        <f t="shared" si="208"/>
        <v>0.08</v>
      </c>
      <c r="CI101" s="152">
        <f t="shared" si="208"/>
        <v>7.6923076923076927E-3</v>
      </c>
      <c r="CJ101" s="152">
        <f t="shared" si="208"/>
        <v>0.13058823529411764</v>
      </c>
      <c r="CK101" s="236">
        <f t="shared" si="208"/>
        <v>7.093457943925234E-2</v>
      </c>
      <c r="CL101" s="152">
        <f t="shared" si="208"/>
        <v>8.1481481481481488E-2</v>
      </c>
      <c r="CM101" s="152">
        <f t="shared" si="208"/>
        <v>-2.8571428571428571E-3</v>
      </c>
      <c r="CN101" s="152">
        <f t="shared" si="208"/>
        <v>4.2258064516129033E-2</v>
      </c>
      <c r="CO101" s="302">
        <f t="shared" si="208"/>
        <v>8.352941176470588E-2</v>
      </c>
      <c r="CP101" s="236">
        <f t="shared" si="208"/>
        <v>5.2249999999999998E-2</v>
      </c>
      <c r="CQ101" s="152">
        <f t="shared" si="208"/>
        <v>3.875E-2</v>
      </c>
      <c r="CR101" s="152">
        <f t="shared" si="208"/>
        <v>4.2058823529411767E-2</v>
      </c>
      <c r="CS101" s="152">
        <f t="shared" si="208"/>
        <v>7.8108108108108101E-2</v>
      </c>
      <c r="CT101" s="152">
        <f t="shared" si="208"/>
        <v>1.3157894736842105E-3</v>
      </c>
      <c r="CU101" s="236">
        <f t="shared" si="208"/>
        <v>3.9787234042553195E-2</v>
      </c>
      <c r="CV101" s="152"/>
      <c r="CW101" s="152"/>
      <c r="CX101" s="152"/>
      <c r="CY101" s="302"/>
      <c r="CZ101" s="236"/>
      <c r="DA101" s="236"/>
      <c r="DB101" s="352"/>
      <c r="DC101" s="236"/>
      <c r="DF101" s="236">
        <f t="shared" si="195"/>
        <v>1.3157894736842105E-3</v>
      </c>
      <c r="DG101" s="236">
        <v>7.1370376405409816E-2</v>
      </c>
      <c r="DH101" s="236">
        <f t="shared" si="196"/>
        <v>8.352941176470588E-2</v>
      </c>
      <c r="DI101" s="236">
        <f t="shared" si="5"/>
        <v>-0.98156392694063932</v>
      </c>
      <c r="DJ101" s="236">
        <f t="shared" si="6"/>
        <v>-0.98424759080800595</v>
      </c>
    </row>
    <row r="102" spans="3:114" hidden="1" outlineLevel="1">
      <c r="C102" s="336"/>
      <c r="D102" s="1" t="s">
        <v>802</v>
      </c>
      <c r="E102" s="337"/>
      <c r="F102" s="337"/>
      <c r="G102" s="337"/>
      <c r="H102" s="337"/>
      <c r="I102" s="337"/>
      <c r="J102" s="338"/>
      <c r="K102" s="338"/>
      <c r="L102" s="338"/>
      <c r="M102" s="337"/>
      <c r="N102" s="235">
        <f>SUM(J102:M102)</f>
        <v>0</v>
      </c>
      <c r="O102" s="338"/>
      <c r="P102" s="338"/>
      <c r="Q102" s="338"/>
      <c r="R102" s="337"/>
      <c r="S102" s="235">
        <f>SUM(O102:R102)</f>
        <v>0</v>
      </c>
      <c r="T102" s="338"/>
      <c r="U102" s="338"/>
      <c r="V102" s="338"/>
      <c r="W102" s="337"/>
      <c r="X102" s="235">
        <f>SUM(T102:W102)</f>
        <v>0</v>
      </c>
      <c r="Y102" s="338">
        <v>-88</v>
      </c>
      <c r="Z102" s="338">
        <v>166</v>
      </c>
      <c r="AA102" s="338">
        <v>-22</v>
      </c>
      <c r="AB102" s="337">
        <f>164-SUM(Y102:AA102)</f>
        <v>108</v>
      </c>
      <c r="AC102" s="235">
        <f>SUM(Y102:AB102)</f>
        <v>164</v>
      </c>
      <c r="AD102" s="338">
        <v>20</v>
      </c>
      <c r="AE102" s="338">
        <v>-362</v>
      </c>
      <c r="AF102" s="338">
        <v>-171</v>
      </c>
      <c r="AG102" s="337">
        <f>-740-SUM(AD102:AF102)</f>
        <v>-227</v>
      </c>
      <c r="AH102" s="235">
        <f>SUM(AD102:AG102)</f>
        <v>-740</v>
      </c>
      <c r="AI102" s="338">
        <f>-89-AJ102</f>
        <v>-48</v>
      </c>
      <c r="AJ102" s="338">
        <v>-41</v>
      </c>
      <c r="AK102" s="338">
        <v>-128</v>
      </c>
      <c r="AL102" s="337">
        <f>-1634-SUM(AI102:AK102)</f>
        <v>-1417</v>
      </c>
      <c r="AM102" s="235">
        <f>SUM(AI102:AL102)</f>
        <v>-1634</v>
      </c>
      <c r="AN102" s="338">
        <f>-31-AO102</f>
        <v>149</v>
      </c>
      <c r="AO102" s="338">
        <v>-180</v>
      </c>
      <c r="AP102" s="338">
        <v>-2177</v>
      </c>
      <c r="AQ102" s="337">
        <f>-2322-SUM(AN102:AP102)</f>
        <v>-114</v>
      </c>
      <c r="AR102" s="235">
        <f>SUM(AN102:AQ102)</f>
        <v>-2322</v>
      </c>
      <c r="AS102" s="338">
        <v>391</v>
      </c>
      <c r="AT102" s="338">
        <v>466</v>
      </c>
      <c r="AU102" s="338">
        <v>-93</v>
      </c>
      <c r="AV102" s="337">
        <f>-1872-SUM(AS102:AU102)</f>
        <v>-2636</v>
      </c>
      <c r="AW102" s="235">
        <f>SUM(AS102:AV102)</f>
        <v>-1872</v>
      </c>
      <c r="AX102" s="338">
        <f>-151</f>
        <v>-151</v>
      </c>
      <c r="AY102" s="338">
        <v>-152</v>
      </c>
      <c r="AZ102" s="338">
        <v>-484</v>
      </c>
      <c r="BA102" s="337">
        <f>-1690-SUM(AX102:AZ102)</f>
        <v>-903</v>
      </c>
      <c r="BB102" s="235">
        <f>SUM(AX102:BA102)</f>
        <v>-1690</v>
      </c>
      <c r="BC102" s="338">
        <f>-921-2</f>
        <v>-923</v>
      </c>
      <c r="BD102" s="338">
        <f>-98+5</f>
        <v>-93</v>
      </c>
      <c r="BE102" s="338">
        <v>25</v>
      </c>
      <c r="BF102" s="337">
        <f>-934+3-SUM(BC102:BE102)</f>
        <v>60</v>
      </c>
      <c r="BG102" s="235">
        <f>SUM(BC102:BF102)</f>
        <v>-931</v>
      </c>
      <c r="BH102" s="338">
        <v>0</v>
      </c>
      <c r="BI102" s="338">
        <v>0</v>
      </c>
      <c r="BJ102" s="338">
        <v>0</v>
      </c>
      <c r="BK102" s="337">
        <v>0</v>
      </c>
      <c r="BL102" s="235">
        <f>SUM(BH102:BK102)</f>
        <v>0</v>
      </c>
      <c r="BM102" s="338"/>
      <c r="BN102" s="338"/>
      <c r="BO102" s="338"/>
      <c r="BP102" s="337"/>
      <c r="BQ102" s="235">
        <f>SUM(BM102:BP102)</f>
        <v>0</v>
      </c>
      <c r="BR102" s="338"/>
      <c r="BS102" s="338"/>
      <c r="BT102" s="338"/>
      <c r="BU102" s="337"/>
      <c r="BV102" s="235">
        <f>SUM(BR102:BU102)</f>
        <v>0</v>
      </c>
      <c r="BW102" s="338"/>
      <c r="BX102" s="338"/>
      <c r="BY102" s="338"/>
      <c r="BZ102" s="337"/>
      <c r="CA102" s="235">
        <f>SUM(BW102:BZ102)</f>
        <v>0</v>
      </c>
      <c r="CB102" s="338"/>
      <c r="CC102" s="338"/>
      <c r="CD102" s="338"/>
      <c r="CE102" s="337"/>
      <c r="CF102" s="235">
        <f>SUM(CB102:CE102)</f>
        <v>0</v>
      </c>
      <c r="CG102" s="338"/>
      <c r="CH102" s="338"/>
      <c r="CI102" s="338"/>
      <c r="CJ102" s="337"/>
      <c r="CK102" s="235">
        <f>SUM(CG102:CJ102)</f>
        <v>0</v>
      </c>
      <c r="CL102" s="338"/>
      <c r="CM102" s="338"/>
      <c r="CN102" s="338"/>
      <c r="CO102" s="337"/>
      <c r="CP102" s="235">
        <f>SUM(CL102:CO102)</f>
        <v>0</v>
      </c>
      <c r="CQ102" s="338"/>
      <c r="CR102" s="165"/>
      <c r="CS102" s="165"/>
      <c r="CT102" s="300"/>
      <c r="CU102" s="235"/>
      <c r="CV102" s="165"/>
      <c r="CW102" s="165"/>
      <c r="CX102" s="165"/>
      <c r="CY102" s="300"/>
      <c r="CZ102" s="235"/>
      <c r="DA102" s="235"/>
      <c r="DB102" s="248"/>
      <c r="DC102" s="235"/>
      <c r="DF102" s="235"/>
      <c r="DG102" s="235"/>
      <c r="DH102" s="235"/>
      <c r="DI102" s="235"/>
      <c r="DJ102" s="235"/>
    </row>
    <row r="103" spans="3:114" hidden="1" outlineLevel="1">
      <c r="C103" s="336"/>
      <c r="D103" s="339" t="s">
        <v>77</v>
      </c>
      <c r="E103" s="236"/>
      <c r="F103" s="236"/>
      <c r="G103" s="236"/>
      <c r="H103" s="236"/>
      <c r="I103" s="236"/>
      <c r="J103" s="152"/>
      <c r="K103" s="152"/>
      <c r="L103" s="152"/>
      <c r="M103" s="152"/>
      <c r="N103" s="236"/>
      <c r="O103" s="152"/>
      <c r="P103" s="152"/>
      <c r="Q103" s="152"/>
      <c r="R103" s="152"/>
      <c r="S103" s="236"/>
      <c r="T103" s="152"/>
      <c r="U103" s="152"/>
      <c r="V103" s="152"/>
      <c r="W103" s="152"/>
      <c r="X103" s="236"/>
      <c r="Y103" s="152" t="e">
        <f>Y102/#REF!</f>
        <v>#REF!</v>
      </c>
      <c r="Z103" s="152" t="e">
        <f>Z102/#REF!</f>
        <v>#REF!</v>
      </c>
      <c r="AA103" s="152" t="e">
        <f>AA102/#REF!</f>
        <v>#REF!</v>
      </c>
      <c r="AB103" s="152" t="e">
        <f>AB102/#REF!</f>
        <v>#REF!</v>
      </c>
      <c r="AC103" s="236" t="e">
        <f>AC102/#REF!</f>
        <v>#REF!</v>
      </c>
      <c r="AD103" s="152" t="e">
        <f>AD102/#REF!</f>
        <v>#REF!</v>
      </c>
      <c r="AE103" s="152" t="e">
        <f>AE102/#REF!</f>
        <v>#REF!</v>
      </c>
      <c r="AF103" s="152" t="e">
        <f>AF102/#REF!</f>
        <v>#REF!</v>
      </c>
      <c r="AG103" s="152" t="e">
        <f>AG102/#REF!</f>
        <v>#REF!</v>
      </c>
      <c r="AH103" s="236" t="e">
        <f>AH102/#REF!</f>
        <v>#REF!</v>
      </c>
      <c r="AI103" s="152" t="e">
        <f>AI102/#REF!</f>
        <v>#REF!</v>
      </c>
      <c r="AJ103" s="152" t="e">
        <f>AJ102/#REF!</f>
        <v>#REF!</v>
      </c>
      <c r="AK103" s="152" t="e">
        <f>AK102/#REF!</f>
        <v>#REF!</v>
      </c>
      <c r="AL103" s="152" t="e">
        <f>AL102/#REF!</f>
        <v>#REF!</v>
      </c>
      <c r="AM103" s="236" t="e">
        <f>AM102/#REF!</f>
        <v>#REF!</v>
      </c>
      <c r="AN103" s="152" t="e">
        <f>AN102/#REF!</f>
        <v>#REF!</v>
      </c>
      <c r="AO103" s="152" t="e">
        <f>AO102/#REF!</f>
        <v>#REF!</v>
      </c>
      <c r="AP103" s="152" t="e">
        <f>AP102/#REF!</f>
        <v>#REF!</v>
      </c>
      <c r="AQ103" s="152" t="e">
        <f>AQ102/#REF!</f>
        <v>#REF!</v>
      </c>
      <c r="AR103" s="236" t="e">
        <f>AR102/#REF!</f>
        <v>#REF!</v>
      </c>
      <c r="AS103" s="152" t="e">
        <f>AS102/#REF!</f>
        <v>#REF!</v>
      </c>
      <c r="AT103" s="152" t="e">
        <f>AT102/#REF!</f>
        <v>#REF!</v>
      </c>
      <c r="AU103" s="152" t="e">
        <f>AU102/#REF!</f>
        <v>#REF!</v>
      </c>
      <c r="AV103" s="152" t="e">
        <f>AV102/#REF!</f>
        <v>#REF!</v>
      </c>
      <c r="AW103" s="236" t="e">
        <f>AW102/#REF!</f>
        <v>#REF!</v>
      </c>
      <c r="AX103" s="152" t="e">
        <f>AX102/#REF!</f>
        <v>#REF!</v>
      </c>
      <c r="AY103" s="152" t="e">
        <f>AY102/#REF!</f>
        <v>#REF!</v>
      </c>
      <c r="AZ103" s="152" t="e">
        <f>AZ102/#REF!</f>
        <v>#REF!</v>
      </c>
      <c r="BA103" s="152" t="e">
        <f>BA102/#REF!</f>
        <v>#REF!</v>
      </c>
      <c r="BB103" s="236" t="e">
        <f>BB102/#REF!</f>
        <v>#REF!</v>
      </c>
      <c r="BC103" s="152" t="e">
        <f>BC102/#REF!</f>
        <v>#REF!</v>
      </c>
      <c r="BD103" s="152" t="e">
        <f>BD102/#REF!</f>
        <v>#REF!</v>
      </c>
      <c r="BE103" s="152" t="e">
        <f>BE102/#REF!</f>
        <v>#REF!</v>
      </c>
      <c r="BF103" s="152" t="e">
        <f>BF102/#REF!</f>
        <v>#REF!</v>
      </c>
      <c r="BG103" s="236" t="e">
        <f>BG102/#REF!</f>
        <v>#REF!</v>
      </c>
      <c r="BH103" s="152"/>
      <c r="BI103" s="152"/>
      <c r="BJ103" s="152"/>
      <c r="BK103" s="152"/>
      <c r="BL103" s="236"/>
      <c r="BM103" s="152"/>
      <c r="BN103" s="152"/>
      <c r="BO103" s="152"/>
      <c r="BP103" s="152"/>
      <c r="BQ103" s="236"/>
      <c r="BR103" s="152"/>
      <c r="BS103" s="152"/>
      <c r="BT103" s="152"/>
      <c r="BU103" s="152"/>
      <c r="BV103" s="236"/>
      <c r="BW103" s="152"/>
      <c r="BX103" s="152"/>
      <c r="BY103" s="152"/>
      <c r="BZ103" s="152"/>
      <c r="CA103" s="236"/>
      <c r="CB103" s="152"/>
      <c r="CC103" s="152"/>
      <c r="CD103" s="152"/>
      <c r="CE103" s="152"/>
      <c r="CF103" s="236"/>
      <c r="CG103" s="152"/>
      <c r="CH103" s="152"/>
      <c r="CI103" s="152"/>
      <c r="CJ103" s="152"/>
      <c r="CK103" s="236"/>
      <c r="CL103" s="152"/>
      <c r="CM103" s="152"/>
      <c r="CN103" s="152"/>
      <c r="CO103" s="302"/>
      <c r="CP103" s="236"/>
      <c r="CQ103" s="152"/>
      <c r="CR103" s="152"/>
      <c r="CS103" s="152"/>
      <c r="CT103" s="302"/>
      <c r="CU103" s="236"/>
      <c r="CV103" s="152"/>
      <c r="CW103" s="152"/>
      <c r="CX103" s="152"/>
      <c r="CY103" s="302"/>
      <c r="CZ103" s="236"/>
      <c r="DA103" s="236"/>
      <c r="DB103" s="352"/>
      <c r="DC103" s="236"/>
      <c r="DF103" s="236"/>
      <c r="DG103" s="236"/>
      <c r="DH103" s="236"/>
      <c r="DI103" s="236"/>
      <c r="DJ103" s="236"/>
    </row>
    <row r="104" spans="3:114" s="155" customFormat="1" hidden="1" outlineLevel="1">
      <c r="C104" s="336"/>
      <c r="D104" s="1" t="s">
        <v>797</v>
      </c>
      <c r="E104" s="337"/>
      <c r="F104" s="337"/>
      <c r="G104" s="337"/>
      <c r="H104" s="337"/>
      <c r="I104" s="337"/>
      <c r="J104" s="338"/>
      <c r="K104" s="338"/>
      <c r="L104" s="338"/>
      <c r="M104" s="337"/>
      <c r="N104" s="235">
        <f>SUM(J104:M104)</f>
        <v>0</v>
      </c>
      <c r="O104" s="338"/>
      <c r="P104" s="338"/>
      <c r="Q104" s="338"/>
      <c r="R104" s="337"/>
      <c r="S104" s="235">
        <f>SUM(O104:R104)</f>
        <v>0</v>
      </c>
      <c r="T104" s="338"/>
      <c r="U104" s="338"/>
      <c r="V104" s="338"/>
      <c r="W104" s="337"/>
      <c r="X104" s="235">
        <f>SUM(T104:W104)</f>
        <v>0</v>
      </c>
      <c r="Y104" s="338">
        <v>-224</v>
      </c>
      <c r="Z104" s="338">
        <v>-31</v>
      </c>
      <c r="AA104" s="338">
        <v>1</v>
      </c>
      <c r="AB104" s="337">
        <f>-623-AA104-Z104-Y104</f>
        <v>-369</v>
      </c>
      <c r="AC104" s="235">
        <f>SUM(Y104:AB104)</f>
        <v>-623</v>
      </c>
      <c r="AD104" s="338">
        <v>-266</v>
      </c>
      <c r="AE104" s="338">
        <v>-298</v>
      </c>
      <c r="AF104" s="338">
        <v>-31</v>
      </c>
      <c r="AG104" s="337">
        <f>-293-AF104-AE104-AD104</f>
        <v>302</v>
      </c>
      <c r="AH104" s="235">
        <f>SUM(AD104:AG104)</f>
        <v>-293</v>
      </c>
      <c r="AI104" s="338">
        <f>136-AJ104</f>
        <v>-262</v>
      </c>
      <c r="AJ104" s="338">
        <v>398</v>
      </c>
      <c r="AK104" s="338">
        <v>-95</v>
      </c>
      <c r="AL104" s="337">
        <f>-55-SUM(AI104:AK104)</f>
        <v>-96</v>
      </c>
      <c r="AM104" s="235">
        <f>SUM(AI104:AL104)</f>
        <v>-55</v>
      </c>
      <c r="AN104" s="338">
        <f>-247-AO104</f>
        <v>-162</v>
      </c>
      <c r="AO104" s="338">
        <v>-85</v>
      </c>
      <c r="AP104" s="338">
        <v>553</v>
      </c>
      <c r="AQ104" s="337">
        <f>247-SUM(AN104:AP104)</f>
        <v>-59</v>
      </c>
      <c r="AR104" s="235">
        <f>SUM(AN104:AQ104)</f>
        <v>247</v>
      </c>
      <c r="AS104" s="338">
        <v>-341</v>
      </c>
      <c r="AT104" s="338">
        <v>-107</v>
      </c>
      <c r="AU104" s="338">
        <v>-603</v>
      </c>
      <c r="AV104" s="337">
        <f>-1059-SUM(AS104:AU104)</f>
        <v>-8</v>
      </c>
      <c r="AW104" s="235">
        <f>SUM(AS104:AV104)</f>
        <v>-1059</v>
      </c>
      <c r="AX104" s="338">
        <v>-181</v>
      </c>
      <c r="AY104" s="338">
        <v>-279</v>
      </c>
      <c r="AZ104" s="338">
        <v>-626</v>
      </c>
      <c r="BA104" s="337">
        <f>-1722-SUM(AX104:AZ104)</f>
        <v>-636</v>
      </c>
      <c r="BB104" s="235">
        <f>SUM(AX104:BA104)</f>
        <v>-1722</v>
      </c>
      <c r="BC104" s="338">
        <v>825</v>
      </c>
      <c r="BD104" s="338">
        <v>2971</v>
      </c>
      <c r="BE104" s="338">
        <v>-142</v>
      </c>
      <c r="BF104" s="337">
        <f>3370-SUM(BC104:BE104)</f>
        <v>-284</v>
      </c>
      <c r="BG104" s="235">
        <f>SUM(BC104:BF104)</f>
        <v>3370</v>
      </c>
      <c r="BH104" s="338">
        <v>-391</v>
      </c>
      <c r="BI104" s="338">
        <v>-551</v>
      </c>
      <c r="BJ104" s="338">
        <v>-369</v>
      </c>
      <c r="BK104" s="337">
        <f>-1493-SUM(BH104:BJ104)</f>
        <v>-182</v>
      </c>
      <c r="BL104" s="235">
        <f>SUM(BH104:BK104)</f>
        <v>-1493</v>
      </c>
      <c r="BM104" s="338">
        <v>-249</v>
      </c>
      <c r="BN104" s="338">
        <v>-76</v>
      </c>
      <c r="BO104" s="338">
        <v>-138</v>
      </c>
      <c r="BP104" s="337">
        <f>-601-SUM(BM104:BO104)</f>
        <v>-138</v>
      </c>
      <c r="BQ104" s="235">
        <f>SUM(BM104:BP104)</f>
        <v>-601</v>
      </c>
      <c r="BR104" s="338">
        <v>-106</v>
      </c>
      <c r="BS104" s="338">
        <v>-163</v>
      </c>
      <c r="BT104" s="338">
        <v>-139</v>
      </c>
      <c r="BU104" s="337">
        <f>-470-SUM(BR104:BT104)</f>
        <v>-62</v>
      </c>
      <c r="BV104" s="235">
        <f>SUM(BR104:BU104)</f>
        <v>-470</v>
      </c>
      <c r="BW104" s="338">
        <v>-125</v>
      </c>
      <c r="BX104" s="338">
        <v>-205</v>
      </c>
      <c r="BY104" s="338">
        <v>-139</v>
      </c>
      <c r="BZ104" s="337">
        <f>-656-SUM(BW104:BY104)</f>
        <v>-187</v>
      </c>
      <c r="CA104" s="235">
        <f>SUM(BW104:BZ104)</f>
        <v>-656</v>
      </c>
      <c r="CB104" s="338">
        <v>-222</v>
      </c>
      <c r="CC104" s="338">
        <v>-171</v>
      </c>
      <c r="CD104" s="338">
        <v>-144</v>
      </c>
      <c r="CE104" s="337">
        <f>-755-SUM(CB104:CD104)</f>
        <v>-218</v>
      </c>
      <c r="CF104" s="235">
        <f>SUM(CB104:CE104)</f>
        <v>-755</v>
      </c>
      <c r="CG104" s="338">
        <v>-212</v>
      </c>
      <c r="CH104" s="338">
        <v>-167</v>
      </c>
      <c r="CI104" s="338">
        <v>-163</v>
      </c>
      <c r="CJ104" s="337">
        <v>-254</v>
      </c>
      <c r="CK104" s="235">
        <f>SUM(CG104:CJ104)</f>
        <v>-796</v>
      </c>
      <c r="CL104" s="338">
        <f>-126</f>
        <v>-126</v>
      </c>
      <c r="CM104" s="338">
        <v>-224</v>
      </c>
      <c r="CN104" s="338">
        <v>-223</v>
      </c>
      <c r="CO104" s="337">
        <v>-294</v>
      </c>
      <c r="CP104" s="235">
        <f>SUM(CL104:CO104)</f>
        <v>-867</v>
      </c>
      <c r="CQ104" s="338">
        <v>0</v>
      </c>
      <c r="CR104" s="161">
        <v>0</v>
      </c>
      <c r="CS104" s="161">
        <v>0</v>
      </c>
      <c r="CT104" s="376">
        <v>0</v>
      </c>
      <c r="CU104" s="235">
        <f>SUM(CQ104:CT104)</f>
        <v>0</v>
      </c>
      <c r="CV104" s="161"/>
      <c r="CW104" s="161"/>
      <c r="CX104" s="161"/>
      <c r="CY104" s="376"/>
      <c r="CZ104" s="235"/>
      <c r="DA104" s="332"/>
      <c r="DB104" s="242"/>
      <c r="DC104" s="332"/>
      <c r="DF104" s="235">
        <f>CT104</f>
        <v>0</v>
      </c>
      <c r="DG104" s="235">
        <v>-200</v>
      </c>
      <c r="DH104" s="235">
        <f>CO104</f>
        <v>-294</v>
      </c>
      <c r="DI104" s="235">
        <f t="shared" ref="DI104:DI116" si="209">IF(ISERROR(DF104/DG104-1),"NM",DF104/DG104-1)</f>
        <v>-1</v>
      </c>
      <c r="DJ104" s="235">
        <f t="shared" ref="DJ104:DJ116" si="210">IF(ISERROR(DF104/DH104-1),"NM",DF104/DH104-1)</f>
        <v>-1</v>
      </c>
    </row>
    <row r="105" spans="3:114" s="155" customFormat="1" hidden="1" outlineLevel="1">
      <c r="C105" s="336"/>
      <c r="D105" s="339" t="s">
        <v>77</v>
      </c>
      <c r="E105" s="386"/>
      <c r="F105" s="386"/>
      <c r="G105" s="386"/>
      <c r="H105" s="386"/>
      <c r="I105" s="386">
        <v>0</v>
      </c>
      <c r="J105" s="341">
        <v>0</v>
      </c>
      <c r="K105" s="341">
        <v>0</v>
      </c>
      <c r="L105" s="341">
        <v>0</v>
      </c>
      <c r="M105" s="341"/>
      <c r="N105" s="386">
        <v>0</v>
      </c>
      <c r="O105" s="341">
        <v>0</v>
      </c>
      <c r="P105" s="341">
        <v>0</v>
      </c>
      <c r="Q105" s="341">
        <v>0</v>
      </c>
      <c r="R105" s="341"/>
      <c r="S105" s="386">
        <v>0</v>
      </c>
      <c r="T105" s="341">
        <v>0</v>
      </c>
      <c r="U105" s="341">
        <v>0</v>
      </c>
      <c r="V105" s="341">
        <v>0</v>
      </c>
      <c r="W105" s="341"/>
      <c r="X105" s="386">
        <v>0</v>
      </c>
      <c r="Y105" s="341">
        <v>0</v>
      </c>
      <c r="Z105" s="341">
        <v>0</v>
      </c>
      <c r="AA105" s="341">
        <v>0</v>
      </c>
      <c r="AB105" s="341"/>
      <c r="AC105" s="386">
        <v>0</v>
      </c>
      <c r="AD105" s="341">
        <v>0</v>
      </c>
      <c r="AE105" s="341">
        <v>0</v>
      </c>
      <c r="AF105" s="341">
        <v>0</v>
      </c>
      <c r="AG105" s="341"/>
      <c r="AH105" s="386">
        <v>0</v>
      </c>
      <c r="AI105" s="341"/>
      <c r="AJ105" s="341">
        <v>0</v>
      </c>
      <c r="AK105" s="341">
        <v>0</v>
      </c>
      <c r="AL105" s="341"/>
      <c r="AM105" s="386">
        <v>0</v>
      </c>
      <c r="AN105" s="341">
        <v>0</v>
      </c>
      <c r="AO105" s="341">
        <v>0</v>
      </c>
      <c r="AP105" s="341">
        <v>0</v>
      </c>
      <c r="AQ105" s="341">
        <v>0</v>
      </c>
      <c r="AR105" s="386">
        <v>0</v>
      </c>
      <c r="AS105" s="341">
        <v>0</v>
      </c>
      <c r="AT105" s="341">
        <v>0</v>
      </c>
      <c r="AU105" s="341">
        <v>0</v>
      </c>
      <c r="AV105" s="341">
        <v>0</v>
      </c>
      <c r="AW105" s="386">
        <v>0</v>
      </c>
      <c r="AX105" s="341">
        <v>0</v>
      </c>
      <c r="AY105" s="341">
        <v>0</v>
      </c>
      <c r="AZ105" s="341">
        <v>0</v>
      </c>
      <c r="BA105" s="341">
        <v>0</v>
      </c>
      <c r="BB105" s="386">
        <v>0</v>
      </c>
      <c r="BC105" s="341">
        <v>0</v>
      </c>
      <c r="BD105" s="341">
        <v>0</v>
      </c>
      <c r="BE105" s="341">
        <v>0</v>
      </c>
      <c r="BF105" s="341">
        <v>0</v>
      </c>
      <c r="BG105" s="386">
        <v>0</v>
      </c>
      <c r="BH105" s="341">
        <v>0</v>
      </c>
      <c r="BI105" s="341">
        <v>0</v>
      </c>
      <c r="BJ105" s="341">
        <v>0</v>
      </c>
      <c r="BK105" s="341">
        <v>0</v>
      </c>
      <c r="BL105" s="386">
        <v>0</v>
      </c>
      <c r="BM105" s="341">
        <v>0</v>
      </c>
      <c r="BN105" s="341">
        <v>0</v>
      </c>
      <c r="BO105" s="341">
        <v>0</v>
      </c>
      <c r="BP105" s="341">
        <v>0</v>
      </c>
      <c r="BQ105" s="386">
        <v>0</v>
      </c>
      <c r="BR105" s="341">
        <v>0</v>
      </c>
      <c r="BS105" s="341">
        <v>0</v>
      </c>
      <c r="BT105" s="341">
        <v>0</v>
      </c>
      <c r="BU105" s="341">
        <v>0</v>
      </c>
      <c r="BV105" s="386">
        <v>0</v>
      </c>
      <c r="BW105" s="341">
        <v>0</v>
      </c>
      <c r="BX105" s="341">
        <v>0</v>
      </c>
      <c r="BY105" s="341">
        <v>0</v>
      </c>
      <c r="BZ105" s="341">
        <v>0</v>
      </c>
      <c r="CA105" s="386">
        <v>0</v>
      </c>
      <c r="CB105" s="341">
        <v>0</v>
      </c>
      <c r="CC105" s="341">
        <v>0</v>
      </c>
      <c r="CD105" s="341">
        <v>0</v>
      </c>
      <c r="CE105" s="341">
        <v>0</v>
      </c>
      <c r="CF105" s="386">
        <v>0</v>
      </c>
      <c r="CG105" s="341">
        <v>0</v>
      </c>
      <c r="CH105" s="341">
        <v>0</v>
      </c>
      <c r="CI105" s="341">
        <v>0</v>
      </c>
      <c r="CJ105" s="341">
        <v>0</v>
      </c>
      <c r="CK105" s="386">
        <v>0</v>
      </c>
      <c r="CL105" s="341">
        <v>0</v>
      </c>
      <c r="CM105" s="341">
        <v>0</v>
      </c>
      <c r="CN105" s="341">
        <v>0</v>
      </c>
      <c r="CO105" s="387">
        <v>0</v>
      </c>
      <c r="CP105" s="386">
        <v>0</v>
      </c>
      <c r="CQ105" s="341">
        <v>0</v>
      </c>
      <c r="CR105" s="161">
        <v>0</v>
      </c>
      <c r="CS105" s="241"/>
      <c r="CT105" s="342"/>
      <c r="CU105" s="239"/>
      <c r="CV105" s="241"/>
      <c r="CW105" s="241"/>
      <c r="CX105" s="241"/>
      <c r="CY105" s="342"/>
      <c r="CZ105" s="239"/>
      <c r="DA105" s="239"/>
      <c r="DB105" s="343"/>
      <c r="DC105" s="239"/>
      <c r="DF105" s="239">
        <f>CT105</f>
        <v>0</v>
      </c>
      <c r="DG105" s="239">
        <v>0</v>
      </c>
      <c r="DH105" s="239"/>
      <c r="DI105" s="239"/>
      <c r="DJ105" s="239"/>
    </row>
    <row r="106" spans="3:114" s="155" customFormat="1" hidden="1" outlineLevel="1">
      <c r="C106" s="336"/>
      <c r="D106" s="226" t="s">
        <v>798</v>
      </c>
      <c r="E106" s="312"/>
      <c r="F106" s="312"/>
      <c r="G106" s="312"/>
      <c r="H106" s="312"/>
      <c r="I106" s="312">
        <f t="shared" ref="I106:AR106" si="211">I104+I100+I98+I96+I94+I102</f>
        <v>7673</v>
      </c>
      <c r="J106" s="168">
        <f t="shared" si="211"/>
        <v>2340</v>
      </c>
      <c r="K106" s="168">
        <f t="shared" si="211"/>
        <v>3072</v>
      </c>
      <c r="L106" s="168">
        <f t="shared" si="211"/>
        <v>690</v>
      </c>
      <c r="M106" s="346">
        <f t="shared" si="211"/>
        <v>1100</v>
      </c>
      <c r="N106" s="312">
        <f t="shared" si="211"/>
        <v>7202</v>
      </c>
      <c r="O106" s="168">
        <f t="shared" si="211"/>
        <v>1129</v>
      </c>
      <c r="P106" s="168">
        <f t="shared" si="211"/>
        <v>-1515</v>
      </c>
      <c r="Q106" s="168">
        <f t="shared" si="211"/>
        <v>-1332</v>
      </c>
      <c r="R106" s="346">
        <f t="shared" si="211"/>
        <v>-1178</v>
      </c>
      <c r="S106" s="312">
        <f t="shared" si="211"/>
        <v>-2896</v>
      </c>
      <c r="T106" s="168">
        <f t="shared" si="211"/>
        <v>-402</v>
      </c>
      <c r="U106" s="168">
        <f t="shared" si="211"/>
        <v>381</v>
      </c>
      <c r="V106" s="168">
        <f t="shared" si="211"/>
        <v>-290</v>
      </c>
      <c r="W106" s="346">
        <f t="shared" si="211"/>
        <v>-311</v>
      </c>
      <c r="X106" s="312">
        <f t="shared" si="211"/>
        <v>-622</v>
      </c>
      <c r="Y106" s="168">
        <f t="shared" si="211"/>
        <v>659</v>
      </c>
      <c r="Z106" s="168">
        <f t="shared" si="211"/>
        <v>3</v>
      </c>
      <c r="AA106" s="168">
        <f t="shared" si="211"/>
        <v>-609</v>
      </c>
      <c r="AB106" s="346">
        <f t="shared" si="211"/>
        <v>51</v>
      </c>
      <c r="AC106" s="312">
        <f t="shared" si="211"/>
        <v>104</v>
      </c>
      <c r="AD106" s="168">
        <f t="shared" si="211"/>
        <v>1818</v>
      </c>
      <c r="AE106" s="168">
        <f t="shared" si="211"/>
        <v>83</v>
      </c>
      <c r="AF106" s="168">
        <f t="shared" si="211"/>
        <v>-609</v>
      </c>
      <c r="AG106" s="346">
        <f t="shared" si="211"/>
        <v>-442</v>
      </c>
      <c r="AH106" s="312">
        <f t="shared" si="211"/>
        <v>850</v>
      </c>
      <c r="AI106" s="168">
        <f t="shared" si="211"/>
        <v>516</v>
      </c>
      <c r="AJ106" s="168">
        <f t="shared" si="211"/>
        <v>-534</v>
      </c>
      <c r="AK106" s="168">
        <f t="shared" si="211"/>
        <v>-1557</v>
      </c>
      <c r="AL106" s="346">
        <f t="shared" si="211"/>
        <v>-2299</v>
      </c>
      <c r="AM106" s="312">
        <f t="shared" si="211"/>
        <v>-3874</v>
      </c>
      <c r="AN106" s="168">
        <f t="shared" si="211"/>
        <v>-2720</v>
      </c>
      <c r="AO106" s="168">
        <f t="shared" si="211"/>
        <v>-1086</v>
      </c>
      <c r="AP106" s="168">
        <f t="shared" si="211"/>
        <v>-7107</v>
      </c>
      <c r="AQ106" s="346">
        <f t="shared" si="211"/>
        <v>-6104</v>
      </c>
      <c r="AR106" s="312">
        <f t="shared" si="211"/>
        <v>-17017</v>
      </c>
      <c r="AS106" s="168">
        <f t="shared" ref="AS106:BH106" si="212">AS104+AS100+AS98+AS96+AS94+AS102</f>
        <v>-338</v>
      </c>
      <c r="AT106" s="168">
        <f t="shared" si="212"/>
        <v>821</v>
      </c>
      <c r="AU106" s="168">
        <f t="shared" si="212"/>
        <v>-712</v>
      </c>
      <c r="AV106" s="346">
        <f t="shared" si="212"/>
        <v>-4741</v>
      </c>
      <c r="AW106" s="312">
        <f t="shared" si="212"/>
        <v>-4970</v>
      </c>
      <c r="AX106" s="168">
        <f t="shared" si="212"/>
        <v>253</v>
      </c>
      <c r="AY106" s="168">
        <f t="shared" si="212"/>
        <v>-6685</v>
      </c>
      <c r="AZ106" s="168">
        <f t="shared" si="212"/>
        <v>-662</v>
      </c>
      <c r="BA106" s="346">
        <f t="shared" si="212"/>
        <v>-4761</v>
      </c>
      <c r="BB106" s="312">
        <f t="shared" si="212"/>
        <v>-11855</v>
      </c>
      <c r="BC106" s="168">
        <f t="shared" si="212"/>
        <v>-1468</v>
      </c>
      <c r="BD106" s="168">
        <f t="shared" si="212"/>
        <v>1776</v>
      </c>
      <c r="BE106" s="168">
        <f t="shared" si="212"/>
        <v>545</v>
      </c>
      <c r="BF106" s="346">
        <f t="shared" si="212"/>
        <v>359</v>
      </c>
      <c r="BG106" s="312">
        <f t="shared" si="212"/>
        <v>1212</v>
      </c>
      <c r="BH106" s="168">
        <f t="shared" si="212"/>
        <v>1132</v>
      </c>
      <c r="BI106" s="168">
        <f t="shared" ref="BI106:CL106" si="213">BI104+BI100+BI98+BI96+BI94+BI102</f>
        <v>2067</v>
      </c>
      <c r="BJ106" s="168">
        <f t="shared" si="213"/>
        <v>1294</v>
      </c>
      <c r="BK106" s="346">
        <f t="shared" si="213"/>
        <v>804</v>
      </c>
      <c r="BL106" s="312">
        <f t="shared" si="213"/>
        <v>5297</v>
      </c>
      <c r="BM106" s="168">
        <f t="shared" si="213"/>
        <v>2131</v>
      </c>
      <c r="BN106" s="168">
        <f t="shared" si="213"/>
        <v>2276</v>
      </c>
      <c r="BO106" s="168">
        <f t="shared" si="213"/>
        <v>1339</v>
      </c>
      <c r="BP106" s="346">
        <f t="shared" si="213"/>
        <v>586</v>
      </c>
      <c r="BQ106" s="312">
        <f t="shared" si="213"/>
        <v>6332</v>
      </c>
      <c r="BR106" s="168">
        <f t="shared" si="213"/>
        <v>1837</v>
      </c>
      <c r="BS106" s="168">
        <f t="shared" si="213"/>
        <v>1382</v>
      </c>
      <c r="BT106" s="168">
        <f t="shared" si="213"/>
        <v>1775</v>
      </c>
      <c r="BU106" s="346">
        <f t="shared" si="213"/>
        <v>1262</v>
      </c>
      <c r="BV106" s="312">
        <f t="shared" si="213"/>
        <v>6256</v>
      </c>
      <c r="BW106" s="168">
        <f t="shared" si="213"/>
        <v>1643</v>
      </c>
      <c r="BX106" s="168">
        <f t="shared" si="213"/>
        <v>2104</v>
      </c>
      <c r="BY106" s="168">
        <f t="shared" si="213"/>
        <v>2226</v>
      </c>
      <c r="BZ106" s="346">
        <f t="shared" si="213"/>
        <v>924</v>
      </c>
      <c r="CA106" s="312">
        <f t="shared" si="213"/>
        <v>6897</v>
      </c>
      <c r="CB106" s="168">
        <f t="shared" si="213"/>
        <v>919</v>
      </c>
      <c r="CC106" s="168">
        <f t="shared" si="213"/>
        <v>2170</v>
      </c>
      <c r="CD106" s="168">
        <f t="shared" si="213"/>
        <v>686</v>
      </c>
      <c r="CE106" s="346">
        <f t="shared" si="213"/>
        <v>713</v>
      </c>
      <c r="CF106" s="312">
        <f t="shared" si="213"/>
        <v>4488</v>
      </c>
      <c r="CG106" s="168">
        <f t="shared" si="213"/>
        <v>936</v>
      </c>
      <c r="CH106" s="168">
        <f t="shared" si="213"/>
        <v>2377</v>
      </c>
      <c r="CI106" s="168">
        <f t="shared" si="213"/>
        <v>2167</v>
      </c>
      <c r="CJ106" s="346">
        <f t="shared" si="213"/>
        <v>2068</v>
      </c>
      <c r="CK106" s="312">
        <f t="shared" si="213"/>
        <v>7548</v>
      </c>
      <c r="CL106" s="168">
        <f t="shared" si="213"/>
        <v>3338</v>
      </c>
      <c r="CM106" s="168">
        <f>+CM100+CM98+CM96+CM94+CM102</f>
        <v>2832</v>
      </c>
      <c r="CN106" s="168">
        <f>+CN100+CN98+CN96+CN94+CN102</f>
        <v>1084</v>
      </c>
      <c r="CO106" s="346">
        <f>+CO100+CO98+CO96+CO94+CO102</f>
        <v>2042</v>
      </c>
      <c r="CP106" s="312">
        <f>+CP100+CP98+CP96+CP94+CP102</f>
        <v>9422</v>
      </c>
      <c r="CQ106" s="168">
        <f>+CQ100+CQ98+CQ96+CQ94+CQ102</f>
        <v>1965</v>
      </c>
      <c r="CR106" s="168">
        <f>+CR100+CR98+CR96+CR94+CR102+CR104</f>
        <v>2191</v>
      </c>
      <c r="CS106" s="168">
        <f>+CS100+CS98+CS96+CS94+CS102+CS104</f>
        <v>1668</v>
      </c>
      <c r="CT106" s="346">
        <f t="shared" ref="CT106:CU106" si="214">+CT100+CT98+CT96+CT94+CT102+CT104</f>
        <v>1435</v>
      </c>
      <c r="CU106" s="312">
        <f t="shared" si="214"/>
        <v>7259</v>
      </c>
      <c r="CV106" s="168"/>
      <c r="CW106" s="168"/>
      <c r="CX106" s="168"/>
      <c r="CY106" s="346"/>
      <c r="CZ106" s="312"/>
      <c r="DA106" s="312"/>
      <c r="DB106" s="347"/>
      <c r="DC106" s="312"/>
      <c r="DF106" s="312">
        <f>CT106</f>
        <v>1435</v>
      </c>
      <c r="DG106" s="312">
        <v>1580.05</v>
      </c>
      <c r="DH106" s="312">
        <f>CO106</f>
        <v>2042</v>
      </c>
      <c r="DI106" s="312">
        <f t="shared" si="209"/>
        <v>-9.180089237682354E-2</v>
      </c>
      <c r="DJ106" s="312">
        <f t="shared" si="210"/>
        <v>-0.29725759059745349</v>
      </c>
    </row>
    <row r="107" spans="3:114" s="155" customFormat="1" hidden="1" outlineLevel="1">
      <c r="C107" s="377"/>
      <c r="D107" s="270" t="s">
        <v>357</v>
      </c>
      <c r="E107" s="235"/>
      <c r="F107" s="235"/>
      <c r="G107" s="235"/>
      <c r="H107" s="235"/>
      <c r="I107" s="235"/>
      <c r="J107" s="338"/>
      <c r="K107" s="338"/>
      <c r="L107" s="338"/>
      <c r="M107" s="337"/>
      <c r="N107" s="235">
        <f>SUM(J107:M107)</f>
        <v>0</v>
      </c>
      <c r="O107" s="338"/>
      <c r="P107" s="338"/>
      <c r="Q107" s="338"/>
      <c r="R107" s="337"/>
      <c r="S107" s="235">
        <f>SUM(O107:R107)</f>
        <v>0</v>
      </c>
      <c r="T107" s="338"/>
      <c r="U107" s="338"/>
      <c r="V107" s="338"/>
      <c r="W107" s="337"/>
      <c r="X107" s="235">
        <f>SUM(T107:W107)</f>
        <v>0</v>
      </c>
      <c r="Y107" s="338"/>
      <c r="Z107" s="338"/>
      <c r="AA107" s="338"/>
      <c r="AB107" s="337"/>
      <c r="AC107" s="235">
        <f>SUM(Y107:AB107)</f>
        <v>0</v>
      </c>
      <c r="AD107" s="338"/>
      <c r="AE107" s="338"/>
      <c r="AF107" s="338"/>
      <c r="AG107" s="337"/>
      <c r="AH107" s="235">
        <f>SUM(AD107:AG107)</f>
        <v>0</v>
      </c>
      <c r="AI107" s="338">
        <v>0</v>
      </c>
      <c r="AJ107" s="338">
        <v>0</v>
      </c>
      <c r="AK107" s="338">
        <v>0</v>
      </c>
      <c r="AL107" s="337"/>
      <c r="AM107" s="235">
        <f>SUM(AI107:AL107)</f>
        <v>0</v>
      </c>
      <c r="AN107" s="338">
        <v>0</v>
      </c>
      <c r="AO107" s="338"/>
      <c r="AP107" s="338"/>
      <c r="AQ107" s="337"/>
      <c r="AR107" s="235">
        <f>SUM(AN107:AQ107)</f>
        <v>0</v>
      </c>
      <c r="AS107" s="338">
        <v>0</v>
      </c>
      <c r="AT107" s="338"/>
      <c r="AU107" s="338"/>
      <c r="AV107" s="337"/>
      <c r="AW107" s="235">
        <f>SUM(AS107:AV107)</f>
        <v>0</v>
      </c>
      <c r="AX107" s="338">
        <v>0</v>
      </c>
      <c r="AY107" s="338">
        <v>75</v>
      </c>
      <c r="AZ107" s="338">
        <v>-37</v>
      </c>
      <c r="BA107" s="337">
        <f>32-SUM(AX107:AZ107)</f>
        <v>-6</v>
      </c>
      <c r="BB107" s="235">
        <f>SUM(AX107:BA107)</f>
        <v>32</v>
      </c>
      <c r="BC107" s="338">
        <v>0</v>
      </c>
      <c r="BD107" s="338">
        <v>0</v>
      </c>
      <c r="BE107" s="338">
        <v>0</v>
      </c>
      <c r="BF107" s="337">
        <v>0</v>
      </c>
      <c r="BG107" s="369">
        <v>0</v>
      </c>
      <c r="BH107" s="338">
        <v>0</v>
      </c>
      <c r="BI107" s="338">
        <v>0</v>
      </c>
      <c r="BJ107" s="338">
        <v>0</v>
      </c>
      <c r="BK107" s="337">
        <v>0</v>
      </c>
      <c r="BL107" s="369">
        <v>0</v>
      </c>
      <c r="BM107" s="338">
        <v>0</v>
      </c>
      <c r="BN107" s="338">
        <v>0</v>
      </c>
      <c r="BO107" s="338">
        <v>0</v>
      </c>
      <c r="BP107" s="337">
        <v>0</v>
      </c>
      <c r="BQ107" s="369">
        <v>0</v>
      </c>
      <c r="BR107" s="338">
        <v>0</v>
      </c>
      <c r="BS107" s="338">
        <v>0</v>
      </c>
      <c r="BT107" s="338">
        <v>0</v>
      </c>
      <c r="BU107" s="337">
        <v>0</v>
      </c>
      <c r="BV107" s="369">
        <v>0</v>
      </c>
      <c r="BW107" s="338">
        <v>0</v>
      </c>
      <c r="BX107" s="338">
        <v>0</v>
      </c>
      <c r="BY107" s="338">
        <v>0</v>
      </c>
      <c r="BZ107" s="337">
        <v>0</v>
      </c>
      <c r="CA107" s="369">
        <v>0</v>
      </c>
      <c r="CB107" s="338">
        <v>0</v>
      </c>
      <c r="CC107" s="338">
        <v>0</v>
      </c>
      <c r="CD107" s="338">
        <v>0</v>
      </c>
      <c r="CE107" s="337">
        <v>0</v>
      </c>
      <c r="CF107" s="369">
        <v>0</v>
      </c>
      <c r="CG107" s="338">
        <v>0</v>
      </c>
      <c r="CH107" s="338">
        <v>0</v>
      </c>
      <c r="CI107" s="338">
        <v>0</v>
      </c>
      <c r="CJ107" s="337">
        <v>0</v>
      </c>
      <c r="CK107" s="369">
        <v>0</v>
      </c>
      <c r="CL107" s="338">
        <v>0</v>
      </c>
      <c r="CM107" s="338">
        <v>0</v>
      </c>
      <c r="CN107" s="338">
        <v>0</v>
      </c>
      <c r="CO107" s="337">
        <v>0</v>
      </c>
      <c r="CP107" s="369">
        <v>0</v>
      </c>
      <c r="CQ107" s="338">
        <v>0</v>
      </c>
      <c r="CR107" s="338">
        <v>0</v>
      </c>
      <c r="CS107" s="338">
        <v>0</v>
      </c>
      <c r="CT107" s="337">
        <v>0</v>
      </c>
      <c r="CU107" s="369">
        <v>0</v>
      </c>
      <c r="CV107" s="338"/>
      <c r="CW107" s="338"/>
      <c r="CX107" s="338"/>
      <c r="CY107" s="337"/>
      <c r="CZ107" s="255"/>
      <c r="DA107" s="369"/>
      <c r="DB107" s="370"/>
      <c r="DC107" s="369"/>
      <c r="DF107" s="255"/>
      <c r="DG107" s="255"/>
      <c r="DH107" s="255"/>
      <c r="DI107" s="255"/>
      <c r="DJ107" s="255"/>
    </row>
    <row r="108" spans="3:114" s="155" customFormat="1" hidden="1" outlineLevel="1">
      <c r="C108" s="377"/>
      <c r="D108" s="339" t="s">
        <v>77</v>
      </c>
      <c r="E108" s="239"/>
      <c r="F108" s="239"/>
      <c r="G108" s="239"/>
      <c r="H108" s="239"/>
      <c r="I108" s="239"/>
      <c r="J108" s="241"/>
      <c r="K108" s="241"/>
      <c r="L108" s="241"/>
      <c r="M108" s="342"/>
      <c r="N108" s="239"/>
      <c r="O108" s="241"/>
      <c r="P108" s="241"/>
      <c r="Q108" s="241"/>
      <c r="R108" s="342"/>
      <c r="S108" s="239"/>
      <c r="T108" s="241"/>
      <c r="U108" s="241"/>
      <c r="V108" s="241"/>
      <c r="W108" s="342"/>
      <c r="X108" s="239"/>
      <c r="Y108" s="241"/>
      <c r="Z108" s="241"/>
      <c r="AA108" s="241"/>
      <c r="AB108" s="342"/>
      <c r="AC108" s="239"/>
      <c r="AD108" s="241"/>
      <c r="AE108" s="241"/>
      <c r="AF108" s="241"/>
      <c r="AG108" s="342"/>
      <c r="AH108" s="239"/>
      <c r="AI108" s="241"/>
      <c r="AJ108" s="241"/>
      <c r="AK108" s="241"/>
      <c r="AL108" s="342"/>
      <c r="AM108" s="239"/>
      <c r="AN108" s="241"/>
      <c r="AO108" s="241"/>
      <c r="AP108" s="241"/>
      <c r="AQ108" s="342"/>
      <c r="AR108" s="239"/>
      <c r="AS108" s="241"/>
      <c r="AT108" s="241"/>
      <c r="AU108" s="241"/>
      <c r="AV108" s="342"/>
      <c r="AW108" s="239"/>
      <c r="AX108" s="241"/>
      <c r="AY108" s="241"/>
      <c r="AZ108" s="241"/>
      <c r="BA108" s="342"/>
      <c r="BB108" s="239"/>
      <c r="BC108" s="241"/>
      <c r="BD108" s="241"/>
      <c r="BE108" s="241"/>
      <c r="BF108" s="342"/>
      <c r="BG108" s="239"/>
      <c r="BH108" s="241"/>
      <c r="BI108" s="241"/>
      <c r="BJ108" s="241"/>
      <c r="BK108" s="342"/>
      <c r="BL108" s="239"/>
      <c r="BM108" s="241"/>
      <c r="BN108" s="241"/>
      <c r="BO108" s="241"/>
      <c r="BP108" s="342"/>
      <c r="BQ108" s="239"/>
      <c r="BR108" s="241"/>
      <c r="BS108" s="241"/>
      <c r="BT108" s="241"/>
      <c r="BU108" s="342"/>
      <c r="BV108" s="239"/>
      <c r="BW108" s="241"/>
      <c r="BX108" s="241"/>
      <c r="BY108" s="241"/>
      <c r="BZ108" s="342"/>
      <c r="CA108" s="239"/>
      <c r="CB108" s="241"/>
      <c r="CC108" s="241"/>
      <c r="CD108" s="241"/>
      <c r="CE108" s="342"/>
      <c r="CF108" s="239"/>
      <c r="CG108" s="241"/>
      <c r="CH108" s="241"/>
      <c r="CI108" s="241"/>
      <c r="CJ108" s="342"/>
      <c r="CK108" s="239"/>
      <c r="CL108" s="241"/>
      <c r="CM108" s="241"/>
      <c r="CN108" s="241"/>
      <c r="CO108" s="342"/>
      <c r="CP108" s="239"/>
      <c r="CQ108" s="241"/>
      <c r="CR108" s="241"/>
      <c r="CS108" s="241"/>
      <c r="CT108" s="342"/>
      <c r="CU108" s="239"/>
      <c r="CV108" s="241"/>
      <c r="CW108" s="241"/>
      <c r="CX108" s="241"/>
      <c r="CY108" s="342"/>
      <c r="CZ108" s="239"/>
      <c r="DA108" s="239"/>
      <c r="DB108" s="343"/>
      <c r="DC108" s="239"/>
      <c r="DF108" s="239"/>
      <c r="DG108" s="239"/>
      <c r="DH108" s="239"/>
      <c r="DI108" s="239"/>
      <c r="DJ108" s="239"/>
    </row>
    <row r="109" spans="3:114" s="155" customFormat="1" hidden="1" outlineLevel="1">
      <c r="C109" s="336"/>
      <c r="D109" s="227" t="s">
        <v>799</v>
      </c>
      <c r="E109" s="235"/>
      <c r="F109" s="235"/>
      <c r="G109" s="235"/>
      <c r="H109" s="235"/>
      <c r="I109" s="235"/>
      <c r="J109" s="338"/>
      <c r="K109" s="338"/>
      <c r="L109" s="338"/>
      <c r="M109" s="337"/>
      <c r="N109" s="235">
        <f>SUM(J109:M109)</f>
        <v>0</v>
      </c>
      <c r="O109" s="338"/>
      <c r="P109" s="338"/>
      <c r="Q109" s="338"/>
      <c r="R109" s="337"/>
      <c r="S109" s="235">
        <f>SUM(O109:R109)</f>
        <v>0</v>
      </c>
      <c r="T109" s="338"/>
      <c r="U109" s="338"/>
      <c r="V109" s="338"/>
      <c r="W109" s="337"/>
      <c r="X109" s="235">
        <f>SUM(T109:W109)</f>
        <v>0</v>
      </c>
      <c r="Y109" s="338"/>
      <c r="Z109" s="338"/>
      <c r="AA109" s="338"/>
      <c r="AB109" s="337"/>
      <c r="AC109" s="235">
        <f>SUM(Y109:AB109)</f>
        <v>0</v>
      </c>
      <c r="AD109" s="338"/>
      <c r="AE109" s="338"/>
      <c r="AF109" s="338"/>
      <c r="AG109" s="337"/>
      <c r="AH109" s="235">
        <f>SUM(AD109:AG109)</f>
        <v>0</v>
      </c>
      <c r="AI109" s="338"/>
      <c r="AJ109" s="338"/>
      <c r="AK109" s="338"/>
      <c r="AL109" s="337"/>
      <c r="AM109" s="235">
        <f>SUM(AI109:AL109)</f>
        <v>0</v>
      </c>
      <c r="AN109" s="338"/>
      <c r="AO109" s="338"/>
      <c r="AP109" s="338"/>
      <c r="AQ109" s="337"/>
      <c r="AR109" s="235">
        <f>SUM(AN109:AQ109)</f>
        <v>0</v>
      </c>
      <c r="AS109" s="338"/>
      <c r="AT109" s="338"/>
      <c r="AU109" s="338"/>
      <c r="AV109" s="337"/>
      <c r="AW109" s="235">
        <f>SUM(AS109:AV109)</f>
        <v>0</v>
      </c>
      <c r="AX109" s="338"/>
      <c r="AY109" s="338"/>
      <c r="AZ109" s="338"/>
      <c r="BA109" s="337"/>
      <c r="BB109" s="235">
        <f>SUM(AX109:BA109)</f>
        <v>0</v>
      </c>
      <c r="BC109" s="338"/>
      <c r="BD109" s="338"/>
      <c r="BE109" s="338"/>
      <c r="BF109" s="337"/>
      <c r="BG109" s="235">
        <f>SUM(BC109:BF109)</f>
        <v>0</v>
      </c>
      <c r="BH109" s="338"/>
      <c r="BI109" s="338"/>
      <c r="BJ109" s="338"/>
      <c r="BK109" s="337"/>
      <c r="BL109" s="235">
        <f>SUM(BH109:BK109)</f>
        <v>0</v>
      </c>
      <c r="BM109" s="338"/>
      <c r="BN109" s="338"/>
      <c r="BO109" s="338"/>
      <c r="BP109" s="337"/>
      <c r="BQ109" s="235">
        <f>SUM(BM109:BP109)</f>
        <v>0</v>
      </c>
      <c r="BR109" s="338"/>
      <c r="BS109" s="338"/>
      <c r="BT109" s="338"/>
      <c r="BU109" s="337"/>
      <c r="BV109" s="235">
        <f>SUM(BR109:BU109)</f>
        <v>0</v>
      </c>
      <c r="BW109" s="338"/>
      <c r="BX109" s="338"/>
      <c r="BY109" s="338"/>
      <c r="BZ109" s="337"/>
      <c r="CA109" s="235">
        <f>SUM(BW109:BZ109)</f>
        <v>0</v>
      </c>
      <c r="CB109" s="338"/>
      <c r="CC109" s="338"/>
      <c r="CD109" s="338"/>
      <c r="CE109" s="337"/>
      <c r="CF109" s="235">
        <f>SUM(CB109:CE109)</f>
        <v>0</v>
      </c>
      <c r="CG109" s="338"/>
      <c r="CH109" s="338"/>
      <c r="CI109" s="338"/>
      <c r="CJ109" s="337"/>
      <c r="CK109" s="235">
        <f>SUM(CG109:CJ109)</f>
        <v>0</v>
      </c>
      <c r="CL109" s="338"/>
      <c r="CM109" s="338"/>
      <c r="CN109" s="338"/>
      <c r="CO109" s="337"/>
      <c r="CP109" s="235">
        <f>SUM(CL109:CO109)</f>
        <v>0</v>
      </c>
      <c r="CQ109" s="338"/>
      <c r="CR109" s="338"/>
      <c r="CS109" s="338"/>
      <c r="CT109" s="337"/>
      <c r="CU109" s="369"/>
      <c r="CV109" s="338"/>
      <c r="CW109" s="338"/>
      <c r="CX109" s="338"/>
      <c r="CY109" s="337"/>
      <c r="CZ109" s="369"/>
      <c r="DA109" s="369"/>
      <c r="DB109" s="370"/>
      <c r="DC109" s="369"/>
      <c r="DF109" s="369"/>
      <c r="DG109" s="369"/>
      <c r="DH109" s="369"/>
      <c r="DI109" s="369"/>
      <c r="DJ109" s="369"/>
    </row>
    <row r="110" spans="3:114" s="155" customFormat="1" hidden="1" outlineLevel="1">
      <c r="C110" s="336"/>
      <c r="D110" s="215"/>
      <c r="E110" s="367"/>
      <c r="F110" s="367"/>
      <c r="G110" s="367"/>
      <c r="H110" s="367"/>
      <c r="I110" s="367"/>
      <c r="J110" s="365"/>
      <c r="K110" s="365"/>
      <c r="L110" s="365"/>
      <c r="M110" s="366"/>
      <c r="N110" s="367"/>
      <c r="O110" s="365"/>
      <c r="P110" s="365"/>
      <c r="Q110" s="365"/>
      <c r="R110" s="366"/>
      <c r="S110" s="367"/>
      <c r="T110" s="365"/>
      <c r="U110" s="365"/>
      <c r="V110" s="365"/>
      <c r="W110" s="366"/>
      <c r="X110" s="367"/>
      <c r="Y110" s="365"/>
      <c r="Z110" s="365"/>
      <c r="AA110" s="365"/>
      <c r="AB110" s="366"/>
      <c r="AC110" s="367"/>
      <c r="AD110" s="365"/>
      <c r="AE110" s="365"/>
      <c r="AF110" s="365"/>
      <c r="AG110" s="366"/>
      <c r="AH110" s="367"/>
      <c r="AI110" s="365"/>
      <c r="AJ110" s="365"/>
      <c r="AK110" s="365"/>
      <c r="AL110" s="366"/>
      <c r="AM110" s="367"/>
      <c r="AN110" s="365"/>
      <c r="AO110" s="365"/>
      <c r="AP110" s="365"/>
      <c r="AQ110" s="366"/>
      <c r="AR110" s="367"/>
      <c r="AS110" s="365"/>
      <c r="AT110" s="365"/>
      <c r="AU110" s="365"/>
      <c r="AV110" s="366"/>
      <c r="AW110" s="367"/>
      <c r="AX110" s="365"/>
      <c r="AY110" s="365"/>
      <c r="AZ110" s="365"/>
      <c r="BA110" s="366"/>
      <c r="BB110" s="367"/>
      <c r="BC110" s="365"/>
      <c r="BD110" s="365"/>
      <c r="BE110" s="365"/>
      <c r="BF110" s="366"/>
      <c r="BG110" s="367"/>
      <c r="BH110" s="365"/>
      <c r="BI110" s="365"/>
      <c r="BJ110" s="365"/>
      <c r="BK110" s="366"/>
      <c r="BL110" s="367"/>
      <c r="BM110" s="365"/>
      <c r="BN110" s="365"/>
      <c r="BO110" s="365"/>
      <c r="BP110" s="366"/>
      <c r="BQ110" s="367"/>
      <c r="BR110" s="365"/>
      <c r="BS110" s="365"/>
      <c r="BT110" s="365"/>
      <c r="BU110" s="366"/>
      <c r="BV110" s="367"/>
      <c r="BW110" s="365"/>
      <c r="BX110" s="365"/>
      <c r="BY110" s="365"/>
      <c r="BZ110" s="366"/>
      <c r="CA110" s="367"/>
      <c r="CB110" s="365"/>
      <c r="CC110" s="365"/>
      <c r="CD110" s="365"/>
      <c r="CE110" s="366"/>
      <c r="CF110" s="367"/>
      <c r="CG110" s="365"/>
      <c r="CH110" s="365"/>
      <c r="CI110" s="365"/>
      <c r="CJ110" s="366"/>
      <c r="CK110" s="367"/>
      <c r="CL110" s="365"/>
      <c r="CM110" s="365"/>
      <c r="CN110" s="365"/>
      <c r="CO110" s="366"/>
      <c r="CP110" s="367"/>
      <c r="CQ110" s="365"/>
      <c r="CR110" s="365"/>
      <c r="CS110" s="365"/>
      <c r="CT110" s="366"/>
      <c r="CU110" s="367"/>
      <c r="CV110" s="365"/>
      <c r="CW110" s="365"/>
      <c r="CX110" s="365"/>
      <c r="CY110" s="366"/>
      <c r="CZ110" s="367"/>
      <c r="DA110" s="367"/>
      <c r="DB110" s="368"/>
      <c r="DC110" s="367"/>
      <c r="DF110" s="367"/>
      <c r="DG110" s="367"/>
      <c r="DH110" s="367"/>
      <c r="DI110" s="367"/>
      <c r="DJ110" s="367"/>
    </row>
    <row r="111" spans="3:114" ht="13.5" hidden="1" outlineLevel="1" thickBot="1">
      <c r="C111" s="336"/>
      <c r="D111" s="228" t="s">
        <v>800</v>
      </c>
      <c r="E111" s="378"/>
      <c r="F111" s="378"/>
      <c r="G111" s="378"/>
      <c r="H111" s="378"/>
      <c r="I111" s="378">
        <f t="shared" ref="I111:AR111" si="215">I107+I106</f>
        <v>7673</v>
      </c>
      <c r="J111" s="379">
        <f t="shared" si="215"/>
        <v>2340</v>
      </c>
      <c r="K111" s="379">
        <f t="shared" si="215"/>
        <v>3072</v>
      </c>
      <c r="L111" s="379">
        <f t="shared" si="215"/>
        <v>690</v>
      </c>
      <c r="M111" s="380">
        <f t="shared" si="215"/>
        <v>1100</v>
      </c>
      <c r="N111" s="378">
        <f t="shared" si="215"/>
        <v>7202</v>
      </c>
      <c r="O111" s="379">
        <f t="shared" si="215"/>
        <v>1129</v>
      </c>
      <c r="P111" s="379">
        <f t="shared" si="215"/>
        <v>-1515</v>
      </c>
      <c r="Q111" s="379">
        <f t="shared" si="215"/>
        <v>-1332</v>
      </c>
      <c r="R111" s="380">
        <f t="shared" si="215"/>
        <v>-1178</v>
      </c>
      <c r="S111" s="378">
        <f t="shared" si="215"/>
        <v>-2896</v>
      </c>
      <c r="T111" s="379">
        <f t="shared" si="215"/>
        <v>-402</v>
      </c>
      <c r="U111" s="379">
        <f t="shared" si="215"/>
        <v>381</v>
      </c>
      <c r="V111" s="379">
        <f t="shared" si="215"/>
        <v>-290</v>
      </c>
      <c r="W111" s="380">
        <f t="shared" si="215"/>
        <v>-311</v>
      </c>
      <c r="X111" s="378">
        <f t="shared" si="215"/>
        <v>-622</v>
      </c>
      <c r="Y111" s="379">
        <f t="shared" si="215"/>
        <v>659</v>
      </c>
      <c r="Z111" s="379">
        <f t="shared" si="215"/>
        <v>3</v>
      </c>
      <c r="AA111" s="379">
        <f t="shared" si="215"/>
        <v>-609</v>
      </c>
      <c r="AB111" s="380">
        <f t="shared" si="215"/>
        <v>51</v>
      </c>
      <c r="AC111" s="378">
        <f t="shared" si="215"/>
        <v>104</v>
      </c>
      <c r="AD111" s="379">
        <f t="shared" si="215"/>
        <v>1818</v>
      </c>
      <c r="AE111" s="379">
        <f t="shared" si="215"/>
        <v>83</v>
      </c>
      <c r="AF111" s="379">
        <f t="shared" si="215"/>
        <v>-609</v>
      </c>
      <c r="AG111" s="380">
        <f t="shared" si="215"/>
        <v>-442</v>
      </c>
      <c r="AH111" s="378">
        <f t="shared" si="215"/>
        <v>850</v>
      </c>
      <c r="AI111" s="379">
        <f t="shared" si="215"/>
        <v>516</v>
      </c>
      <c r="AJ111" s="379">
        <f t="shared" si="215"/>
        <v>-534</v>
      </c>
      <c r="AK111" s="379">
        <f t="shared" si="215"/>
        <v>-1557</v>
      </c>
      <c r="AL111" s="380">
        <f t="shared" si="215"/>
        <v>-2299</v>
      </c>
      <c r="AM111" s="378">
        <f t="shared" si="215"/>
        <v>-3874</v>
      </c>
      <c r="AN111" s="379">
        <f t="shared" si="215"/>
        <v>-2720</v>
      </c>
      <c r="AO111" s="379">
        <f t="shared" si="215"/>
        <v>-1086</v>
      </c>
      <c r="AP111" s="379">
        <f t="shared" si="215"/>
        <v>-7107</v>
      </c>
      <c r="AQ111" s="380">
        <f t="shared" si="215"/>
        <v>-6104</v>
      </c>
      <c r="AR111" s="378">
        <f t="shared" si="215"/>
        <v>-17017</v>
      </c>
      <c r="AS111" s="379">
        <f t="shared" ref="AS111:BG111" si="216">AS107+AS106</f>
        <v>-338</v>
      </c>
      <c r="AT111" s="379">
        <f t="shared" si="216"/>
        <v>821</v>
      </c>
      <c r="AU111" s="379">
        <f t="shared" si="216"/>
        <v>-712</v>
      </c>
      <c r="AV111" s="380">
        <f t="shared" si="216"/>
        <v>-4741</v>
      </c>
      <c r="AW111" s="378">
        <f t="shared" si="216"/>
        <v>-4970</v>
      </c>
      <c r="AX111" s="379">
        <f t="shared" si="216"/>
        <v>253</v>
      </c>
      <c r="AY111" s="379">
        <f t="shared" si="216"/>
        <v>-6610</v>
      </c>
      <c r="AZ111" s="379">
        <f t="shared" si="216"/>
        <v>-699</v>
      </c>
      <c r="BA111" s="380">
        <f t="shared" si="216"/>
        <v>-4767</v>
      </c>
      <c r="BB111" s="378">
        <f t="shared" si="216"/>
        <v>-11823</v>
      </c>
      <c r="BC111" s="379">
        <f t="shared" si="216"/>
        <v>-1468</v>
      </c>
      <c r="BD111" s="379">
        <f t="shared" si="216"/>
        <v>1776</v>
      </c>
      <c r="BE111" s="379">
        <f t="shared" si="216"/>
        <v>545</v>
      </c>
      <c r="BF111" s="380">
        <f t="shared" si="216"/>
        <v>359</v>
      </c>
      <c r="BG111" s="378">
        <f t="shared" si="216"/>
        <v>1212</v>
      </c>
      <c r="BH111" s="379">
        <f t="shared" ref="BH111:CK111" si="217">BH107+BH106</f>
        <v>1132</v>
      </c>
      <c r="BI111" s="379">
        <f t="shared" si="217"/>
        <v>2067</v>
      </c>
      <c r="BJ111" s="379">
        <f t="shared" si="217"/>
        <v>1294</v>
      </c>
      <c r="BK111" s="380">
        <f t="shared" si="217"/>
        <v>804</v>
      </c>
      <c r="BL111" s="378">
        <f t="shared" si="217"/>
        <v>5297</v>
      </c>
      <c r="BM111" s="379">
        <f t="shared" si="217"/>
        <v>2131</v>
      </c>
      <c r="BN111" s="379">
        <f t="shared" si="217"/>
        <v>2276</v>
      </c>
      <c r="BO111" s="379">
        <f t="shared" si="217"/>
        <v>1339</v>
      </c>
      <c r="BP111" s="380">
        <f t="shared" si="217"/>
        <v>586</v>
      </c>
      <c r="BQ111" s="378">
        <f t="shared" si="217"/>
        <v>6332</v>
      </c>
      <c r="BR111" s="379">
        <f t="shared" si="217"/>
        <v>1837</v>
      </c>
      <c r="BS111" s="379">
        <f t="shared" si="217"/>
        <v>1382</v>
      </c>
      <c r="BT111" s="379">
        <f t="shared" si="217"/>
        <v>1775</v>
      </c>
      <c r="BU111" s="380">
        <f t="shared" si="217"/>
        <v>1262</v>
      </c>
      <c r="BV111" s="378">
        <f t="shared" si="217"/>
        <v>6256</v>
      </c>
      <c r="BW111" s="379">
        <f t="shared" si="217"/>
        <v>1643</v>
      </c>
      <c r="BX111" s="379">
        <f t="shared" si="217"/>
        <v>2104</v>
      </c>
      <c r="BY111" s="379">
        <f t="shared" si="217"/>
        <v>2226</v>
      </c>
      <c r="BZ111" s="380">
        <f t="shared" si="217"/>
        <v>924</v>
      </c>
      <c r="CA111" s="378">
        <f t="shared" si="217"/>
        <v>6897</v>
      </c>
      <c r="CB111" s="379">
        <f t="shared" si="217"/>
        <v>919</v>
      </c>
      <c r="CC111" s="379">
        <f t="shared" si="217"/>
        <v>2170</v>
      </c>
      <c r="CD111" s="379">
        <f t="shared" si="217"/>
        <v>686</v>
      </c>
      <c r="CE111" s="380">
        <f t="shared" si="217"/>
        <v>713</v>
      </c>
      <c r="CF111" s="378">
        <f t="shared" si="217"/>
        <v>4488</v>
      </c>
      <c r="CG111" s="379">
        <f t="shared" si="217"/>
        <v>936</v>
      </c>
      <c r="CH111" s="379">
        <f t="shared" si="217"/>
        <v>2377</v>
      </c>
      <c r="CI111" s="379">
        <f t="shared" si="217"/>
        <v>2167</v>
      </c>
      <c r="CJ111" s="380">
        <f t="shared" si="217"/>
        <v>2068</v>
      </c>
      <c r="CK111" s="378">
        <f t="shared" si="217"/>
        <v>7548</v>
      </c>
      <c r="CL111" s="379">
        <f>CL107+CL106</f>
        <v>3338</v>
      </c>
      <c r="CM111" s="379">
        <f>CM107+CM106</f>
        <v>2832</v>
      </c>
      <c r="CN111" s="379">
        <f>CN107+CN106</f>
        <v>1084</v>
      </c>
      <c r="CO111" s="380">
        <f>CO107+CO106</f>
        <v>2042</v>
      </c>
      <c r="CP111" s="378">
        <f>CP107+CP106</f>
        <v>9422</v>
      </c>
      <c r="CQ111" s="379">
        <f t="shared" ref="CQ111:CU111" si="218">CQ107+CQ106</f>
        <v>1965</v>
      </c>
      <c r="CR111" s="379">
        <f t="shared" si="218"/>
        <v>2191</v>
      </c>
      <c r="CS111" s="379">
        <f t="shared" si="218"/>
        <v>1668</v>
      </c>
      <c r="CT111" s="380">
        <f t="shared" si="218"/>
        <v>1435</v>
      </c>
      <c r="CU111" s="378">
        <f t="shared" si="218"/>
        <v>7259</v>
      </c>
      <c r="CV111" s="379"/>
      <c r="CW111" s="379"/>
      <c r="CX111" s="379"/>
      <c r="CY111" s="380"/>
      <c r="CZ111" s="378"/>
      <c r="DA111" s="378"/>
      <c r="DB111" s="381"/>
      <c r="DC111" s="378"/>
      <c r="DF111" s="378">
        <f>CT111</f>
        <v>1435</v>
      </c>
      <c r="DG111" s="378">
        <v>1580.05</v>
      </c>
      <c r="DH111" s="378">
        <f>CO111</f>
        <v>2042</v>
      </c>
      <c r="DI111" s="378">
        <f t="shared" si="209"/>
        <v>-9.180089237682354E-2</v>
      </c>
      <c r="DJ111" s="378">
        <f t="shared" si="210"/>
        <v>-0.29725759059745349</v>
      </c>
    </row>
    <row r="112" spans="3:114" ht="8.25" hidden="1" customHeight="1" outlineLevel="1">
      <c r="C112" s="336"/>
      <c r="D112" s="216"/>
      <c r="E112" s="382"/>
      <c r="F112" s="382"/>
      <c r="G112" s="382"/>
      <c r="H112" s="382"/>
      <c r="I112" s="382"/>
      <c r="J112" s="174"/>
      <c r="K112" s="174"/>
      <c r="L112" s="174"/>
      <c r="M112" s="383"/>
      <c r="N112" s="382"/>
      <c r="O112" s="174"/>
      <c r="P112" s="174"/>
      <c r="Q112" s="174"/>
      <c r="R112" s="383"/>
      <c r="S112" s="382"/>
      <c r="T112" s="174"/>
      <c r="U112" s="174"/>
      <c r="V112" s="174"/>
      <c r="W112" s="383"/>
      <c r="X112" s="382"/>
      <c r="Y112" s="174"/>
      <c r="Z112" s="174"/>
      <c r="AA112" s="174"/>
      <c r="AB112" s="383"/>
      <c r="AC112" s="382"/>
      <c r="AD112" s="174"/>
      <c r="AE112" s="174"/>
      <c r="AF112" s="174"/>
      <c r="AG112" s="383"/>
      <c r="AH112" s="382"/>
      <c r="AI112" s="174"/>
      <c r="AJ112" s="174"/>
      <c r="AK112" s="174"/>
      <c r="AL112" s="383"/>
      <c r="AM112" s="382"/>
      <c r="AN112" s="174"/>
      <c r="AO112" s="174"/>
      <c r="AP112" s="174"/>
      <c r="AQ112" s="383"/>
      <c r="AR112" s="382"/>
      <c r="AS112" s="174"/>
      <c r="AT112" s="174"/>
      <c r="AU112" s="174"/>
      <c r="AV112" s="383"/>
      <c r="AW112" s="382"/>
      <c r="AX112" s="174"/>
      <c r="AY112" s="174"/>
      <c r="AZ112" s="174"/>
      <c r="BA112" s="383"/>
      <c r="BB112" s="382"/>
      <c r="BC112" s="174"/>
      <c r="BD112" s="174"/>
      <c r="BE112" s="174"/>
      <c r="BF112" s="383"/>
      <c r="BG112" s="382"/>
      <c r="BH112" s="174"/>
      <c r="BI112" s="174"/>
      <c r="BJ112" s="174"/>
      <c r="BK112" s="383"/>
      <c r="BL112" s="382"/>
      <c r="BM112" s="174"/>
      <c r="BN112" s="174"/>
      <c r="BO112" s="174"/>
      <c r="BP112" s="383"/>
      <c r="BQ112" s="382"/>
      <c r="BR112" s="174"/>
      <c r="BS112" s="174"/>
      <c r="BT112" s="174"/>
      <c r="BU112" s="383"/>
      <c r="BV112" s="382"/>
      <c r="BW112" s="174"/>
      <c r="BX112" s="174"/>
      <c r="BY112" s="174"/>
      <c r="BZ112" s="383"/>
      <c r="CA112" s="382"/>
      <c r="CB112" s="174"/>
      <c r="CC112" s="174"/>
      <c r="CD112" s="174"/>
      <c r="CE112" s="383"/>
      <c r="CF112" s="382"/>
      <c r="CG112" s="174"/>
      <c r="CH112" s="174"/>
      <c r="CI112" s="174"/>
      <c r="CJ112" s="383"/>
      <c r="CK112" s="382"/>
      <c r="CL112" s="174"/>
      <c r="CM112" s="174"/>
      <c r="CN112" s="174"/>
      <c r="CO112" s="383"/>
      <c r="CP112" s="382"/>
      <c r="CQ112" s="174"/>
      <c r="CR112" s="174"/>
      <c r="CS112" s="174"/>
      <c r="CT112" s="383"/>
      <c r="CU112" s="382"/>
      <c r="CV112" s="174"/>
      <c r="CW112" s="174"/>
      <c r="CX112" s="174"/>
      <c r="CY112" s="383"/>
      <c r="CZ112" s="382"/>
      <c r="DA112" s="111"/>
      <c r="DB112" s="384"/>
      <c r="DC112" s="111"/>
      <c r="DF112" s="382">
        <f>CT112</f>
        <v>0</v>
      </c>
      <c r="DG112" s="382">
        <v>0</v>
      </c>
      <c r="DH112" s="382">
        <f>CO112</f>
        <v>0</v>
      </c>
      <c r="DI112" s="382" t="str">
        <f t="shared" si="209"/>
        <v>NM</v>
      </c>
      <c r="DJ112" s="382" t="str">
        <f t="shared" si="210"/>
        <v>NM</v>
      </c>
    </row>
    <row r="113" spans="3:114" hidden="1" outlineLevel="1">
      <c r="C113" s="336"/>
      <c r="D113" s="216"/>
      <c r="E113" s="382"/>
      <c r="F113" s="382"/>
      <c r="G113" s="382"/>
      <c r="H113" s="382"/>
      <c r="I113" s="382"/>
      <c r="J113" s="357"/>
      <c r="K113" s="357"/>
      <c r="L113" s="357"/>
      <c r="M113" s="358"/>
      <c r="N113" s="382"/>
      <c r="O113" s="357"/>
      <c r="P113" s="357"/>
      <c r="Q113" s="357"/>
      <c r="R113" s="358"/>
      <c r="S113" s="382"/>
      <c r="T113" s="357"/>
      <c r="U113" s="357"/>
      <c r="V113" s="357"/>
      <c r="W113" s="358"/>
      <c r="X113" s="382"/>
      <c r="Y113" s="357"/>
      <c r="Z113" s="357"/>
      <c r="AA113" s="357"/>
      <c r="AB113" s="358"/>
      <c r="AC113" s="382"/>
      <c r="AD113" s="357"/>
      <c r="AE113" s="357"/>
      <c r="AF113" s="357"/>
      <c r="AG113" s="358"/>
      <c r="AH113" s="382"/>
      <c r="AI113" s="357"/>
      <c r="AJ113" s="357"/>
      <c r="AK113" s="357"/>
      <c r="AL113" s="358"/>
      <c r="AM113" s="382"/>
      <c r="AN113" s="357"/>
      <c r="AO113" s="357"/>
      <c r="AP113" s="357"/>
      <c r="AQ113" s="358"/>
      <c r="AR113" s="382"/>
      <c r="AS113" s="357"/>
      <c r="AT113" s="357"/>
      <c r="AU113" s="357"/>
      <c r="AV113" s="358"/>
      <c r="AW113" s="382"/>
      <c r="AX113" s="357"/>
      <c r="AY113" s="357"/>
      <c r="AZ113" s="357"/>
      <c r="BA113" s="358"/>
      <c r="BB113" s="382"/>
      <c r="BC113" s="357"/>
      <c r="BD113" s="357"/>
      <c r="BE113" s="357"/>
      <c r="BF113" s="358"/>
      <c r="BG113" s="382"/>
      <c r="BH113" s="357"/>
      <c r="BI113" s="357"/>
      <c r="BJ113" s="357"/>
      <c r="BK113" s="358"/>
      <c r="BL113" s="382"/>
      <c r="BM113" s="357"/>
      <c r="BN113" s="357"/>
      <c r="BO113" s="357"/>
      <c r="BP113" s="358"/>
      <c r="BQ113" s="382"/>
      <c r="BR113" s="357"/>
      <c r="BS113" s="357"/>
      <c r="BT113" s="357"/>
      <c r="BU113" s="358"/>
      <c r="BV113" s="382"/>
      <c r="BW113" s="357"/>
      <c r="BX113" s="357"/>
      <c r="BY113" s="357"/>
      <c r="BZ113" s="358"/>
      <c r="CA113" s="382"/>
      <c r="CB113" s="357"/>
      <c r="CC113" s="357"/>
      <c r="CD113" s="357"/>
      <c r="CE113" s="358"/>
      <c r="CF113" s="382"/>
      <c r="CG113" s="357"/>
      <c r="CH113" s="357"/>
      <c r="CI113" s="357"/>
      <c r="CJ113" s="358"/>
      <c r="CK113" s="382"/>
      <c r="CL113" s="357"/>
      <c r="CM113" s="357"/>
      <c r="CN113" s="357"/>
      <c r="CO113" s="358"/>
      <c r="CP113" s="382"/>
      <c r="CQ113" s="357"/>
      <c r="CR113" s="357"/>
      <c r="CS113" s="357"/>
      <c r="CT113" s="358"/>
      <c r="CU113" s="382"/>
      <c r="CV113" s="357"/>
      <c r="CW113" s="357"/>
      <c r="CX113" s="357"/>
      <c r="CY113" s="358"/>
      <c r="CZ113" s="382"/>
      <c r="DA113" s="382"/>
      <c r="DB113" s="385"/>
      <c r="DC113" s="382"/>
      <c r="DF113" s="382"/>
      <c r="DG113" s="382"/>
      <c r="DH113" s="382"/>
      <c r="DI113" s="382"/>
      <c r="DJ113" s="382"/>
    </row>
    <row r="114" spans="3:114" hidden="1" outlineLevel="1">
      <c r="C114" s="336"/>
      <c r="D114" s="230" t="s">
        <v>771</v>
      </c>
      <c r="E114" s="395"/>
      <c r="F114" s="395"/>
      <c r="G114" s="395"/>
      <c r="H114" s="395"/>
      <c r="I114" s="395"/>
      <c r="J114" s="396"/>
      <c r="K114" s="396"/>
      <c r="L114" s="396"/>
      <c r="M114" s="396"/>
      <c r="N114" s="395"/>
      <c r="O114" s="396"/>
      <c r="P114" s="396"/>
      <c r="Q114" s="396"/>
      <c r="R114" s="396"/>
      <c r="S114" s="395"/>
      <c r="T114" s="396"/>
      <c r="U114" s="396"/>
      <c r="V114" s="396"/>
      <c r="W114" s="396"/>
      <c r="X114" s="395"/>
      <c r="Y114" s="396"/>
      <c r="Z114" s="396"/>
      <c r="AA114" s="396"/>
      <c r="AB114" s="396"/>
      <c r="AC114" s="395"/>
      <c r="AD114" s="396"/>
      <c r="AE114" s="396"/>
      <c r="AF114" s="396"/>
      <c r="AG114" s="396"/>
      <c r="AH114" s="395"/>
      <c r="AI114" s="396"/>
      <c r="AJ114" s="396"/>
      <c r="AK114" s="396"/>
      <c r="AL114" s="396"/>
      <c r="AM114" s="395"/>
      <c r="AN114" s="396"/>
      <c r="AO114" s="396"/>
      <c r="AP114" s="396"/>
      <c r="AQ114" s="396"/>
      <c r="AR114" s="395"/>
      <c r="AS114" s="396"/>
      <c r="AT114" s="396"/>
      <c r="AU114" s="396"/>
      <c r="AV114" s="396"/>
      <c r="AW114" s="395"/>
      <c r="AX114" s="396"/>
      <c r="AY114" s="396"/>
      <c r="AZ114" s="396"/>
      <c r="BA114" s="396"/>
      <c r="BB114" s="395"/>
      <c r="BC114" s="396"/>
      <c r="BD114" s="396"/>
      <c r="BE114" s="396"/>
      <c r="BF114" s="396"/>
      <c r="BG114" s="395"/>
      <c r="BH114" s="396"/>
      <c r="BI114" s="396"/>
      <c r="BJ114" s="396"/>
      <c r="BK114" s="396"/>
      <c r="BL114" s="395"/>
      <c r="BM114" s="396"/>
      <c r="BN114" s="396"/>
      <c r="BO114" s="396"/>
      <c r="BP114" s="396"/>
      <c r="BQ114" s="395"/>
      <c r="BR114" s="396"/>
      <c r="BS114" s="396"/>
      <c r="BT114" s="396"/>
      <c r="BU114" s="396"/>
      <c r="BV114" s="395"/>
      <c r="BW114" s="396"/>
      <c r="BX114" s="396"/>
      <c r="BY114" s="396"/>
      <c r="BZ114" s="396"/>
      <c r="CA114" s="395"/>
      <c r="CB114" s="396"/>
      <c r="CC114" s="396"/>
      <c r="CD114" s="396"/>
      <c r="CE114" s="396"/>
      <c r="CF114" s="395"/>
      <c r="CG114" s="396"/>
      <c r="CH114" s="396"/>
      <c r="CI114" s="396"/>
      <c r="CJ114" s="396"/>
      <c r="CK114" s="395"/>
      <c r="CL114" s="396"/>
      <c r="CM114" s="396"/>
      <c r="CN114" s="396"/>
      <c r="CO114" s="396"/>
      <c r="CP114" s="395"/>
      <c r="CQ114" s="396"/>
      <c r="CR114" s="397"/>
      <c r="CS114" s="397"/>
      <c r="CT114" s="398"/>
      <c r="CU114" s="395"/>
      <c r="CV114" s="397"/>
      <c r="CW114" s="397"/>
      <c r="CX114" s="397"/>
      <c r="CY114" s="398"/>
      <c r="CZ114" s="395"/>
      <c r="DA114" s="395"/>
      <c r="DB114" s="399"/>
      <c r="DC114" s="395"/>
      <c r="DF114" s="395">
        <f>CT114</f>
        <v>0</v>
      </c>
      <c r="DG114" s="395">
        <v>0</v>
      </c>
      <c r="DH114" s="395">
        <f>CO114</f>
        <v>0</v>
      </c>
      <c r="DI114" s="395" t="str">
        <f t="shared" si="209"/>
        <v>NM</v>
      </c>
      <c r="DJ114" s="395" t="str">
        <f t="shared" si="210"/>
        <v>NM</v>
      </c>
    </row>
    <row r="115" spans="3:114" hidden="1" outlineLevel="1">
      <c r="C115" s="336"/>
      <c r="D115" s="231" t="s">
        <v>769</v>
      </c>
      <c r="E115" s="235"/>
      <c r="F115" s="235"/>
      <c r="G115" s="235"/>
      <c r="H115" s="235"/>
      <c r="I115" s="235"/>
      <c r="J115" s="338"/>
      <c r="K115" s="338"/>
      <c r="L115" s="338"/>
      <c r="M115" s="337"/>
      <c r="N115" s="235"/>
      <c r="O115" s="338"/>
      <c r="P115" s="338"/>
      <c r="Q115" s="338"/>
      <c r="R115" s="337"/>
      <c r="S115" s="235"/>
      <c r="T115" s="338"/>
      <c r="U115" s="338"/>
      <c r="V115" s="338"/>
      <c r="W115" s="337"/>
      <c r="X115" s="235"/>
      <c r="Y115" s="338"/>
      <c r="Z115" s="338"/>
      <c r="AA115" s="338"/>
      <c r="AB115" s="337"/>
      <c r="AC115" s="235"/>
      <c r="AD115" s="338"/>
      <c r="AE115" s="338"/>
      <c r="AF115" s="338"/>
      <c r="AG115" s="337"/>
      <c r="AH115" s="235"/>
      <c r="AI115" s="338"/>
      <c r="AJ115" s="338"/>
      <c r="AK115" s="338"/>
      <c r="AL115" s="337"/>
      <c r="AM115" s="235"/>
      <c r="AN115" s="338"/>
      <c r="AO115" s="338"/>
      <c r="AP115" s="338"/>
      <c r="AQ115" s="337"/>
      <c r="AR115" s="235"/>
      <c r="AS115" s="338"/>
      <c r="AT115" s="338"/>
      <c r="AU115" s="338"/>
      <c r="AV115" s="337"/>
      <c r="AW115" s="235"/>
      <c r="AX115" s="338"/>
      <c r="AY115" s="338"/>
      <c r="AZ115" s="338"/>
      <c r="BA115" s="337"/>
      <c r="BB115" s="235"/>
      <c r="BC115" s="338"/>
      <c r="BD115" s="338"/>
      <c r="BE115" s="338"/>
      <c r="BF115" s="337"/>
      <c r="BG115" s="235"/>
      <c r="BH115" s="338"/>
      <c r="BI115" s="338"/>
      <c r="BJ115" s="338"/>
      <c r="BK115" s="337"/>
      <c r="BL115" s="235"/>
      <c r="BM115" s="338"/>
      <c r="BN115" s="338"/>
      <c r="BO115" s="338"/>
      <c r="BP115" s="337"/>
      <c r="BQ115" s="235"/>
      <c r="BR115" s="338"/>
      <c r="BS115" s="338"/>
      <c r="BT115" s="338"/>
      <c r="BU115" s="337"/>
      <c r="BV115" s="235"/>
      <c r="BW115" s="338">
        <v>1791</v>
      </c>
      <c r="BX115" s="338">
        <v>1844</v>
      </c>
      <c r="BY115" s="338">
        <v>1918</v>
      </c>
      <c r="BZ115" s="337">
        <f>7548-SUM(BW115:BY115)</f>
        <v>1995</v>
      </c>
      <c r="CA115" s="235">
        <f>SUM(BW115:BZ115)</f>
        <v>7548</v>
      </c>
      <c r="CB115" s="338">
        <v>2000</v>
      </c>
      <c r="CC115" s="338">
        <v>2046</v>
      </c>
      <c r="CD115" s="338">
        <v>2141</v>
      </c>
      <c r="CE115" s="337">
        <f>8295-SUM(CB115:CD115)</f>
        <v>2108</v>
      </c>
      <c r="CF115" s="235">
        <f>SUM(CB115:CE115)</f>
        <v>8295</v>
      </c>
      <c r="CG115" s="338">
        <v>2100</v>
      </c>
      <c r="CH115" s="338">
        <v>2158</v>
      </c>
      <c r="CI115" s="338">
        <v>2326</v>
      </c>
      <c r="CJ115" s="337">
        <f>8992-SUM(CG115:CI115)</f>
        <v>2408</v>
      </c>
      <c r="CK115" s="235">
        <f>SUM(CG115:CJ115)</f>
        <v>8992</v>
      </c>
      <c r="CL115" s="338">
        <v>2461</v>
      </c>
      <c r="CM115" s="338">
        <v>2553</v>
      </c>
      <c r="CN115" s="338">
        <v>2612</v>
      </c>
      <c r="CO115" s="337">
        <f>10253-SUM(CL115:CN115)</f>
        <v>2627</v>
      </c>
      <c r="CP115" s="235">
        <f>SUM(CL115:CO115)</f>
        <v>10253</v>
      </c>
      <c r="CQ115" s="338">
        <v>2669</v>
      </c>
      <c r="CR115" s="338">
        <v>2738</v>
      </c>
      <c r="CS115" s="338">
        <v>2802</v>
      </c>
      <c r="CT115" s="16">
        <f>CO115*(1+CT116)</f>
        <v>2692.6749999999997</v>
      </c>
      <c r="CU115" s="235">
        <f>SUM(CQ115:CT115)</f>
        <v>10901.674999999999</v>
      </c>
      <c r="CV115" s="16"/>
      <c r="CW115" s="16">
        <f>CR115*(1+CW116)</f>
        <v>2738</v>
      </c>
      <c r="CX115" s="16">
        <f>CS115*(1+CX116)</f>
        <v>2802</v>
      </c>
      <c r="CY115" s="16">
        <f>CT115*(1+CY116)</f>
        <v>2692.6749999999997</v>
      </c>
      <c r="CZ115" s="235">
        <f>SUM(CV115:CY115)</f>
        <v>8232.6749999999993</v>
      </c>
      <c r="DA115" s="85">
        <f>CZ115*(1+DA116)</f>
        <v>8315.0017499999994</v>
      </c>
      <c r="DB115" s="85">
        <f>DA115*(1+DB116)</f>
        <v>8398.1517674999996</v>
      </c>
      <c r="DC115" s="85">
        <f>DB115*(1+DC116)</f>
        <v>8482.1332851749994</v>
      </c>
      <c r="DF115" s="235">
        <f>CT115</f>
        <v>2692.6749999999997</v>
      </c>
      <c r="DG115" s="235">
        <v>2692.6749999999997</v>
      </c>
      <c r="DH115" s="235">
        <f>CO115</f>
        <v>2627</v>
      </c>
      <c r="DI115" s="235">
        <f t="shared" si="209"/>
        <v>0</v>
      </c>
      <c r="DJ115" s="235">
        <f t="shared" si="210"/>
        <v>2.4999999999999911E-2</v>
      </c>
    </row>
    <row r="116" spans="3:114" s="155" customFormat="1" hidden="1" outlineLevel="1">
      <c r="C116" s="377"/>
      <c r="D116" s="339" t="s">
        <v>271</v>
      </c>
      <c r="E116" s="340"/>
      <c r="F116" s="236"/>
      <c r="G116" s="236"/>
      <c r="H116" s="236"/>
      <c r="I116" s="236"/>
      <c r="J116" s="152"/>
      <c r="K116" s="152"/>
      <c r="L116" s="152"/>
      <c r="M116" s="341"/>
      <c r="N116" s="236"/>
      <c r="O116" s="152"/>
      <c r="P116" s="152"/>
      <c r="Q116" s="152"/>
      <c r="R116" s="302"/>
      <c r="S116" s="236"/>
      <c r="T116" s="152"/>
      <c r="U116" s="152"/>
      <c r="V116" s="152"/>
      <c r="W116" s="302"/>
      <c r="X116" s="236"/>
      <c r="Y116" s="152"/>
      <c r="Z116" s="152"/>
      <c r="AA116" s="152"/>
      <c r="AB116" s="302"/>
      <c r="AC116" s="236"/>
      <c r="AD116" s="152"/>
      <c r="AE116" s="152"/>
      <c r="AF116" s="152"/>
      <c r="AG116" s="302"/>
      <c r="AH116" s="236"/>
      <c r="AI116" s="152"/>
      <c r="AJ116" s="152"/>
      <c r="AK116" s="152"/>
      <c r="AL116" s="302"/>
      <c r="AM116" s="236"/>
      <c r="AN116" s="152"/>
      <c r="AO116" s="152"/>
      <c r="AP116" s="152"/>
      <c r="AQ116" s="302"/>
      <c r="AR116" s="236"/>
      <c r="AS116" s="152"/>
      <c r="AT116" s="152"/>
      <c r="AU116" s="152"/>
      <c r="AV116" s="302"/>
      <c r="AW116" s="236"/>
      <c r="AX116" s="152"/>
      <c r="AY116" s="152"/>
      <c r="AZ116" s="152"/>
      <c r="BA116" s="302"/>
      <c r="BB116" s="236"/>
      <c r="BC116" s="152"/>
      <c r="BD116" s="152"/>
      <c r="BE116" s="152"/>
      <c r="BF116" s="302"/>
      <c r="BG116" s="236"/>
      <c r="BH116" s="152"/>
      <c r="BI116" s="152"/>
      <c r="BJ116" s="152"/>
      <c r="BK116" s="302"/>
      <c r="BL116" s="236"/>
      <c r="BM116" s="152"/>
      <c r="BN116" s="152"/>
      <c r="BO116" s="152"/>
      <c r="BP116" s="302"/>
      <c r="BQ116" s="236"/>
      <c r="BR116" s="152"/>
      <c r="BS116" s="152"/>
      <c r="BT116" s="152"/>
      <c r="BU116" s="302"/>
      <c r="BV116" s="236"/>
      <c r="BW116" s="152"/>
      <c r="BX116" s="152"/>
      <c r="BY116" s="152"/>
      <c r="BZ116" s="302"/>
      <c r="CA116" s="236"/>
      <c r="CB116" s="152">
        <f t="shared" ref="CB116:CS116" si="219">CB115/BW115-1</f>
        <v>0.11669458403126742</v>
      </c>
      <c r="CC116" s="152">
        <f t="shared" si="219"/>
        <v>0.1095444685466378</v>
      </c>
      <c r="CD116" s="152">
        <f t="shared" si="219"/>
        <v>0.11626694473409804</v>
      </c>
      <c r="CE116" s="302">
        <f t="shared" si="219"/>
        <v>5.6641604010025048E-2</v>
      </c>
      <c r="CF116" s="236">
        <f t="shared" si="219"/>
        <v>9.896661367249604E-2</v>
      </c>
      <c r="CG116" s="152">
        <f t="shared" si="219"/>
        <v>5.0000000000000044E-2</v>
      </c>
      <c r="CH116" s="152">
        <f t="shared" si="219"/>
        <v>5.474095796676437E-2</v>
      </c>
      <c r="CI116" s="152">
        <f t="shared" si="219"/>
        <v>8.6408220457730112E-2</v>
      </c>
      <c r="CJ116" s="302">
        <f t="shared" si="219"/>
        <v>0.14231499051233398</v>
      </c>
      <c r="CK116" s="236">
        <f t="shared" si="219"/>
        <v>8.4026522001205528E-2</v>
      </c>
      <c r="CL116" s="152">
        <f t="shared" si="219"/>
        <v>0.171904761904762</v>
      </c>
      <c r="CM116" s="152">
        <f t="shared" si="219"/>
        <v>0.18303985171455062</v>
      </c>
      <c r="CN116" s="152">
        <f t="shared" si="219"/>
        <v>0.12295786758383498</v>
      </c>
      <c r="CO116" s="302">
        <f t="shared" si="219"/>
        <v>9.0946843853820569E-2</v>
      </c>
      <c r="CP116" s="236">
        <f t="shared" si="219"/>
        <v>0.14023576512455516</v>
      </c>
      <c r="CQ116" s="152">
        <f t="shared" si="219"/>
        <v>8.4518488419341731E-2</v>
      </c>
      <c r="CR116" s="152">
        <f t="shared" si="219"/>
        <v>7.2463768115942129E-2</v>
      </c>
      <c r="CS116" s="152">
        <f t="shared" si="219"/>
        <v>7.274119448698313E-2</v>
      </c>
      <c r="CT116" s="341">
        <v>2.5000000000000001E-2</v>
      </c>
      <c r="CU116" s="236">
        <f>CU115/CP115-1</f>
        <v>6.3266848727201674E-2</v>
      </c>
      <c r="CV116" s="341"/>
      <c r="CW116" s="341">
        <f>CV116</f>
        <v>0</v>
      </c>
      <c r="CX116" s="341">
        <f>CW116</f>
        <v>0</v>
      </c>
      <c r="CY116" s="341">
        <f>CX116</f>
        <v>0</v>
      </c>
      <c r="CZ116" s="236">
        <f>CZ115/CU115-1</f>
        <v>-0.24482476316712798</v>
      </c>
      <c r="DA116" s="341">
        <v>0.01</v>
      </c>
      <c r="DB116" s="489">
        <f>DA116</f>
        <v>0.01</v>
      </c>
      <c r="DC116" s="386">
        <f>DB116</f>
        <v>0.01</v>
      </c>
      <c r="DF116" s="236">
        <f>CT116</f>
        <v>2.5000000000000001E-2</v>
      </c>
      <c r="DG116" s="236">
        <v>2.5000000000000001E-2</v>
      </c>
      <c r="DH116" s="236">
        <f>CO116</f>
        <v>9.0946843853820569E-2</v>
      </c>
      <c r="DI116" s="236">
        <f t="shared" si="209"/>
        <v>0</v>
      </c>
      <c r="DJ116" s="236">
        <f t="shared" si="210"/>
        <v>-0.72511415525114142</v>
      </c>
    </row>
    <row r="117" spans="3:114" hidden="1" outlineLevel="1">
      <c r="DC117" s="64"/>
      <c r="DF117" s="64"/>
      <c r="DG117" s="64"/>
      <c r="DH117" s="64"/>
      <c r="DI117" s="64"/>
      <c r="DJ117" s="64"/>
    </row>
    <row r="118" spans="3:114" collapsed="1">
      <c r="C118" s="336"/>
      <c r="D118" s="230" t="s">
        <v>1138</v>
      </c>
      <c r="E118" s="395"/>
      <c r="F118" s="395"/>
      <c r="G118" s="395"/>
      <c r="H118" s="395"/>
      <c r="I118" s="395"/>
      <c r="J118" s="396"/>
      <c r="K118" s="396"/>
      <c r="L118" s="396"/>
      <c r="M118" s="396"/>
      <c r="N118" s="395"/>
      <c r="O118" s="396"/>
      <c r="P118" s="396"/>
      <c r="Q118" s="396"/>
      <c r="R118" s="396"/>
      <c r="S118" s="395"/>
      <c r="T118" s="396"/>
      <c r="U118" s="396"/>
      <c r="V118" s="396"/>
      <c r="W118" s="396"/>
      <c r="X118" s="395"/>
      <c r="Y118" s="396"/>
      <c r="Z118" s="396"/>
      <c r="AA118" s="396"/>
      <c r="AB118" s="396"/>
      <c r="AC118" s="395"/>
      <c r="AD118" s="396"/>
      <c r="AE118" s="396"/>
      <c r="AF118" s="396"/>
      <c r="AG118" s="396"/>
      <c r="AH118" s="395"/>
      <c r="AI118" s="396"/>
      <c r="AJ118" s="396"/>
      <c r="AK118" s="396"/>
      <c r="AL118" s="396"/>
      <c r="AM118" s="395"/>
      <c r="AN118" s="396"/>
      <c r="AO118" s="396"/>
      <c r="AP118" s="396"/>
      <c r="AQ118" s="396"/>
      <c r="AR118" s="395"/>
      <c r="AS118" s="396"/>
      <c r="AT118" s="396"/>
      <c r="AU118" s="396"/>
      <c r="AV118" s="396"/>
      <c r="AW118" s="395"/>
      <c r="AX118" s="396"/>
      <c r="AY118" s="396"/>
      <c r="AZ118" s="396"/>
      <c r="BA118" s="396"/>
      <c r="BB118" s="395"/>
      <c r="BC118" s="396"/>
      <c r="BD118" s="396"/>
      <c r="BE118" s="396"/>
      <c r="BF118" s="396"/>
      <c r="BG118" s="395"/>
      <c r="BH118" s="396"/>
      <c r="BI118" s="396"/>
      <c r="BJ118" s="396"/>
      <c r="BK118" s="396"/>
      <c r="BL118" s="395"/>
      <c r="BM118" s="396"/>
      <c r="BN118" s="396"/>
      <c r="BO118" s="396"/>
      <c r="BP118" s="396"/>
      <c r="BQ118" s="395"/>
      <c r="BR118" s="396"/>
      <c r="BS118" s="396"/>
      <c r="BT118" s="396"/>
      <c r="BU118" s="396"/>
      <c r="BV118" s="395"/>
      <c r="BW118" s="396"/>
      <c r="BX118" s="396"/>
      <c r="BY118" s="396"/>
      <c r="BZ118" s="396"/>
      <c r="CA118" s="395"/>
      <c r="CB118" s="396"/>
      <c r="CC118" s="396"/>
      <c r="CD118" s="396"/>
      <c r="CE118" s="396"/>
      <c r="CF118" s="395"/>
      <c r="CG118" s="396"/>
      <c r="CH118" s="396"/>
      <c r="CI118" s="396"/>
      <c r="CJ118" s="396"/>
      <c r="CK118" s="395"/>
      <c r="CL118" s="396"/>
      <c r="CM118" s="396"/>
      <c r="CN118" s="396"/>
      <c r="CO118" s="396"/>
      <c r="CP118" s="395"/>
      <c r="CQ118" s="396"/>
      <c r="CR118" s="397"/>
      <c r="CS118" s="397"/>
      <c r="CT118" s="398"/>
      <c r="CU118" s="395"/>
      <c r="CV118" s="397"/>
      <c r="CW118" s="397"/>
      <c r="CX118" s="397"/>
      <c r="CY118" s="398"/>
      <c r="CZ118" s="395"/>
      <c r="DA118" s="395"/>
      <c r="DB118" s="399"/>
      <c r="DC118" s="395"/>
      <c r="DF118" s="395"/>
      <c r="DG118" s="395"/>
      <c r="DH118" s="395"/>
      <c r="DI118" s="395"/>
      <c r="DJ118" s="395"/>
    </row>
    <row r="119" spans="3:114" outlineLevel="1">
      <c r="D119" s="271"/>
      <c r="CO119" s="2"/>
      <c r="DB119" s="400"/>
      <c r="DC119" s="87"/>
      <c r="DF119" s="64"/>
      <c r="DG119" s="64"/>
      <c r="DH119" s="64"/>
      <c r="DI119" s="64"/>
      <c r="DJ119" s="64"/>
    </row>
    <row r="120" spans="3:114" outlineLevel="1">
      <c r="D120" s="401" t="s">
        <v>811</v>
      </c>
      <c r="CO120" s="2"/>
      <c r="DB120" s="400"/>
      <c r="DC120" s="87"/>
      <c r="DF120" s="64"/>
      <c r="DG120" s="64"/>
      <c r="DH120" s="64"/>
      <c r="DI120" s="64"/>
      <c r="DJ120" s="64"/>
    </row>
    <row r="121" spans="3:114" outlineLevel="1">
      <c r="C121" s="377"/>
      <c r="D121" s="840" t="s">
        <v>812</v>
      </c>
      <c r="E121" s="62"/>
      <c r="F121" s="62"/>
      <c r="G121" s="62"/>
      <c r="H121" s="62"/>
      <c r="I121" s="62"/>
      <c r="N121" s="62"/>
      <c r="S121" s="62"/>
      <c r="X121" s="62"/>
      <c r="AC121" s="62"/>
      <c r="AH121" s="62"/>
      <c r="AM121" s="62"/>
      <c r="AR121" s="62"/>
      <c r="AW121" s="62"/>
      <c r="BB121" s="62"/>
      <c r="BG121" s="62"/>
      <c r="BL121" s="62"/>
      <c r="BQ121" s="62"/>
      <c r="BR121" s="286"/>
      <c r="BS121" s="286"/>
      <c r="BT121" s="286"/>
      <c r="BU121" s="286"/>
      <c r="BV121" s="62"/>
      <c r="BW121" s="2">
        <f>BR129</f>
        <v>2133</v>
      </c>
      <c r="BX121" s="2">
        <f>BS129</f>
        <v>2010</v>
      </c>
      <c r="BY121" s="2">
        <f>BT129</f>
        <v>2328</v>
      </c>
      <c r="BZ121" s="16">
        <f>BU129</f>
        <v>1872</v>
      </c>
      <c r="CA121" s="87"/>
      <c r="CB121" s="400"/>
      <c r="CC121" s="49"/>
      <c r="CD121" s="49"/>
      <c r="CE121" s="298"/>
      <c r="CF121" s="87"/>
      <c r="CG121" s="400"/>
      <c r="CH121" s="49"/>
      <c r="CI121" s="49"/>
      <c r="CJ121" s="49"/>
      <c r="CK121" s="87"/>
      <c r="CL121" s="400"/>
      <c r="CM121" s="49"/>
      <c r="CN121" s="49"/>
      <c r="CO121" s="49"/>
      <c r="CP121" s="87"/>
      <c r="CQ121" s="400">
        <f>CL129</f>
        <v>3080</v>
      </c>
      <c r="CR121" s="49">
        <f>CM129</f>
        <v>2703</v>
      </c>
      <c r="CS121" s="49">
        <f>CN129</f>
        <v>1262</v>
      </c>
      <c r="CT121" s="49">
        <f>CO129</f>
        <v>1956</v>
      </c>
      <c r="CU121" s="87">
        <f>SUM(CQ121:CT121)</f>
        <v>9001</v>
      </c>
      <c r="CV121" s="1083">
        <f>CQ66</f>
        <v>2122</v>
      </c>
      <c r="CW121" s="1083">
        <f>CR66</f>
        <v>2325</v>
      </c>
      <c r="CX121" s="1083">
        <f>CS66</f>
        <v>1811</v>
      </c>
      <c r="CY121" s="1084">
        <f>CT66</f>
        <v>1788</v>
      </c>
      <c r="CZ121" s="87">
        <f>SUM(CV121:CY121)</f>
        <v>8046</v>
      </c>
      <c r="DA121" s="87">
        <f>CZ129</f>
        <v>7169.2</v>
      </c>
      <c r="DB121" s="400">
        <f>DA129</f>
        <v>6869.6125400000001</v>
      </c>
      <c r="DC121" s="87">
        <f>DB129</f>
        <v>7350.8664843080005</v>
      </c>
      <c r="DF121" s="87"/>
      <c r="DG121" s="87"/>
      <c r="DH121" s="87"/>
      <c r="DI121" s="87"/>
      <c r="DJ121" s="87"/>
    </row>
    <row r="122" spans="3:114" outlineLevel="1">
      <c r="D122" s="272" t="s">
        <v>813</v>
      </c>
      <c r="BR122" s="286"/>
      <c r="BS122" s="286"/>
      <c r="BT122" s="286"/>
      <c r="BU122" s="286"/>
      <c r="BV122" s="62"/>
      <c r="BW122" s="370">
        <f>300+300+300</f>
        <v>900</v>
      </c>
      <c r="BX122" s="338">
        <f>500+400+100</f>
        <v>1000</v>
      </c>
      <c r="BY122" s="338">
        <f>500+100+300</f>
        <v>900</v>
      </c>
      <c r="BZ122" s="338">
        <f>300+100-100</f>
        <v>300</v>
      </c>
      <c r="CA122" s="60"/>
      <c r="CB122" s="370"/>
      <c r="CC122" s="338"/>
      <c r="CD122" s="338"/>
      <c r="CE122" s="338"/>
      <c r="CF122" s="60"/>
      <c r="CG122" s="370"/>
      <c r="CH122" s="338"/>
      <c r="CI122" s="338"/>
      <c r="CJ122" s="338"/>
      <c r="CK122" s="60"/>
      <c r="CL122" s="370"/>
      <c r="CM122" s="338"/>
      <c r="CN122" s="338"/>
      <c r="CO122" s="338"/>
      <c r="CP122" s="60"/>
      <c r="CQ122" s="338">
        <f>-182-387</f>
        <v>-569</v>
      </c>
      <c r="CR122" s="338">
        <f>177-217</f>
        <v>-40</v>
      </c>
      <c r="CS122" s="338">
        <f>-223-37</f>
        <v>-260</v>
      </c>
      <c r="CT122" s="338">
        <f>491-40</f>
        <v>451</v>
      </c>
      <c r="CU122" s="60">
        <f t="shared" ref="CU122:CU128" si="220">SUM(CQ122:CT122)</f>
        <v>-418</v>
      </c>
      <c r="CV122" s="49">
        <f>CV132*CV11*CQ29</f>
        <v>-144</v>
      </c>
      <c r="CW122" s="49">
        <f>CW132*CW11*CR29</f>
        <v>-196</v>
      </c>
      <c r="CX122" s="49">
        <f>CX132*CX11*CS29</f>
        <v>-125.4</v>
      </c>
      <c r="CY122" s="298">
        <f>CY132*CY11*CT29</f>
        <v>-96.4</v>
      </c>
      <c r="CZ122" s="60">
        <f t="shared" ref="CZ122:CZ128" si="221">SUM(CV122:CY122)</f>
        <v>-561.79999999999995</v>
      </c>
      <c r="DA122" s="87">
        <f>DA132*DA11*CZ29</f>
        <v>-549.58746000000008</v>
      </c>
      <c r="DB122" s="400">
        <f>DB132*DB11*DA29</f>
        <v>181.253944308</v>
      </c>
      <c r="DC122" s="87">
        <f>DC132*DC11*DB29</f>
        <v>186.72781342610165</v>
      </c>
      <c r="DF122" s="60"/>
      <c r="DG122" s="60"/>
      <c r="DH122" s="60"/>
      <c r="DI122" s="60"/>
      <c r="DJ122" s="60"/>
    </row>
    <row r="123" spans="3:114" outlineLevel="1">
      <c r="D123" s="272" t="s">
        <v>814</v>
      </c>
      <c r="BR123" s="286"/>
      <c r="BS123" s="286"/>
      <c r="BT123" s="286"/>
      <c r="BU123" s="286"/>
      <c r="BV123" s="62"/>
      <c r="BW123" s="370">
        <v>-200</v>
      </c>
      <c r="BX123" s="338">
        <v>-300</v>
      </c>
      <c r="BY123" s="338">
        <v>-400</v>
      </c>
      <c r="BZ123" s="338">
        <v>-100</v>
      </c>
      <c r="CA123" s="60"/>
      <c r="CB123" s="370"/>
      <c r="CC123" s="338"/>
      <c r="CD123" s="338"/>
      <c r="CE123" s="338"/>
      <c r="CF123" s="60"/>
      <c r="CG123" s="370"/>
      <c r="CH123" s="338"/>
      <c r="CI123" s="338"/>
      <c r="CJ123" s="338"/>
      <c r="CK123" s="60"/>
      <c r="CL123" s="370"/>
      <c r="CM123" s="338"/>
      <c r="CN123" s="338"/>
      <c r="CO123" s="338"/>
      <c r="CP123" s="60"/>
      <c r="CQ123" s="338">
        <v>387</v>
      </c>
      <c r="CR123" s="427">
        <v>217</v>
      </c>
      <c r="CS123" s="427">
        <v>37</v>
      </c>
      <c r="CT123" s="428">
        <v>40</v>
      </c>
      <c r="CU123" s="143">
        <f t="shared" si="220"/>
        <v>681</v>
      </c>
      <c r="CV123" s="427">
        <v>20</v>
      </c>
      <c r="CW123" s="427">
        <v>20</v>
      </c>
      <c r="CX123" s="427">
        <v>20</v>
      </c>
      <c r="CY123" s="428">
        <v>20</v>
      </c>
      <c r="CZ123" s="60">
        <f t="shared" si="221"/>
        <v>80</v>
      </c>
      <c r="DA123" s="429">
        <v>250</v>
      </c>
      <c r="DB123" s="431">
        <v>300</v>
      </c>
      <c r="DC123" s="429">
        <v>100</v>
      </c>
      <c r="DF123" s="60"/>
      <c r="DG123" s="60"/>
      <c r="DH123" s="60"/>
      <c r="DI123" s="60"/>
      <c r="DJ123" s="60"/>
    </row>
    <row r="124" spans="3:114" outlineLevel="1">
      <c r="D124" s="272" t="s">
        <v>213</v>
      </c>
      <c r="BR124" s="286"/>
      <c r="BS124" s="286"/>
      <c r="BT124" s="286"/>
      <c r="BU124" s="286"/>
      <c r="BV124" s="62"/>
      <c r="BW124" s="370">
        <f>600-300</f>
        <v>300</v>
      </c>
      <c r="BX124" s="338">
        <v>100</v>
      </c>
      <c r="BY124" s="338">
        <v>100</v>
      </c>
      <c r="BZ124" s="338">
        <v>-100</v>
      </c>
      <c r="CA124" s="60"/>
      <c r="CB124" s="370"/>
      <c r="CC124" s="338"/>
      <c r="CD124" s="338"/>
      <c r="CE124" s="338"/>
      <c r="CF124" s="60"/>
      <c r="CG124" s="370"/>
      <c r="CH124" s="338"/>
      <c r="CI124" s="338"/>
      <c r="CJ124" s="338"/>
      <c r="CK124" s="60"/>
      <c r="CL124" s="370"/>
      <c r="CM124" s="338"/>
      <c r="CN124" s="338"/>
      <c r="CO124" s="338"/>
      <c r="CP124" s="60"/>
      <c r="CQ124" s="338">
        <v>92</v>
      </c>
      <c r="CR124" s="427">
        <v>98</v>
      </c>
      <c r="CS124" s="427">
        <v>59</v>
      </c>
      <c r="CT124" s="428">
        <v>-75</v>
      </c>
      <c r="CU124" s="143">
        <f t="shared" si="220"/>
        <v>174</v>
      </c>
      <c r="CV124" s="427">
        <v>-75</v>
      </c>
      <c r="CW124" s="427">
        <v>-75</v>
      </c>
      <c r="CX124" s="427">
        <v>-75</v>
      </c>
      <c r="CY124" s="428">
        <v>-75</v>
      </c>
      <c r="CZ124" s="60">
        <f t="shared" si="221"/>
        <v>-300</v>
      </c>
      <c r="DA124" s="429">
        <v>-150</v>
      </c>
      <c r="DB124" s="431">
        <v>-100</v>
      </c>
      <c r="DC124" s="429">
        <v>-150</v>
      </c>
      <c r="DF124" s="60"/>
      <c r="DG124" s="60"/>
      <c r="DH124" s="60"/>
      <c r="DI124" s="60"/>
      <c r="DJ124" s="60"/>
    </row>
    <row r="125" spans="3:114" outlineLevel="1">
      <c r="D125" s="272" t="s">
        <v>815</v>
      </c>
      <c r="BR125" s="286"/>
      <c r="BS125" s="286"/>
      <c r="BT125" s="286"/>
      <c r="BU125" s="286"/>
      <c r="BV125" s="62"/>
      <c r="BW125" s="370">
        <f>-300-100</f>
        <v>-400</v>
      </c>
      <c r="BX125" s="338">
        <v>-100</v>
      </c>
      <c r="BY125" s="338">
        <f>-100-200</f>
        <v>-300</v>
      </c>
      <c r="BZ125" s="338">
        <f>-100-100</f>
        <v>-200</v>
      </c>
      <c r="CA125" s="60"/>
      <c r="CB125" s="370"/>
      <c r="CC125" s="338"/>
      <c r="CD125" s="338"/>
      <c r="CE125" s="338"/>
      <c r="CF125" s="60"/>
      <c r="CG125" s="370"/>
      <c r="CH125" s="338"/>
      <c r="CI125" s="338"/>
      <c r="CJ125" s="338"/>
      <c r="CK125" s="60"/>
      <c r="CL125" s="370"/>
      <c r="CM125" s="338"/>
      <c r="CN125" s="338"/>
      <c r="CO125" s="338"/>
      <c r="CP125" s="60"/>
      <c r="CQ125" s="338">
        <f>-264-351+13</f>
        <v>-602</v>
      </c>
      <c r="CR125" s="427">
        <f>28-174</f>
        <v>-146</v>
      </c>
      <c r="CS125" s="427">
        <f>197+653-13</f>
        <v>837</v>
      </c>
      <c r="CT125" s="428">
        <f>-173-7-268</f>
        <v>-448</v>
      </c>
      <c r="CU125" s="143">
        <f t="shared" si="220"/>
        <v>-359</v>
      </c>
      <c r="CV125" s="427">
        <v>175</v>
      </c>
      <c r="CW125" s="427">
        <v>150</v>
      </c>
      <c r="CX125" s="427">
        <v>150</v>
      </c>
      <c r="CY125" s="428">
        <v>150</v>
      </c>
      <c r="CZ125" s="60">
        <f t="shared" si="221"/>
        <v>625</v>
      </c>
      <c r="DA125" s="429">
        <v>350</v>
      </c>
      <c r="DB125" s="431">
        <v>300</v>
      </c>
      <c r="DC125" s="429">
        <v>300</v>
      </c>
      <c r="DF125" s="60"/>
      <c r="DG125" s="60"/>
      <c r="DH125" s="60"/>
      <c r="DI125" s="60"/>
      <c r="DJ125" s="60"/>
    </row>
    <row r="126" spans="3:114" outlineLevel="1">
      <c r="D126" s="272" t="s">
        <v>816</v>
      </c>
      <c r="BR126" s="286"/>
      <c r="BS126" s="286"/>
      <c r="BT126" s="286"/>
      <c r="BU126" s="286"/>
      <c r="BV126" s="62"/>
      <c r="BW126" s="370">
        <v>-200</v>
      </c>
      <c r="BX126" s="338">
        <v>-100</v>
      </c>
      <c r="BY126" s="338">
        <v>0</v>
      </c>
      <c r="BZ126" s="338">
        <f>100+200</f>
        <v>300</v>
      </c>
      <c r="CA126" s="60"/>
      <c r="CB126" s="370"/>
      <c r="CC126" s="338"/>
      <c r="CD126" s="338"/>
      <c r="CE126" s="338"/>
      <c r="CF126" s="60"/>
      <c r="CG126" s="370"/>
      <c r="CH126" s="338"/>
      <c r="CI126" s="338"/>
      <c r="CJ126" s="338"/>
      <c r="CK126" s="60"/>
      <c r="CL126" s="370"/>
      <c r="CM126" s="338"/>
      <c r="CN126" s="338"/>
      <c r="CO126" s="338"/>
      <c r="CP126" s="60"/>
      <c r="CQ126" s="338">
        <f>-295-134</f>
        <v>-429</v>
      </c>
      <c r="CR126" s="427">
        <f>-177-294</f>
        <v>-471</v>
      </c>
      <c r="CS126" s="427">
        <f>94-201</f>
        <v>-107</v>
      </c>
      <c r="CT126" s="428">
        <f>-94-192</f>
        <v>-286</v>
      </c>
      <c r="CU126" s="143">
        <f t="shared" si="220"/>
        <v>-1293</v>
      </c>
      <c r="CV126" s="427">
        <v>-200</v>
      </c>
      <c r="CW126" s="427">
        <v>-200</v>
      </c>
      <c r="CX126" s="427">
        <v>-200</v>
      </c>
      <c r="CY126" s="428">
        <v>-200</v>
      </c>
      <c r="CZ126" s="60">
        <f t="shared" si="221"/>
        <v>-800</v>
      </c>
      <c r="DA126" s="429">
        <v>-200</v>
      </c>
      <c r="DB126" s="431">
        <v>-200</v>
      </c>
      <c r="DC126" s="429">
        <v>0</v>
      </c>
      <c r="DD126" s="3"/>
      <c r="DF126" s="60"/>
      <c r="DG126" s="60"/>
      <c r="DH126" s="60"/>
      <c r="DI126" s="60"/>
      <c r="DJ126" s="60"/>
    </row>
    <row r="127" spans="3:114" outlineLevel="1">
      <c r="D127" s="272" t="s">
        <v>817</v>
      </c>
      <c r="BR127" s="286"/>
      <c r="BS127" s="286"/>
      <c r="BT127" s="286"/>
      <c r="BU127" s="286"/>
      <c r="BV127" s="62"/>
      <c r="BW127" s="370">
        <v>0</v>
      </c>
      <c r="BX127" s="338">
        <v>0</v>
      </c>
      <c r="BY127" s="338">
        <v>0</v>
      </c>
      <c r="BZ127" s="338">
        <v>0</v>
      </c>
      <c r="CA127" s="60"/>
      <c r="CB127" s="370"/>
      <c r="CC127" s="338"/>
      <c r="CD127" s="338"/>
      <c r="CE127" s="338"/>
      <c r="CF127" s="60"/>
      <c r="CG127" s="370"/>
      <c r="CH127" s="338"/>
      <c r="CI127" s="338"/>
      <c r="CJ127" s="338"/>
      <c r="CK127" s="60"/>
      <c r="CL127" s="370"/>
      <c r="CM127" s="338"/>
      <c r="CN127" s="338"/>
      <c r="CO127" s="338"/>
      <c r="CP127" s="60"/>
      <c r="CQ127" s="338">
        <v>-53</v>
      </c>
      <c r="CR127" s="427">
        <v>-13</v>
      </c>
      <c r="CS127" s="427">
        <v>-67</v>
      </c>
      <c r="CT127" s="428">
        <v>-101</v>
      </c>
      <c r="CU127" s="143">
        <f t="shared" si="220"/>
        <v>-234</v>
      </c>
      <c r="CV127" s="427">
        <v>20</v>
      </c>
      <c r="CW127" s="427">
        <v>20</v>
      </c>
      <c r="CX127" s="427">
        <v>20</v>
      </c>
      <c r="CY127" s="428">
        <v>20</v>
      </c>
      <c r="CZ127" s="60">
        <f t="shared" si="221"/>
        <v>80</v>
      </c>
      <c r="DA127" s="429">
        <v>0</v>
      </c>
      <c r="DB127" s="431">
        <v>0</v>
      </c>
      <c r="DC127" s="429">
        <v>0</v>
      </c>
      <c r="DF127" s="60"/>
      <c r="DG127" s="60"/>
      <c r="DH127" s="60"/>
      <c r="DI127" s="60"/>
      <c r="DJ127" s="60"/>
    </row>
    <row r="128" spans="3:114" s="831" customFormat="1" outlineLevel="1">
      <c r="C128" s="843"/>
      <c r="D128" s="845" t="s">
        <v>72</v>
      </c>
      <c r="E128" s="846"/>
      <c r="F128" s="846"/>
      <c r="G128" s="846"/>
      <c r="H128" s="846"/>
      <c r="I128" s="846"/>
      <c r="J128" s="847"/>
      <c r="K128" s="847"/>
      <c r="L128" s="847"/>
      <c r="M128" s="848"/>
      <c r="N128" s="846"/>
      <c r="O128" s="847"/>
      <c r="P128" s="847"/>
      <c r="Q128" s="847"/>
      <c r="R128" s="848"/>
      <c r="S128" s="846"/>
      <c r="T128" s="847"/>
      <c r="U128" s="847"/>
      <c r="V128" s="847"/>
      <c r="W128" s="848"/>
      <c r="X128" s="846"/>
      <c r="Y128" s="847"/>
      <c r="Z128" s="847"/>
      <c r="AA128" s="847"/>
      <c r="AB128" s="848"/>
      <c r="AC128" s="846"/>
      <c r="AD128" s="847"/>
      <c r="AE128" s="847"/>
      <c r="AF128" s="847"/>
      <c r="AG128" s="848"/>
      <c r="AH128" s="846"/>
      <c r="AI128" s="847"/>
      <c r="AJ128" s="847"/>
      <c r="AK128" s="847"/>
      <c r="AL128" s="848"/>
      <c r="AM128" s="846"/>
      <c r="AN128" s="847"/>
      <c r="AO128" s="847"/>
      <c r="AP128" s="847"/>
      <c r="AQ128" s="848"/>
      <c r="AR128" s="846"/>
      <c r="AS128" s="847"/>
      <c r="AT128" s="847"/>
      <c r="AU128" s="847"/>
      <c r="AV128" s="848"/>
      <c r="AW128" s="846"/>
      <c r="AX128" s="847"/>
      <c r="AY128" s="847"/>
      <c r="AZ128" s="847"/>
      <c r="BA128" s="848"/>
      <c r="BB128" s="846"/>
      <c r="BC128" s="847"/>
      <c r="BD128" s="847"/>
      <c r="BE128" s="847"/>
      <c r="BF128" s="848"/>
      <c r="BG128" s="846"/>
      <c r="BH128" s="847"/>
      <c r="BI128" s="847"/>
      <c r="BJ128" s="847"/>
      <c r="BK128" s="848"/>
      <c r="BL128" s="846"/>
      <c r="BM128" s="847"/>
      <c r="BN128" s="847"/>
      <c r="BO128" s="847"/>
      <c r="BP128" s="848"/>
      <c r="BQ128" s="846"/>
      <c r="BR128" s="849"/>
      <c r="BS128" s="849"/>
      <c r="BT128" s="849"/>
      <c r="BU128" s="849"/>
      <c r="BV128" s="850"/>
      <c r="BW128" s="851">
        <f>+BW129-SUM(BW121:BW127)</f>
        <v>-91</v>
      </c>
      <c r="BX128" s="852">
        <f>+BX129-SUM(BX121:BX127)</f>
        <v>-281</v>
      </c>
      <c r="BY128" s="852">
        <f>+BY129-SUM(BY121:BY127)</f>
        <v>-320</v>
      </c>
      <c r="BZ128" s="852">
        <f>+BZ129-SUM(BZ121:BZ127)</f>
        <v>-370</v>
      </c>
      <c r="CA128" s="853"/>
      <c r="CB128" s="851"/>
      <c r="CC128" s="852"/>
      <c r="CD128" s="852"/>
      <c r="CE128" s="852"/>
      <c r="CF128" s="853"/>
      <c r="CG128" s="851"/>
      <c r="CH128" s="852"/>
      <c r="CI128" s="852"/>
      <c r="CJ128" s="852"/>
      <c r="CK128" s="853"/>
      <c r="CL128" s="854"/>
      <c r="CM128" s="855"/>
      <c r="CN128" s="855"/>
      <c r="CO128" s="855"/>
      <c r="CP128" s="856"/>
      <c r="CQ128" s="854">
        <v>83</v>
      </c>
      <c r="CR128" s="857">
        <v>-150</v>
      </c>
      <c r="CS128" s="857">
        <v>-78</v>
      </c>
      <c r="CT128" s="858">
        <v>104</v>
      </c>
      <c r="CU128" s="859">
        <f t="shared" si="220"/>
        <v>-41</v>
      </c>
      <c r="CV128" s="857">
        <v>0</v>
      </c>
      <c r="CW128" s="857">
        <v>0</v>
      </c>
      <c r="CX128" s="857">
        <v>0</v>
      </c>
      <c r="CY128" s="858">
        <v>0</v>
      </c>
      <c r="CZ128" s="856">
        <f t="shared" si="221"/>
        <v>0</v>
      </c>
      <c r="DA128" s="860">
        <v>0</v>
      </c>
      <c r="DB128" s="861">
        <v>0</v>
      </c>
      <c r="DC128" s="860">
        <v>0</v>
      </c>
      <c r="DF128" s="844"/>
      <c r="DG128" s="844"/>
      <c r="DH128" s="844"/>
      <c r="DI128" s="844"/>
      <c r="DJ128" s="844"/>
    </row>
    <row r="129" spans="3:114" outlineLevel="1">
      <c r="D129" s="274" t="s">
        <v>818</v>
      </c>
      <c r="BR129" s="16">
        <f t="shared" ref="BR129:BZ129" si="222">BR94</f>
        <v>2133</v>
      </c>
      <c r="BS129" s="16">
        <f t="shared" si="222"/>
        <v>2010</v>
      </c>
      <c r="BT129" s="16">
        <f t="shared" si="222"/>
        <v>2328</v>
      </c>
      <c r="BU129" s="16">
        <f t="shared" si="222"/>
        <v>1872</v>
      </c>
      <c r="BV129" s="85">
        <f t="shared" si="222"/>
        <v>8343</v>
      </c>
      <c r="BW129" s="16">
        <f t="shared" si="222"/>
        <v>2442</v>
      </c>
      <c r="BX129" s="16">
        <f t="shared" si="222"/>
        <v>2329</v>
      </c>
      <c r="BY129" s="16">
        <f t="shared" si="222"/>
        <v>2308</v>
      </c>
      <c r="BZ129" s="16">
        <f t="shared" si="222"/>
        <v>1702</v>
      </c>
      <c r="CA129" s="87"/>
      <c r="CB129" s="400"/>
      <c r="CC129" s="49"/>
      <c r="CD129" s="49"/>
      <c r="CE129" s="49"/>
      <c r="CF129" s="87"/>
      <c r="CG129" s="400"/>
      <c r="CH129" s="49"/>
      <c r="CI129" s="49"/>
      <c r="CJ129" s="49"/>
      <c r="CK129" s="87"/>
      <c r="CL129" s="1080">
        <v>3080</v>
      </c>
      <c r="CM129" s="1082">
        <v>2703</v>
      </c>
      <c r="CN129" s="1082">
        <v>1262</v>
      </c>
      <c r="CO129" s="1082">
        <v>1956</v>
      </c>
      <c r="CP129" s="87">
        <f>SUM(CL129:CO129)</f>
        <v>9001</v>
      </c>
      <c r="CQ129" s="400">
        <f t="shared" ref="CQ129:CU129" si="223">SUM(CQ121:CQ128)</f>
        <v>1989</v>
      </c>
      <c r="CR129" s="49">
        <f t="shared" si="223"/>
        <v>2198</v>
      </c>
      <c r="CS129" s="49">
        <f t="shared" si="223"/>
        <v>1683</v>
      </c>
      <c r="CT129" s="298">
        <f t="shared" si="223"/>
        <v>1641</v>
      </c>
      <c r="CU129" s="87">
        <f t="shared" si="223"/>
        <v>7511</v>
      </c>
      <c r="CV129" s="49">
        <f t="shared" ref="CV129:DC129" si="224">SUM(CV121:CV128)</f>
        <v>1918</v>
      </c>
      <c r="CW129" s="49">
        <f t="shared" si="224"/>
        <v>2044</v>
      </c>
      <c r="CX129" s="49">
        <f t="shared" si="224"/>
        <v>1600.6</v>
      </c>
      <c r="CY129" s="298">
        <f t="shared" si="224"/>
        <v>1606.6</v>
      </c>
      <c r="CZ129" s="87">
        <f t="shared" si="224"/>
        <v>7169.2</v>
      </c>
      <c r="DA129" s="87">
        <f t="shared" si="224"/>
        <v>6869.6125400000001</v>
      </c>
      <c r="DB129" s="400">
        <f t="shared" si="224"/>
        <v>7350.8664843080005</v>
      </c>
      <c r="DC129" s="87">
        <f t="shared" si="224"/>
        <v>7787.5942977341019</v>
      </c>
      <c r="DF129" s="87"/>
      <c r="DG129" s="87"/>
      <c r="DH129" s="87"/>
      <c r="DI129" s="87"/>
      <c r="DJ129" s="87"/>
    </row>
    <row r="130" spans="3:114" outlineLevel="1">
      <c r="D130" s="274" t="s">
        <v>1043</v>
      </c>
      <c r="BR130" s="16"/>
      <c r="BS130" s="16"/>
      <c r="BT130" s="16"/>
      <c r="BU130" s="16"/>
      <c r="BV130" s="85"/>
      <c r="BW130" s="16"/>
      <c r="BX130" s="16"/>
      <c r="BY130" s="16"/>
      <c r="BZ130" s="16"/>
      <c r="CA130" s="87"/>
      <c r="CB130" s="400"/>
      <c r="CC130" s="49"/>
      <c r="CD130" s="49"/>
      <c r="CE130" s="49"/>
      <c r="CF130" s="87"/>
      <c r="CG130" s="400"/>
      <c r="CH130" s="49"/>
      <c r="CI130" s="49"/>
      <c r="CJ130" s="49"/>
      <c r="CK130" s="87"/>
      <c r="CL130" s="400"/>
      <c r="CM130" s="49"/>
      <c r="CN130" s="49"/>
      <c r="CO130" s="298"/>
      <c r="CP130" s="87"/>
      <c r="CQ130" s="400"/>
      <c r="CR130" s="49"/>
      <c r="CS130" s="49"/>
      <c r="CT130" s="49"/>
      <c r="CU130" s="1030"/>
      <c r="CV130" s="49"/>
      <c r="CW130" s="49"/>
      <c r="CX130" s="49"/>
      <c r="CY130" s="49"/>
      <c r="CZ130" s="87"/>
      <c r="DA130" s="87"/>
      <c r="DB130" s="400"/>
      <c r="DC130" s="87"/>
      <c r="DF130" s="87"/>
      <c r="DG130" s="87"/>
      <c r="DH130" s="87"/>
      <c r="DI130" s="87"/>
      <c r="DJ130" s="87"/>
    </row>
    <row r="131" spans="3:114" ht="13.5" customHeight="1" outlineLevel="1">
      <c r="D131" s="274"/>
      <c r="BR131" s="286"/>
      <c r="BS131" s="286"/>
      <c r="BT131" s="286"/>
      <c r="BU131" s="286"/>
      <c r="BV131" s="62"/>
      <c r="BX131" s="286"/>
      <c r="BY131" s="286"/>
      <c r="BZ131" s="286"/>
      <c r="CA131" s="408"/>
      <c r="CB131" s="317"/>
      <c r="CC131" s="16"/>
      <c r="CD131" s="16"/>
      <c r="CE131" s="301"/>
      <c r="CF131" s="409"/>
      <c r="CG131" s="317"/>
      <c r="CJ131" s="16"/>
      <c r="CK131" s="291"/>
      <c r="CL131" s="316"/>
      <c r="CM131" s="16"/>
      <c r="CO131" s="301"/>
      <c r="CP131" s="291"/>
      <c r="CQ131" s="316"/>
      <c r="CR131" s="16"/>
      <c r="CS131" s="16"/>
      <c r="CT131" s="301"/>
      <c r="CU131" s="291"/>
      <c r="CV131" s="16"/>
      <c r="CW131" s="16"/>
      <c r="CX131" s="16"/>
      <c r="CY131" s="301"/>
      <c r="CZ131" s="291"/>
      <c r="DA131" s="291"/>
      <c r="DB131" s="375"/>
      <c r="DC131" s="291"/>
      <c r="DF131" s="291"/>
      <c r="DG131" s="291"/>
      <c r="DH131" s="291"/>
      <c r="DI131" s="291"/>
      <c r="DJ131" s="291"/>
    </row>
    <row r="132" spans="3:114" s="155" customFormat="1" outlineLevel="1">
      <c r="C132" s="336"/>
      <c r="D132" s="330" t="s">
        <v>819</v>
      </c>
      <c r="E132" s="340"/>
      <c r="F132" s="236"/>
      <c r="G132" s="236"/>
      <c r="H132" s="236"/>
      <c r="I132" s="236"/>
      <c r="J132" s="152"/>
      <c r="K132" s="152"/>
      <c r="L132" s="152"/>
      <c r="M132" s="341"/>
      <c r="N132" s="236"/>
      <c r="O132" s="152"/>
      <c r="P132" s="152"/>
      <c r="Q132" s="152"/>
      <c r="R132" s="302"/>
      <c r="S132" s="236"/>
      <c r="T132" s="152"/>
      <c r="U132" s="152"/>
      <c r="V132" s="152"/>
      <c r="W132" s="302"/>
      <c r="X132" s="236"/>
      <c r="Y132" s="152"/>
      <c r="Z132" s="152"/>
      <c r="AA132" s="152"/>
      <c r="AB132" s="302"/>
      <c r="AC132" s="236"/>
      <c r="AD132" s="152"/>
      <c r="AE132" s="152"/>
      <c r="AF132" s="152"/>
      <c r="AG132" s="302"/>
      <c r="AH132" s="236"/>
      <c r="AI132" s="152"/>
      <c r="AJ132" s="152"/>
      <c r="AK132" s="152"/>
      <c r="AL132" s="302"/>
      <c r="AM132" s="236"/>
      <c r="AN132" s="152"/>
      <c r="AO132" s="152"/>
      <c r="AP132" s="152"/>
      <c r="AQ132" s="302"/>
      <c r="AR132" s="236"/>
      <c r="AS132" s="152"/>
      <c r="AT132" s="152"/>
      <c r="AU132" s="152"/>
      <c r="AV132" s="302"/>
      <c r="AW132" s="236"/>
      <c r="AX132" s="152"/>
      <c r="AY132" s="152"/>
      <c r="AZ132" s="152"/>
      <c r="BA132" s="302"/>
      <c r="BB132" s="236"/>
      <c r="BC132" s="152"/>
      <c r="BD132" s="152"/>
      <c r="BE132" s="152"/>
      <c r="BF132" s="302"/>
      <c r="BG132" s="236"/>
      <c r="BH132" s="152"/>
      <c r="BI132" s="152"/>
      <c r="BJ132" s="152"/>
      <c r="BK132" s="302"/>
      <c r="BL132" s="236"/>
      <c r="BM132" s="152"/>
      <c r="BN132" s="152"/>
      <c r="BO132" s="152"/>
      <c r="BP132" s="302"/>
      <c r="BQ132" s="236"/>
      <c r="BR132" s="152"/>
      <c r="BS132" s="152"/>
      <c r="BT132" s="152"/>
      <c r="BU132" s="302"/>
      <c r="BV132" s="236"/>
      <c r="BW132" s="423">
        <v>0.25</v>
      </c>
      <c r="BX132" s="423">
        <v>0.25</v>
      </c>
      <c r="BY132" s="423">
        <v>0.25</v>
      </c>
      <c r="BZ132" s="425">
        <v>0.25</v>
      </c>
      <c r="CA132" s="426"/>
      <c r="CB132" s="423"/>
      <c r="CC132" s="423"/>
      <c r="CD132" s="423"/>
      <c r="CE132" s="425"/>
      <c r="CF132" s="426"/>
      <c r="CG132" s="423"/>
      <c r="CH132" s="423"/>
      <c r="CI132" s="423"/>
      <c r="CJ132" s="425"/>
      <c r="CK132" s="426"/>
      <c r="CL132" s="423"/>
      <c r="CM132" s="423"/>
      <c r="CN132" s="423"/>
      <c r="CO132" s="425"/>
      <c r="CP132" s="426"/>
      <c r="CQ132" s="423"/>
      <c r="CR132" s="177"/>
      <c r="CS132" s="177"/>
      <c r="CT132" s="177"/>
      <c r="CU132" s="424"/>
      <c r="CV132" s="177">
        <v>0.2</v>
      </c>
      <c r="CW132" s="177">
        <v>0.2</v>
      </c>
      <c r="CX132" s="177">
        <v>0.2</v>
      </c>
      <c r="CY132" s="177">
        <v>0.2</v>
      </c>
      <c r="CZ132" s="424">
        <f>CZ122/(CZ11*CU29)</f>
        <v>0.19876670862143753</v>
      </c>
      <c r="DA132" s="177">
        <v>0.2</v>
      </c>
      <c r="DB132" s="373">
        <v>0.2</v>
      </c>
      <c r="DC132" s="371">
        <v>0.2</v>
      </c>
      <c r="DF132" s="424"/>
      <c r="DG132" s="424"/>
      <c r="DH132" s="424"/>
      <c r="DI132" s="424"/>
      <c r="DJ132" s="424"/>
    </row>
    <row r="133" spans="3:114" outlineLevel="1">
      <c r="C133" s="233"/>
      <c r="D133" s="274" t="s">
        <v>820</v>
      </c>
      <c r="BU133" s="2"/>
      <c r="BV133" s="62"/>
      <c r="BW133" s="410">
        <f>BW124/BW29</f>
        <v>1.3452914798206279E-2</v>
      </c>
      <c r="BX133" s="410">
        <f>BX124/BX29</f>
        <v>4.464285714285714E-3</v>
      </c>
      <c r="BY133" s="410">
        <f>BY124/BY29</f>
        <v>4.608294930875576E-3</v>
      </c>
      <c r="BZ133" s="410">
        <f>BZ124/BZ29</f>
        <v>-4.4444444444444444E-3</v>
      </c>
      <c r="CA133" s="66"/>
      <c r="CB133" s="315"/>
      <c r="CC133" s="183"/>
      <c r="CD133" s="183"/>
      <c r="CE133" s="422"/>
      <c r="CF133" s="66"/>
      <c r="CG133" s="315"/>
      <c r="CH133" s="183"/>
      <c r="CI133" s="183"/>
      <c r="CJ133" s="183"/>
      <c r="CK133" s="66"/>
      <c r="CL133" s="315"/>
      <c r="CM133" s="183"/>
      <c r="CN133" s="183"/>
      <c r="CO133" s="422"/>
      <c r="CP133" s="66"/>
      <c r="CQ133" s="315"/>
      <c r="CR133" s="183"/>
      <c r="CS133" s="183"/>
      <c r="CT133" s="422"/>
      <c r="CU133" s="66"/>
      <c r="CV133" s="183">
        <f>CV124/CV29</f>
        <v>-3.1897519648872103E-3</v>
      </c>
      <c r="CW133" s="183">
        <f>CW124/CW29</f>
        <v>-3.1572034754495859E-3</v>
      </c>
      <c r="CX133" s="183">
        <f>CX124/CX29</f>
        <v>-3.66287306972694E-3</v>
      </c>
      <c r="CY133" s="422">
        <f>CY124/CY29</f>
        <v>-3.1441030460908738E-3</v>
      </c>
      <c r="CZ133" s="66">
        <f>CZ124/CV29</f>
        <v>-1.2759007859548841E-2</v>
      </c>
      <c r="DA133" s="66">
        <f>DA124/CW29</f>
        <v>-6.3144069508991717E-3</v>
      </c>
      <c r="DB133" s="315">
        <f>DB124/CX29</f>
        <v>-4.8838307596359206E-3</v>
      </c>
      <c r="DC133" s="66">
        <f>DC124/CY29</f>
        <v>-6.2882060921817477E-3</v>
      </c>
      <c r="DF133" s="66"/>
      <c r="DG133" s="66"/>
      <c r="DH133" s="66"/>
      <c r="DI133" s="66"/>
      <c r="DJ133" s="66"/>
    </row>
    <row r="134" spans="3:114" outlineLevel="1">
      <c r="C134" s="233"/>
      <c r="D134" s="274" t="s">
        <v>821</v>
      </c>
      <c r="BU134" s="2"/>
      <c r="BV134" s="62"/>
      <c r="BW134" s="410">
        <f>BW126/BW29</f>
        <v>-8.9686098654708519E-3</v>
      </c>
      <c r="BX134" s="410">
        <f>BX126/BX29</f>
        <v>-4.464285714285714E-3</v>
      </c>
      <c r="BY134" s="410">
        <f>BY126/BY29</f>
        <v>0</v>
      </c>
      <c r="BZ134" s="410">
        <f>BZ126/BZ29</f>
        <v>1.3333333333333334E-2</v>
      </c>
      <c r="CA134" s="66"/>
      <c r="CB134" s="315"/>
      <c r="CC134" s="183"/>
      <c r="CD134" s="183"/>
      <c r="CE134" s="422"/>
      <c r="CF134" s="66"/>
      <c r="CG134" s="315"/>
      <c r="CH134" s="183"/>
      <c r="CI134" s="183"/>
      <c r="CJ134" s="183"/>
      <c r="CK134" s="66"/>
      <c r="CL134" s="315"/>
      <c r="CM134" s="183"/>
      <c r="CN134" s="183"/>
      <c r="CO134" s="422"/>
      <c r="CP134" s="66"/>
      <c r="CQ134" s="315"/>
      <c r="CR134" s="183"/>
      <c r="CS134" s="183"/>
      <c r="CT134" s="422"/>
      <c r="CU134" s="66"/>
      <c r="CV134" s="183">
        <f>CV126/CV29</f>
        <v>-8.506005239699228E-3</v>
      </c>
      <c r="CW134" s="183">
        <f>CW126/CW29</f>
        <v>-8.4192092678655617E-3</v>
      </c>
      <c r="CX134" s="183">
        <f>CX126/CX29</f>
        <v>-9.7676615192718412E-3</v>
      </c>
      <c r="CY134" s="422">
        <f>CY126/CY29</f>
        <v>-8.3842747895756641E-3</v>
      </c>
      <c r="CZ134" s="66">
        <f>CZ126/CV29</f>
        <v>-3.4024020958796912E-2</v>
      </c>
      <c r="DA134" s="66">
        <f>DA126/CW29</f>
        <v>-8.4192092678655617E-3</v>
      </c>
      <c r="DB134" s="315">
        <f>DB126/CX29</f>
        <v>-9.7676615192718412E-3</v>
      </c>
      <c r="DC134" s="66">
        <f>DC126/CY29</f>
        <v>0</v>
      </c>
      <c r="DF134" s="66"/>
      <c r="DG134" s="66"/>
      <c r="DH134" s="66"/>
      <c r="DI134" s="66"/>
      <c r="DJ134" s="66"/>
    </row>
    <row r="135" spans="3:114" outlineLevel="1">
      <c r="D135" s="274"/>
      <c r="BR135" s="286"/>
      <c r="BS135" s="286"/>
      <c r="BT135" s="286"/>
      <c r="BU135" s="286"/>
      <c r="BV135" s="62"/>
      <c r="BX135" s="286"/>
      <c r="BY135" s="286"/>
      <c r="BZ135" s="286"/>
      <c r="CA135" s="288"/>
      <c r="CB135" s="317"/>
      <c r="CF135" s="288"/>
      <c r="CG135" s="317"/>
      <c r="CJ135" s="2"/>
      <c r="CK135" s="289"/>
      <c r="CL135" s="317"/>
      <c r="CP135" s="289"/>
      <c r="CQ135" s="317"/>
      <c r="CU135" s="289"/>
      <c r="CZ135" s="289"/>
      <c r="DA135" s="289"/>
      <c r="DB135" s="374"/>
      <c r="DC135" s="289"/>
      <c r="DF135" s="289"/>
      <c r="DG135" s="289"/>
      <c r="DH135" s="289"/>
      <c r="DI135" s="289"/>
      <c r="DJ135" s="289"/>
    </row>
    <row r="136" spans="3:114" outlineLevel="1">
      <c r="D136" s="275" t="s">
        <v>822</v>
      </c>
      <c r="BR136" s="286"/>
      <c r="BS136" s="286"/>
      <c r="BT136" s="286"/>
      <c r="BU136" s="286"/>
      <c r="BV136" s="62"/>
      <c r="BX136" s="286"/>
      <c r="BY136" s="286"/>
      <c r="BZ136" s="286"/>
      <c r="CA136" s="290"/>
      <c r="CB136" s="317"/>
      <c r="CF136" s="290"/>
      <c r="CG136" s="317"/>
      <c r="CJ136" s="2"/>
      <c r="CK136" s="291"/>
      <c r="CL136" s="317"/>
      <c r="CP136" s="291"/>
      <c r="CQ136" s="317"/>
      <c r="CU136" s="291"/>
      <c r="CZ136" s="291"/>
      <c r="DA136" s="291"/>
      <c r="DB136" s="375"/>
      <c r="DC136" s="291"/>
      <c r="DF136" s="291"/>
      <c r="DG136" s="291"/>
      <c r="DH136" s="291"/>
      <c r="DI136" s="291"/>
      <c r="DJ136" s="291"/>
    </row>
    <row r="137" spans="3:114" outlineLevel="1">
      <c r="D137" s="274" t="s">
        <v>812</v>
      </c>
      <c r="BR137" s="286"/>
      <c r="BS137" s="286"/>
      <c r="BT137" s="286"/>
      <c r="BU137" s="286"/>
      <c r="BV137" s="62"/>
      <c r="BW137" s="2">
        <f t="shared" ref="BW137:BZ137" si="225">BR145</f>
        <v>54</v>
      </c>
      <c r="BX137" s="2">
        <f t="shared" si="225"/>
        <v>5</v>
      </c>
      <c r="BY137" s="2">
        <f t="shared" si="225"/>
        <v>9</v>
      </c>
      <c r="BZ137" s="2">
        <f t="shared" si="225"/>
        <v>145</v>
      </c>
      <c r="CA137" s="87"/>
      <c r="CB137" s="400"/>
      <c r="CC137" s="49"/>
      <c r="CD137" s="49"/>
      <c r="CE137" s="298"/>
      <c r="CF137" s="87"/>
      <c r="CG137" s="400"/>
      <c r="CH137" s="49"/>
      <c r="CI137" s="49"/>
      <c r="CJ137" s="49"/>
      <c r="CK137" s="87"/>
      <c r="CL137" s="400"/>
      <c r="CM137" s="49"/>
      <c r="CN137" s="49"/>
      <c r="CO137" s="298"/>
      <c r="CP137" s="87"/>
      <c r="CQ137" s="400">
        <f>CL145</f>
        <v>-256</v>
      </c>
      <c r="CR137" s="49">
        <f>CM145</f>
        <v>-265</v>
      </c>
      <c r="CS137" s="49">
        <f>CN145</f>
        <v>-295</v>
      </c>
      <c r="CT137" s="49">
        <f>CO145</f>
        <v>-293</v>
      </c>
      <c r="CU137" s="87">
        <f>SUM(CQ137:CT137)</f>
        <v>-1109</v>
      </c>
      <c r="CV137" s="1083">
        <f>CQ68</f>
        <v>-237</v>
      </c>
      <c r="CW137" s="1083">
        <f>CR68</f>
        <v>-177</v>
      </c>
      <c r="CX137" s="1083">
        <f>CS68</f>
        <v>-150</v>
      </c>
      <c r="CY137" s="1084">
        <f>CT68</f>
        <v>-189</v>
      </c>
      <c r="CZ137" s="87">
        <f>SUM(CV137:CY137)</f>
        <v>-753</v>
      </c>
      <c r="DA137" s="87">
        <f>CZ145</f>
        <v>-496.25</v>
      </c>
      <c r="DB137" s="400">
        <f>DA145</f>
        <v>-255.99990000000003</v>
      </c>
      <c r="DC137" s="87">
        <f>DB145</f>
        <v>-18.534871220000014</v>
      </c>
      <c r="DF137" s="87"/>
      <c r="DG137" s="87"/>
      <c r="DH137" s="87"/>
      <c r="DI137" s="87"/>
      <c r="DJ137" s="87"/>
    </row>
    <row r="138" spans="3:114" outlineLevel="1">
      <c r="D138" s="272" t="s">
        <v>813</v>
      </c>
      <c r="BR138" s="286"/>
      <c r="BS138" s="286"/>
      <c r="BT138" s="286"/>
      <c r="BU138" s="286"/>
      <c r="BV138" s="62"/>
      <c r="BW138" s="370">
        <f>-18-26-16</f>
        <v>-60</v>
      </c>
      <c r="BX138" s="338">
        <f>27-30+45</f>
        <v>42</v>
      </c>
      <c r="BY138" s="338">
        <f>-30+41+69</f>
        <v>80</v>
      </c>
      <c r="BZ138" s="338">
        <f>-53-13-59</f>
        <v>-125</v>
      </c>
      <c r="CA138" s="60"/>
      <c r="CB138" s="370"/>
      <c r="CC138" s="338"/>
      <c r="CD138" s="338"/>
      <c r="CE138" s="338"/>
      <c r="CF138" s="60"/>
      <c r="CG138" s="370"/>
      <c r="CH138" s="338"/>
      <c r="CI138" s="338"/>
      <c r="CJ138" s="338"/>
      <c r="CK138" s="60"/>
      <c r="CL138" s="370"/>
      <c r="CM138" s="338"/>
      <c r="CN138" s="338"/>
      <c r="CO138" s="338"/>
      <c r="CP138" s="60"/>
      <c r="CQ138" s="338">
        <v>54</v>
      </c>
      <c r="CR138" s="338">
        <f>20+11</f>
        <v>31</v>
      </c>
      <c r="CS138" s="338">
        <f>46-7</f>
        <v>39</v>
      </c>
      <c r="CT138" s="338">
        <f>78-7</f>
        <v>71</v>
      </c>
      <c r="CU138" s="60">
        <f t="shared" ref="CU138:CU144" si="226">SUM(CQ138:CT138)</f>
        <v>195</v>
      </c>
      <c r="CV138" s="49">
        <f>CV148*CV13*CQ31</f>
        <v>-2.75</v>
      </c>
      <c r="CW138" s="49">
        <f>CW148*CW13*CR31</f>
        <v>7.5</v>
      </c>
      <c r="CX138" s="49">
        <f>CX148*CX13*CS31</f>
        <v>15</v>
      </c>
      <c r="CY138" s="298">
        <f>CY148*CY13*CT31</f>
        <v>17</v>
      </c>
      <c r="CZ138" s="60">
        <f t="shared" ref="CZ138:CZ144" si="227">SUM(CV138:CY138)</f>
        <v>36.75</v>
      </c>
      <c r="DA138" s="87">
        <f>DA148*DA13*CZ31</f>
        <v>60.250100000000003</v>
      </c>
      <c r="DB138" s="400">
        <f>DB148*DB13*DA31</f>
        <v>47.465028780000011</v>
      </c>
      <c r="DC138" s="87">
        <f>DC148*DC13*DB31</f>
        <v>49.377869439834015</v>
      </c>
      <c r="DF138" s="60"/>
      <c r="DG138" s="60"/>
      <c r="DH138" s="60"/>
      <c r="DI138" s="60"/>
      <c r="DJ138" s="60"/>
    </row>
    <row r="139" spans="3:114" outlineLevel="1">
      <c r="D139" s="272" t="s">
        <v>814</v>
      </c>
      <c r="BR139" s="286"/>
      <c r="BS139" s="286"/>
      <c r="BT139" s="286"/>
      <c r="BU139" s="286"/>
      <c r="BV139" s="62"/>
      <c r="BW139" s="370">
        <v>86</v>
      </c>
      <c r="BX139" s="338">
        <v>294</v>
      </c>
      <c r="BY139" s="338">
        <v>165</v>
      </c>
      <c r="BZ139" s="338">
        <v>-79</v>
      </c>
      <c r="CA139" s="60"/>
      <c r="CB139" s="370"/>
      <c r="CC139" s="338"/>
      <c r="CD139" s="338"/>
      <c r="CE139" s="338"/>
      <c r="CF139" s="60"/>
      <c r="CG139" s="370"/>
      <c r="CH139" s="338"/>
      <c r="CI139" s="338"/>
      <c r="CJ139" s="338"/>
      <c r="CK139" s="60"/>
      <c r="CL139" s="370"/>
      <c r="CM139" s="338"/>
      <c r="CN139" s="338"/>
      <c r="CO139" s="338"/>
      <c r="CP139" s="60"/>
      <c r="CQ139" s="338">
        <v>-23</v>
      </c>
      <c r="CR139" s="338">
        <v>-11</v>
      </c>
      <c r="CS139" s="338">
        <v>7</v>
      </c>
      <c r="CT139" s="338">
        <v>7</v>
      </c>
      <c r="CU139" s="60">
        <f t="shared" si="226"/>
        <v>-20</v>
      </c>
      <c r="CV139" s="432">
        <v>0</v>
      </c>
      <c r="CW139" s="432">
        <v>0</v>
      </c>
      <c r="CX139" s="432">
        <v>0</v>
      </c>
      <c r="CY139" s="433">
        <v>0</v>
      </c>
      <c r="CZ139" s="60">
        <f t="shared" si="227"/>
        <v>0</v>
      </c>
      <c r="DA139" s="429">
        <v>0</v>
      </c>
      <c r="DB139" s="431">
        <v>0</v>
      </c>
      <c r="DC139" s="429">
        <v>0</v>
      </c>
      <c r="DF139" s="60"/>
      <c r="DG139" s="60"/>
      <c r="DH139" s="60"/>
      <c r="DI139" s="60"/>
      <c r="DJ139" s="60"/>
    </row>
    <row r="140" spans="3:114" outlineLevel="1">
      <c r="D140" s="272" t="s">
        <v>213</v>
      </c>
      <c r="BR140" s="286"/>
      <c r="BS140" s="286"/>
      <c r="BT140" s="286"/>
      <c r="BU140" s="286"/>
      <c r="BV140" s="62"/>
      <c r="BW140" s="370">
        <v>204</v>
      </c>
      <c r="BX140" s="338">
        <f>322+59</f>
        <v>381</v>
      </c>
      <c r="BY140" s="338">
        <f>413+20</f>
        <v>433</v>
      </c>
      <c r="BZ140" s="338">
        <f>355-4</f>
        <v>351</v>
      </c>
      <c r="CA140" s="60"/>
      <c r="CB140" s="370"/>
      <c r="CC140" s="338"/>
      <c r="CD140" s="338"/>
      <c r="CE140" s="338"/>
      <c r="CF140" s="60"/>
      <c r="CG140" s="370"/>
      <c r="CH140" s="338"/>
      <c r="CI140" s="338"/>
      <c r="CJ140" s="338"/>
      <c r="CK140" s="60"/>
      <c r="CL140" s="370"/>
      <c r="CM140" s="338"/>
      <c r="CN140" s="338"/>
      <c r="CO140" s="338"/>
      <c r="CP140" s="60"/>
      <c r="CQ140" s="338">
        <v>107</v>
      </c>
      <c r="CR140" s="338">
        <v>86</v>
      </c>
      <c r="CS140" s="338">
        <v>127</v>
      </c>
      <c r="CT140" s="338">
        <v>94</v>
      </c>
      <c r="CU140" s="60">
        <f t="shared" si="226"/>
        <v>414</v>
      </c>
      <c r="CV140" s="432">
        <v>25</v>
      </c>
      <c r="CW140" s="432">
        <v>25</v>
      </c>
      <c r="CX140" s="432">
        <v>25</v>
      </c>
      <c r="CY140" s="433">
        <v>25</v>
      </c>
      <c r="CZ140" s="60">
        <f t="shared" si="227"/>
        <v>100</v>
      </c>
      <c r="DA140" s="429">
        <v>100</v>
      </c>
      <c r="DB140" s="431">
        <v>100</v>
      </c>
      <c r="DC140" s="429">
        <v>100</v>
      </c>
      <c r="DF140" s="60"/>
      <c r="DG140" s="60"/>
      <c r="DH140" s="60"/>
      <c r="DI140" s="60"/>
      <c r="DJ140" s="60"/>
    </row>
    <row r="141" spans="3:114" outlineLevel="1">
      <c r="D141" s="272" t="s">
        <v>815</v>
      </c>
      <c r="BR141" s="286"/>
      <c r="BS141" s="286"/>
      <c r="BT141" s="286"/>
      <c r="BU141" s="286"/>
      <c r="BV141" s="62"/>
      <c r="BW141" s="370">
        <f>-91</f>
        <v>-91</v>
      </c>
      <c r="BX141" s="338">
        <v>-87</v>
      </c>
      <c r="BY141" s="338">
        <v>-25</v>
      </c>
      <c r="BZ141" s="338">
        <v>-156</v>
      </c>
      <c r="CA141" s="60"/>
      <c r="CB141" s="370"/>
      <c r="CC141" s="338"/>
      <c r="CD141" s="338"/>
      <c r="CE141" s="338"/>
      <c r="CF141" s="60"/>
      <c r="CG141" s="370"/>
      <c r="CH141" s="338"/>
      <c r="CI141" s="338"/>
      <c r="CJ141" s="338"/>
      <c r="CK141" s="60"/>
      <c r="CL141" s="370"/>
      <c r="CM141" s="338"/>
      <c r="CN141" s="338"/>
      <c r="CO141" s="338"/>
      <c r="CP141" s="60"/>
      <c r="CQ141" s="338">
        <v>31</v>
      </c>
      <c r="CR141" s="338">
        <v>20</v>
      </c>
      <c r="CS141" s="338">
        <f>-24+10</f>
        <v>-14</v>
      </c>
      <c r="CT141" s="338">
        <v>-22</v>
      </c>
      <c r="CU141" s="60">
        <f t="shared" si="226"/>
        <v>15</v>
      </c>
      <c r="CV141" s="432">
        <v>38</v>
      </c>
      <c r="CW141" s="432">
        <v>38</v>
      </c>
      <c r="CX141" s="432">
        <v>37</v>
      </c>
      <c r="CY141" s="433">
        <v>37</v>
      </c>
      <c r="CZ141" s="60">
        <f t="shared" si="227"/>
        <v>150</v>
      </c>
      <c r="DA141" s="429">
        <v>100</v>
      </c>
      <c r="DB141" s="431">
        <v>100</v>
      </c>
      <c r="DC141" s="429">
        <v>100</v>
      </c>
      <c r="DF141" s="60"/>
      <c r="DG141" s="60"/>
      <c r="DH141" s="60"/>
      <c r="DI141" s="60"/>
      <c r="DJ141" s="60"/>
    </row>
    <row r="142" spans="3:114" outlineLevel="1">
      <c r="D142" s="272" t="s">
        <v>816</v>
      </c>
      <c r="BR142" s="286"/>
      <c r="BS142" s="286"/>
      <c r="BT142" s="286"/>
      <c r="BU142" s="286"/>
      <c r="BV142" s="62"/>
      <c r="BW142" s="370">
        <v>-119</v>
      </c>
      <c r="BX142" s="338">
        <v>-207</v>
      </c>
      <c r="BY142" s="338">
        <v>-217</v>
      </c>
      <c r="BZ142" s="338">
        <v>0</v>
      </c>
      <c r="CA142" s="60"/>
      <c r="CB142" s="370"/>
      <c r="CC142" s="338"/>
      <c r="CD142" s="338"/>
      <c r="CE142" s="338"/>
      <c r="CF142" s="60"/>
      <c r="CG142" s="370"/>
      <c r="CH142" s="338"/>
      <c r="CI142" s="338"/>
      <c r="CJ142" s="338"/>
      <c r="CK142" s="60"/>
      <c r="CL142" s="370"/>
      <c r="CM142" s="338"/>
      <c r="CN142" s="338"/>
      <c r="CO142" s="338"/>
      <c r="CP142" s="60"/>
      <c r="CQ142" s="338">
        <v>-72</v>
      </c>
      <c r="CR142" s="338">
        <v>-19</v>
      </c>
      <c r="CS142" s="338">
        <v>-31</v>
      </c>
      <c r="CT142" s="338">
        <v>-3</v>
      </c>
      <c r="CU142" s="60">
        <f t="shared" si="226"/>
        <v>-125</v>
      </c>
      <c r="CV142" s="432">
        <v>-5</v>
      </c>
      <c r="CW142" s="432">
        <v>-5</v>
      </c>
      <c r="CX142" s="432">
        <v>-10</v>
      </c>
      <c r="CY142" s="433">
        <v>-10</v>
      </c>
      <c r="CZ142" s="60">
        <f t="shared" si="227"/>
        <v>-30</v>
      </c>
      <c r="DA142" s="429">
        <v>-20</v>
      </c>
      <c r="DB142" s="431">
        <v>-10</v>
      </c>
      <c r="DC142" s="429">
        <v>0</v>
      </c>
      <c r="DF142" s="60"/>
      <c r="DG142" s="60"/>
      <c r="DH142" s="60"/>
      <c r="DI142" s="60"/>
      <c r="DJ142" s="60"/>
    </row>
    <row r="143" spans="3:114" outlineLevel="1">
      <c r="D143" s="272" t="s">
        <v>817</v>
      </c>
      <c r="BR143" s="286"/>
      <c r="BS143" s="286"/>
      <c r="BT143" s="286"/>
      <c r="BU143" s="286"/>
      <c r="BV143" s="62"/>
      <c r="BW143" s="370">
        <v>-359</v>
      </c>
      <c r="BX143" s="338">
        <v>-187</v>
      </c>
      <c r="BY143" s="338">
        <v>-178</v>
      </c>
      <c r="BZ143" s="338">
        <v>-191</v>
      </c>
      <c r="CA143" s="60"/>
      <c r="CB143" s="370"/>
      <c r="CC143" s="338"/>
      <c r="CD143" s="338"/>
      <c r="CE143" s="338"/>
      <c r="CF143" s="60"/>
      <c r="CG143" s="370"/>
      <c r="CH143" s="338"/>
      <c r="CI143" s="338"/>
      <c r="CJ143" s="338"/>
      <c r="CK143" s="60"/>
      <c r="CL143" s="370"/>
      <c r="CM143" s="338"/>
      <c r="CN143" s="338"/>
      <c r="CO143" s="338"/>
      <c r="CP143" s="60"/>
      <c r="CQ143" s="338">
        <v>-49</v>
      </c>
      <c r="CR143" s="338">
        <v>-19</v>
      </c>
      <c r="CS143" s="338">
        <v>-33</v>
      </c>
      <c r="CT143" s="338">
        <v>-35</v>
      </c>
      <c r="CU143" s="60">
        <f t="shared" si="226"/>
        <v>-136</v>
      </c>
      <c r="CV143" s="432">
        <v>0</v>
      </c>
      <c r="CW143" s="432">
        <v>0</v>
      </c>
      <c r="CX143" s="432">
        <v>0</v>
      </c>
      <c r="CY143" s="433">
        <v>0</v>
      </c>
      <c r="CZ143" s="60">
        <f t="shared" si="227"/>
        <v>0</v>
      </c>
      <c r="DA143" s="429">
        <v>0</v>
      </c>
      <c r="DB143" s="431">
        <v>0</v>
      </c>
      <c r="DC143" s="429">
        <v>0</v>
      </c>
      <c r="DF143" s="60"/>
      <c r="DG143" s="60"/>
      <c r="DH143" s="60"/>
      <c r="DI143" s="60"/>
      <c r="DJ143" s="60"/>
    </row>
    <row r="144" spans="3:114" outlineLevel="1">
      <c r="D144" s="273" t="s">
        <v>72</v>
      </c>
      <c r="E144" s="276"/>
      <c r="F144" s="276"/>
      <c r="G144" s="276"/>
      <c r="H144" s="276"/>
      <c r="I144" s="276"/>
      <c r="J144" s="97"/>
      <c r="K144" s="97"/>
      <c r="L144" s="97"/>
      <c r="M144" s="277"/>
      <c r="N144" s="276"/>
      <c r="O144" s="97"/>
      <c r="P144" s="97"/>
      <c r="Q144" s="97"/>
      <c r="R144" s="277"/>
      <c r="S144" s="276"/>
      <c r="T144" s="97"/>
      <c r="U144" s="97"/>
      <c r="V144" s="97"/>
      <c r="W144" s="277"/>
      <c r="X144" s="276"/>
      <c r="Y144" s="97"/>
      <c r="Z144" s="97"/>
      <c r="AA144" s="97"/>
      <c r="AB144" s="277"/>
      <c r="AC144" s="276"/>
      <c r="AD144" s="97"/>
      <c r="AE144" s="97"/>
      <c r="AF144" s="97"/>
      <c r="AG144" s="277"/>
      <c r="AH144" s="276"/>
      <c r="AI144" s="97"/>
      <c r="AJ144" s="97"/>
      <c r="AK144" s="97"/>
      <c r="AL144" s="277"/>
      <c r="AM144" s="276"/>
      <c r="AN144" s="97"/>
      <c r="AO144" s="97"/>
      <c r="AP144" s="97"/>
      <c r="AQ144" s="277"/>
      <c r="AR144" s="276"/>
      <c r="AS144" s="97"/>
      <c r="AT144" s="97"/>
      <c r="AU144" s="97"/>
      <c r="AV144" s="277"/>
      <c r="AW144" s="276"/>
      <c r="AX144" s="97"/>
      <c r="AY144" s="97"/>
      <c r="AZ144" s="97"/>
      <c r="BA144" s="277"/>
      <c r="BB144" s="276"/>
      <c r="BC144" s="97"/>
      <c r="BD144" s="97"/>
      <c r="BE144" s="97"/>
      <c r="BF144" s="277"/>
      <c r="BG144" s="276"/>
      <c r="BH144" s="97"/>
      <c r="BI144" s="97"/>
      <c r="BJ144" s="97"/>
      <c r="BK144" s="277"/>
      <c r="BL144" s="276"/>
      <c r="BM144" s="97"/>
      <c r="BN144" s="97"/>
      <c r="BO144" s="97"/>
      <c r="BP144" s="277"/>
      <c r="BQ144" s="276"/>
      <c r="BR144" s="287"/>
      <c r="BS144" s="287"/>
      <c r="BT144" s="287"/>
      <c r="BU144" s="287"/>
      <c r="BV144" s="404"/>
      <c r="BW144" s="405">
        <f>+BW145-SUM(BW137:BW143)</f>
        <v>67</v>
      </c>
      <c r="BX144" s="160">
        <f>+BX145-SUM(BX137:BX143)</f>
        <v>-90</v>
      </c>
      <c r="BY144" s="160">
        <f>+BY145-SUM(BY137:BY143)</f>
        <v>-108</v>
      </c>
      <c r="BZ144" s="160">
        <f>+BZ145-SUM(BZ137:BZ143)</f>
        <v>-71</v>
      </c>
      <c r="CA144" s="96"/>
      <c r="CB144" s="405"/>
      <c r="CC144" s="160"/>
      <c r="CD144" s="160"/>
      <c r="CE144" s="160"/>
      <c r="CF144" s="96"/>
      <c r="CG144" s="405"/>
      <c r="CH144" s="160"/>
      <c r="CI144" s="160"/>
      <c r="CJ144" s="160"/>
      <c r="CK144" s="299"/>
      <c r="CL144" s="407"/>
      <c r="CM144" s="406"/>
      <c r="CN144" s="406"/>
      <c r="CO144" s="842"/>
      <c r="CP144" s="93"/>
      <c r="CQ144" s="407">
        <v>-36</v>
      </c>
      <c r="CR144" s="406">
        <v>-8</v>
      </c>
      <c r="CS144" s="406">
        <v>42</v>
      </c>
      <c r="CT144" s="406">
        <v>-16</v>
      </c>
      <c r="CU144" s="93">
        <f t="shared" si="226"/>
        <v>-18</v>
      </c>
      <c r="CV144" s="434">
        <v>0</v>
      </c>
      <c r="CW144" s="434">
        <v>0</v>
      </c>
      <c r="CX144" s="434">
        <v>0</v>
      </c>
      <c r="CY144" s="435">
        <v>0</v>
      </c>
      <c r="CZ144" s="93">
        <f t="shared" si="227"/>
        <v>0</v>
      </c>
      <c r="DA144" s="430">
        <v>0</v>
      </c>
      <c r="DB144" s="436">
        <v>0</v>
      </c>
      <c r="DC144" s="430">
        <v>0</v>
      </c>
      <c r="DF144" s="93"/>
      <c r="DG144" s="93"/>
      <c r="DH144" s="93"/>
      <c r="DI144" s="93"/>
      <c r="DJ144" s="93"/>
    </row>
    <row r="145" spans="3:114" outlineLevel="1">
      <c r="D145" s="274" t="s">
        <v>818</v>
      </c>
      <c r="BR145" s="16">
        <f t="shared" ref="BR145:BZ145" si="228">BR96</f>
        <v>54</v>
      </c>
      <c r="BS145" s="16">
        <f t="shared" si="228"/>
        <v>5</v>
      </c>
      <c r="BT145" s="16">
        <f t="shared" si="228"/>
        <v>9</v>
      </c>
      <c r="BU145" s="16">
        <f t="shared" si="228"/>
        <v>145</v>
      </c>
      <c r="BV145" s="85">
        <f t="shared" si="228"/>
        <v>213</v>
      </c>
      <c r="BW145" s="16">
        <f t="shared" si="228"/>
        <v>-218</v>
      </c>
      <c r="BX145" s="16">
        <f t="shared" si="228"/>
        <v>151</v>
      </c>
      <c r="BY145" s="16">
        <f t="shared" si="228"/>
        <v>159</v>
      </c>
      <c r="BZ145" s="16">
        <f t="shared" si="228"/>
        <v>-126</v>
      </c>
      <c r="CA145" s="87"/>
      <c r="CB145" s="16"/>
      <c r="CC145" s="16"/>
      <c r="CD145" s="16"/>
      <c r="CE145" s="16"/>
      <c r="CF145" s="87"/>
      <c r="CG145" s="16"/>
      <c r="CH145" s="16"/>
      <c r="CI145" s="16"/>
      <c r="CJ145" s="298"/>
      <c r="CK145" s="87"/>
      <c r="CL145" s="1080">
        <v>-256</v>
      </c>
      <c r="CM145" s="1082">
        <v>-265</v>
      </c>
      <c r="CN145" s="1082">
        <v>-295</v>
      </c>
      <c r="CO145" s="1082">
        <v>-293</v>
      </c>
      <c r="CP145" s="87">
        <f>SUM(CL145:CO145)</f>
        <v>-1109</v>
      </c>
      <c r="CQ145" s="400">
        <f t="shared" ref="CQ145:CU145" si="229">SUM(CQ137:CQ144)</f>
        <v>-244</v>
      </c>
      <c r="CR145" s="49">
        <f t="shared" si="229"/>
        <v>-185</v>
      </c>
      <c r="CS145" s="49">
        <f t="shared" si="229"/>
        <v>-158</v>
      </c>
      <c r="CT145" s="49">
        <f t="shared" si="229"/>
        <v>-197</v>
      </c>
      <c r="CU145" s="87">
        <f t="shared" si="229"/>
        <v>-784</v>
      </c>
      <c r="CV145" s="49">
        <f t="shared" ref="CV145:DC145" si="230">SUM(CV137:CV144)</f>
        <v>-181.75</v>
      </c>
      <c r="CW145" s="49">
        <f t="shared" si="230"/>
        <v>-111.5</v>
      </c>
      <c r="CX145" s="49">
        <f t="shared" si="230"/>
        <v>-83</v>
      </c>
      <c r="CY145" s="298">
        <f t="shared" si="230"/>
        <v>-120</v>
      </c>
      <c r="CZ145" s="87">
        <f t="shared" si="230"/>
        <v>-496.25</v>
      </c>
      <c r="DA145" s="87">
        <f t="shared" si="230"/>
        <v>-255.99990000000003</v>
      </c>
      <c r="DB145" s="400">
        <f t="shared" si="230"/>
        <v>-18.534871220000014</v>
      </c>
      <c r="DC145" s="87">
        <f t="shared" si="230"/>
        <v>230.84299821983399</v>
      </c>
      <c r="DF145" s="87"/>
      <c r="DG145" s="87"/>
      <c r="DH145" s="87"/>
      <c r="DI145" s="87"/>
      <c r="DJ145" s="87"/>
    </row>
    <row r="146" spans="3:114" outlineLevel="1">
      <c r="D146" s="274" t="s">
        <v>1043</v>
      </c>
      <c r="BR146" s="16"/>
      <c r="BS146" s="16"/>
      <c r="BT146" s="16"/>
      <c r="BU146" s="16"/>
      <c r="BV146" s="85"/>
      <c r="BW146" s="16"/>
      <c r="BX146" s="16"/>
      <c r="BY146" s="16"/>
      <c r="BZ146" s="16"/>
      <c r="CA146" s="87"/>
      <c r="CB146" s="16"/>
      <c r="CC146" s="16"/>
      <c r="CD146" s="16"/>
      <c r="CE146" s="16"/>
      <c r="CF146" s="87"/>
      <c r="CG146" s="16"/>
      <c r="CH146" s="16"/>
      <c r="CI146" s="16"/>
      <c r="CJ146" s="298"/>
      <c r="CK146" s="87"/>
      <c r="CL146" s="400"/>
      <c r="CM146" s="49"/>
      <c r="CN146" s="49"/>
      <c r="CO146" s="298"/>
      <c r="CP146" s="87"/>
      <c r="CQ146" s="400"/>
      <c r="CR146" s="49"/>
      <c r="CS146" s="49"/>
      <c r="CT146" s="49"/>
      <c r="CU146" s="1030"/>
      <c r="CV146" s="49"/>
      <c r="CW146" s="49"/>
      <c r="CX146" s="49"/>
      <c r="CY146" s="298"/>
      <c r="CZ146" s="87"/>
      <c r="DA146" s="87"/>
      <c r="DB146" s="400"/>
      <c r="DC146" s="87"/>
      <c r="DF146" s="87"/>
      <c r="DG146" s="87"/>
      <c r="DH146" s="87"/>
      <c r="DI146" s="87"/>
      <c r="DJ146" s="87"/>
    </row>
    <row r="147" spans="3:114" outlineLevel="1">
      <c r="D147" s="274"/>
      <c r="BR147" s="286"/>
      <c r="BS147" s="286"/>
      <c r="BT147" s="286"/>
      <c r="BU147" s="286"/>
      <c r="BV147" s="62"/>
      <c r="BX147" s="286"/>
      <c r="BY147" s="286"/>
      <c r="BZ147" s="286"/>
      <c r="CA147" s="408"/>
      <c r="CB147" s="317"/>
      <c r="CC147" s="16"/>
      <c r="CD147" s="16"/>
      <c r="CF147" s="408"/>
      <c r="CG147" s="317"/>
      <c r="CJ147" s="301"/>
      <c r="CK147" s="408"/>
      <c r="CL147" s="316"/>
      <c r="CM147" s="16"/>
      <c r="CO147" s="301"/>
      <c r="CP147" s="408"/>
      <c r="CQ147" s="316"/>
      <c r="CR147" s="16"/>
      <c r="CS147" s="16"/>
      <c r="CT147" s="301"/>
      <c r="CU147" s="408"/>
      <c r="CV147" s="16"/>
      <c r="CW147" s="16"/>
      <c r="CX147" s="16"/>
      <c r="CY147" s="301"/>
      <c r="CZ147" s="408"/>
      <c r="DA147" s="408"/>
      <c r="DB147" s="413"/>
      <c r="DC147" s="408"/>
      <c r="DF147" s="408"/>
      <c r="DG147" s="408"/>
      <c r="DH147" s="408"/>
      <c r="DI147" s="408"/>
      <c r="DJ147" s="408"/>
    </row>
    <row r="148" spans="3:114" s="155" customFormat="1" outlineLevel="1">
      <c r="C148" s="336"/>
      <c r="D148" s="330" t="s">
        <v>819</v>
      </c>
      <c r="E148" s="340"/>
      <c r="F148" s="236"/>
      <c r="G148" s="236"/>
      <c r="H148" s="236"/>
      <c r="I148" s="236"/>
      <c r="J148" s="152"/>
      <c r="K148" s="152"/>
      <c r="L148" s="152"/>
      <c r="M148" s="341"/>
      <c r="N148" s="236"/>
      <c r="O148" s="152"/>
      <c r="P148" s="152"/>
      <c r="Q148" s="152"/>
      <c r="R148" s="302"/>
      <c r="S148" s="236"/>
      <c r="T148" s="152"/>
      <c r="U148" s="152"/>
      <c r="V148" s="152"/>
      <c r="W148" s="302"/>
      <c r="X148" s="236"/>
      <c r="Y148" s="152"/>
      <c r="Z148" s="152"/>
      <c r="AA148" s="152"/>
      <c r="AB148" s="302"/>
      <c r="AC148" s="236"/>
      <c r="AD148" s="152"/>
      <c r="AE148" s="152"/>
      <c r="AF148" s="152"/>
      <c r="AG148" s="302"/>
      <c r="AH148" s="236"/>
      <c r="AI148" s="152"/>
      <c r="AJ148" s="152"/>
      <c r="AK148" s="152"/>
      <c r="AL148" s="302"/>
      <c r="AM148" s="236"/>
      <c r="AN148" s="152"/>
      <c r="AO148" s="152"/>
      <c r="AP148" s="152"/>
      <c r="AQ148" s="302"/>
      <c r="AR148" s="236"/>
      <c r="AS148" s="152"/>
      <c r="AT148" s="152"/>
      <c r="AU148" s="152"/>
      <c r="AV148" s="302"/>
      <c r="AW148" s="236"/>
      <c r="AX148" s="152"/>
      <c r="AY148" s="152"/>
      <c r="AZ148" s="152"/>
      <c r="BA148" s="302"/>
      <c r="BB148" s="236"/>
      <c r="BC148" s="152"/>
      <c r="BD148" s="152"/>
      <c r="BE148" s="152"/>
      <c r="BF148" s="302"/>
      <c r="BG148" s="236"/>
      <c r="BH148" s="152"/>
      <c r="BI148" s="152"/>
      <c r="BJ148" s="152"/>
      <c r="BK148" s="302"/>
      <c r="BL148" s="236"/>
      <c r="BM148" s="152"/>
      <c r="BN148" s="152"/>
      <c r="BO148" s="152"/>
      <c r="BP148" s="302"/>
      <c r="BQ148" s="236"/>
      <c r="BR148" s="152"/>
      <c r="BS148" s="152"/>
      <c r="BT148" s="152"/>
      <c r="BU148" s="302"/>
      <c r="BV148" s="236"/>
      <c r="BW148" s="423">
        <v>0.25</v>
      </c>
      <c r="BX148" s="423">
        <v>0.25</v>
      </c>
      <c r="BY148" s="423">
        <v>0.25</v>
      </c>
      <c r="BZ148" s="425">
        <v>0.25</v>
      </c>
      <c r="CA148" s="426"/>
      <c r="CB148" s="423"/>
      <c r="CC148" s="423"/>
      <c r="CD148" s="423"/>
      <c r="CE148" s="425"/>
      <c r="CF148" s="426"/>
      <c r="CG148" s="423"/>
      <c r="CH148" s="423"/>
      <c r="CI148" s="423"/>
      <c r="CJ148" s="425"/>
      <c r="CK148" s="426"/>
      <c r="CL148" s="423"/>
      <c r="CM148" s="423"/>
      <c r="CN148" s="423"/>
      <c r="CO148" s="425"/>
      <c r="CP148" s="426"/>
      <c r="CQ148" s="423"/>
      <c r="CR148" s="177"/>
      <c r="CS148" s="177"/>
      <c r="CT148" s="177"/>
      <c r="CU148" s="424"/>
      <c r="CV148" s="177">
        <v>0.25</v>
      </c>
      <c r="CW148" s="177">
        <v>0.25</v>
      </c>
      <c r="CX148" s="177">
        <v>0.25</v>
      </c>
      <c r="CY148" s="177">
        <v>0.25</v>
      </c>
      <c r="CZ148" s="424">
        <f>CZ138/(CZ13*CU31)</f>
        <v>0.24721811426922563</v>
      </c>
      <c r="DA148" s="177">
        <v>0.25</v>
      </c>
      <c r="DB148" s="373">
        <v>0.25</v>
      </c>
      <c r="DC148" s="371">
        <v>0.25</v>
      </c>
      <c r="DF148" s="424"/>
      <c r="DG148" s="424"/>
      <c r="DH148" s="424"/>
      <c r="DI148" s="424"/>
      <c r="DJ148" s="424"/>
    </row>
    <row r="149" spans="3:114" outlineLevel="1">
      <c r="C149" s="233"/>
      <c r="D149" s="274" t="s">
        <v>820</v>
      </c>
      <c r="BU149" s="2"/>
      <c r="BV149" s="62"/>
      <c r="BW149" s="410">
        <f>BW140/BW31</f>
        <v>8.8695652173913037E-2</v>
      </c>
      <c r="BX149" s="410">
        <f>BX140/BX31</f>
        <v>0.127</v>
      </c>
      <c r="BY149" s="410">
        <f>BY140/BY31</f>
        <v>0.15464285714285714</v>
      </c>
      <c r="BZ149" s="410">
        <f>BZ140/BZ31</f>
        <v>0.13</v>
      </c>
      <c r="CA149" s="66"/>
      <c r="CB149" s="315"/>
      <c r="CC149" s="183"/>
      <c r="CD149" s="183"/>
      <c r="CE149" s="422"/>
      <c r="CF149" s="66"/>
      <c r="CG149" s="315"/>
      <c r="CH149" s="183"/>
      <c r="CI149" s="183"/>
      <c r="CJ149" s="183"/>
      <c r="CK149" s="66"/>
      <c r="CL149" s="315"/>
      <c r="CM149" s="183"/>
      <c r="CN149" s="183"/>
      <c r="CO149" s="422"/>
      <c r="CP149" s="66"/>
      <c r="CQ149" s="315"/>
      <c r="CR149" s="183"/>
      <c r="CS149" s="183"/>
      <c r="CT149" s="422"/>
      <c r="CU149" s="66"/>
      <c r="CV149" s="183">
        <f>CV140/CV31</f>
        <v>2.2506706998685615E-2</v>
      </c>
      <c r="CW149" s="183">
        <f>CW140/CW31</f>
        <v>1.6098393380340643E-2</v>
      </c>
      <c r="CX149" s="183">
        <f>CX140/CX31</f>
        <v>1.5866971312515864E-2</v>
      </c>
      <c r="CY149" s="422">
        <f>CY140/CY31</f>
        <v>1.4000268805161059E-2</v>
      </c>
      <c r="CZ149" s="66">
        <f>CZ140/CZ31</f>
        <v>1.6597482825754645E-2</v>
      </c>
      <c r="DA149" s="66">
        <f>DA140/CW31</f>
        <v>6.4393573521362574E-2</v>
      </c>
      <c r="DB149" s="315">
        <f>DB140/CX31</f>
        <v>6.3467885250063458E-2</v>
      </c>
      <c r="DC149" s="66">
        <f>DC140/CY31</f>
        <v>5.6001075220644236E-2</v>
      </c>
      <c r="DF149" s="66"/>
      <c r="DG149" s="66"/>
      <c r="DH149" s="66"/>
      <c r="DI149" s="66"/>
      <c r="DJ149" s="66"/>
    </row>
    <row r="150" spans="3:114" outlineLevel="1">
      <c r="C150" s="233"/>
      <c r="D150" s="274" t="s">
        <v>821</v>
      </c>
      <c r="BU150" s="2"/>
      <c r="BV150" s="62"/>
      <c r="BW150" s="410">
        <f>BW142/BW31</f>
        <v>-5.1739130434782607E-2</v>
      </c>
      <c r="BX150" s="410">
        <f>BX142/BX31</f>
        <v>-6.9000000000000006E-2</v>
      </c>
      <c r="BY150" s="410">
        <f>BY142/BY31</f>
        <v>-7.7499999999999999E-2</v>
      </c>
      <c r="BZ150" s="410">
        <f>BZ142/BZ31</f>
        <v>0</v>
      </c>
      <c r="CA150" s="66"/>
      <c r="CB150" s="315"/>
      <c r="CC150" s="183"/>
      <c r="CD150" s="183"/>
      <c r="CE150" s="422"/>
      <c r="CF150" s="66"/>
      <c r="CG150" s="315"/>
      <c r="CH150" s="183"/>
      <c r="CI150" s="183"/>
      <c r="CJ150" s="183"/>
      <c r="CK150" s="66"/>
      <c r="CL150" s="315"/>
      <c r="CM150" s="183"/>
      <c r="CN150" s="183"/>
      <c r="CO150" s="422"/>
      <c r="CP150" s="66"/>
      <c r="CQ150" s="315"/>
      <c r="CR150" s="183"/>
      <c r="CS150" s="183"/>
      <c r="CT150" s="422"/>
      <c r="CU150" s="66"/>
      <c r="CV150" s="183">
        <f>CV142/CV31</f>
        <v>-4.5013413997371226E-3</v>
      </c>
      <c r="CW150" s="183">
        <f>CW142/CW31</f>
        <v>-3.2196786760681287E-3</v>
      </c>
      <c r="CX150" s="183">
        <f>CX142/CX31</f>
        <v>-6.3467885250063465E-3</v>
      </c>
      <c r="CY150" s="422">
        <f>CY142/CY31</f>
        <v>-5.6001075220644238E-3</v>
      </c>
      <c r="CZ150" s="66">
        <f>CZ142/CZ31</f>
        <v>-4.9792448477263933E-3</v>
      </c>
      <c r="DA150" s="66">
        <f>DA142/CW31</f>
        <v>-1.2878714704272515E-2</v>
      </c>
      <c r="DB150" s="315">
        <f>DB142/CX31</f>
        <v>-6.3467885250063465E-3</v>
      </c>
      <c r="DC150" s="66">
        <f>DC142/CY31</f>
        <v>0</v>
      </c>
      <c r="DF150" s="66"/>
      <c r="DG150" s="66"/>
      <c r="DH150" s="66"/>
      <c r="DI150" s="66"/>
      <c r="DJ150" s="66"/>
    </row>
    <row r="151" spans="3:114" outlineLevel="1">
      <c r="BR151" s="286"/>
      <c r="BS151" s="286"/>
      <c r="BT151" s="286"/>
      <c r="BU151" s="286"/>
      <c r="BV151" s="62"/>
      <c r="BX151" s="286"/>
      <c r="BY151" s="286"/>
      <c r="BZ151" s="286"/>
      <c r="CA151" s="290"/>
      <c r="CB151" s="317"/>
      <c r="CF151" s="290"/>
      <c r="CG151" s="317"/>
      <c r="CL151" s="317"/>
      <c r="CQ151" s="317"/>
      <c r="DB151" s="318"/>
      <c r="DC151" s="64"/>
      <c r="DF151" s="64"/>
      <c r="DG151" s="64"/>
      <c r="DH151" s="64"/>
      <c r="DI151" s="64"/>
      <c r="DJ151" s="64"/>
    </row>
    <row r="152" spans="3:114" outlineLevel="1">
      <c r="D152" s="401" t="s">
        <v>823</v>
      </c>
      <c r="BR152" s="286"/>
      <c r="BS152" s="286"/>
      <c r="BT152" s="286"/>
      <c r="BU152" s="286"/>
      <c r="BV152" s="62"/>
      <c r="BX152" s="286"/>
      <c r="BY152" s="286"/>
      <c r="BZ152" s="286"/>
      <c r="CA152" s="290"/>
      <c r="CB152" s="317"/>
      <c r="CF152" s="290"/>
      <c r="CG152" s="317"/>
      <c r="CK152" s="291"/>
      <c r="CL152" s="317"/>
      <c r="CP152" s="291"/>
      <c r="CQ152" s="317"/>
      <c r="CU152" s="291"/>
      <c r="CZ152" s="291"/>
      <c r="DA152" s="291"/>
      <c r="DB152" s="375"/>
      <c r="DC152" s="291"/>
      <c r="DF152" s="291"/>
      <c r="DG152" s="291"/>
      <c r="DH152" s="291"/>
      <c r="DI152" s="291"/>
      <c r="DJ152" s="291"/>
    </row>
    <row r="153" spans="3:114" outlineLevel="1">
      <c r="D153" s="274" t="s">
        <v>812</v>
      </c>
      <c r="BR153" s="286"/>
      <c r="BS153" s="286"/>
      <c r="BT153" s="286"/>
      <c r="BU153" s="286"/>
      <c r="BV153" s="62"/>
      <c r="BW153" s="2">
        <f t="shared" ref="BW153:BZ153" si="231">BR162</f>
        <v>-149</v>
      </c>
      <c r="BX153" s="286">
        <f t="shared" si="231"/>
        <v>-404</v>
      </c>
      <c r="BY153" s="286">
        <f t="shared" si="231"/>
        <v>-468</v>
      </c>
      <c r="BZ153" s="286">
        <f t="shared" si="231"/>
        <v>-732</v>
      </c>
      <c r="CA153" s="87"/>
      <c r="CB153" s="400"/>
      <c r="CC153" s="49"/>
      <c r="CD153" s="49"/>
      <c r="CE153" s="298"/>
      <c r="CF153" s="87"/>
      <c r="CG153" s="400"/>
      <c r="CH153" s="49"/>
      <c r="CI153" s="49"/>
      <c r="CJ153" s="298"/>
      <c r="CK153" s="87"/>
      <c r="CL153" s="400"/>
      <c r="CM153" s="49"/>
      <c r="CN153" s="49"/>
      <c r="CO153" s="298"/>
      <c r="CP153" s="87"/>
      <c r="CQ153" s="400">
        <f>CL162</f>
        <v>420</v>
      </c>
      <c r="CR153" s="49">
        <f>CM162</f>
        <v>402</v>
      </c>
      <c r="CS153" s="49">
        <f>CN162</f>
        <v>-14</v>
      </c>
      <c r="CT153" s="298">
        <f>CO162</f>
        <v>95</v>
      </c>
      <c r="CU153" s="87">
        <f>SUM(CQ153:CT153)</f>
        <v>903</v>
      </c>
      <c r="CV153" s="1083">
        <f>CQ70</f>
        <v>134</v>
      </c>
      <c r="CW153" s="1083">
        <f>CR70</f>
        <v>73</v>
      </c>
      <c r="CX153" s="1083">
        <f>CS70</f>
        <v>-109</v>
      </c>
      <c r="CY153" s="1084">
        <f>CT70</f>
        <v>23</v>
      </c>
      <c r="CZ153" s="87">
        <f>SUM(CV153:CY153)</f>
        <v>121</v>
      </c>
      <c r="DA153" s="87">
        <f>CZ162</f>
        <v>-5.4000000000000057</v>
      </c>
      <c r="DB153" s="400">
        <f>DA162</f>
        <v>-103.41230000000002</v>
      </c>
      <c r="DC153" s="87">
        <f>DB162</f>
        <v>-229.37719692250002</v>
      </c>
      <c r="DF153" s="87"/>
      <c r="DG153" s="87"/>
      <c r="DH153" s="87"/>
      <c r="DI153" s="87"/>
      <c r="DJ153" s="87"/>
    </row>
    <row r="154" spans="3:114" outlineLevel="1">
      <c r="D154" s="272" t="s">
        <v>813</v>
      </c>
      <c r="BR154" s="286"/>
      <c r="BS154" s="286"/>
      <c r="BT154" s="286"/>
      <c r="BU154" s="286"/>
      <c r="BV154" s="62"/>
      <c r="BW154" s="370">
        <f>-107-126+180</f>
        <v>-53</v>
      </c>
      <c r="BX154" s="338">
        <f>-14+34+148</f>
        <v>168</v>
      </c>
      <c r="BY154" s="338">
        <f>60+59-17</f>
        <v>102</v>
      </c>
      <c r="BZ154" s="338">
        <f>88-32-35</f>
        <v>21</v>
      </c>
      <c r="CA154" s="60"/>
      <c r="CB154" s="370"/>
      <c r="CC154" s="338"/>
      <c r="CD154" s="338"/>
      <c r="CE154" s="338"/>
      <c r="CF154" s="60"/>
      <c r="CG154" s="370"/>
      <c r="CH154" s="338"/>
      <c r="CI154" s="338"/>
      <c r="CJ154" s="338"/>
      <c r="CK154" s="60"/>
      <c r="CL154" s="370"/>
      <c r="CM154" s="338"/>
      <c r="CN154" s="338"/>
      <c r="CO154" s="338"/>
      <c r="CP154" s="87"/>
      <c r="CQ154" s="338">
        <f>193-41-124-22</f>
        <v>6</v>
      </c>
      <c r="CR154" s="338">
        <f>-214-46-121-16</f>
        <v>-397</v>
      </c>
      <c r="CS154" s="338">
        <f>37-56-72+16</f>
        <v>-75</v>
      </c>
      <c r="CT154" s="338">
        <f>44-47-50-5</f>
        <v>-58</v>
      </c>
      <c r="CU154" s="87">
        <f t="shared" ref="CU154:CU160" si="232">SUM(CQ154:CT154)</f>
        <v>-524</v>
      </c>
      <c r="CV154" s="49">
        <f>CV165*CV15*CQ33</f>
        <v>32.799999999999997</v>
      </c>
      <c r="CW154" s="49">
        <f>CW165*CW15*CR33</f>
        <v>30.8</v>
      </c>
      <c r="CX154" s="49">
        <f>CX165*CX15*CS33</f>
        <v>0</v>
      </c>
      <c r="CY154" s="49">
        <f>CY165*CY15*CT33</f>
        <v>0</v>
      </c>
      <c r="CZ154" s="87">
        <f t="shared" ref="CZ154:CZ160" si="233">SUM(CV154:CY154)</f>
        <v>63.599999999999994</v>
      </c>
      <c r="DA154" s="87">
        <f>DA165*DA15*CZ33</f>
        <v>101.9877</v>
      </c>
      <c r="DB154" s="400">
        <f>DB165*DB15*DA33</f>
        <v>104.0351030775</v>
      </c>
      <c r="DC154" s="87">
        <f>DC165*DC15*DB33</f>
        <v>106.12360777178075</v>
      </c>
      <c r="DF154" s="87"/>
      <c r="DG154" s="87"/>
      <c r="DH154" s="87"/>
      <c r="DI154" s="87"/>
      <c r="DJ154" s="87"/>
    </row>
    <row r="155" spans="3:114" outlineLevel="1">
      <c r="D155" s="272" t="s">
        <v>814</v>
      </c>
      <c r="BR155" s="286"/>
      <c r="BS155" s="286"/>
      <c r="BT155" s="286"/>
      <c r="BU155" s="286"/>
      <c r="BV155" s="62"/>
      <c r="BW155" s="370">
        <v>-40</v>
      </c>
      <c r="BX155" s="338">
        <v>113</v>
      </c>
      <c r="BY155" s="338">
        <v>-30</v>
      </c>
      <c r="BZ155" s="338">
        <v>283</v>
      </c>
      <c r="CA155" s="60"/>
      <c r="CB155" s="370"/>
      <c r="CC155" s="338"/>
      <c r="CD155" s="338"/>
      <c r="CE155" s="338"/>
      <c r="CF155" s="60"/>
      <c r="CG155" s="370"/>
      <c r="CH155" s="338"/>
      <c r="CI155" s="338"/>
      <c r="CJ155" s="338"/>
      <c r="CK155" s="60"/>
      <c r="CL155" s="370"/>
      <c r="CM155" s="338"/>
      <c r="CN155" s="338"/>
      <c r="CO155" s="338"/>
      <c r="CP155" s="414"/>
      <c r="CQ155" s="338">
        <f>41+22</f>
        <v>63</v>
      </c>
      <c r="CR155" s="338">
        <f>46+16</f>
        <v>62</v>
      </c>
      <c r="CS155" s="338">
        <f>56-16</f>
        <v>40</v>
      </c>
      <c r="CT155" s="338">
        <f>47+5</f>
        <v>52</v>
      </c>
      <c r="CU155" s="414">
        <f t="shared" si="232"/>
        <v>217</v>
      </c>
      <c r="CV155" s="411">
        <v>12</v>
      </c>
      <c r="CW155" s="411">
        <v>12</v>
      </c>
      <c r="CX155" s="411">
        <v>13</v>
      </c>
      <c r="CY155" s="412">
        <v>13</v>
      </c>
      <c r="CZ155" s="414">
        <f t="shared" si="233"/>
        <v>50</v>
      </c>
      <c r="DA155" s="402">
        <v>50</v>
      </c>
      <c r="DB155" s="403">
        <v>0</v>
      </c>
      <c r="DC155" s="402">
        <v>0</v>
      </c>
      <c r="DF155" s="414"/>
      <c r="DG155" s="414"/>
      <c r="DH155" s="414"/>
      <c r="DI155" s="414"/>
      <c r="DJ155" s="414"/>
    </row>
    <row r="156" spans="3:114" outlineLevel="1">
      <c r="D156" s="272" t="s">
        <v>213</v>
      </c>
      <c r="BR156" s="286"/>
      <c r="BS156" s="286"/>
      <c r="BT156" s="286"/>
      <c r="BU156" s="286"/>
      <c r="BV156" s="62"/>
      <c r="BW156" s="370">
        <v>-26</v>
      </c>
      <c r="BX156" s="338">
        <v>-86</v>
      </c>
      <c r="BY156" s="338">
        <v>28</v>
      </c>
      <c r="BZ156" s="338">
        <v>-46</v>
      </c>
      <c r="CA156" s="60"/>
      <c r="CB156" s="370"/>
      <c r="CC156" s="338"/>
      <c r="CD156" s="338"/>
      <c r="CE156" s="338"/>
      <c r="CF156" s="60"/>
      <c r="CG156" s="370"/>
      <c r="CH156" s="338"/>
      <c r="CI156" s="338"/>
      <c r="CJ156" s="338"/>
      <c r="CK156" s="60"/>
      <c r="CL156" s="370"/>
      <c r="CM156" s="338"/>
      <c r="CN156" s="338"/>
      <c r="CO156" s="338"/>
      <c r="CP156" s="414"/>
      <c r="CQ156" s="338">
        <f>-137-6</f>
        <v>-143</v>
      </c>
      <c r="CR156" s="338">
        <f>6-13</f>
        <v>-7</v>
      </c>
      <c r="CS156" s="338">
        <f>140-2</f>
        <v>138</v>
      </c>
      <c r="CT156" s="338">
        <f>124+34</f>
        <v>158</v>
      </c>
      <c r="CU156" s="414">
        <f t="shared" si="232"/>
        <v>146</v>
      </c>
      <c r="CV156" s="411">
        <v>-50</v>
      </c>
      <c r="CW156" s="411">
        <v>-50</v>
      </c>
      <c r="CX156" s="411">
        <v>-50</v>
      </c>
      <c r="CY156" s="412">
        <v>-50</v>
      </c>
      <c r="CZ156" s="414">
        <f t="shared" si="233"/>
        <v>-200</v>
      </c>
      <c r="DA156" s="402">
        <v>-150</v>
      </c>
      <c r="DB156" s="403">
        <v>-150</v>
      </c>
      <c r="DC156" s="402">
        <v>-150</v>
      </c>
      <c r="DF156" s="414"/>
      <c r="DG156" s="414"/>
      <c r="DH156" s="414"/>
      <c r="DI156" s="414"/>
      <c r="DJ156" s="414"/>
    </row>
    <row r="157" spans="3:114" outlineLevel="1">
      <c r="D157" s="272" t="s">
        <v>815</v>
      </c>
      <c r="BR157" s="286"/>
      <c r="BS157" s="286"/>
      <c r="BT157" s="286"/>
      <c r="BU157" s="286"/>
      <c r="BV157" s="62"/>
      <c r="BW157" s="370">
        <f>-18-85-54</f>
        <v>-157</v>
      </c>
      <c r="BX157" s="338">
        <f>-25-86</f>
        <v>-111</v>
      </c>
      <c r="BY157" s="338">
        <v>72</v>
      </c>
      <c r="BZ157" s="338">
        <f>-136-45+51+101</f>
        <v>-29</v>
      </c>
      <c r="CA157" s="60"/>
      <c r="CB157" s="370"/>
      <c r="CC157" s="338"/>
      <c r="CD157" s="338"/>
      <c r="CE157" s="338"/>
      <c r="CF157" s="60"/>
      <c r="CG157" s="370"/>
      <c r="CH157" s="338"/>
      <c r="CI157" s="338"/>
      <c r="CJ157" s="338"/>
      <c r="CK157" s="60"/>
      <c r="CL157" s="370"/>
      <c r="CM157" s="338"/>
      <c r="CN157" s="338"/>
      <c r="CO157" s="338"/>
      <c r="CP157" s="414"/>
      <c r="CQ157" s="338">
        <f>-92+34-141+28</f>
        <v>-171</v>
      </c>
      <c r="CR157" s="338">
        <f>44+5+4</f>
        <v>53</v>
      </c>
      <c r="CS157" s="338">
        <f>-47+19-131+38</f>
        <v>-121</v>
      </c>
      <c r="CT157" s="338">
        <f>-121+43-83-10+28</f>
        <v>-143</v>
      </c>
      <c r="CU157" s="414">
        <f t="shared" si="232"/>
        <v>-382</v>
      </c>
      <c r="CV157" s="411">
        <v>10</v>
      </c>
      <c r="CW157" s="411">
        <v>10</v>
      </c>
      <c r="CX157" s="411">
        <v>10</v>
      </c>
      <c r="CY157" s="412">
        <v>10</v>
      </c>
      <c r="CZ157" s="414">
        <f t="shared" si="233"/>
        <v>40</v>
      </c>
      <c r="DA157" s="402">
        <v>-50</v>
      </c>
      <c r="DB157" s="403">
        <v>-50</v>
      </c>
      <c r="DC157" s="402">
        <v>-50</v>
      </c>
      <c r="DF157" s="414"/>
      <c r="DG157" s="414"/>
      <c r="DH157" s="414"/>
      <c r="DI157" s="414"/>
      <c r="DJ157" s="414"/>
    </row>
    <row r="158" spans="3:114" outlineLevel="1">
      <c r="D158" s="272" t="s">
        <v>816</v>
      </c>
      <c r="BR158" s="286"/>
      <c r="BS158" s="286"/>
      <c r="BT158" s="286"/>
      <c r="BU158" s="286"/>
      <c r="BV158" s="62"/>
      <c r="BW158" s="370">
        <v>70</v>
      </c>
      <c r="BX158" s="338">
        <v>101</v>
      </c>
      <c r="BY158" s="338">
        <v>0</v>
      </c>
      <c r="BZ158" s="338">
        <v>0</v>
      </c>
      <c r="CA158" s="60"/>
      <c r="CB158" s="370"/>
      <c r="CC158" s="338"/>
      <c r="CD158" s="338"/>
      <c r="CE158" s="338"/>
      <c r="CF158" s="60"/>
      <c r="CG158" s="370"/>
      <c r="CH158" s="338"/>
      <c r="CI158" s="338"/>
      <c r="CJ158" s="338"/>
      <c r="CK158" s="60"/>
      <c r="CL158" s="370"/>
      <c r="CM158" s="338"/>
      <c r="CN158" s="338"/>
      <c r="CO158" s="338"/>
      <c r="CP158" s="414"/>
      <c r="CQ158" s="338">
        <f>41-27+28</f>
        <v>42</v>
      </c>
      <c r="CR158" s="338">
        <f>-69+85</f>
        <v>16</v>
      </c>
      <c r="CS158" s="338">
        <f>-53-69+54</f>
        <v>-68</v>
      </c>
      <c r="CT158" s="338">
        <f>-102-14</f>
        <v>-116</v>
      </c>
      <c r="CU158" s="414">
        <f t="shared" si="232"/>
        <v>-126</v>
      </c>
      <c r="CV158" s="411">
        <v>-20</v>
      </c>
      <c r="CW158" s="411">
        <v>-20</v>
      </c>
      <c r="CX158" s="411">
        <v>-20</v>
      </c>
      <c r="CY158" s="412">
        <v>-20</v>
      </c>
      <c r="CZ158" s="414">
        <f t="shared" si="233"/>
        <v>-80</v>
      </c>
      <c r="DA158" s="402">
        <v>-50</v>
      </c>
      <c r="DB158" s="403">
        <v>-30</v>
      </c>
      <c r="DC158" s="402">
        <v>0</v>
      </c>
      <c r="DF158" s="414"/>
      <c r="DG158" s="414"/>
      <c r="DH158" s="414"/>
      <c r="DI158" s="414"/>
      <c r="DJ158" s="414"/>
    </row>
    <row r="159" spans="3:114" outlineLevel="1">
      <c r="D159" s="272" t="s">
        <v>817</v>
      </c>
      <c r="BR159" s="286"/>
      <c r="BS159" s="286"/>
      <c r="BT159" s="286"/>
      <c r="BU159" s="286"/>
      <c r="BV159" s="62"/>
      <c r="BW159" s="370">
        <v>-40</v>
      </c>
      <c r="BX159" s="338">
        <v>-37</v>
      </c>
      <c r="BY159" s="338">
        <v>59</v>
      </c>
      <c r="BZ159" s="338">
        <v>-116</v>
      </c>
      <c r="CA159" s="60"/>
      <c r="CB159" s="370"/>
      <c r="CC159" s="338"/>
      <c r="CD159" s="338"/>
      <c r="CE159" s="338"/>
      <c r="CF159" s="60"/>
      <c r="CG159" s="370"/>
      <c r="CH159" s="338"/>
      <c r="CI159" s="338"/>
      <c r="CJ159" s="338"/>
      <c r="CK159" s="60"/>
      <c r="CL159" s="370"/>
      <c r="CM159" s="338"/>
      <c r="CN159" s="338"/>
      <c r="CO159" s="338"/>
      <c r="CP159" s="414"/>
      <c r="CQ159" s="338">
        <f>-125+19</f>
        <v>-106</v>
      </c>
      <c r="CR159" s="338">
        <f>-103+51</f>
        <v>-52</v>
      </c>
      <c r="CS159" s="338">
        <f>-169+54</f>
        <v>-115</v>
      </c>
      <c r="CT159" s="338">
        <f>-57-5</f>
        <v>-62</v>
      </c>
      <c r="CU159" s="414">
        <f t="shared" si="232"/>
        <v>-335</v>
      </c>
      <c r="CV159" s="411">
        <v>0</v>
      </c>
      <c r="CW159" s="411">
        <v>0</v>
      </c>
      <c r="CX159" s="411">
        <v>0</v>
      </c>
      <c r="CY159" s="412">
        <v>0</v>
      </c>
      <c r="CZ159" s="414">
        <f t="shared" si="233"/>
        <v>0</v>
      </c>
      <c r="DA159" s="402">
        <v>0</v>
      </c>
      <c r="DB159" s="403">
        <v>0</v>
      </c>
      <c r="DC159" s="402">
        <v>0</v>
      </c>
      <c r="DF159" s="414"/>
      <c r="DG159" s="414"/>
      <c r="DH159" s="414"/>
      <c r="DI159" s="414"/>
      <c r="DJ159" s="414"/>
    </row>
    <row r="160" spans="3:114" outlineLevel="1">
      <c r="D160" s="272" t="s">
        <v>72</v>
      </c>
      <c r="BR160" s="286"/>
      <c r="BS160" s="286"/>
      <c r="BT160" s="286"/>
      <c r="BU160" s="286"/>
      <c r="BV160" s="62"/>
      <c r="BW160" s="370">
        <f>-41+1+61-88</f>
        <v>-67</v>
      </c>
      <c r="BX160" s="338">
        <f>19-57+3-57</f>
        <v>-92</v>
      </c>
      <c r="BY160" s="338">
        <f>+BY162-SUM(BY153:BY159)</f>
        <v>9</v>
      </c>
      <c r="BZ160" s="338">
        <f>+BZ162-SUM(BZ153:BZ159)</f>
        <v>48</v>
      </c>
      <c r="CA160" s="60"/>
      <c r="CB160" s="370"/>
      <c r="CC160" s="338"/>
      <c r="CD160" s="338"/>
      <c r="CE160" s="338"/>
      <c r="CF160" s="60"/>
      <c r="CG160" s="370"/>
      <c r="CH160" s="338"/>
      <c r="CI160" s="338"/>
      <c r="CJ160" s="338"/>
      <c r="CK160" s="60"/>
      <c r="CL160" s="370"/>
      <c r="CM160" s="338"/>
      <c r="CN160" s="338"/>
      <c r="CO160" s="338"/>
      <c r="CP160" s="414"/>
      <c r="CQ160" s="338">
        <f>-4-11</f>
        <v>-15</v>
      </c>
      <c r="CR160" s="338">
        <f>-48+6</f>
        <v>-42</v>
      </c>
      <c r="CS160" s="338">
        <f>49+20</f>
        <v>69</v>
      </c>
      <c r="CT160" s="338">
        <f>42+18</f>
        <v>60</v>
      </c>
      <c r="CU160" s="414">
        <f t="shared" si="232"/>
        <v>72</v>
      </c>
      <c r="CV160" s="411">
        <v>0</v>
      </c>
      <c r="CW160" s="411">
        <v>0</v>
      </c>
      <c r="CX160" s="411">
        <v>0</v>
      </c>
      <c r="CY160" s="412">
        <v>0</v>
      </c>
      <c r="CZ160" s="414">
        <f t="shared" si="233"/>
        <v>0</v>
      </c>
      <c r="DA160" s="402">
        <v>0</v>
      </c>
      <c r="DB160" s="403">
        <v>0</v>
      </c>
      <c r="DC160" s="402">
        <v>0</v>
      </c>
      <c r="DF160" s="414"/>
      <c r="DG160" s="414"/>
      <c r="DH160" s="414"/>
      <c r="DI160" s="414"/>
      <c r="DJ160" s="414"/>
    </row>
    <row r="161" spans="3:114" s="831" customFormat="1" outlineLevel="1">
      <c r="C161" s="843"/>
      <c r="D161" s="845" t="s">
        <v>1044</v>
      </c>
      <c r="E161" s="846"/>
      <c r="F161" s="846"/>
      <c r="G161" s="846"/>
      <c r="H161" s="846"/>
      <c r="I161" s="846"/>
      <c r="J161" s="847"/>
      <c r="K161" s="847"/>
      <c r="L161" s="847"/>
      <c r="M161" s="848"/>
      <c r="N161" s="846"/>
      <c r="O161" s="847"/>
      <c r="P161" s="847"/>
      <c r="Q161" s="847"/>
      <c r="R161" s="848"/>
      <c r="S161" s="846"/>
      <c r="T161" s="847"/>
      <c r="U161" s="847"/>
      <c r="V161" s="847"/>
      <c r="W161" s="848"/>
      <c r="X161" s="846"/>
      <c r="Y161" s="847"/>
      <c r="Z161" s="847"/>
      <c r="AA161" s="847"/>
      <c r="AB161" s="848"/>
      <c r="AC161" s="846"/>
      <c r="AD161" s="847"/>
      <c r="AE161" s="847"/>
      <c r="AF161" s="847"/>
      <c r="AG161" s="848"/>
      <c r="AH161" s="846"/>
      <c r="AI161" s="847"/>
      <c r="AJ161" s="847"/>
      <c r="AK161" s="847"/>
      <c r="AL161" s="848"/>
      <c r="AM161" s="846"/>
      <c r="AN161" s="847"/>
      <c r="AO161" s="847"/>
      <c r="AP161" s="847"/>
      <c r="AQ161" s="848"/>
      <c r="AR161" s="846"/>
      <c r="AS161" s="847"/>
      <c r="AT161" s="847"/>
      <c r="AU161" s="847"/>
      <c r="AV161" s="848"/>
      <c r="AW161" s="846"/>
      <c r="AX161" s="847"/>
      <c r="AY161" s="847"/>
      <c r="AZ161" s="847"/>
      <c r="BA161" s="848"/>
      <c r="BB161" s="846"/>
      <c r="BC161" s="847"/>
      <c r="BD161" s="847"/>
      <c r="BE161" s="847"/>
      <c r="BF161" s="848"/>
      <c r="BG161" s="846"/>
      <c r="BH161" s="847"/>
      <c r="BI161" s="847"/>
      <c r="BJ161" s="847"/>
      <c r="BK161" s="848"/>
      <c r="BL161" s="846"/>
      <c r="BM161" s="847"/>
      <c r="BN161" s="847"/>
      <c r="BO161" s="847"/>
      <c r="BP161" s="848"/>
      <c r="BQ161" s="846"/>
      <c r="BR161" s="849"/>
      <c r="BS161" s="849"/>
      <c r="BT161" s="849"/>
      <c r="BU161" s="849"/>
      <c r="BV161" s="850"/>
      <c r="BW161" s="851"/>
      <c r="BX161" s="852"/>
      <c r="BY161" s="852"/>
      <c r="BZ161" s="852"/>
      <c r="CA161" s="853"/>
      <c r="CB161" s="851"/>
      <c r="CC161" s="852"/>
      <c r="CD161" s="852"/>
      <c r="CE161" s="852"/>
      <c r="CF161" s="853"/>
      <c r="CG161" s="851"/>
      <c r="CH161" s="852"/>
      <c r="CI161" s="852"/>
      <c r="CJ161" s="852"/>
      <c r="CK161" s="853"/>
      <c r="CL161" s="421"/>
      <c r="CM161" s="95"/>
      <c r="CN161" s="95"/>
      <c r="CO161" s="299"/>
      <c r="CP161" s="862"/>
      <c r="CQ161" s="421"/>
      <c r="CR161" s="857"/>
      <c r="CS161" s="857"/>
      <c r="CT161" s="857"/>
      <c r="CU161" s="856"/>
      <c r="CV161" s="857"/>
      <c r="CW161" s="857"/>
      <c r="CX161" s="857"/>
      <c r="CY161" s="858"/>
      <c r="CZ161" s="856"/>
      <c r="DA161" s="860"/>
      <c r="DB161" s="861"/>
      <c r="DC161" s="860"/>
      <c r="DF161" s="856"/>
      <c r="DG161" s="856"/>
      <c r="DH161" s="856"/>
      <c r="DI161" s="856"/>
      <c r="DJ161" s="856"/>
    </row>
    <row r="162" spans="3:114" outlineLevel="1">
      <c r="D162" s="274" t="s">
        <v>818</v>
      </c>
      <c r="BR162" s="16">
        <f t="shared" ref="BR162:BZ162" si="234">BR98</f>
        <v>-149</v>
      </c>
      <c r="BS162" s="16">
        <f t="shared" si="234"/>
        <v>-404</v>
      </c>
      <c r="BT162" s="16">
        <f t="shared" si="234"/>
        <v>-468</v>
      </c>
      <c r="BU162" s="16">
        <f t="shared" si="234"/>
        <v>-732</v>
      </c>
      <c r="BV162" s="85">
        <f t="shared" si="234"/>
        <v>-1753</v>
      </c>
      <c r="BW162" s="16">
        <f t="shared" si="234"/>
        <v>-462</v>
      </c>
      <c r="BX162" s="16">
        <f t="shared" si="234"/>
        <v>-348</v>
      </c>
      <c r="BY162" s="16">
        <f t="shared" si="234"/>
        <v>-228</v>
      </c>
      <c r="BZ162" s="16">
        <f t="shared" si="234"/>
        <v>-571</v>
      </c>
      <c r="CA162" s="87"/>
      <c r="CB162" s="400"/>
      <c r="CC162" s="49"/>
      <c r="CD162" s="49"/>
      <c r="CE162" s="49"/>
      <c r="CF162" s="87"/>
      <c r="CG162" s="400"/>
      <c r="CH162" s="49"/>
      <c r="CI162" s="49"/>
      <c r="CJ162" s="49"/>
      <c r="CK162" s="87"/>
      <c r="CL162" s="1080">
        <f>434-14</f>
        <v>420</v>
      </c>
      <c r="CM162" s="1082">
        <f>467-65</f>
        <v>402</v>
      </c>
      <c r="CN162" s="1082">
        <f>138-152</f>
        <v>-14</v>
      </c>
      <c r="CO162" s="1082">
        <f>166-71</f>
        <v>95</v>
      </c>
      <c r="CP162" s="87"/>
      <c r="CQ162" s="400">
        <f t="shared" ref="CQ162:CZ162" si="235">+SUM(CQ153:CQ160)</f>
        <v>96</v>
      </c>
      <c r="CR162" s="1081">
        <f t="shared" si="235"/>
        <v>35</v>
      </c>
      <c r="CS162" s="1081">
        <f t="shared" si="235"/>
        <v>-146</v>
      </c>
      <c r="CT162" s="298">
        <f t="shared" si="235"/>
        <v>-14</v>
      </c>
      <c r="CU162" s="87">
        <f t="shared" si="235"/>
        <v>-29</v>
      </c>
      <c r="CV162" s="49">
        <f t="shared" si="235"/>
        <v>118.80000000000001</v>
      </c>
      <c r="CW162" s="49">
        <f t="shared" si="235"/>
        <v>55.8</v>
      </c>
      <c r="CX162" s="49">
        <f t="shared" si="235"/>
        <v>-156</v>
      </c>
      <c r="CY162" s="298">
        <f t="shared" si="235"/>
        <v>-24</v>
      </c>
      <c r="CZ162" s="87">
        <f t="shared" si="235"/>
        <v>-5.4000000000000057</v>
      </c>
      <c r="DA162" s="87">
        <f>SUM(DA153:DA160)</f>
        <v>-103.41230000000002</v>
      </c>
      <c r="DB162" s="400">
        <f>SUM(DB153:DB160)</f>
        <v>-229.37719692250002</v>
      </c>
      <c r="DC162" s="87">
        <f>SUM(DC153:DC160)</f>
        <v>-323.25358915071928</v>
      </c>
      <c r="DF162" s="87"/>
      <c r="DG162" s="87"/>
      <c r="DH162" s="87"/>
      <c r="DI162" s="87"/>
      <c r="DJ162" s="87"/>
    </row>
    <row r="163" spans="3:114" outlineLevel="1">
      <c r="D163" s="274" t="s">
        <v>1043</v>
      </c>
      <c r="BR163" s="16"/>
      <c r="BS163" s="16"/>
      <c r="BT163" s="16"/>
      <c r="BU163" s="16"/>
      <c r="BV163" s="85"/>
      <c r="BW163" s="16"/>
      <c r="BX163" s="16"/>
      <c r="BY163" s="16"/>
      <c r="BZ163" s="16"/>
      <c r="CA163" s="87"/>
      <c r="CB163" s="16"/>
      <c r="CC163" s="16"/>
      <c r="CD163" s="16"/>
      <c r="CE163" s="16"/>
      <c r="CF163" s="87"/>
      <c r="CG163" s="16"/>
      <c r="CH163" s="16"/>
      <c r="CI163" s="16"/>
      <c r="CJ163" s="298"/>
      <c r="CK163" s="87"/>
      <c r="CL163" s="49"/>
      <c r="CM163" s="49"/>
      <c r="CN163" s="49"/>
      <c r="CO163" s="298"/>
      <c r="CP163" s="87"/>
      <c r="CQ163" s="49"/>
      <c r="CR163" s="49"/>
      <c r="CS163" s="49"/>
      <c r="CT163" s="49"/>
      <c r="CU163" s="1030"/>
      <c r="CV163" s="49"/>
      <c r="CW163" s="49"/>
      <c r="CX163" s="49"/>
      <c r="CY163" s="298"/>
      <c r="CZ163" s="87"/>
      <c r="DA163" s="87"/>
      <c r="DB163" s="400"/>
      <c r="DC163" s="87"/>
      <c r="DF163" s="87"/>
      <c r="DG163" s="87"/>
      <c r="DH163" s="87"/>
      <c r="DI163" s="87"/>
      <c r="DJ163" s="87"/>
    </row>
    <row r="164" spans="3:114" outlineLevel="1">
      <c r="D164" s="274"/>
      <c r="BR164" s="286"/>
      <c r="BS164" s="286"/>
      <c r="BT164" s="286"/>
      <c r="BU164" s="286"/>
      <c r="BV164" s="62"/>
      <c r="BX164" s="286"/>
      <c r="BY164" s="286"/>
      <c r="BZ164" s="286"/>
      <c r="CA164" s="290"/>
      <c r="CB164" s="415"/>
      <c r="CC164" s="286"/>
      <c r="CD164" s="286"/>
      <c r="CE164" s="416"/>
      <c r="CF164" s="408"/>
      <c r="CG164" s="415"/>
      <c r="CH164" s="286"/>
      <c r="CI164" s="418"/>
      <c r="CJ164" s="417"/>
      <c r="CK164" s="291"/>
      <c r="CL164" s="413"/>
      <c r="CM164" s="418"/>
      <c r="CN164" s="286"/>
      <c r="CO164" s="417"/>
      <c r="CP164" s="291"/>
      <c r="CQ164" s="413"/>
      <c r="CR164" s="418"/>
      <c r="CS164" s="418"/>
      <c r="CT164" s="417"/>
      <c r="CU164" s="291"/>
      <c r="CV164" s="418"/>
      <c r="CW164" s="418"/>
      <c r="CX164" s="418"/>
      <c r="CY164" s="417"/>
      <c r="CZ164" s="291"/>
      <c r="DA164" s="291"/>
      <c r="DB164" s="375"/>
      <c r="DC164" s="291"/>
      <c r="DF164" s="291"/>
      <c r="DG164" s="291"/>
      <c r="DH164" s="291"/>
      <c r="DI164" s="291"/>
      <c r="DJ164" s="291"/>
    </row>
    <row r="165" spans="3:114" s="155" customFormat="1" outlineLevel="1">
      <c r="C165" s="336"/>
      <c r="D165" s="330" t="s">
        <v>819</v>
      </c>
      <c r="E165" s="340"/>
      <c r="F165" s="236"/>
      <c r="G165" s="236"/>
      <c r="H165" s="236"/>
      <c r="I165" s="236"/>
      <c r="J165" s="152"/>
      <c r="K165" s="152"/>
      <c r="L165" s="152"/>
      <c r="M165" s="341"/>
      <c r="N165" s="236"/>
      <c r="O165" s="152"/>
      <c r="P165" s="152"/>
      <c r="Q165" s="152"/>
      <c r="R165" s="302"/>
      <c r="S165" s="236"/>
      <c r="T165" s="152"/>
      <c r="U165" s="152"/>
      <c r="V165" s="152"/>
      <c r="W165" s="302"/>
      <c r="X165" s="236"/>
      <c r="Y165" s="152"/>
      <c r="Z165" s="152"/>
      <c r="AA165" s="152"/>
      <c r="AB165" s="302"/>
      <c r="AC165" s="236"/>
      <c r="AD165" s="152"/>
      <c r="AE165" s="152"/>
      <c r="AF165" s="152"/>
      <c r="AG165" s="302"/>
      <c r="AH165" s="236"/>
      <c r="AI165" s="152"/>
      <c r="AJ165" s="152"/>
      <c r="AK165" s="152"/>
      <c r="AL165" s="302"/>
      <c r="AM165" s="236"/>
      <c r="AN165" s="152"/>
      <c r="AO165" s="152"/>
      <c r="AP165" s="152"/>
      <c r="AQ165" s="302"/>
      <c r="AR165" s="236"/>
      <c r="AS165" s="152"/>
      <c r="AT165" s="152"/>
      <c r="AU165" s="152"/>
      <c r="AV165" s="302"/>
      <c r="AW165" s="236"/>
      <c r="AX165" s="152"/>
      <c r="AY165" s="152"/>
      <c r="AZ165" s="152"/>
      <c r="BA165" s="302"/>
      <c r="BB165" s="236"/>
      <c r="BC165" s="152"/>
      <c r="BD165" s="152"/>
      <c r="BE165" s="152"/>
      <c r="BF165" s="302"/>
      <c r="BG165" s="236"/>
      <c r="BH165" s="152"/>
      <c r="BI165" s="152"/>
      <c r="BJ165" s="152"/>
      <c r="BK165" s="302"/>
      <c r="BL165" s="236"/>
      <c r="BM165" s="152"/>
      <c r="BN165" s="152"/>
      <c r="BO165" s="152"/>
      <c r="BP165" s="302"/>
      <c r="BQ165" s="236"/>
      <c r="BR165" s="152"/>
      <c r="BS165" s="152"/>
      <c r="BT165" s="152"/>
      <c r="BU165" s="302"/>
      <c r="BV165" s="236"/>
      <c r="BW165" s="423">
        <v>0.25</v>
      </c>
      <c r="BX165" s="423">
        <v>0.25</v>
      </c>
      <c r="BY165" s="423">
        <v>0.25</v>
      </c>
      <c r="BZ165" s="425">
        <v>0.25</v>
      </c>
      <c r="CA165" s="426"/>
      <c r="CB165" s="423"/>
      <c r="CC165" s="423"/>
      <c r="CD165" s="423"/>
      <c r="CE165" s="425"/>
      <c r="CF165" s="426"/>
      <c r="CG165" s="423"/>
      <c r="CH165" s="423"/>
      <c r="CI165" s="423"/>
      <c r="CJ165" s="425"/>
      <c r="CK165" s="426"/>
      <c r="CL165" s="423"/>
      <c r="CM165" s="423"/>
      <c r="CN165" s="423"/>
      <c r="CO165" s="425"/>
      <c r="CP165" s="426"/>
      <c r="CQ165" s="423"/>
      <c r="CR165" s="177"/>
      <c r="CS165" s="177"/>
      <c r="CT165" s="177"/>
      <c r="CU165" s="424"/>
      <c r="CV165" s="177">
        <v>0.2</v>
      </c>
      <c r="CW165" s="177">
        <v>0.2</v>
      </c>
      <c r="CX165" s="177">
        <v>0.2</v>
      </c>
      <c r="CY165" s="177">
        <v>0.2</v>
      </c>
      <c r="CZ165" s="424">
        <v>0.2</v>
      </c>
      <c r="DA165" s="177">
        <v>0.2</v>
      </c>
      <c r="DB165" s="373">
        <v>0.2</v>
      </c>
      <c r="DC165" s="371">
        <v>0.2</v>
      </c>
      <c r="DF165" s="424"/>
      <c r="DG165" s="424"/>
      <c r="DH165" s="424"/>
      <c r="DI165" s="424"/>
      <c r="DJ165" s="424"/>
    </row>
    <row r="166" spans="3:114" outlineLevel="1">
      <c r="C166" s="233"/>
      <c r="D166" s="274" t="s">
        <v>820</v>
      </c>
      <c r="BU166" s="2"/>
      <c r="BV166" s="62"/>
      <c r="BW166" s="410">
        <f>BW156/BW33</f>
        <v>-3.880597014925373E-3</v>
      </c>
      <c r="BX166" s="410">
        <f>BX156/BX33</f>
        <v>-1.1315789473684211E-2</v>
      </c>
      <c r="BY166" s="410">
        <f>BY156/BY33</f>
        <v>4.3076923076923075E-3</v>
      </c>
      <c r="BZ166" s="410">
        <f>BZ156/BZ33</f>
        <v>-6.4788732394366194E-3</v>
      </c>
      <c r="CA166" s="66"/>
      <c r="CB166" s="315"/>
      <c r="CC166" s="183"/>
      <c r="CD166" s="183"/>
      <c r="CE166" s="422"/>
      <c r="CF166" s="66"/>
      <c r="CG166" s="315"/>
      <c r="CH166" s="183"/>
      <c r="CI166" s="183"/>
      <c r="CJ166" s="183"/>
      <c r="CK166" s="66"/>
      <c r="CL166" s="315"/>
      <c r="CM166" s="183"/>
      <c r="CN166" s="183"/>
      <c r="CO166" s="422"/>
      <c r="CP166" s="66"/>
      <c r="CQ166" s="315"/>
      <c r="CR166" s="183"/>
      <c r="CS166" s="183"/>
      <c r="CT166" s="422"/>
      <c r="CU166" s="66"/>
      <c r="CV166" s="183">
        <f>CV156/CV33</f>
        <v>-5.6933342442668121E-3</v>
      </c>
      <c r="CW166" s="183">
        <f>CW156/CW33</f>
        <v>-6.0630312731153064E-3</v>
      </c>
      <c r="CX166" s="183">
        <f>CX156/CX33</f>
        <v>-6.41025641025641E-3</v>
      </c>
      <c r="CY166" s="422">
        <f>CY156/CY33</f>
        <v>-5.454347114650376E-3</v>
      </c>
      <c r="CZ166" s="66">
        <f>CZ156/CV33</f>
        <v>-2.2773336977067248E-2</v>
      </c>
      <c r="DA166" s="66">
        <f>DA156/CW33</f>
        <v>-1.8189093819345917E-2</v>
      </c>
      <c r="DB166" s="315">
        <f>DB156/CX33</f>
        <v>-1.9230769230769232E-2</v>
      </c>
      <c r="DC166" s="66">
        <f>DC156/CY33</f>
        <v>-1.636304134395113E-2</v>
      </c>
      <c r="DF166" s="66"/>
      <c r="DG166" s="66"/>
      <c r="DH166" s="66"/>
      <c r="DI166" s="66"/>
      <c r="DJ166" s="66"/>
    </row>
    <row r="167" spans="3:114" outlineLevel="1">
      <c r="C167" s="233"/>
      <c r="D167" s="274" t="s">
        <v>821</v>
      </c>
      <c r="BU167" s="2"/>
      <c r="BV167" s="62"/>
      <c r="BW167" s="410">
        <f>BW158/BW33</f>
        <v>1.0447761194029851E-2</v>
      </c>
      <c r="BX167" s="410">
        <f>BX158/BX33</f>
        <v>1.3289473684210526E-2</v>
      </c>
      <c r="BY167" s="410">
        <f>BY158/BY33</f>
        <v>0</v>
      </c>
      <c r="BZ167" s="410">
        <f>BZ158/BZ33</f>
        <v>0</v>
      </c>
      <c r="CA167" s="66"/>
      <c r="CB167" s="315"/>
      <c r="CC167" s="183"/>
      <c r="CD167" s="183"/>
      <c r="CE167" s="422"/>
      <c r="CF167" s="66"/>
      <c r="CG167" s="315"/>
      <c r="CH167" s="183"/>
      <c r="CI167" s="183"/>
      <c r="CJ167" s="183"/>
      <c r="CK167" s="66"/>
      <c r="CL167" s="315"/>
      <c r="CM167" s="183"/>
      <c r="CN167" s="183"/>
      <c r="CO167" s="422"/>
      <c r="CP167" s="66"/>
      <c r="CQ167" s="315"/>
      <c r="CR167" s="183"/>
      <c r="CS167" s="183"/>
      <c r="CT167" s="422"/>
      <c r="CU167" s="66"/>
      <c r="CV167" s="183">
        <f>CV158/CV33</f>
        <v>-2.2773336977067247E-3</v>
      </c>
      <c r="CW167" s="183">
        <f>CW158/CW33</f>
        <v>-2.4252125092461226E-3</v>
      </c>
      <c r="CX167" s="183">
        <f>CX158/CX33</f>
        <v>-2.5641025641025641E-3</v>
      </c>
      <c r="CY167" s="422">
        <f>CY158/CY33</f>
        <v>-2.1817388458601505E-3</v>
      </c>
      <c r="CZ167" s="66">
        <f>CZ158/CV33</f>
        <v>-9.1093347908268989E-3</v>
      </c>
      <c r="DA167" s="66">
        <f>DA158/CW33</f>
        <v>-6.0630312731153064E-3</v>
      </c>
      <c r="DB167" s="315">
        <f>DB158/CX33</f>
        <v>-3.8461538461538464E-3</v>
      </c>
      <c r="DC167" s="66">
        <f>DC158/CY33</f>
        <v>0</v>
      </c>
      <c r="DF167" s="66"/>
      <c r="DG167" s="66"/>
      <c r="DH167" s="66"/>
      <c r="DI167" s="66"/>
      <c r="DJ167" s="66"/>
    </row>
    <row r="168" spans="3:114" outlineLevel="1">
      <c r="D168" s="274"/>
      <c r="BR168" s="286"/>
      <c r="BS168" s="286"/>
      <c r="BT168" s="286"/>
      <c r="BU168" s="286"/>
      <c r="BV168" s="62"/>
      <c r="BX168" s="286"/>
      <c r="BY168" s="286"/>
      <c r="BZ168" s="286"/>
      <c r="CA168" s="288"/>
      <c r="CB168" s="317"/>
      <c r="CF168" s="288"/>
      <c r="CG168" s="317"/>
      <c r="CK168" s="289"/>
      <c r="CL168" s="317"/>
      <c r="CP168" s="289"/>
      <c r="CQ168" s="317"/>
      <c r="CU168" s="289"/>
      <c r="CZ168" s="289"/>
      <c r="DA168" s="289"/>
      <c r="DB168" s="374"/>
      <c r="DC168" s="289"/>
      <c r="DF168" s="289"/>
      <c r="DG168" s="289"/>
      <c r="DH168" s="289"/>
      <c r="DI168" s="289"/>
      <c r="DJ168" s="289"/>
    </row>
    <row r="169" spans="3:114" outlineLevel="1">
      <c r="D169" s="275" t="s">
        <v>824</v>
      </c>
      <c r="BR169" s="286"/>
      <c r="BS169" s="286"/>
      <c r="BT169" s="286"/>
      <c r="BU169" s="286"/>
      <c r="BV169" s="62"/>
      <c r="BX169" s="286"/>
      <c r="BY169" s="286"/>
      <c r="BZ169" s="286"/>
      <c r="CA169" s="290"/>
      <c r="CB169" s="317"/>
      <c r="CF169" s="290"/>
      <c r="CG169" s="317"/>
      <c r="CL169" s="317"/>
      <c r="CQ169" s="317"/>
      <c r="DB169" s="318"/>
      <c r="DC169" s="64"/>
      <c r="DF169" s="64"/>
      <c r="DG169" s="64"/>
      <c r="DH169" s="64"/>
      <c r="DI169" s="64"/>
      <c r="DJ169" s="64"/>
    </row>
    <row r="170" spans="3:114" outlineLevel="1">
      <c r="D170" s="274" t="s">
        <v>812</v>
      </c>
      <c r="BR170" s="286"/>
      <c r="BS170" s="286"/>
      <c r="BT170" s="286"/>
      <c r="BU170" s="286"/>
      <c r="BV170" s="62"/>
      <c r="BW170" s="2">
        <f t="shared" ref="BW170:BZ170" si="236">BR178</f>
        <v>-95</v>
      </c>
      <c r="BX170" s="286">
        <f t="shared" si="236"/>
        <v>-66</v>
      </c>
      <c r="BY170" s="286">
        <f t="shared" si="236"/>
        <v>45</v>
      </c>
      <c r="BZ170" s="286">
        <f t="shared" si="236"/>
        <v>39</v>
      </c>
      <c r="CA170" s="87"/>
      <c r="CB170" s="400"/>
      <c r="CC170" s="49"/>
      <c r="CD170" s="49"/>
      <c r="CE170" s="298"/>
      <c r="CF170" s="87"/>
      <c r="CG170" s="400"/>
      <c r="CH170" s="49"/>
      <c r="CI170" s="49"/>
      <c r="CJ170" s="298"/>
      <c r="CK170" s="87"/>
      <c r="CL170" s="400"/>
      <c r="CM170" s="49"/>
      <c r="CN170" s="49"/>
      <c r="CO170" s="298"/>
      <c r="CP170" s="87"/>
      <c r="CQ170" s="400">
        <f>CL178</f>
        <v>220</v>
      </c>
      <c r="CR170" s="49">
        <f>CM178</f>
        <v>-8</v>
      </c>
      <c r="CS170" s="49">
        <f>CN178</f>
        <v>131</v>
      </c>
      <c r="CT170" s="49">
        <f>CO178</f>
        <v>284</v>
      </c>
      <c r="CU170" s="87">
        <f>SUM(CQ170:CT170)</f>
        <v>627</v>
      </c>
      <c r="CV170" s="1083">
        <f>CQ72</f>
        <v>148</v>
      </c>
      <c r="CW170" s="1083">
        <f>CR72</f>
        <v>167</v>
      </c>
      <c r="CX170" s="1083">
        <f>CS72</f>
        <v>314</v>
      </c>
      <c r="CY170" s="1084">
        <f>CT72</f>
        <v>30</v>
      </c>
      <c r="CZ170" s="87">
        <f>SUM(CV170:CY170)</f>
        <v>659</v>
      </c>
      <c r="DA170" s="87">
        <f>CZ178</f>
        <v>464.95000000000005</v>
      </c>
      <c r="DB170" s="400">
        <f>DA178</f>
        <v>366.68245717316091</v>
      </c>
      <c r="DC170" s="87">
        <f>DB178</f>
        <v>272.35910837114261</v>
      </c>
      <c r="DF170" s="87"/>
      <c r="DG170" s="87"/>
      <c r="DH170" s="87"/>
      <c r="DI170" s="87"/>
      <c r="DJ170" s="87"/>
    </row>
    <row r="171" spans="3:114" outlineLevel="1">
      <c r="D171" s="272" t="s">
        <v>813</v>
      </c>
      <c r="BR171" s="286"/>
      <c r="BS171" s="286"/>
      <c r="BT171" s="286"/>
      <c r="BU171" s="286"/>
      <c r="BV171" s="62"/>
      <c r="BW171" s="370">
        <f>34+53-31</f>
        <v>56</v>
      </c>
      <c r="BX171" s="338">
        <f>53+128-6</f>
        <v>175</v>
      </c>
      <c r="BY171" s="338">
        <f>64+79-10</f>
        <v>133</v>
      </c>
      <c r="BZ171" s="338">
        <f>72+95+38</f>
        <v>205</v>
      </c>
      <c r="CA171" s="60"/>
      <c r="CB171" s="370"/>
      <c r="CC171" s="338"/>
      <c r="CD171" s="338"/>
      <c r="CE171" s="338"/>
      <c r="CF171" s="60"/>
      <c r="CG171" s="370"/>
      <c r="CH171" s="338"/>
      <c r="CI171" s="338"/>
      <c r="CJ171" s="338"/>
      <c r="CK171" s="60"/>
      <c r="CL171" s="370"/>
      <c r="CM171" s="338"/>
      <c r="CN171" s="338"/>
      <c r="CO171" s="338"/>
      <c r="CP171" s="87"/>
      <c r="CQ171" s="338">
        <f>-30+11</f>
        <v>-19</v>
      </c>
      <c r="CR171" s="338">
        <f>253-42</f>
        <v>211</v>
      </c>
      <c r="CS171" s="338">
        <f>115-38</f>
        <v>77</v>
      </c>
      <c r="CT171" s="338">
        <f>-52-5</f>
        <v>-57</v>
      </c>
      <c r="CU171" s="60">
        <f t="shared" ref="CU171:CU177" si="237">SUM(CQ171:CT171)</f>
        <v>212</v>
      </c>
      <c r="CV171" s="49">
        <f>CV181*CV17*CQ35</f>
        <v>-38.4</v>
      </c>
      <c r="CW171" s="49">
        <f>CW181*CW17*CR35</f>
        <v>5.1000000000000005</v>
      </c>
      <c r="CX171" s="49">
        <f>CX181*CX17*CS35</f>
        <v>27.75</v>
      </c>
      <c r="CY171" s="298">
        <f>CY181*CY17*CT35</f>
        <v>28.5</v>
      </c>
      <c r="CZ171" s="60">
        <f t="shared" ref="CZ171:CZ177" si="238">SUM(CV171:CY171)</f>
        <v>22.950000000000003</v>
      </c>
      <c r="DA171" s="87">
        <f>DA181*DA17*CV35</f>
        <v>19.430400000000002</v>
      </c>
      <c r="DB171" s="400">
        <f>DB181*DB17*CW35</f>
        <v>22.252320000000001</v>
      </c>
      <c r="DC171" s="87">
        <f>DC181*DC17*CX35</f>
        <v>24.941700000000001</v>
      </c>
      <c r="DF171" s="60"/>
      <c r="DG171" s="60"/>
      <c r="DH171" s="60"/>
      <c r="DI171" s="60"/>
      <c r="DJ171" s="60"/>
    </row>
    <row r="172" spans="3:114" outlineLevel="1">
      <c r="D172" s="272" t="s">
        <v>814</v>
      </c>
      <c r="BR172" s="286"/>
      <c r="BS172" s="286"/>
      <c r="BT172" s="286"/>
      <c r="BU172" s="286"/>
      <c r="BV172" s="62"/>
      <c r="BW172" s="370">
        <v>13</v>
      </c>
      <c r="BX172" s="338">
        <v>121</v>
      </c>
      <c r="BY172" s="338">
        <v>-36</v>
      </c>
      <c r="BZ172" s="338">
        <v>19</v>
      </c>
      <c r="CA172" s="60"/>
      <c r="CB172" s="370"/>
      <c r="CC172" s="338"/>
      <c r="CD172" s="338"/>
      <c r="CE172" s="338"/>
      <c r="CF172" s="60"/>
      <c r="CG172" s="370"/>
      <c r="CH172" s="338"/>
      <c r="CI172" s="338"/>
      <c r="CJ172" s="338"/>
      <c r="CK172" s="60"/>
      <c r="CL172" s="370"/>
      <c r="CM172" s="338"/>
      <c r="CN172" s="338"/>
      <c r="CO172" s="338"/>
      <c r="CP172" s="414"/>
      <c r="CQ172" s="338">
        <v>-11</v>
      </c>
      <c r="CR172" s="338">
        <v>42</v>
      </c>
      <c r="CS172" s="338">
        <v>38</v>
      </c>
      <c r="CT172" s="338">
        <v>5</v>
      </c>
      <c r="CU172" s="60">
        <f t="shared" si="237"/>
        <v>74</v>
      </c>
      <c r="CV172" s="411">
        <v>-12</v>
      </c>
      <c r="CW172" s="411">
        <v>-12</v>
      </c>
      <c r="CX172" s="411">
        <v>-13</v>
      </c>
      <c r="CY172" s="412">
        <v>-13</v>
      </c>
      <c r="CZ172" s="60">
        <f t="shared" si="238"/>
        <v>-50</v>
      </c>
      <c r="DA172" s="419">
        <v>10</v>
      </c>
      <c r="DB172" s="420">
        <v>10</v>
      </c>
      <c r="DC172" s="419">
        <v>10</v>
      </c>
      <c r="DF172" s="60"/>
      <c r="DG172" s="60"/>
      <c r="DH172" s="60"/>
      <c r="DI172" s="60"/>
      <c r="DJ172" s="60"/>
    </row>
    <row r="173" spans="3:114" outlineLevel="1">
      <c r="D173" s="272" t="s">
        <v>213</v>
      </c>
      <c r="BR173" s="286"/>
      <c r="BS173" s="286"/>
      <c r="BT173" s="286"/>
      <c r="BU173" s="286"/>
      <c r="BV173" s="62"/>
      <c r="BW173" s="370">
        <v>23</v>
      </c>
      <c r="BX173" s="338">
        <v>27</v>
      </c>
      <c r="BY173" s="338">
        <v>83</v>
      </c>
      <c r="BZ173" s="338">
        <v>37</v>
      </c>
      <c r="CA173" s="60"/>
      <c r="CB173" s="370"/>
      <c r="CC173" s="338"/>
      <c r="CD173" s="338"/>
      <c r="CE173" s="338"/>
      <c r="CF173" s="60"/>
      <c r="CG173" s="370"/>
      <c r="CH173" s="338"/>
      <c r="CI173" s="338"/>
      <c r="CJ173" s="338"/>
      <c r="CK173" s="60"/>
      <c r="CL173" s="370"/>
      <c r="CM173" s="338"/>
      <c r="CN173" s="338"/>
      <c r="CO173" s="338"/>
      <c r="CP173" s="414"/>
      <c r="CQ173" s="338">
        <v>-70</v>
      </c>
      <c r="CR173" s="338">
        <v>-75</v>
      </c>
      <c r="CS173" s="338">
        <v>-137</v>
      </c>
      <c r="CT173" s="338">
        <v>-235</v>
      </c>
      <c r="CU173" s="60">
        <f t="shared" si="237"/>
        <v>-517</v>
      </c>
      <c r="CV173" s="411">
        <v>-15</v>
      </c>
      <c r="CW173" s="411">
        <v>-15</v>
      </c>
      <c r="CX173" s="411">
        <v>-15</v>
      </c>
      <c r="CY173" s="411">
        <v>-15</v>
      </c>
      <c r="CZ173" s="60">
        <f t="shared" si="238"/>
        <v>-60</v>
      </c>
      <c r="DA173" s="402">
        <v>-50</v>
      </c>
      <c r="DB173" s="403">
        <v>-50</v>
      </c>
      <c r="DC173" s="402">
        <v>-50</v>
      </c>
      <c r="DF173" s="60"/>
      <c r="DG173" s="60"/>
      <c r="DH173" s="60"/>
      <c r="DI173" s="60"/>
      <c r="DJ173" s="60"/>
    </row>
    <row r="174" spans="3:114" outlineLevel="1">
      <c r="D174" s="272" t="s">
        <v>815</v>
      </c>
      <c r="BR174" s="286"/>
      <c r="BS174" s="286"/>
      <c r="BT174" s="286"/>
      <c r="BU174" s="286"/>
      <c r="BV174" s="62"/>
      <c r="BW174" s="370">
        <f>18</f>
        <v>18</v>
      </c>
      <c r="BX174" s="338">
        <f>28-77-50-38</f>
        <v>-137</v>
      </c>
      <c r="BY174" s="338">
        <f>28-75-17-33</f>
        <v>-97</v>
      </c>
      <c r="BZ174" s="338">
        <f>-145-64-19-49+20</f>
        <v>-257</v>
      </c>
      <c r="CA174" s="60"/>
      <c r="CB174" s="370"/>
      <c r="CC174" s="338"/>
      <c r="CD174" s="338"/>
      <c r="CE174" s="338"/>
      <c r="CF174" s="60"/>
      <c r="CG174" s="370"/>
      <c r="CH174" s="338"/>
      <c r="CI174" s="338"/>
      <c r="CJ174" s="338"/>
      <c r="CK174" s="60"/>
      <c r="CL174" s="370"/>
      <c r="CM174" s="338"/>
      <c r="CN174" s="338"/>
      <c r="CO174" s="338"/>
      <c r="CP174" s="414"/>
      <c r="CQ174" s="338">
        <v>-12</v>
      </c>
      <c r="CR174" s="338">
        <v>14</v>
      </c>
      <c r="CS174" s="338">
        <f>14+87</f>
        <v>101</v>
      </c>
      <c r="CT174" s="338">
        <f>24-77</f>
        <v>-53</v>
      </c>
      <c r="CU174" s="60">
        <f t="shared" si="237"/>
        <v>50</v>
      </c>
      <c r="CV174" s="411">
        <v>2</v>
      </c>
      <c r="CW174" s="411">
        <v>2</v>
      </c>
      <c r="CX174" s="411">
        <v>3</v>
      </c>
      <c r="CY174" s="412">
        <v>3</v>
      </c>
      <c r="CZ174" s="60">
        <f t="shared" si="238"/>
        <v>10</v>
      </c>
      <c r="DA174" s="402">
        <v>20</v>
      </c>
      <c r="DB174" s="403">
        <v>20</v>
      </c>
      <c r="DC174" s="402">
        <v>20</v>
      </c>
      <c r="DF174" s="60"/>
      <c r="DG174" s="60"/>
      <c r="DH174" s="60"/>
      <c r="DI174" s="60"/>
      <c r="DJ174" s="60"/>
    </row>
    <row r="175" spans="3:114" outlineLevel="1">
      <c r="D175" s="272" t="s">
        <v>816</v>
      </c>
      <c r="BR175" s="286"/>
      <c r="BS175" s="286"/>
      <c r="BT175" s="286"/>
      <c r="BU175" s="286"/>
      <c r="BV175" s="62"/>
      <c r="BW175" s="370">
        <v>0</v>
      </c>
      <c r="BX175" s="338">
        <v>0</v>
      </c>
      <c r="BY175" s="338">
        <v>0</v>
      </c>
      <c r="BZ175" s="338">
        <v>0</v>
      </c>
      <c r="CA175" s="60"/>
      <c r="CB175" s="370"/>
      <c r="CC175" s="338"/>
      <c r="CD175" s="338"/>
      <c r="CE175" s="338"/>
      <c r="CF175" s="60"/>
      <c r="CG175" s="370"/>
      <c r="CH175" s="338"/>
      <c r="CI175" s="338"/>
      <c r="CJ175" s="338"/>
      <c r="CK175" s="60"/>
      <c r="CL175" s="370"/>
      <c r="CM175" s="338"/>
      <c r="CN175" s="338"/>
      <c r="CO175" s="338"/>
      <c r="CP175" s="414"/>
      <c r="CQ175" s="338">
        <v>16</v>
      </c>
      <c r="CR175" s="338">
        <v>74</v>
      </c>
      <c r="CS175" s="338">
        <v>118</v>
      </c>
      <c r="CT175" s="338">
        <v>84</v>
      </c>
      <c r="CU175" s="60">
        <f t="shared" si="237"/>
        <v>292</v>
      </c>
      <c r="CV175" s="411">
        <v>-5</v>
      </c>
      <c r="CW175" s="411">
        <v>-5</v>
      </c>
      <c r="CX175" s="411">
        <v>-5</v>
      </c>
      <c r="CY175" s="412">
        <v>-5</v>
      </c>
      <c r="CZ175" s="414">
        <f t="shared" si="238"/>
        <v>-20</v>
      </c>
      <c r="DA175" s="402">
        <v>-20</v>
      </c>
      <c r="DB175" s="403">
        <v>-10</v>
      </c>
      <c r="DC175" s="402">
        <v>0</v>
      </c>
      <c r="DF175" s="414"/>
      <c r="DG175" s="414"/>
      <c r="DH175" s="414"/>
      <c r="DI175" s="414"/>
      <c r="DJ175" s="414"/>
    </row>
    <row r="176" spans="3:114" outlineLevel="1">
      <c r="D176" s="272" t="s">
        <v>817</v>
      </c>
      <c r="BR176" s="286"/>
      <c r="BS176" s="286"/>
      <c r="BT176" s="286"/>
      <c r="BU176" s="286"/>
      <c r="BV176" s="62"/>
      <c r="BW176" s="370">
        <v>-23</v>
      </c>
      <c r="BX176" s="338">
        <v>-43</v>
      </c>
      <c r="BY176" s="338">
        <v>-29</v>
      </c>
      <c r="BZ176" s="338">
        <v>-26</v>
      </c>
      <c r="CA176" s="60"/>
      <c r="CB176" s="370"/>
      <c r="CC176" s="338"/>
      <c r="CD176" s="338"/>
      <c r="CE176" s="338"/>
      <c r="CF176" s="60"/>
      <c r="CG176" s="370"/>
      <c r="CH176" s="338"/>
      <c r="CI176" s="338"/>
      <c r="CJ176" s="338"/>
      <c r="CK176" s="60"/>
      <c r="CL176" s="370"/>
      <c r="CM176" s="338"/>
      <c r="CN176" s="338"/>
      <c r="CO176" s="338"/>
      <c r="CP176" s="414"/>
      <c r="CQ176" s="338">
        <v>-15</v>
      </c>
      <c r="CR176" s="338">
        <v>-70</v>
      </c>
      <c r="CS176" s="338">
        <v>-51</v>
      </c>
      <c r="CT176" s="338">
        <v>-15</v>
      </c>
      <c r="CU176" s="60">
        <f t="shared" si="237"/>
        <v>-151</v>
      </c>
      <c r="CV176" s="411">
        <v>0</v>
      </c>
      <c r="CW176" s="411">
        <v>0</v>
      </c>
      <c r="CX176" s="411">
        <v>0</v>
      </c>
      <c r="CY176" s="412">
        <v>0</v>
      </c>
      <c r="CZ176" s="414">
        <f t="shared" si="238"/>
        <v>0</v>
      </c>
      <c r="DA176" s="402">
        <v>0</v>
      </c>
      <c r="DB176" s="403">
        <v>0</v>
      </c>
      <c r="DC176" s="402">
        <v>0</v>
      </c>
      <c r="DF176" s="414"/>
      <c r="DG176" s="414"/>
      <c r="DH176" s="414"/>
      <c r="DI176" s="414"/>
      <c r="DJ176" s="414"/>
    </row>
    <row r="177" spans="3:114" outlineLevel="1">
      <c r="D177" s="273" t="s">
        <v>72</v>
      </c>
      <c r="E177" s="276"/>
      <c r="F177" s="276"/>
      <c r="G177" s="276"/>
      <c r="H177" s="276"/>
      <c r="I177" s="276"/>
      <c r="J177" s="97"/>
      <c r="K177" s="97"/>
      <c r="L177" s="97"/>
      <c r="M177" s="277"/>
      <c r="N177" s="276"/>
      <c r="O177" s="97"/>
      <c r="P177" s="97"/>
      <c r="Q177" s="97"/>
      <c r="R177" s="277"/>
      <c r="S177" s="276"/>
      <c r="T177" s="97"/>
      <c r="U177" s="97"/>
      <c r="V177" s="97"/>
      <c r="W177" s="277"/>
      <c r="X177" s="276"/>
      <c r="Y177" s="97"/>
      <c r="Z177" s="97"/>
      <c r="AA177" s="97"/>
      <c r="AB177" s="277"/>
      <c r="AC177" s="276"/>
      <c r="AD177" s="97"/>
      <c r="AE177" s="97"/>
      <c r="AF177" s="97"/>
      <c r="AG177" s="277"/>
      <c r="AH177" s="276"/>
      <c r="AI177" s="97"/>
      <c r="AJ177" s="97"/>
      <c r="AK177" s="97"/>
      <c r="AL177" s="277"/>
      <c r="AM177" s="276"/>
      <c r="AN177" s="97"/>
      <c r="AO177" s="97"/>
      <c r="AP177" s="97"/>
      <c r="AQ177" s="277"/>
      <c r="AR177" s="276"/>
      <c r="AS177" s="97"/>
      <c r="AT177" s="97"/>
      <c r="AU177" s="97"/>
      <c r="AV177" s="277"/>
      <c r="AW177" s="276"/>
      <c r="AX177" s="97"/>
      <c r="AY177" s="97"/>
      <c r="AZ177" s="97"/>
      <c r="BA177" s="277"/>
      <c r="BB177" s="276"/>
      <c r="BC177" s="97"/>
      <c r="BD177" s="97"/>
      <c r="BE177" s="97"/>
      <c r="BF177" s="277"/>
      <c r="BG177" s="276"/>
      <c r="BH177" s="97"/>
      <c r="BI177" s="97"/>
      <c r="BJ177" s="97"/>
      <c r="BK177" s="277"/>
      <c r="BL177" s="276"/>
      <c r="BM177" s="97"/>
      <c r="BN177" s="97"/>
      <c r="BO177" s="97"/>
      <c r="BP177" s="277"/>
      <c r="BQ177" s="276"/>
      <c r="BR177" s="287"/>
      <c r="BS177" s="287"/>
      <c r="BT177" s="287"/>
      <c r="BU177" s="287"/>
      <c r="BV177" s="404"/>
      <c r="BW177" s="407">
        <f>-101+63+11+41</f>
        <v>14</v>
      </c>
      <c r="BX177" s="406">
        <f>-3+36+13+54</f>
        <v>100</v>
      </c>
      <c r="BY177" s="406">
        <f>+BY178-SUM(BY170:BY176)</f>
        <v>27</v>
      </c>
      <c r="BZ177" s="406">
        <f>+BZ178-SUM(BZ170:BZ176)</f>
        <v>89</v>
      </c>
      <c r="CA177" s="93"/>
      <c r="CB177" s="407"/>
      <c r="CC177" s="406"/>
      <c r="CD177" s="406"/>
      <c r="CE177" s="406"/>
      <c r="CF177" s="93"/>
      <c r="CG177" s="407"/>
      <c r="CH177" s="406"/>
      <c r="CI177" s="406"/>
      <c r="CJ177" s="406"/>
      <c r="CK177" s="93"/>
      <c r="CL177" s="407"/>
      <c r="CM177" s="406"/>
      <c r="CN177" s="406"/>
      <c r="CO177" s="406"/>
      <c r="CP177" s="1069"/>
      <c r="CQ177" s="406">
        <v>15</v>
      </c>
      <c r="CR177" s="406">
        <v>-45</v>
      </c>
      <c r="CS177" s="406">
        <v>12</v>
      </c>
      <c r="CT177" s="406">
        <v>-8</v>
      </c>
      <c r="CU177" s="93">
        <f t="shared" si="237"/>
        <v>-26</v>
      </c>
      <c r="CV177" s="1070">
        <v>-24</v>
      </c>
      <c r="CW177" s="1070">
        <v>-24</v>
      </c>
      <c r="CX177" s="1070">
        <v>-24</v>
      </c>
      <c r="CY177" s="1071">
        <v>-25</v>
      </c>
      <c r="CZ177" s="1069">
        <f t="shared" si="238"/>
        <v>-97</v>
      </c>
      <c r="DA177" s="1069">
        <v>-77.697942826839153</v>
      </c>
      <c r="DB177" s="1097">
        <v>-86.575668802018299</v>
      </c>
      <c r="DC177" s="1072">
        <v>0</v>
      </c>
      <c r="DF177" s="414"/>
      <c r="DG177" s="414"/>
      <c r="DH177" s="414"/>
      <c r="DI177" s="414"/>
      <c r="DJ177" s="414"/>
    </row>
    <row r="178" spans="3:114" outlineLevel="1">
      <c r="D178" s="274" t="s">
        <v>818</v>
      </c>
      <c r="BR178" s="16">
        <f t="shared" ref="BR178:BZ178" si="239">BR100</f>
        <v>-95</v>
      </c>
      <c r="BS178" s="16">
        <f t="shared" si="239"/>
        <v>-66</v>
      </c>
      <c r="BT178" s="16">
        <f t="shared" si="239"/>
        <v>45</v>
      </c>
      <c r="BU178" s="16">
        <f t="shared" si="239"/>
        <v>39</v>
      </c>
      <c r="BV178" s="85">
        <f t="shared" si="239"/>
        <v>-77</v>
      </c>
      <c r="BW178" s="16">
        <f t="shared" si="239"/>
        <v>6</v>
      </c>
      <c r="BX178" s="16">
        <f t="shared" si="239"/>
        <v>177</v>
      </c>
      <c r="BY178" s="16">
        <f t="shared" si="239"/>
        <v>126</v>
      </c>
      <c r="BZ178" s="16">
        <f t="shared" si="239"/>
        <v>106</v>
      </c>
      <c r="CA178" s="87"/>
      <c r="CB178" s="400"/>
      <c r="CC178" s="49"/>
      <c r="CD178" s="49"/>
      <c r="CE178" s="49"/>
      <c r="CF178" s="87"/>
      <c r="CG178" s="400"/>
      <c r="CH178" s="49"/>
      <c r="CI178" s="49"/>
      <c r="CJ178" s="49"/>
      <c r="CK178" s="87"/>
      <c r="CL178" s="1080">
        <v>220</v>
      </c>
      <c r="CM178" s="1082">
        <v>-8</v>
      </c>
      <c r="CN178" s="1082">
        <v>131</v>
      </c>
      <c r="CO178" s="1082">
        <v>284</v>
      </c>
      <c r="CP178" s="87">
        <f>SUM(CL178:CO178)</f>
        <v>627</v>
      </c>
      <c r="CQ178" s="400">
        <f t="shared" ref="CQ178:CT178" si="240">SUM(CQ170:CQ177)</f>
        <v>124</v>
      </c>
      <c r="CR178" s="49">
        <f t="shared" si="240"/>
        <v>143</v>
      </c>
      <c r="CS178" s="49">
        <f t="shared" si="240"/>
        <v>289</v>
      </c>
      <c r="CT178" s="298">
        <f t="shared" si="240"/>
        <v>5</v>
      </c>
      <c r="CU178" s="87">
        <f t="shared" ref="CU178" si="241">SUM(CU170:CU177)</f>
        <v>561</v>
      </c>
      <c r="CV178" s="49">
        <f t="shared" ref="CV178:DC178" si="242">SUM(CV170:CV177)</f>
        <v>55.599999999999994</v>
      </c>
      <c r="CW178" s="49">
        <f t="shared" si="242"/>
        <v>118.1</v>
      </c>
      <c r="CX178" s="49">
        <f t="shared" si="242"/>
        <v>287.75</v>
      </c>
      <c r="CY178" s="298">
        <f t="shared" si="242"/>
        <v>3.5</v>
      </c>
      <c r="CZ178" s="87">
        <f t="shared" si="242"/>
        <v>464.95000000000005</v>
      </c>
      <c r="DA178" s="87">
        <f t="shared" si="242"/>
        <v>366.68245717316091</v>
      </c>
      <c r="DB178" s="400">
        <f t="shared" si="242"/>
        <v>272.35910837114261</v>
      </c>
      <c r="DC178" s="87">
        <f t="shared" si="242"/>
        <v>277.30080837114264</v>
      </c>
      <c r="DF178" s="87"/>
      <c r="DG178" s="87"/>
      <c r="DH178" s="87"/>
      <c r="DI178" s="87"/>
      <c r="DJ178" s="87"/>
    </row>
    <row r="179" spans="3:114" outlineLevel="1">
      <c r="D179" s="274" t="s">
        <v>1043</v>
      </c>
      <c r="BR179" s="16"/>
      <c r="BS179" s="16"/>
      <c r="BT179" s="16"/>
      <c r="BU179" s="16"/>
      <c r="BV179" s="85"/>
      <c r="BW179" s="16"/>
      <c r="BX179" s="16"/>
      <c r="BY179" s="16"/>
      <c r="BZ179" s="16"/>
      <c r="CA179" s="87"/>
      <c r="CB179" s="16"/>
      <c r="CC179" s="16"/>
      <c r="CD179" s="16"/>
      <c r="CE179" s="16"/>
      <c r="CF179" s="87"/>
      <c r="CG179" s="16"/>
      <c r="CH179" s="16"/>
      <c r="CI179" s="16"/>
      <c r="CJ179" s="298"/>
      <c r="CK179" s="87"/>
      <c r="CL179" s="49"/>
      <c r="CM179" s="49"/>
      <c r="CN179" s="49"/>
      <c r="CO179" s="298"/>
      <c r="CP179" s="87"/>
      <c r="CQ179" s="49"/>
      <c r="CR179" s="49"/>
      <c r="CS179" s="49"/>
      <c r="CT179" s="49"/>
      <c r="CU179" s="1030"/>
      <c r="CV179" s="49"/>
      <c r="CW179" s="49"/>
      <c r="CX179" s="49"/>
      <c r="CY179" s="298"/>
      <c r="CZ179" s="87"/>
      <c r="DA179" s="87"/>
      <c r="DB179" s="400"/>
      <c r="DC179" s="87"/>
      <c r="DF179" s="87"/>
      <c r="DG179" s="87"/>
      <c r="DH179" s="87"/>
      <c r="DI179" s="87"/>
      <c r="DJ179" s="87"/>
    </row>
    <row r="180" spans="3:114" outlineLevel="1">
      <c r="D180" s="274"/>
      <c r="BR180" s="286"/>
      <c r="BS180" s="286"/>
      <c r="BT180" s="286"/>
      <c r="BU180" s="286"/>
      <c r="BV180" s="62"/>
      <c r="BX180" s="286"/>
      <c r="BY180" s="286"/>
      <c r="BZ180" s="286"/>
      <c r="CA180" s="408"/>
      <c r="CB180" s="413"/>
      <c r="CC180" s="418"/>
      <c r="CD180" s="418"/>
      <c r="CE180" s="417"/>
      <c r="CF180" s="408"/>
      <c r="CG180" s="413"/>
      <c r="CH180" s="418"/>
      <c r="CI180" s="418"/>
      <c r="CJ180" s="417"/>
      <c r="CK180" s="408"/>
      <c r="CL180" s="413"/>
      <c r="CM180" s="418"/>
      <c r="CN180" s="418"/>
      <c r="CO180" s="417"/>
      <c r="CP180" s="408"/>
      <c r="CQ180" s="413"/>
      <c r="CR180" s="418"/>
      <c r="CS180" s="418"/>
      <c r="CT180" s="417"/>
      <c r="CU180" s="408"/>
      <c r="CV180" s="418"/>
      <c r="CW180" s="418"/>
      <c r="CX180" s="418"/>
      <c r="CY180" s="417"/>
      <c r="CZ180" s="408"/>
      <c r="DA180" s="408"/>
      <c r="DB180" s="413"/>
      <c r="DC180" s="408"/>
      <c r="DF180" s="408"/>
      <c r="DG180" s="408"/>
      <c r="DH180" s="408"/>
      <c r="DI180" s="408"/>
      <c r="DJ180" s="408"/>
    </row>
    <row r="181" spans="3:114" s="155" customFormat="1" outlineLevel="1">
      <c r="C181" s="336"/>
      <c r="D181" s="330" t="s">
        <v>819</v>
      </c>
      <c r="E181" s="340"/>
      <c r="F181" s="236"/>
      <c r="G181" s="236"/>
      <c r="H181" s="236"/>
      <c r="I181" s="236"/>
      <c r="J181" s="152"/>
      <c r="K181" s="152"/>
      <c r="L181" s="152"/>
      <c r="M181" s="341"/>
      <c r="N181" s="236"/>
      <c r="O181" s="152"/>
      <c r="P181" s="152"/>
      <c r="Q181" s="152"/>
      <c r="R181" s="302"/>
      <c r="S181" s="236"/>
      <c r="T181" s="152"/>
      <c r="U181" s="152"/>
      <c r="V181" s="152"/>
      <c r="W181" s="302"/>
      <c r="X181" s="236"/>
      <c r="Y181" s="152"/>
      <c r="Z181" s="152"/>
      <c r="AA181" s="152"/>
      <c r="AB181" s="302"/>
      <c r="AC181" s="236"/>
      <c r="AD181" s="152"/>
      <c r="AE181" s="152"/>
      <c r="AF181" s="152"/>
      <c r="AG181" s="302"/>
      <c r="AH181" s="236"/>
      <c r="AI181" s="152"/>
      <c r="AJ181" s="152"/>
      <c r="AK181" s="152"/>
      <c r="AL181" s="302"/>
      <c r="AM181" s="236"/>
      <c r="AN181" s="152"/>
      <c r="AO181" s="152"/>
      <c r="AP181" s="152"/>
      <c r="AQ181" s="302"/>
      <c r="AR181" s="236"/>
      <c r="AS181" s="152"/>
      <c r="AT181" s="152"/>
      <c r="AU181" s="152"/>
      <c r="AV181" s="302"/>
      <c r="AW181" s="236"/>
      <c r="AX181" s="152"/>
      <c r="AY181" s="152"/>
      <c r="AZ181" s="152"/>
      <c r="BA181" s="302"/>
      <c r="BB181" s="236"/>
      <c r="BC181" s="152"/>
      <c r="BD181" s="152"/>
      <c r="BE181" s="152"/>
      <c r="BF181" s="302"/>
      <c r="BG181" s="236"/>
      <c r="BH181" s="152"/>
      <c r="BI181" s="152"/>
      <c r="BJ181" s="152"/>
      <c r="BK181" s="302"/>
      <c r="BL181" s="236"/>
      <c r="BM181" s="152"/>
      <c r="BN181" s="152"/>
      <c r="BO181" s="152"/>
      <c r="BP181" s="302"/>
      <c r="BQ181" s="236"/>
      <c r="BR181" s="152"/>
      <c r="BS181" s="152"/>
      <c r="BT181" s="152"/>
      <c r="BU181" s="302"/>
      <c r="BV181" s="236"/>
      <c r="BW181" s="423">
        <v>0.25</v>
      </c>
      <c r="BX181" s="423">
        <v>0.25</v>
      </c>
      <c r="BY181" s="423">
        <v>0.25</v>
      </c>
      <c r="BZ181" s="425">
        <v>0.25</v>
      </c>
      <c r="CA181" s="426"/>
      <c r="CB181" s="423"/>
      <c r="CC181" s="423"/>
      <c r="CD181" s="423"/>
      <c r="CE181" s="425"/>
      <c r="CF181" s="426"/>
      <c r="CG181" s="423"/>
      <c r="CH181" s="423"/>
      <c r="CI181" s="423"/>
      <c r="CJ181" s="425"/>
      <c r="CK181" s="426"/>
      <c r="CL181" s="423"/>
      <c r="CM181" s="423"/>
      <c r="CN181" s="423"/>
      <c r="CO181" s="425"/>
      <c r="CP181" s="426"/>
      <c r="CQ181" s="423"/>
      <c r="CR181" s="177"/>
      <c r="CS181" s="177"/>
      <c r="CT181" s="177"/>
      <c r="CU181" s="424"/>
      <c r="CV181" s="177">
        <v>0.15</v>
      </c>
      <c r="CW181" s="177">
        <v>0.15</v>
      </c>
      <c r="CX181" s="177">
        <v>0.15</v>
      </c>
      <c r="CY181" s="177">
        <v>0.15</v>
      </c>
      <c r="CZ181" s="424">
        <f>CZ171/(CZ17*CU35)</f>
        <v>0.19151132149131467</v>
      </c>
      <c r="DA181" s="177">
        <v>0.15</v>
      </c>
      <c r="DB181" s="373">
        <v>0.15</v>
      </c>
      <c r="DC181" s="371">
        <v>0.15</v>
      </c>
      <c r="DF181" s="424"/>
      <c r="DG181" s="424"/>
      <c r="DH181" s="424"/>
      <c r="DI181" s="424"/>
      <c r="DJ181" s="424"/>
    </row>
    <row r="182" spans="3:114" outlineLevel="1">
      <c r="C182" s="233"/>
      <c r="D182" s="274" t="s">
        <v>820</v>
      </c>
      <c r="BU182" s="2"/>
      <c r="BV182" s="62"/>
      <c r="BW182" s="410">
        <f>BW173/BW35</f>
        <v>8.8461538461538456E-3</v>
      </c>
      <c r="BX182" s="410">
        <f>BX173/BX35</f>
        <v>8.9999999999999993E-3</v>
      </c>
      <c r="BY182" s="410">
        <f>BY173/BY35</f>
        <v>2.8620689655172414E-2</v>
      </c>
      <c r="BZ182" s="410">
        <f>BZ173/BZ35</f>
        <v>1.1212121212121211E-2</v>
      </c>
      <c r="CA182" s="66"/>
      <c r="CB182" s="315"/>
      <c r="CC182" s="183"/>
      <c r="CD182" s="183"/>
      <c r="CE182" s="422"/>
      <c r="CF182" s="66"/>
      <c r="CG182" s="315"/>
      <c r="CH182" s="183"/>
      <c r="CI182" s="183"/>
      <c r="CJ182" s="183"/>
      <c r="CK182" s="66"/>
      <c r="CL182" s="315"/>
      <c r="CM182" s="183"/>
      <c r="CN182" s="183"/>
      <c r="CO182" s="422"/>
      <c r="CP182" s="66"/>
      <c r="CQ182" s="315"/>
      <c r="CR182" s="183"/>
      <c r="CS182" s="183"/>
      <c r="CT182" s="422"/>
      <c r="CU182" s="66"/>
      <c r="CV182" s="183">
        <f>CV173/CV35</f>
        <v>-4.6319169960474301E-3</v>
      </c>
      <c r="CW182" s="183">
        <f>CW173/CW35</f>
        <v>-4.0445220992687504E-3</v>
      </c>
      <c r="CX182" s="183">
        <f>CX173/CX35</f>
        <v>-3.6084148233680945E-3</v>
      </c>
      <c r="CY182" s="422">
        <f>CY173/CY35</f>
        <v>-3.5803795202291435E-3</v>
      </c>
      <c r="CZ182" s="66">
        <f>CZ173/CZ35</f>
        <v>-3.9232174044385977E-3</v>
      </c>
      <c r="DA182" s="66">
        <f>DA173/CW35</f>
        <v>-1.3481740330895836E-2</v>
      </c>
      <c r="DB182" s="315">
        <f>DB173/CX35</f>
        <v>-1.2028049411226982E-2</v>
      </c>
      <c r="DC182" s="66">
        <f>DC173/CY35</f>
        <v>-1.1934598400763812E-2</v>
      </c>
      <c r="DF182" s="66"/>
      <c r="DG182" s="66"/>
      <c r="DH182" s="66"/>
      <c r="DI182" s="66"/>
      <c r="DJ182" s="66"/>
    </row>
    <row r="183" spans="3:114" outlineLevel="1">
      <c r="C183" s="233"/>
      <c r="D183" s="274" t="s">
        <v>821</v>
      </c>
      <c r="BU183" s="2"/>
      <c r="BV183" s="62"/>
      <c r="BW183" s="410">
        <f>BW175/BW35</f>
        <v>0</v>
      </c>
      <c r="BX183" s="410">
        <f>BX175/BX35</f>
        <v>0</v>
      </c>
      <c r="BY183" s="410">
        <f>BY175/BY35</f>
        <v>0</v>
      </c>
      <c r="BZ183" s="410">
        <f>BZ175/BZ35</f>
        <v>0</v>
      </c>
      <c r="CA183" s="66"/>
      <c r="CB183" s="315"/>
      <c r="CC183" s="183"/>
      <c r="CD183" s="183"/>
      <c r="CE183" s="422"/>
      <c r="CF183" s="66"/>
      <c r="CG183" s="315"/>
      <c r="CH183" s="183"/>
      <c r="CI183" s="183"/>
      <c r="CJ183" s="183"/>
      <c r="CK183" s="66"/>
      <c r="CL183" s="315"/>
      <c r="CM183" s="183"/>
      <c r="CN183" s="183"/>
      <c r="CO183" s="422"/>
      <c r="CP183" s="66"/>
      <c r="CQ183" s="315"/>
      <c r="CR183" s="183"/>
      <c r="CS183" s="183"/>
      <c r="CT183" s="422"/>
      <c r="CU183" s="66"/>
      <c r="CV183" s="183">
        <f>CV175/CV35</f>
        <v>-1.54397233201581E-3</v>
      </c>
      <c r="CW183" s="183">
        <f>CW175/CW35</f>
        <v>-1.3481740330895835E-3</v>
      </c>
      <c r="CX183" s="183">
        <f>CX175/CX35</f>
        <v>-1.2028049411226982E-3</v>
      </c>
      <c r="CY183" s="422">
        <f>CY175/CY35</f>
        <v>-1.1934598400763811E-3</v>
      </c>
      <c r="CZ183" s="66">
        <f>CZ175/CZ35</f>
        <v>-1.3077391348128658E-3</v>
      </c>
      <c r="DA183" s="66">
        <f>DA175/CW35</f>
        <v>-5.3926961323583341E-3</v>
      </c>
      <c r="DB183" s="315">
        <f>DB175/CX35</f>
        <v>-2.4056098822453965E-3</v>
      </c>
      <c r="DC183" s="66">
        <f>DC175/CY35</f>
        <v>0</v>
      </c>
      <c r="DF183" s="66"/>
      <c r="DG183" s="66"/>
      <c r="DH183" s="66"/>
      <c r="DI183" s="66"/>
      <c r="DJ183" s="66"/>
    </row>
    <row r="184" spans="3:114">
      <c r="CT184" s="301"/>
      <c r="CU184" s="301"/>
      <c r="DC184" s="64"/>
      <c r="DF184" s="64"/>
      <c r="DG184" s="64"/>
      <c r="DH184" s="64"/>
      <c r="DI184" s="64"/>
      <c r="DJ184" s="64"/>
    </row>
    <row r="185" spans="3:114">
      <c r="D185" s="468" t="s">
        <v>834</v>
      </c>
      <c r="DA185" s="318"/>
      <c r="DB185" s="318"/>
      <c r="DC185" s="64"/>
      <c r="DF185" s="64"/>
      <c r="DG185" s="64"/>
      <c r="DH185" s="64"/>
      <c r="DI185" s="64"/>
      <c r="DJ185" s="64"/>
    </row>
    <row r="186" spans="3:114">
      <c r="D186" s="1056" t="s">
        <v>1139</v>
      </c>
      <c r="E186" s="471"/>
      <c r="F186" s="471"/>
      <c r="G186" s="471"/>
      <c r="H186" s="471"/>
      <c r="I186" s="471"/>
      <c r="J186" s="472"/>
      <c r="K186" s="472"/>
      <c r="L186" s="472"/>
      <c r="M186" s="473"/>
      <c r="N186" s="471"/>
      <c r="O186" s="472"/>
      <c r="P186" s="472"/>
      <c r="Q186" s="472"/>
      <c r="R186" s="473"/>
      <c r="S186" s="471"/>
      <c r="T186" s="472"/>
      <c r="U186" s="472"/>
      <c r="V186" s="472"/>
      <c r="W186" s="473"/>
      <c r="X186" s="471"/>
      <c r="Y186" s="472"/>
      <c r="Z186" s="472"/>
      <c r="AA186" s="472"/>
      <c r="AB186" s="473"/>
      <c r="AC186" s="471"/>
      <c r="AD186" s="472"/>
      <c r="AE186" s="472"/>
      <c r="AF186" s="472"/>
      <c r="AG186" s="473"/>
      <c r="AH186" s="471"/>
      <c r="AI186" s="472"/>
      <c r="AJ186" s="472"/>
      <c r="AK186" s="472"/>
      <c r="AL186" s="473"/>
      <c r="AM186" s="471"/>
      <c r="AN186" s="472"/>
      <c r="AO186" s="472"/>
      <c r="AP186" s="472"/>
      <c r="AQ186" s="473"/>
      <c r="AR186" s="471"/>
      <c r="AS186" s="472"/>
      <c r="AT186" s="472"/>
      <c r="AU186" s="472"/>
      <c r="AV186" s="473"/>
      <c r="AW186" s="471"/>
      <c r="AX186" s="472"/>
      <c r="AY186" s="472"/>
      <c r="AZ186" s="472"/>
      <c r="BA186" s="473"/>
      <c r="BB186" s="471"/>
      <c r="BC186" s="472"/>
      <c r="BD186" s="472"/>
      <c r="BE186" s="472"/>
      <c r="BF186" s="473"/>
      <c r="BG186" s="471"/>
      <c r="BH186" s="472"/>
      <c r="BI186" s="472"/>
      <c r="BJ186" s="472"/>
      <c r="BK186" s="473"/>
      <c r="BL186" s="471"/>
      <c r="BM186" s="472"/>
      <c r="BN186" s="472"/>
      <c r="BO186" s="472"/>
      <c r="BP186" s="473"/>
      <c r="BQ186" s="471"/>
      <c r="BR186" s="472"/>
      <c r="BS186" s="472"/>
      <c r="BT186" s="472"/>
      <c r="BU186" s="473"/>
      <c r="BV186" s="471"/>
      <c r="BW186" s="474">
        <v>456</v>
      </c>
      <c r="BX186" s="474">
        <v>447</v>
      </c>
      <c r="BY186" s="474">
        <v>388</v>
      </c>
      <c r="BZ186" s="475">
        <v>419</v>
      </c>
      <c r="CA186" s="476"/>
      <c r="CB186" s="477"/>
      <c r="CC186" s="477"/>
      <c r="CD186" s="477"/>
      <c r="CE186" s="478"/>
      <c r="CF186" s="476"/>
      <c r="CG186" s="477"/>
      <c r="CH186" s="477"/>
      <c r="CI186" s="477"/>
      <c r="CJ186" s="478"/>
      <c r="CK186" s="476"/>
      <c r="CL186" s="477"/>
      <c r="CM186" s="477"/>
      <c r="CN186" s="477"/>
      <c r="CO186" s="478"/>
      <c r="CP186" s="476">
        <v>2086</v>
      </c>
      <c r="CQ186" s="477">
        <f>CL76</f>
        <v>514</v>
      </c>
      <c r="CR186" s="477">
        <f>CM76</f>
        <v>400</v>
      </c>
      <c r="CS186" s="477">
        <f>CN76</f>
        <v>567</v>
      </c>
      <c r="CT186" s="478">
        <f>CO76</f>
        <v>398</v>
      </c>
      <c r="CU186" s="476">
        <f t="shared" ref="CU186:CU191" si="243">SUM(CQ186:CT186)</f>
        <v>1879</v>
      </c>
      <c r="CV186" s="477">
        <f>CQ76</f>
        <v>481</v>
      </c>
      <c r="CW186" s="477">
        <f>CR76</f>
        <v>619</v>
      </c>
      <c r="CX186" s="477">
        <f>CS76</f>
        <v>600</v>
      </c>
      <c r="CY186" s="478">
        <f>CT76</f>
        <v>610</v>
      </c>
      <c r="CZ186" s="476">
        <f>SUM(CV186:CY186)</f>
        <v>2310</v>
      </c>
      <c r="DA186" s="476">
        <f>CZ76</f>
        <v>2000</v>
      </c>
      <c r="DB186" s="479">
        <f>DA192</f>
        <v>1945</v>
      </c>
      <c r="DC186" s="476">
        <f>DB192</f>
        <v>1905</v>
      </c>
      <c r="DF186" s="476"/>
      <c r="DG186" s="476"/>
      <c r="DH186" s="476"/>
      <c r="DI186" s="476"/>
      <c r="DJ186" s="476"/>
    </row>
    <row r="187" spans="3:114" s="469" customFormat="1">
      <c r="C187" s="232"/>
      <c r="D187" s="470" t="s">
        <v>813</v>
      </c>
      <c r="E187" s="471"/>
      <c r="F187" s="471"/>
      <c r="G187" s="471"/>
      <c r="H187" s="471"/>
      <c r="I187" s="471"/>
      <c r="J187" s="472"/>
      <c r="K187" s="472"/>
      <c r="L187" s="472"/>
      <c r="M187" s="473"/>
      <c r="N187" s="471"/>
      <c r="O187" s="472"/>
      <c r="P187" s="472"/>
      <c r="Q187" s="472"/>
      <c r="R187" s="473"/>
      <c r="S187" s="471"/>
      <c r="T187" s="472"/>
      <c r="U187" s="472"/>
      <c r="V187" s="472"/>
      <c r="W187" s="473"/>
      <c r="X187" s="471"/>
      <c r="Y187" s="472"/>
      <c r="Z187" s="472"/>
      <c r="AA187" s="472"/>
      <c r="AB187" s="473"/>
      <c r="AC187" s="471"/>
      <c r="AD187" s="472"/>
      <c r="AE187" s="472"/>
      <c r="AF187" s="472"/>
      <c r="AG187" s="473"/>
      <c r="AH187" s="471"/>
      <c r="AI187" s="472"/>
      <c r="AJ187" s="472"/>
      <c r="AK187" s="472"/>
      <c r="AL187" s="473"/>
      <c r="AM187" s="471"/>
      <c r="AN187" s="472"/>
      <c r="AO187" s="472"/>
      <c r="AP187" s="472"/>
      <c r="AQ187" s="473"/>
      <c r="AR187" s="471"/>
      <c r="AS187" s="472"/>
      <c r="AT187" s="472"/>
      <c r="AU187" s="472"/>
      <c r="AV187" s="473"/>
      <c r="AW187" s="471"/>
      <c r="AX187" s="472"/>
      <c r="AY187" s="472"/>
      <c r="AZ187" s="472"/>
      <c r="BA187" s="473"/>
      <c r="BB187" s="471"/>
      <c r="BC187" s="472"/>
      <c r="BD187" s="472"/>
      <c r="BE187" s="472"/>
      <c r="BF187" s="473"/>
      <c r="BG187" s="471"/>
      <c r="BH187" s="472"/>
      <c r="BI187" s="472"/>
      <c r="BJ187" s="472"/>
      <c r="BK187" s="473"/>
      <c r="BL187" s="471"/>
      <c r="BM187" s="472"/>
      <c r="BN187" s="472"/>
      <c r="BO187" s="472"/>
      <c r="BP187" s="473"/>
      <c r="BQ187" s="471"/>
      <c r="BR187" s="472"/>
      <c r="BS187" s="472"/>
      <c r="BT187" s="472"/>
      <c r="BU187" s="473"/>
      <c r="BV187" s="471"/>
      <c r="BW187" s="474">
        <v>55</v>
      </c>
      <c r="BX187" s="474">
        <v>66</v>
      </c>
      <c r="BY187" s="474">
        <v>84</v>
      </c>
      <c r="BZ187" s="475">
        <v>100</v>
      </c>
      <c r="CA187" s="480"/>
      <c r="CB187" s="474"/>
      <c r="CC187" s="474"/>
      <c r="CD187" s="474"/>
      <c r="CE187" s="475"/>
      <c r="CF187" s="480"/>
      <c r="CG187" s="474"/>
      <c r="CH187" s="474"/>
      <c r="CI187" s="474"/>
      <c r="CJ187" s="475"/>
      <c r="CK187" s="480"/>
      <c r="CL187" s="474"/>
      <c r="CM187" s="474"/>
      <c r="CN187" s="474"/>
      <c r="CO187" s="475"/>
      <c r="CP187" s="480">
        <v>505</v>
      </c>
      <c r="CQ187" s="474">
        <v>95</v>
      </c>
      <c r="CR187" s="474">
        <v>86</v>
      </c>
      <c r="CS187" s="474">
        <v>71</v>
      </c>
      <c r="CT187" s="475">
        <v>74</v>
      </c>
      <c r="CU187" s="476">
        <f t="shared" si="243"/>
        <v>326</v>
      </c>
      <c r="CV187" s="474">
        <v>-5</v>
      </c>
      <c r="CW187" s="474">
        <v>-5</v>
      </c>
      <c r="CX187" s="474">
        <v>-5</v>
      </c>
      <c r="CY187" s="475">
        <v>-5</v>
      </c>
      <c r="CZ187" s="1077">
        <f>SUM(CV187:CY187)</f>
        <v>-20</v>
      </c>
      <c r="DA187" s="480">
        <v>50</v>
      </c>
      <c r="DB187" s="481">
        <v>50</v>
      </c>
      <c r="DC187" s="480">
        <v>50</v>
      </c>
      <c r="DF187" s="480"/>
      <c r="DG187" s="480"/>
      <c r="DH187" s="480"/>
      <c r="DI187" s="480"/>
      <c r="DJ187" s="480"/>
    </row>
    <row r="188" spans="3:114" s="469" customFormat="1">
      <c r="C188" s="232"/>
      <c r="D188" s="470" t="s">
        <v>835</v>
      </c>
      <c r="E188" s="471"/>
      <c r="F188" s="471"/>
      <c r="G188" s="471"/>
      <c r="H188" s="471"/>
      <c r="I188" s="471"/>
      <c r="J188" s="472"/>
      <c r="K188" s="472"/>
      <c r="L188" s="472"/>
      <c r="M188" s="473"/>
      <c r="N188" s="471"/>
      <c r="O188" s="472"/>
      <c r="P188" s="472"/>
      <c r="Q188" s="472"/>
      <c r="R188" s="473"/>
      <c r="S188" s="471"/>
      <c r="T188" s="472"/>
      <c r="U188" s="472"/>
      <c r="V188" s="472"/>
      <c r="W188" s="473"/>
      <c r="X188" s="471"/>
      <c r="Y188" s="472"/>
      <c r="Z188" s="472"/>
      <c r="AA188" s="472"/>
      <c r="AB188" s="473"/>
      <c r="AC188" s="471"/>
      <c r="AD188" s="472"/>
      <c r="AE188" s="472"/>
      <c r="AF188" s="472"/>
      <c r="AG188" s="473"/>
      <c r="AH188" s="471"/>
      <c r="AI188" s="472"/>
      <c r="AJ188" s="472"/>
      <c r="AK188" s="472"/>
      <c r="AL188" s="473"/>
      <c r="AM188" s="471"/>
      <c r="AN188" s="472"/>
      <c r="AO188" s="472"/>
      <c r="AP188" s="472"/>
      <c r="AQ188" s="473"/>
      <c r="AR188" s="471"/>
      <c r="AS188" s="472"/>
      <c r="AT188" s="472"/>
      <c r="AU188" s="472"/>
      <c r="AV188" s="473"/>
      <c r="AW188" s="471"/>
      <c r="AX188" s="472"/>
      <c r="AY188" s="472"/>
      <c r="AZ188" s="472"/>
      <c r="BA188" s="473"/>
      <c r="BB188" s="471"/>
      <c r="BC188" s="472"/>
      <c r="BD188" s="472"/>
      <c r="BE188" s="472"/>
      <c r="BF188" s="473"/>
      <c r="BG188" s="471"/>
      <c r="BH188" s="472"/>
      <c r="BI188" s="472"/>
      <c r="BJ188" s="472"/>
      <c r="BK188" s="473"/>
      <c r="BL188" s="471"/>
      <c r="BM188" s="472"/>
      <c r="BN188" s="472"/>
      <c r="BO188" s="472"/>
      <c r="BP188" s="473"/>
      <c r="BQ188" s="471"/>
      <c r="BR188" s="472"/>
      <c r="BS188" s="472"/>
      <c r="BT188" s="472"/>
      <c r="BU188" s="473"/>
      <c r="BV188" s="471"/>
      <c r="BW188" s="474">
        <v>-11</v>
      </c>
      <c r="BX188" s="474">
        <v>44</v>
      </c>
      <c r="BY188" s="474">
        <v>-6</v>
      </c>
      <c r="BZ188" s="475">
        <v>-22</v>
      </c>
      <c r="CA188" s="480"/>
      <c r="CB188" s="474"/>
      <c r="CC188" s="474"/>
      <c r="CD188" s="474"/>
      <c r="CE188" s="475"/>
      <c r="CF188" s="480"/>
      <c r="CG188" s="474"/>
      <c r="CH188" s="474"/>
      <c r="CI188" s="474"/>
      <c r="CJ188" s="475"/>
      <c r="CK188" s="480"/>
      <c r="CL188" s="474"/>
      <c r="CM188" s="474"/>
      <c r="CN188" s="474"/>
      <c r="CO188" s="475"/>
      <c r="CP188" s="480">
        <v>-86</v>
      </c>
      <c r="CQ188" s="474">
        <v>-26</v>
      </c>
      <c r="CR188" s="474">
        <v>17</v>
      </c>
      <c r="CS188" s="474">
        <v>-2</v>
      </c>
      <c r="CT188" s="475">
        <v>70</v>
      </c>
      <c r="CU188" s="476">
        <f t="shared" si="243"/>
        <v>59</v>
      </c>
      <c r="CV188" s="474">
        <v>-15</v>
      </c>
      <c r="CW188" s="474">
        <v>-15</v>
      </c>
      <c r="CX188" s="474">
        <v>-15</v>
      </c>
      <c r="CY188" s="475">
        <v>-15</v>
      </c>
      <c r="CZ188" s="1077">
        <f>SUM(CV188:CY188)</f>
        <v>-60</v>
      </c>
      <c r="DA188" s="480">
        <v>15</v>
      </c>
      <c r="DB188" s="481">
        <v>10</v>
      </c>
      <c r="DC188" s="480">
        <v>5</v>
      </c>
      <c r="DF188" s="480"/>
      <c r="DG188" s="480"/>
      <c r="DH188" s="480"/>
      <c r="DI188" s="480"/>
      <c r="DJ188" s="480"/>
    </row>
    <row r="189" spans="3:114" s="469" customFormat="1">
      <c r="C189" s="232"/>
      <c r="D189" s="470" t="s">
        <v>836</v>
      </c>
      <c r="E189" s="471"/>
      <c r="F189" s="471"/>
      <c r="G189" s="471"/>
      <c r="H189" s="471"/>
      <c r="I189" s="471"/>
      <c r="J189" s="472"/>
      <c r="K189" s="472"/>
      <c r="L189" s="472"/>
      <c r="M189" s="473"/>
      <c r="N189" s="471"/>
      <c r="O189" s="472"/>
      <c r="P189" s="472"/>
      <c r="Q189" s="472"/>
      <c r="R189" s="473"/>
      <c r="S189" s="471"/>
      <c r="T189" s="472"/>
      <c r="U189" s="472"/>
      <c r="V189" s="472"/>
      <c r="W189" s="473"/>
      <c r="X189" s="471"/>
      <c r="Y189" s="472"/>
      <c r="Z189" s="472"/>
      <c r="AA189" s="472"/>
      <c r="AB189" s="473"/>
      <c r="AC189" s="471"/>
      <c r="AD189" s="472"/>
      <c r="AE189" s="472"/>
      <c r="AF189" s="472"/>
      <c r="AG189" s="473"/>
      <c r="AH189" s="471"/>
      <c r="AI189" s="472"/>
      <c r="AJ189" s="472"/>
      <c r="AK189" s="472"/>
      <c r="AL189" s="473"/>
      <c r="AM189" s="471"/>
      <c r="AN189" s="472"/>
      <c r="AO189" s="472"/>
      <c r="AP189" s="472"/>
      <c r="AQ189" s="473"/>
      <c r="AR189" s="471"/>
      <c r="AS189" s="472"/>
      <c r="AT189" s="472"/>
      <c r="AU189" s="472"/>
      <c r="AV189" s="473"/>
      <c r="AW189" s="471"/>
      <c r="AX189" s="472"/>
      <c r="AY189" s="472"/>
      <c r="AZ189" s="472"/>
      <c r="BA189" s="473"/>
      <c r="BB189" s="471"/>
      <c r="BC189" s="472"/>
      <c r="BD189" s="472"/>
      <c r="BE189" s="472"/>
      <c r="BF189" s="473"/>
      <c r="BG189" s="471"/>
      <c r="BH189" s="472"/>
      <c r="BI189" s="472"/>
      <c r="BJ189" s="472"/>
      <c r="BK189" s="473"/>
      <c r="BL189" s="471"/>
      <c r="BM189" s="472"/>
      <c r="BN189" s="472"/>
      <c r="BO189" s="472"/>
      <c r="BP189" s="473"/>
      <c r="BQ189" s="471"/>
      <c r="BR189" s="472"/>
      <c r="BS189" s="472"/>
      <c r="BT189" s="472"/>
      <c r="BU189" s="473"/>
      <c r="BV189" s="471"/>
      <c r="BW189" s="474">
        <v>-53</v>
      </c>
      <c r="BX189" s="474">
        <v>-71</v>
      </c>
      <c r="BY189" s="474">
        <v>10</v>
      </c>
      <c r="BZ189" s="475">
        <v>-25</v>
      </c>
      <c r="CA189" s="480"/>
      <c r="CB189" s="474"/>
      <c r="CC189" s="474"/>
      <c r="CD189" s="474"/>
      <c r="CE189" s="475"/>
      <c r="CF189" s="480"/>
      <c r="CG189" s="474"/>
      <c r="CH189" s="474"/>
      <c r="CI189" s="474"/>
      <c r="CJ189" s="475"/>
      <c r="CK189" s="480"/>
      <c r="CL189" s="474"/>
      <c r="CM189" s="474"/>
      <c r="CN189" s="474"/>
      <c r="CO189" s="475"/>
      <c r="CP189" s="480">
        <v>-208</v>
      </c>
      <c r="CQ189" s="474">
        <v>-24</v>
      </c>
      <c r="CR189" s="474">
        <v>36</v>
      </c>
      <c r="CS189" s="474">
        <v>-30</v>
      </c>
      <c r="CT189" s="475">
        <v>-21</v>
      </c>
      <c r="CU189" s="476">
        <f t="shared" si="243"/>
        <v>-39</v>
      </c>
      <c r="CV189" s="474">
        <v>-20</v>
      </c>
      <c r="CW189" s="474">
        <v>-20</v>
      </c>
      <c r="CX189" s="474">
        <v>-20</v>
      </c>
      <c r="CY189" s="475">
        <v>-20</v>
      </c>
      <c r="CZ189" s="1077">
        <f>SUM(CV189:CY189)</f>
        <v>-80</v>
      </c>
      <c r="DA189" s="480">
        <v>-50</v>
      </c>
      <c r="DB189" s="480">
        <v>-50</v>
      </c>
      <c r="DC189" s="480">
        <v>-50</v>
      </c>
      <c r="DF189" s="480"/>
      <c r="DG189" s="480"/>
      <c r="DH189" s="480"/>
      <c r="DI189" s="480"/>
      <c r="DJ189" s="480"/>
    </row>
    <row r="190" spans="3:114" s="469" customFormat="1">
      <c r="C190" s="232"/>
      <c r="D190" s="470" t="s">
        <v>837</v>
      </c>
      <c r="E190" s="471"/>
      <c r="F190" s="471"/>
      <c r="G190" s="471"/>
      <c r="H190" s="471"/>
      <c r="I190" s="471"/>
      <c r="J190" s="472"/>
      <c r="K190" s="472"/>
      <c r="L190" s="472"/>
      <c r="M190" s="473"/>
      <c r="N190" s="471"/>
      <c r="O190" s="472"/>
      <c r="P190" s="472"/>
      <c r="Q190" s="472"/>
      <c r="R190" s="473"/>
      <c r="S190" s="471"/>
      <c r="T190" s="472"/>
      <c r="U190" s="472"/>
      <c r="V190" s="472"/>
      <c r="W190" s="473"/>
      <c r="X190" s="471"/>
      <c r="Y190" s="472"/>
      <c r="Z190" s="472"/>
      <c r="AA190" s="472"/>
      <c r="AB190" s="473"/>
      <c r="AC190" s="471"/>
      <c r="AD190" s="472"/>
      <c r="AE190" s="472"/>
      <c r="AF190" s="472"/>
      <c r="AG190" s="473"/>
      <c r="AH190" s="471"/>
      <c r="AI190" s="472"/>
      <c r="AJ190" s="472"/>
      <c r="AK190" s="472"/>
      <c r="AL190" s="473"/>
      <c r="AM190" s="471"/>
      <c r="AN190" s="472"/>
      <c r="AO190" s="472"/>
      <c r="AP190" s="472"/>
      <c r="AQ190" s="473"/>
      <c r="AR190" s="471"/>
      <c r="AS190" s="472"/>
      <c r="AT190" s="472"/>
      <c r="AU190" s="472"/>
      <c r="AV190" s="473"/>
      <c r="AW190" s="471"/>
      <c r="AX190" s="472"/>
      <c r="AY190" s="472"/>
      <c r="AZ190" s="472"/>
      <c r="BA190" s="473"/>
      <c r="BB190" s="471"/>
      <c r="BC190" s="472"/>
      <c r="BD190" s="472"/>
      <c r="BE190" s="472"/>
      <c r="BF190" s="473"/>
      <c r="BG190" s="471"/>
      <c r="BH190" s="472"/>
      <c r="BI190" s="472"/>
      <c r="BJ190" s="472"/>
      <c r="BK190" s="473"/>
      <c r="BL190" s="471"/>
      <c r="BM190" s="472"/>
      <c r="BN190" s="472"/>
      <c r="BO190" s="472"/>
      <c r="BP190" s="473"/>
      <c r="BQ190" s="471"/>
      <c r="BR190" s="472"/>
      <c r="BS190" s="472"/>
      <c r="BT190" s="472"/>
      <c r="BU190" s="473"/>
      <c r="BV190" s="471"/>
      <c r="BW190" s="474">
        <v>50</v>
      </c>
      <c r="BX190" s="474">
        <v>-20</v>
      </c>
      <c r="BY190" s="474">
        <v>-12</v>
      </c>
      <c r="BZ190" s="475">
        <v>-80</v>
      </c>
      <c r="CA190" s="480"/>
      <c r="CB190" s="474"/>
      <c r="CC190" s="474"/>
      <c r="CD190" s="474"/>
      <c r="CE190" s="475"/>
      <c r="CF190" s="480"/>
      <c r="CG190" s="474"/>
      <c r="CH190" s="474"/>
      <c r="CI190" s="474"/>
      <c r="CJ190" s="475"/>
      <c r="CK190" s="480"/>
      <c r="CL190" s="474"/>
      <c r="CM190" s="474"/>
      <c r="CN190" s="474"/>
      <c r="CO190" s="475"/>
      <c r="CP190" s="480">
        <v>-258</v>
      </c>
      <c r="CQ190" s="474">
        <v>-53</v>
      </c>
      <c r="CR190" s="474">
        <v>-3</v>
      </c>
      <c r="CS190" s="474">
        <v>57</v>
      </c>
      <c r="CT190" s="475">
        <v>56</v>
      </c>
      <c r="CU190" s="476">
        <f t="shared" si="243"/>
        <v>57</v>
      </c>
      <c r="CV190" s="474">
        <v>-10</v>
      </c>
      <c r="CW190" s="474">
        <v>-20</v>
      </c>
      <c r="CX190" s="474">
        <v>-60</v>
      </c>
      <c r="CY190" s="475">
        <v>-60</v>
      </c>
      <c r="CZ190" s="1077">
        <f>SUM(CV190:CY190)</f>
        <v>-150</v>
      </c>
      <c r="DA190" s="480">
        <v>-70</v>
      </c>
      <c r="DB190" s="480">
        <v>-50</v>
      </c>
      <c r="DC190" s="480">
        <v>-50</v>
      </c>
      <c r="DF190" s="480"/>
      <c r="DG190" s="480"/>
      <c r="DH190" s="480"/>
      <c r="DI190" s="480"/>
      <c r="DJ190" s="480"/>
    </row>
    <row r="191" spans="3:114" s="469" customFormat="1">
      <c r="C191" s="232"/>
      <c r="D191" s="470" t="s">
        <v>72</v>
      </c>
      <c r="E191" s="471"/>
      <c r="F191" s="471"/>
      <c r="G191" s="471"/>
      <c r="H191" s="471"/>
      <c r="I191" s="471"/>
      <c r="J191" s="472"/>
      <c r="K191" s="472"/>
      <c r="L191" s="472"/>
      <c r="M191" s="473"/>
      <c r="N191" s="471"/>
      <c r="O191" s="472"/>
      <c r="P191" s="472"/>
      <c r="Q191" s="472"/>
      <c r="R191" s="473"/>
      <c r="S191" s="471"/>
      <c r="T191" s="472"/>
      <c r="U191" s="472"/>
      <c r="V191" s="472"/>
      <c r="W191" s="473"/>
      <c r="X191" s="471"/>
      <c r="Y191" s="472"/>
      <c r="Z191" s="472"/>
      <c r="AA191" s="472"/>
      <c r="AB191" s="473"/>
      <c r="AC191" s="471"/>
      <c r="AD191" s="472"/>
      <c r="AE191" s="472"/>
      <c r="AF191" s="472"/>
      <c r="AG191" s="473"/>
      <c r="AH191" s="471"/>
      <c r="AI191" s="472"/>
      <c r="AJ191" s="472"/>
      <c r="AK191" s="472"/>
      <c r="AL191" s="473"/>
      <c r="AM191" s="471"/>
      <c r="AN191" s="472"/>
      <c r="AO191" s="472"/>
      <c r="AP191" s="472"/>
      <c r="AQ191" s="473"/>
      <c r="AR191" s="471"/>
      <c r="AS191" s="472"/>
      <c r="AT191" s="472"/>
      <c r="AU191" s="472"/>
      <c r="AV191" s="473"/>
      <c r="AW191" s="471"/>
      <c r="AX191" s="472"/>
      <c r="AY191" s="472"/>
      <c r="AZ191" s="472"/>
      <c r="BA191" s="473"/>
      <c r="BB191" s="471"/>
      <c r="BC191" s="472"/>
      <c r="BD191" s="472"/>
      <c r="BE191" s="472"/>
      <c r="BF191" s="473"/>
      <c r="BG191" s="471"/>
      <c r="BH191" s="472"/>
      <c r="BI191" s="472"/>
      <c r="BJ191" s="472"/>
      <c r="BK191" s="473"/>
      <c r="BL191" s="471"/>
      <c r="BM191" s="472"/>
      <c r="BN191" s="472"/>
      <c r="BO191" s="472"/>
      <c r="BP191" s="473"/>
      <c r="BQ191" s="471"/>
      <c r="BR191" s="472"/>
      <c r="BS191" s="472"/>
      <c r="BT191" s="472"/>
      <c r="BU191" s="473"/>
      <c r="BV191" s="471"/>
      <c r="BW191" s="474" t="e">
        <f t="shared" ref="BW191:BZ191" si="244">BW192-SUM(BW186:BW190)</f>
        <v>#REF!</v>
      </c>
      <c r="BX191" s="474" t="e">
        <f t="shared" si="244"/>
        <v>#REF!</v>
      </c>
      <c r="BY191" s="474" t="e">
        <f t="shared" si="244"/>
        <v>#REF!</v>
      </c>
      <c r="BZ191" s="475" t="e">
        <f t="shared" si="244"/>
        <v>#REF!</v>
      </c>
      <c r="CA191" s="480"/>
      <c r="CB191" s="474"/>
      <c r="CC191" s="474"/>
      <c r="CD191" s="474"/>
      <c r="CE191" s="475"/>
      <c r="CF191" s="480"/>
      <c r="CG191" s="474"/>
      <c r="CH191" s="474"/>
      <c r="CI191" s="474"/>
      <c r="CJ191" s="475"/>
      <c r="CK191" s="480"/>
      <c r="CL191" s="474"/>
      <c r="CM191" s="474"/>
      <c r="CN191" s="474"/>
      <c r="CO191" s="475"/>
      <c r="CP191" s="480">
        <f>SUM(CL191:CO191)</f>
        <v>0</v>
      </c>
      <c r="CQ191" s="474">
        <v>0</v>
      </c>
      <c r="CR191" s="474">
        <f>-11+94</f>
        <v>83</v>
      </c>
      <c r="CS191" s="474">
        <f>-2-61</f>
        <v>-63</v>
      </c>
      <c r="CT191" s="475">
        <f>9+24</f>
        <v>33</v>
      </c>
      <c r="CU191" s="476">
        <f t="shared" si="243"/>
        <v>53</v>
      </c>
      <c r="CV191" s="474">
        <f>CZ191/4</f>
        <v>0</v>
      </c>
      <c r="CW191" s="474">
        <f>CZ191/4</f>
        <v>0</v>
      </c>
      <c r="CX191" s="474">
        <f>CZ191/4</f>
        <v>0</v>
      </c>
      <c r="CY191" s="475">
        <f>CZ191/4</f>
        <v>0</v>
      </c>
      <c r="CZ191" s="480">
        <v>0</v>
      </c>
      <c r="DA191" s="480">
        <v>0</v>
      </c>
      <c r="DB191" s="480">
        <v>0</v>
      </c>
      <c r="DC191" s="480">
        <v>0</v>
      </c>
      <c r="DF191" s="480"/>
      <c r="DG191" s="480"/>
      <c r="DH191" s="480"/>
      <c r="DI191" s="480"/>
      <c r="DJ191" s="480"/>
    </row>
    <row r="192" spans="3:114" s="6" customFormat="1">
      <c r="C192" s="234"/>
      <c r="D192" s="482" t="s">
        <v>1140</v>
      </c>
      <c r="E192" s="483"/>
      <c r="F192" s="483"/>
      <c r="G192" s="483"/>
      <c r="H192" s="483"/>
      <c r="I192" s="483"/>
      <c r="J192" s="484"/>
      <c r="K192" s="484"/>
      <c r="L192" s="484"/>
      <c r="M192" s="485"/>
      <c r="N192" s="483"/>
      <c r="O192" s="484"/>
      <c r="P192" s="484"/>
      <c r="Q192" s="484"/>
      <c r="R192" s="485"/>
      <c r="S192" s="483"/>
      <c r="T192" s="484"/>
      <c r="U192" s="484"/>
      <c r="V192" s="484"/>
      <c r="W192" s="485"/>
      <c r="X192" s="483"/>
      <c r="Y192" s="484"/>
      <c r="Z192" s="484"/>
      <c r="AA192" s="484"/>
      <c r="AB192" s="485"/>
      <c r="AC192" s="483"/>
      <c r="AD192" s="484"/>
      <c r="AE192" s="484"/>
      <c r="AF192" s="484"/>
      <c r="AG192" s="485"/>
      <c r="AH192" s="483"/>
      <c r="AI192" s="484"/>
      <c r="AJ192" s="484"/>
      <c r="AK192" s="484"/>
      <c r="AL192" s="485"/>
      <c r="AM192" s="483"/>
      <c r="AN192" s="484"/>
      <c r="AO192" s="484"/>
      <c r="AP192" s="484"/>
      <c r="AQ192" s="485"/>
      <c r="AR192" s="483"/>
      <c r="AS192" s="484"/>
      <c r="AT192" s="484"/>
      <c r="AU192" s="484"/>
      <c r="AV192" s="485"/>
      <c r="AW192" s="483"/>
      <c r="AX192" s="484"/>
      <c r="AY192" s="484"/>
      <c r="AZ192" s="484"/>
      <c r="BA192" s="485"/>
      <c r="BB192" s="483"/>
      <c r="BC192" s="484"/>
      <c r="BD192" s="484"/>
      <c r="BE192" s="484"/>
      <c r="BF192" s="485"/>
      <c r="BG192" s="483"/>
      <c r="BH192" s="484"/>
      <c r="BI192" s="484"/>
      <c r="BJ192" s="484"/>
      <c r="BK192" s="485"/>
      <c r="BL192" s="483"/>
      <c r="BM192" s="484"/>
      <c r="BN192" s="484"/>
      <c r="BO192" s="484"/>
      <c r="BP192" s="485"/>
      <c r="BQ192" s="483"/>
      <c r="BR192" s="484"/>
      <c r="BS192" s="484"/>
      <c r="BT192" s="484"/>
      <c r="BU192" s="485"/>
      <c r="BV192" s="483"/>
      <c r="BW192" s="486" t="e">
        <f>#REF!</f>
        <v>#REF!</v>
      </c>
      <c r="BX192" s="486" t="e">
        <f>#REF!</f>
        <v>#REF!</v>
      </c>
      <c r="BY192" s="486" t="e">
        <f>#REF!</f>
        <v>#REF!</v>
      </c>
      <c r="BZ192" s="487" t="e">
        <f>#REF!</f>
        <v>#REF!</v>
      </c>
      <c r="CA192" s="488"/>
      <c r="CB192" s="486"/>
      <c r="CC192" s="486"/>
      <c r="CD192" s="486"/>
      <c r="CE192" s="487"/>
      <c r="CF192" s="488"/>
      <c r="CG192" s="486"/>
      <c r="CH192" s="486"/>
      <c r="CI192" s="486"/>
      <c r="CJ192" s="487"/>
      <c r="CK192" s="488"/>
      <c r="CL192" s="486"/>
      <c r="CM192" s="486"/>
      <c r="CN192" s="486"/>
      <c r="CO192" s="487"/>
      <c r="CP192" s="488">
        <f>SUM(CP186:CP191)</f>
        <v>2039</v>
      </c>
      <c r="CQ192" s="486">
        <f t="shared" ref="CQ192:CW192" si="245">SUM(CQ186:CQ191)</f>
        <v>506</v>
      </c>
      <c r="CR192" s="486">
        <f t="shared" si="245"/>
        <v>619</v>
      </c>
      <c r="CS192" s="486">
        <f t="shared" si="245"/>
        <v>600</v>
      </c>
      <c r="CT192" s="487">
        <f t="shared" si="245"/>
        <v>610</v>
      </c>
      <c r="CU192" s="488">
        <f t="shared" si="245"/>
        <v>2335</v>
      </c>
      <c r="CV192" s="486">
        <f t="shared" si="245"/>
        <v>431</v>
      </c>
      <c r="CW192" s="486">
        <f t="shared" si="245"/>
        <v>559</v>
      </c>
      <c r="CX192" s="486">
        <f t="shared" ref="CX192:DC192" si="246">SUM(CX186:CX191)</f>
        <v>500</v>
      </c>
      <c r="CY192" s="487">
        <f t="shared" si="246"/>
        <v>510</v>
      </c>
      <c r="CZ192" s="488">
        <f t="shared" si="246"/>
        <v>2000</v>
      </c>
      <c r="DA192" s="488">
        <f t="shared" si="246"/>
        <v>1945</v>
      </c>
      <c r="DB192" s="488">
        <f t="shared" si="246"/>
        <v>1905</v>
      </c>
      <c r="DC192" s="488">
        <f t="shared" si="246"/>
        <v>1860</v>
      </c>
      <c r="DF192" s="488"/>
      <c r="DG192" s="488"/>
      <c r="DH192" s="488"/>
      <c r="DI192" s="488"/>
      <c r="DJ192" s="488"/>
    </row>
    <row r="193" spans="75:114">
      <c r="BW193" s="16"/>
      <c r="DC193" s="64"/>
      <c r="DF193" s="64"/>
      <c r="DG193" s="64"/>
      <c r="DH193" s="64"/>
      <c r="DI193" s="64"/>
      <c r="DJ193" s="64"/>
    </row>
    <row r="194" spans="75:114">
      <c r="CM194" s="16"/>
      <c r="CR194" s="16"/>
      <c r="CS194" s="16"/>
      <c r="CT194" s="301"/>
      <c r="CU194" s="467"/>
      <c r="CV194" s="16"/>
      <c r="CW194" s="16"/>
      <c r="CX194" s="16"/>
      <c r="CY194" s="301"/>
      <c r="CZ194" s="467"/>
      <c r="DA194" s="467"/>
      <c r="DB194" s="191"/>
      <c r="DC194" s="467"/>
      <c r="DF194" s="467"/>
      <c r="DG194" s="467"/>
      <c r="DH194" s="467"/>
      <c r="DI194" s="467"/>
      <c r="DJ194" s="467"/>
    </row>
    <row r="195" spans="75:114">
      <c r="DC195" s="64"/>
      <c r="DF195" s="64"/>
      <c r="DG195" s="64"/>
      <c r="DH195" s="64"/>
      <c r="DI195" s="64"/>
      <c r="DJ195" s="64"/>
    </row>
    <row r="196" spans="75:114">
      <c r="DC196" s="64"/>
      <c r="DF196" s="64"/>
      <c r="DG196" s="64"/>
      <c r="DH196" s="64"/>
      <c r="DI196" s="64"/>
      <c r="DJ196" s="64"/>
    </row>
    <row r="197" spans="75:114">
      <c r="DC197" s="64"/>
      <c r="DF197" s="64"/>
      <c r="DG197" s="64"/>
      <c r="DH197" s="64"/>
      <c r="DI197" s="64"/>
      <c r="DJ197" s="64"/>
    </row>
    <row r="198" spans="75:114">
      <c r="DC198" s="64"/>
      <c r="DF198" s="64"/>
      <c r="DG198" s="64"/>
      <c r="DH198" s="64"/>
      <c r="DI198" s="64"/>
      <c r="DJ198" s="64"/>
    </row>
    <row r="199" spans="75:114">
      <c r="DC199" s="64"/>
      <c r="DF199" s="64"/>
      <c r="DG199" s="64"/>
      <c r="DH199" s="64"/>
      <c r="DI199" s="64"/>
      <c r="DJ199" s="64"/>
    </row>
    <row r="200" spans="75:114">
      <c r="DC200" s="64"/>
      <c r="DF200" s="64"/>
      <c r="DG200" s="64"/>
      <c r="DH200" s="64"/>
      <c r="DI200" s="64"/>
      <c r="DJ200" s="64"/>
    </row>
    <row r="201" spans="75:114">
      <c r="DC201" s="64"/>
      <c r="DF201" s="64"/>
      <c r="DG201" s="64"/>
      <c r="DH201" s="64"/>
      <c r="DI201" s="64"/>
      <c r="DJ201" s="64"/>
    </row>
    <row r="202" spans="75:114">
      <c r="DC202" s="64"/>
    </row>
    <row r="203" spans="75:114">
      <c r="DC203" s="64"/>
    </row>
    <row r="204" spans="75:114">
      <c r="DC204" s="64"/>
    </row>
    <row r="205" spans="75:114">
      <c r="DC205" s="64"/>
    </row>
    <row r="206" spans="75:114">
      <c r="DC206" s="64"/>
    </row>
    <row r="207" spans="75:114">
      <c r="DC207" s="64"/>
    </row>
    <row r="208" spans="75:114">
      <c r="DC208" s="64"/>
    </row>
    <row r="209" spans="107:107">
      <c r="DC209" s="64"/>
    </row>
    <row r="210" spans="107:107">
      <c r="DC210" s="64"/>
    </row>
    <row r="211" spans="107:107">
      <c r="DC211" s="64"/>
    </row>
    <row r="212" spans="107:107">
      <c r="DC212" s="64"/>
    </row>
    <row r="213" spans="107:107">
      <c r="DC213" s="64"/>
    </row>
    <row r="214" spans="107:107">
      <c r="DC214" s="64"/>
    </row>
    <row r="215" spans="107:107">
      <c r="DC215" s="64"/>
    </row>
    <row r="216" spans="107:107">
      <c r="DC216" s="64"/>
    </row>
    <row r="217" spans="107:107">
      <c r="DC217" s="64"/>
    </row>
    <row r="218" spans="107:107">
      <c r="DC218" s="64"/>
    </row>
    <row r="219" spans="107:107">
      <c r="DC219" s="64"/>
    </row>
    <row r="220" spans="107:107">
      <c r="DC220" s="64"/>
    </row>
    <row r="221" spans="107:107">
      <c r="DC221" s="64"/>
    </row>
    <row r="222" spans="107:107">
      <c r="DC222" s="64"/>
    </row>
    <row r="223" spans="107:107">
      <c r="DC223" s="64"/>
    </row>
    <row r="224" spans="107:107">
      <c r="DC224" s="64"/>
    </row>
    <row r="225" spans="107:107">
      <c r="DC225" s="64"/>
    </row>
    <row r="226" spans="107:107">
      <c r="DC226" s="64"/>
    </row>
    <row r="227" spans="107:107">
      <c r="DC227" s="64"/>
    </row>
    <row r="228" spans="107:107">
      <c r="DC228" s="64"/>
    </row>
    <row r="229" spans="107:107">
      <c r="DC229" s="64"/>
    </row>
    <row r="230" spans="107:107">
      <c r="DC230" s="64"/>
    </row>
    <row r="231" spans="107:107">
      <c r="DC231" s="64"/>
    </row>
    <row r="232" spans="107:107">
      <c r="DC232" s="64"/>
    </row>
    <row r="233" spans="107:107">
      <c r="DC233" s="64"/>
    </row>
    <row r="234" spans="107:107">
      <c r="DC234" s="64"/>
    </row>
    <row r="235" spans="107:107">
      <c r="DC235" s="64"/>
    </row>
    <row r="236" spans="107:107">
      <c r="DC236" s="64"/>
    </row>
    <row r="237" spans="107:107">
      <c r="DC237" s="64"/>
    </row>
  </sheetData>
  <pageMargins left="0.7" right="0.7" top="0.75" bottom="0.75" header="0.3" footer="0.3"/>
  <pageSetup paperSize="9" orientation="portrait" r:id="rId1"/>
  <ignoredErrors>
    <ignoredError sqref="CU187:CU191"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3"/>
  <sheetViews>
    <sheetView workbookViewId="0"/>
  </sheetViews>
  <sheetFormatPr defaultRowHeight="12"/>
  <sheetData>
    <row r="1" spans="1:44">
      <c r="A1" t="s">
        <v>1039</v>
      </c>
    </row>
    <row r="2" spans="1:44" s="4" customFormat="1">
      <c r="A2" s="4" t="s">
        <v>124</v>
      </c>
      <c r="B2" s="4" t="s">
        <v>113</v>
      </c>
      <c r="C2" s="4" t="s">
        <v>123</v>
      </c>
      <c r="D2" s="4" t="s">
        <v>2</v>
      </c>
      <c r="E2" s="4" t="s">
        <v>125</v>
      </c>
      <c r="F2" s="4" t="s">
        <v>113</v>
      </c>
      <c r="G2" s="4" t="s">
        <v>118</v>
      </c>
      <c r="H2" s="4" t="s">
        <v>2</v>
      </c>
      <c r="I2" s="4" t="s">
        <v>114</v>
      </c>
      <c r="J2" s="4" t="s">
        <v>113</v>
      </c>
      <c r="K2" s="4" t="s">
        <v>120</v>
      </c>
      <c r="L2" s="4" t="s">
        <v>113</v>
      </c>
      <c r="M2" s="4" t="s">
        <v>127</v>
      </c>
      <c r="N2" s="4" t="s">
        <v>113</v>
      </c>
      <c r="O2" s="4" t="s">
        <v>119</v>
      </c>
      <c r="P2" s="4" t="s">
        <v>2</v>
      </c>
      <c r="Q2" s="4" t="s">
        <v>116</v>
      </c>
      <c r="R2" s="4" t="s">
        <v>2</v>
      </c>
      <c r="S2" s="4" t="s">
        <v>179</v>
      </c>
      <c r="T2" s="4" t="s">
        <v>374</v>
      </c>
      <c r="U2" s="4" t="s">
        <v>117</v>
      </c>
      <c r="V2" s="4" t="s">
        <v>2</v>
      </c>
      <c r="W2" s="4" t="s">
        <v>126</v>
      </c>
      <c r="X2" s="4" t="s">
        <v>113</v>
      </c>
      <c r="Y2" s="4" t="s">
        <v>177</v>
      </c>
      <c r="Z2" s="4" t="s">
        <v>104</v>
      </c>
      <c r="AA2" s="4" t="s">
        <v>122</v>
      </c>
      <c r="AB2" s="4" t="s">
        <v>113</v>
      </c>
      <c r="AC2" s="4" t="s">
        <v>178</v>
      </c>
      <c r="AD2" s="4" t="s">
        <v>1</v>
      </c>
      <c r="AE2" s="4" t="s">
        <v>112</v>
      </c>
      <c r="AF2" s="4" t="s">
        <v>113</v>
      </c>
      <c r="AG2" s="4" t="s">
        <v>115</v>
      </c>
      <c r="AH2" s="4" t="s">
        <v>113</v>
      </c>
      <c r="AI2" s="4" t="s">
        <v>1037</v>
      </c>
      <c r="AJ2" s="4" t="s">
        <v>1040</v>
      </c>
      <c r="AK2" s="4" t="s">
        <v>111</v>
      </c>
      <c r="AL2" s="4" t="s">
        <v>176</v>
      </c>
      <c r="AM2" s="4" t="s">
        <v>121</v>
      </c>
      <c r="AN2" s="4" t="s">
        <v>2</v>
      </c>
      <c r="AO2" s="4" t="s">
        <v>1036</v>
      </c>
      <c r="AP2" s="4" t="s">
        <v>1</v>
      </c>
      <c r="AQ2" s="4" t="s">
        <v>1038</v>
      </c>
      <c r="AR2" s="4" t="s">
        <v>1041</v>
      </c>
    </row>
    <row r="3" spans="1:44" s="4" customFormat="1"/>
  </sheetData>
  <phoneticPr fontId="2"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2"/>
  <sheetViews>
    <sheetView workbookViewId="0"/>
  </sheetViews>
  <sheetFormatPr defaultRowHeight="12"/>
  <sheetData>
    <row r="1" spans="1:2">
      <c r="B1" t="s">
        <v>321</v>
      </c>
    </row>
    <row r="2" spans="1:2"/>
  </sheetData>
  <phoneticPr fontId="2"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50"/>
    <pageSetUpPr fitToPage="1"/>
  </sheetPr>
  <dimension ref="A1:W45"/>
  <sheetViews>
    <sheetView showGridLines="0" zoomScale="85" zoomScaleNormal="85" workbookViewId="0">
      <pane ySplit="6" topLeftCell="A7" activePane="bottomLeft" state="frozen"/>
      <selection activeCell="C55" sqref="C55"/>
      <selection pane="bottomLeft" activeCell="G48" sqref="G48"/>
    </sheetView>
  </sheetViews>
  <sheetFormatPr defaultRowHeight="12"/>
  <cols>
    <col min="1" max="2" width="2.140625" style="906" customWidth="1"/>
    <col min="3" max="3" width="38.85546875" style="906" bestFit="1" customWidth="1"/>
    <col min="4" max="16" width="10.28515625" style="906" customWidth="1"/>
    <col min="17" max="17" width="9.140625" style="906"/>
    <col min="18" max="18" width="5.85546875" style="906" customWidth="1"/>
    <col min="19" max="19" width="7" style="906" customWidth="1"/>
    <col min="20" max="256" width="9.140625" style="906"/>
    <col min="257" max="258" width="2.140625" style="906" customWidth="1"/>
    <col min="259" max="259" width="38.85546875" style="906" bestFit="1" customWidth="1"/>
    <col min="260" max="272" width="10.28515625" style="906" customWidth="1"/>
    <col min="273" max="273" width="9.140625" style="906"/>
    <col min="274" max="274" width="5.85546875" style="906" customWidth="1"/>
    <col min="275" max="275" width="7" style="906" customWidth="1"/>
    <col min="276" max="512" width="9.140625" style="906"/>
    <col min="513" max="514" width="2.140625" style="906" customWidth="1"/>
    <col min="515" max="515" width="38.85546875" style="906" bestFit="1" customWidth="1"/>
    <col min="516" max="528" width="10.28515625" style="906" customWidth="1"/>
    <col min="529" max="529" width="9.140625" style="906"/>
    <col min="530" max="530" width="5.85546875" style="906" customWidth="1"/>
    <col min="531" max="531" width="7" style="906" customWidth="1"/>
    <col min="532" max="768" width="9.140625" style="906"/>
    <col min="769" max="770" width="2.140625" style="906" customWidth="1"/>
    <col min="771" max="771" width="38.85546875" style="906" bestFit="1" customWidth="1"/>
    <col min="772" max="784" width="10.28515625" style="906" customWidth="1"/>
    <col min="785" max="785" width="9.140625" style="906"/>
    <col min="786" max="786" width="5.85546875" style="906" customWidth="1"/>
    <col min="787" max="787" width="7" style="906" customWidth="1"/>
    <col min="788" max="1024" width="9.140625" style="906"/>
    <col min="1025" max="1026" width="2.140625" style="906" customWidth="1"/>
    <col min="1027" max="1027" width="38.85546875" style="906" bestFit="1" customWidth="1"/>
    <col min="1028" max="1040" width="10.28515625" style="906" customWidth="1"/>
    <col min="1041" max="1041" width="9.140625" style="906"/>
    <col min="1042" max="1042" width="5.85546875" style="906" customWidth="1"/>
    <col min="1043" max="1043" width="7" style="906" customWidth="1"/>
    <col min="1044" max="1280" width="9.140625" style="906"/>
    <col min="1281" max="1282" width="2.140625" style="906" customWidth="1"/>
    <col min="1283" max="1283" width="38.85546875" style="906" bestFit="1" customWidth="1"/>
    <col min="1284" max="1296" width="10.28515625" style="906" customWidth="1"/>
    <col min="1297" max="1297" width="9.140625" style="906"/>
    <col min="1298" max="1298" width="5.85546875" style="906" customWidth="1"/>
    <col min="1299" max="1299" width="7" style="906" customWidth="1"/>
    <col min="1300" max="1536" width="9.140625" style="906"/>
    <col min="1537" max="1538" width="2.140625" style="906" customWidth="1"/>
    <col min="1539" max="1539" width="38.85546875" style="906" bestFit="1" customWidth="1"/>
    <col min="1540" max="1552" width="10.28515625" style="906" customWidth="1"/>
    <col min="1553" max="1553" width="9.140625" style="906"/>
    <col min="1554" max="1554" width="5.85546875" style="906" customWidth="1"/>
    <col min="1555" max="1555" width="7" style="906" customWidth="1"/>
    <col min="1556" max="1792" width="9.140625" style="906"/>
    <col min="1793" max="1794" width="2.140625" style="906" customWidth="1"/>
    <col min="1795" max="1795" width="38.85546875" style="906" bestFit="1" customWidth="1"/>
    <col min="1796" max="1808" width="10.28515625" style="906" customWidth="1"/>
    <col min="1809" max="1809" width="9.140625" style="906"/>
    <col min="1810" max="1810" width="5.85546875" style="906" customWidth="1"/>
    <col min="1811" max="1811" width="7" style="906" customWidth="1"/>
    <col min="1812" max="2048" width="9.140625" style="906"/>
    <col min="2049" max="2050" width="2.140625" style="906" customWidth="1"/>
    <col min="2051" max="2051" width="38.85546875" style="906" bestFit="1" customWidth="1"/>
    <col min="2052" max="2064" width="10.28515625" style="906" customWidth="1"/>
    <col min="2065" max="2065" width="9.140625" style="906"/>
    <col min="2066" max="2066" width="5.85546875" style="906" customWidth="1"/>
    <col min="2067" max="2067" width="7" style="906" customWidth="1"/>
    <col min="2068" max="2304" width="9.140625" style="906"/>
    <col min="2305" max="2306" width="2.140625" style="906" customWidth="1"/>
    <col min="2307" max="2307" width="38.85546875" style="906" bestFit="1" customWidth="1"/>
    <col min="2308" max="2320" width="10.28515625" style="906" customWidth="1"/>
    <col min="2321" max="2321" width="9.140625" style="906"/>
    <col min="2322" max="2322" width="5.85546875" style="906" customWidth="1"/>
    <col min="2323" max="2323" width="7" style="906" customWidth="1"/>
    <col min="2324" max="2560" width="9.140625" style="906"/>
    <col min="2561" max="2562" width="2.140625" style="906" customWidth="1"/>
    <col min="2563" max="2563" width="38.85546875" style="906" bestFit="1" customWidth="1"/>
    <col min="2564" max="2576" width="10.28515625" style="906" customWidth="1"/>
    <col min="2577" max="2577" width="9.140625" style="906"/>
    <col min="2578" max="2578" width="5.85546875" style="906" customWidth="1"/>
    <col min="2579" max="2579" width="7" style="906" customWidth="1"/>
    <col min="2580" max="2816" width="9.140625" style="906"/>
    <col min="2817" max="2818" width="2.140625" style="906" customWidth="1"/>
    <col min="2819" max="2819" width="38.85546875" style="906" bestFit="1" customWidth="1"/>
    <col min="2820" max="2832" width="10.28515625" style="906" customWidth="1"/>
    <col min="2833" max="2833" width="9.140625" style="906"/>
    <col min="2834" max="2834" width="5.85546875" style="906" customWidth="1"/>
    <col min="2835" max="2835" width="7" style="906" customWidth="1"/>
    <col min="2836" max="3072" width="9.140625" style="906"/>
    <col min="3073" max="3074" width="2.140625" style="906" customWidth="1"/>
    <col min="3075" max="3075" width="38.85546875" style="906" bestFit="1" customWidth="1"/>
    <col min="3076" max="3088" width="10.28515625" style="906" customWidth="1"/>
    <col min="3089" max="3089" width="9.140625" style="906"/>
    <col min="3090" max="3090" width="5.85546875" style="906" customWidth="1"/>
    <col min="3091" max="3091" width="7" style="906" customWidth="1"/>
    <col min="3092" max="3328" width="9.140625" style="906"/>
    <col min="3329" max="3330" width="2.140625" style="906" customWidth="1"/>
    <col min="3331" max="3331" width="38.85546875" style="906" bestFit="1" customWidth="1"/>
    <col min="3332" max="3344" width="10.28515625" style="906" customWidth="1"/>
    <col min="3345" max="3345" width="9.140625" style="906"/>
    <col min="3346" max="3346" width="5.85546875" style="906" customWidth="1"/>
    <col min="3347" max="3347" width="7" style="906" customWidth="1"/>
    <col min="3348" max="3584" width="9.140625" style="906"/>
    <col min="3585" max="3586" width="2.140625" style="906" customWidth="1"/>
    <col min="3587" max="3587" width="38.85546875" style="906" bestFit="1" customWidth="1"/>
    <col min="3588" max="3600" width="10.28515625" style="906" customWidth="1"/>
    <col min="3601" max="3601" width="9.140625" style="906"/>
    <col min="3602" max="3602" width="5.85546875" style="906" customWidth="1"/>
    <col min="3603" max="3603" width="7" style="906" customWidth="1"/>
    <col min="3604" max="3840" width="9.140625" style="906"/>
    <col min="3841" max="3842" width="2.140625" style="906" customWidth="1"/>
    <col min="3843" max="3843" width="38.85546875" style="906" bestFit="1" customWidth="1"/>
    <col min="3844" max="3856" width="10.28515625" style="906" customWidth="1"/>
    <col min="3857" max="3857" width="9.140625" style="906"/>
    <col min="3858" max="3858" width="5.85546875" style="906" customWidth="1"/>
    <col min="3859" max="3859" width="7" style="906" customWidth="1"/>
    <col min="3860" max="4096" width="9.140625" style="906"/>
    <col min="4097" max="4098" width="2.140625" style="906" customWidth="1"/>
    <col min="4099" max="4099" width="38.85546875" style="906" bestFit="1" customWidth="1"/>
    <col min="4100" max="4112" width="10.28515625" style="906" customWidth="1"/>
    <col min="4113" max="4113" width="9.140625" style="906"/>
    <col min="4114" max="4114" width="5.85546875" style="906" customWidth="1"/>
    <col min="4115" max="4115" width="7" style="906" customWidth="1"/>
    <col min="4116" max="4352" width="9.140625" style="906"/>
    <col min="4353" max="4354" width="2.140625" style="906" customWidth="1"/>
    <col min="4355" max="4355" width="38.85546875" style="906" bestFit="1" customWidth="1"/>
    <col min="4356" max="4368" width="10.28515625" style="906" customWidth="1"/>
    <col min="4369" max="4369" width="9.140625" style="906"/>
    <col min="4370" max="4370" width="5.85546875" style="906" customWidth="1"/>
    <col min="4371" max="4371" width="7" style="906" customWidth="1"/>
    <col min="4372" max="4608" width="9.140625" style="906"/>
    <col min="4609" max="4610" width="2.140625" style="906" customWidth="1"/>
    <col min="4611" max="4611" width="38.85546875" style="906" bestFit="1" customWidth="1"/>
    <col min="4612" max="4624" width="10.28515625" style="906" customWidth="1"/>
    <col min="4625" max="4625" width="9.140625" style="906"/>
    <col min="4626" max="4626" width="5.85546875" style="906" customWidth="1"/>
    <col min="4627" max="4627" width="7" style="906" customWidth="1"/>
    <col min="4628" max="4864" width="9.140625" style="906"/>
    <col min="4865" max="4866" width="2.140625" style="906" customWidth="1"/>
    <col min="4867" max="4867" width="38.85546875" style="906" bestFit="1" customWidth="1"/>
    <col min="4868" max="4880" width="10.28515625" style="906" customWidth="1"/>
    <col min="4881" max="4881" width="9.140625" style="906"/>
    <col min="4882" max="4882" width="5.85546875" style="906" customWidth="1"/>
    <col min="4883" max="4883" width="7" style="906" customWidth="1"/>
    <col min="4884" max="5120" width="9.140625" style="906"/>
    <col min="5121" max="5122" width="2.140625" style="906" customWidth="1"/>
    <col min="5123" max="5123" width="38.85546875" style="906" bestFit="1" customWidth="1"/>
    <col min="5124" max="5136" width="10.28515625" style="906" customWidth="1"/>
    <col min="5137" max="5137" width="9.140625" style="906"/>
    <col min="5138" max="5138" width="5.85546875" style="906" customWidth="1"/>
    <col min="5139" max="5139" width="7" style="906" customWidth="1"/>
    <col min="5140" max="5376" width="9.140625" style="906"/>
    <col min="5377" max="5378" width="2.140625" style="906" customWidth="1"/>
    <col min="5379" max="5379" width="38.85546875" style="906" bestFit="1" customWidth="1"/>
    <col min="5380" max="5392" width="10.28515625" style="906" customWidth="1"/>
    <col min="5393" max="5393" width="9.140625" style="906"/>
    <col min="5394" max="5394" width="5.85546875" style="906" customWidth="1"/>
    <col min="5395" max="5395" width="7" style="906" customWidth="1"/>
    <col min="5396" max="5632" width="9.140625" style="906"/>
    <col min="5633" max="5634" width="2.140625" style="906" customWidth="1"/>
    <col min="5635" max="5635" width="38.85546875" style="906" bestFit="1" customWidth="1"/>
    <col min="5636" max="5648" width="10.28515625" style="906" customWidth="1"/>
    <col min="5649" max="5649" width="9.140625" style="906"/>
    <col min="5650" max="5650" width="5.85546875" style="906" customWidth="1"/>
    <col min="5651" max="5651" width="7" style="906" customWidth="1"/>
    <col min="5652" max="5888" width="9.140625" style="906"/>
    <col min="5889" max="5890" width="2.140625" style="906" customWidth="1"/>
    <col min="5891" max="5891" width="38.85546875" style="906" bestFit="1" customWidth="1"/>
    <col min="5892" max="5904" width="10.28515625" style="906" customWidth="1"/>
    <col min="5905" max="5905" width="9.140625" style="906"/>
    <col min="5906" max="5906" width="5.85546875" style="906" customWidth="1"/>
    <col min="5907" max="5907" width="7" style="906" customWidth="1"/>
    <col min="5908" max="6144" width="9.140625" style="906"/>
    <col min="6145" max="6146" width="2.140625" style="906" customWidth="1"/>
    <col min="6147" max="6147" width="38.85546875" style="906" bestFit="1" customWidth="1"/>
    <col min="6148" max="6160" width="10.28515625" style="906" customWidth="1"/>
    <col min="6161" max="6161" width="9.140625" style="906"/>
    <col min="6162" max="6162" width="5.85546875" style="906" customWidth="1"/>
    <col min="6163" max="6163" width="7" style="906" customWidth="1"/>
    <col min="6164" max="6400" width="9.140625" style="906"/>
    <col min="6401" max="6402" width="2.140625" style="906" customWidth="1"/>
    <col min="6403" max="6403" width="38.85546875" style="906" bestFit="1" customWidth="1"/>
    <col min="6404" max="6416" width="10.28515625" style="906" customWidth="1"/>
    <col min="6417" max="6417" width="9.140625" style="906"/>
    <col min="6418" max="6418" width="5.85546875" style="906" customWidth="1"/>
    <col min="6419" max="6419" width="7" style="906" customWidth="1"/>
    <col min="6420" max="6656" width="9.140625" style="906"/>
    <col min="6657" max="6658" width="2.140625" style="906" customWidth="1"/>
    <col min="6659" max="6659" width="38.85546875" style="906" bestFit="1" customWidth="1"/>
    <col min="6660" max="6672" width="10.28515625" style="906" customWidth="1"/>
    <col min="6673" max="6673" width="9.140625" style="906"/>
    <col min="6674" max="6674" width="5.85546875" style="906" customWidth="1"/>
    <col min="6675" max="6675" width="7" style="906" customWidth="1"/>
    <col min="6676" max="6912" width="9.140625" style="906"/>
    <col min="6913" max="6914" width="2.140625" style="906" customWidth="1"/>
    <col min="6915" max="6915" width="38.85546875" style="906" bestFit="1" customWidth="1"/>
    <col min="6916" max="6928" width="10.28515625" style="906" customWidth="1"/>
    <col min="6929" max="6929" width="9.140625" style="906"/>
    <col min="6930" max="6930" width="5.85546875" style="906" customWidth="1"/>
    <col min="6931" max="6931" width="7" style="906" customWidth="1"/>
    <col min="6932" max="7168" width="9.140625" style="906"/>
    <col min="7169" max="7170" width="2.140625" style="906" customWidth="1"/>
    <col min="7171" max="7171" width="38.85546875" style="906" bestFit="1" customWidth="1"/>
    <col min="7172" max="7184" width="10.28515625" style="906" customWidth="1"/>
    <col min="7185" max="7185" width="9.140625" style="906"/>
    <col min="7186" max="7186" width="5.85546875" style="906" customWidth="1"/>
    <col min="7187" max="7187" width="7" style="906" customWidth="1"/>
    <col min="7188" max="7424" width="9.140625" style="906"/>
    <col min="7425" max="7426" width="2.140625" style="906" customWidth="1"/>
    <col min="7427" max="7427" width="38.85546875" style="906" bestFit="1" customWidth="1"/>
    <col min="7428" max="7440" width="10.28515625" style="906" customWidth="1"/>
    <col min="7441" max="7441" width="9.140625" style="906"/>
    <col min="7442" max="7442" width="5.85546875" style="906" customWidth="1"/>
    <col min="7443" max="7443" width="7" style="906" customWidth="1"/>
    <col min="7444" max="7680" width="9.140625" style="906"/>
    <col min="7681" max="7682" width="2.140625" style="906" customWidth="1"/>
    <col min="7683" max="7683" width="38.85546875" style="906" bestFit="1" customWidth="1"/>
    <col min="7684" max="7696" width="10.28515625" style="906" customWidth="1"/>
    <col min="7697" max="7697" width="9.140625" style="906"/>
    <col min="7698" max="7698" width="5.85546875" style="906" customWidth="1"/>
    <col min="7699" max="7699" width="7" style="906" customWidth="1"/>
    <col min="7700" max="7936" width="9.140625" style="906"/>
    <col min="7937" max="7938" width="2.140625" style="906" customWidth="1"/>
    <col min="7939" max="7939" width="38.85546875" style="906" bestFit="1" customWidth="1"/>
    <col min="7940" max="7952" width="10.28515625" style="906" customWidth="1"/>
    <col min="7953" max="7953" width="9.140625" style="906"/>
    <col min="7954" max="7954" width="5.85546875" style="906" customWidth="1"/>
    <col min="7955" max="7955" width="7" style="906" customWidth="1"/>
    <col min="7956" max="8192" width="9.140625" style="906"/>
    <col min="8193" max="8194" width="2.140625" style="906" customWidth="1"/>
    <col min="8195" max="8195" width="38.85546875" style="906" bestFit="1" customWidth="1"/>
    <col min="8196" max="8208" width="10.28515625" style="906" customWidth="1"/>
    <col min="8209" max="8209" width="9.140625" style="906"/>
    <col min="8210" max="8210" width="5.85546875" style="906" customWidth="1"/>
    <col min="8211" max="8211" width="7" style="906" customWidth="1"/>
    <col min="8212" max="8448" width="9.140625" style="906"/>
    <col min="8449" max="8450" width="2.140625" style="906" customWidth="1"/>
    <col min="8451" max="8451" width="38.85546875" style="906" bestFit="1" customWidth="1"/>
    <col min="8452" max="8464" width="10.28515625" style="906" customWidth="1"/>
    <col min="8465" max="8465" width="9.140625" style="906"/>
    <col min="8466" max="8466" width="5.85546875" style="906" customWidth="1"/>
    <col min="8467" max="8467" width="7" style="906" customWidth="1"/>
    <col min="8468" max="8704" width="9.140625" style="906"/>
    <col min="8705" max="8706" width="2.140625" style="906" customWidth="1"/>
    <col min="8707" max="8707" width="38.85546875" style="906" bestFit="1" customWidth="1"/>
    <col min="8708" max="8720" width="10.28515625" style="906" customWidth="1"/>
    <col min="8721" max="8721" width="9.140625" style="906"/>
    <col min="8722" max="8722" width="5.85546875" style="906" customWidth="1"/>
    <col min="8723" max="8723" width="7" style="906" customWidth="1"/>
    <col min="8724" max="8960" width="9.140625" style="906"/>
    <col min="8961" max="8962" width="2.140625" style="906" customWidth="1"/>
    <col min="8963" max="8963" width="38.85546875" style="906" bestFit="1" customWidth="1"/>
    <col min="8964" max="8976" width="10.28515625" style="906" customWidth="1"/>
    <col min="8977" max="8977" width="9.140625" style="906"/>
    <col min="8978" max="8978" width="5.85546875" style="906" customWidth="1"/>
    <col min="8979" max="8979" width="7" style="906" customWidth="1"/>
    <col min="8980" max="9216" width="9.140625" style="906"/>
    <col min="9217" max="9218" width="2.140625" style="906" customWidth="1"/>
    <col min="9219" max="9219" width="38.85546875" style="906" bestFit="1" customWidth="1"/>
    <col min="9220" max="9232" width="10.28515625" style="906" customWidth="1"/>
    <col min="9233" max="9233" width="9.140625" style="906"/>
    <col min="9234" max="9234" width="5.85546875" style="906" customWidth="1"/>
    <col min="9235" max="9235" width="7" style="906" customWidth="1"/>
    <col min="9236" max="9472" width="9.140625" style="906"/>
    <col min="9473" max="9474" width="2.140625" style="906" customWidth="1"/>
    <col min="9475" max="9475" width="38.85546875" style="906" bestFit="1" customWidth="1"/>
    <col min="9476" max="9488" width="10.28515625" style="906" customWidth="1"/>
    <col min="9489" max="9489" width="9.140625" style="906"/>
    <col min="9490" max="9490" width="5.85546875" style="906" customWidth="1"/>
    <col min="9491" max="9491" width="7" style="906" customWidth="1"/>
    <col min="9492" max="9728" width="9.140625" style="906"/>
    <col min="9729" max="9730" width="2.140625" style="906" customWidth="1"/>
    <col min="9731" max="9731" width="38.85546875" style="906" bestFit="1" customWidth="1"/>
    <col min="9732" max="9744" width="10.28515625" style="906" customWidth="1"/>
    <col min="9745" max="9745" width="9.140625" style="906"/>
    <col min="9746" max="9746" width="5.85546875" style="906" customWidth="1"/>
    <col min="9747" max="9747" width="7" style="906" customWidth="1"/>
    <col min="9748" max="9984" width="9.140625" style="906"/>
    <col min="9985" max="9986" width="2.140625" style="906" customWidth="1"/>
    <col min="9987" max="9987" width="38.85546875" style="906" bestFit="1" customWidth="1"/>
    <col min="9988" max="10000" width="10.28515625" style="906" customWidth="1"/>
    <col min="10001" max="10001" width="9.140625" style="906"/>
    <col min="10002" max="10002" width="5.85546875" style="906" customWidth="1"/>
    <col min="10003" max="10003" width="7" style="906" customWidth="1"/>
    <col min="10004" max="10240" width="9.140625" style="906"/>
    <col min="10241" max="10242" width="2.140625" style="906" customWidth="1"/>
    <col min="10243" max="10243" width="38.85546875" style="906" bestFit="1" customWidth="1"/>
    <col min="10244" max="10256" width="10.28515625" style="906" customWidth="1"/>
    <col min="10257" max="10257" width="9.140625" style="906"/>
    <col min="10258" max="10258" width="5.85546875" style="906" customWidth="1"/>
    <col min="10259" max="10259" width="7" style="906" customWidth="1"/>
    <col min="10260" max="10496" width="9.140625" style="906"/>
    <col min="10497" max="10498" width="2.140625" style="906" customWidth="1"/>
    <col min="10499" max="10499" width="38.85546875" style="906" bestFit="1" customWidth="1"/>
    <col min="10500" max="10512" width="10.28515625" style="906" customWidth="1"/>
    <col min="10513" max="10513" width="9.140625" style="906"/>
    <col min="10514" max="10514" width="5.85546875" style="906" customWidth="1"/>
    <col min="10515" max="10515" width="7" style="906" customWidth="1"/>
    <col min="10516" max="10752" width="9.140625" style="906"/>
    <col min="10753" max="10754" width="2.140625" style="906" customWidth="1"/>
    <col min="10755" max="10755" width="38.85546875" style="906" bestFit="1" customWidth="1"/>
    <col min="10756" max="10768" width="10.28515625" style="906" customWidth="1"/>
    <col min="10769" max="10769" width="9.140625" style="906"/>
    <col min="10770" max="10770" width="5.85546875" style="906" customWidth="1"/>
    <col min="10771" max="10771" width="7" style="906" customWidth="1"/>
    <col min="10772" max="11008" width="9.140625" style="906"/>
    <col min="11009" max="11010" width="2.140625" style="906" customWidth="1"/>
    <col min="11011" max="11011" width="38.85546875" style="906" bestFit="1" customWidth="1"/>
    <col min="11012" max="11024" width="10.28515625" style="906" customWidth="1"/>
    <col min="11025" max="11025" width="9.140625" style="906"/>
    <col min="11026" max="11026" width="5.85546875" style="906" customWidth="1"/>
    <col min="11027" max="11027" width="7" style="906" customWidth="1"/>
    <col min="11028" max="11264" width="9.140625" style="906"/>
    <col min="11265" max="11266" width="2.140625" style="906" customWidth="1"/>
    <col min="11267" max="11267" width="38.85546875" style="906" bestFit="1" customWidth="1"/>
    <col min="11268" max="11280" width="10.28515625" style="906" customWidth="1"/>
    <col min="11281" max="11281" width="9.140625" style="906"/>
    <col min="11282" max="11282" width="5.85546875" style="906" customWidth="1"/>
    <col min="11283" max="11283" width="7" style="906" customWidth="1"/>
    <col min="11284" max="11520" width="9.140625" style="906"/>
    <col min="11521" max="11522" width="2.140625" style="906" customWidth="1"/>
    <col min="11523" max="11523" width="38.85546875" style="906" bestFit="1" customWidth="1"/>
    <col min="11524" max="11536" width="10.28515625" style="906" customWidth="1"/>
    <col min="11537" max="11537" width="9.140625" style="906"/>
    <col min="11538" max="11538" width="5.85546875" style="906" customWidth="1"/>
    <col min="11539" max="11539" width="7" style="906" customWidth="1"/>
    <col min="11540" max="11776" width="9.140625" style="906"/>
    <col min="11777" max="11778" width="2.140625" style="906" customWidth="1"/>
    <col min="11779" max="11779" width="38.85546875" style="906" bestFit="1" customWidth="1"/>
    <col min="11780" max="11792" width="10.28515625" style="906" customWidth="1"/>
    <col min="11793" max="11793" width="9.140625" style="906"/>
    <col min="11794" max="11794" width="5.85546875" style="906" customWidth="1"/>
    <col min="11795" max="11795" width="7" style="906" customWidth="1"/>
    <col min="11796" max="12032" width="9.140625" style="906"/>
    <col min="12033" max="12034" width="2.140625" style="906" customWidth="1"/>
    <col min="12035" max="12035" width="38.85546875" style="906" bestFit="1" customWidth="1"/>
    <col min="12036" max="12048" width="10.28515625" style="906" customWidth="1"/>
    <col min="12049" max="12049" width="9.140625" style="906"/>
    <col min="12050" max="12050" width="5.85546875" style="906" customWidth="1"/>
    <col min="12051" max="12051" width="7" style="906" customWidth="1"/>
    <col min="12052" max="12288" width="9.140625" style="906"/>
    <col min="12289" max="12290" width="2.140625" style="906" customWidth="1"/>
    <col min="12291" max="12291" width="38.85546875" style="906" bestFit="1" customWidth="1"/>
    <col min="12292" max="12304" width="10.28515625" style="906" customWidth="1"/>
    <col min="12305" max="12305" width="9.140625" style="906"/>
    <col min="12306" max="12306" width="5.85546875" style="906" customWidth="1"/>
    <col min="12307" max="12307" width="7" style="906" customWidth="1"/>
    <col min="12308" max="12544" width="9.140625" style="906"/>
    <col min="12545" max="12546" width="2.140625" style="906" customWidth="1"/>
    <col min="12547" max="12547" width="38.85546875" style="906" bestFit="1" customWidth="1"/>
    <col min="12548" max="12560" width="10.28515625" style="906" customWidth="1"/>
    <col min="12561" max="12561" width="9.140625" style="906"/>
    <col min="12562" max="12562" width="5.85546875" style="906" customWidth="1"/>
    <col min="12563" max="12563" width="7" style="906" customWidth="1"/>
    <col min="12564" max="12800" width="9.140625" style="906"/>
    <col min="12801" max="12802" width="2.140625" style="906" customWidth="1"/>
    <col min="12803" max="12803" width="38.85546875" style="906" bestFit="1" customWidth="1"/>
    <col min="12804" max="12816" width="10.28515625" style="906" customWidth="1"/>
    <col min="12817" max="12817" width="9.140625" style="906"/>
    <col min="12818" max="12818" width="5.85546875" style="906" customWidth="1"/>
    <col min="12819" max="12819" width="7" style="906" customWidth="1"/>
    <col min="12820" max="13056" width="9.140625" style="906"/>
    <col min="13057" max="13058" width="2.140625" style="906" customWidth="1"/>
    <col min="13059" max="13059" width="38.85546875" style="906" bestFit="1" customWidth="1"/>
    <col min="13060" max="13072" width="10.28515625" style="906" customWidth="1"/>
    <col min="13073" max="13073" width="9.140625" style="906"/>
    <col min="13074" max="13074" width="5.85546875" style="906" customWidth="1"/>
    <col min="13075" max="13075" width="7" style="906" customWidth="1"/>
    <col min="13076" max="13312" width="9.140625" style="906"/>
    <col min="13313" max="13314" width="2.140625" style="906" customWidth="1"/>
    <col min="13315" max="13315" width="38.85546875" style="906" bestFit="1" customWidth="1"/>
    <col min="13316" max="13328" width="10.28515625" style="906" customWidth="1"/>
    <col min="13329" max="13329" width="9.140625" style="906"/>
    <col min="13330" max="13330" width="5.85546875" style="906" customWidth="1"/>
    <col min="13331" max="13331" width="7" style="906" customWidth="1"/>
    <col min="13332" max="13568" width="9.140625" style="906"/>
    <col min="13569" max="13570" width="2.140625" style="906" customWidth="1"/>
    <col min="13571" max="13571" width="38.85546875" style="906" bestFit="1" customWidth="1"/>
    <col min="13572" max="13584" width="10.28515625" style="906" customWidth="1"/>
    <col min="13585" max="13585" width="9.140625" style="906"/>
    <col min="13586" max="13586" width="5.85546875" style="906" customWidth="1"/>
    <col min="13587" max="13587" width="7" style="906" customWidth="1"/>
    <col min="13588" max="13824" width="9.140625" style="906"/>
    <col min="13825" max="13826" width="2.140625" style="906" customWidth="1"/>
    <col min="13827" max="13827" width="38.85546875" style="906" bestFit="1" customWidth="1"/>
    <col min="13828" max="13840" width="10.28515625" style="906" customWidth="1"/>
    <col min="13841" max="13841" width="9.140625" style="906"/>
    <col min="13842" max="13842" width="5.85546875" style="906" customWidth="1"/>
    <col min="13843" max="13843" width="7" style="906" customWidth="1"/>
    <col min="13844" max="14080" width="9.140625" style="906"/>
    <col min="14081" max="14082" width="2.140625" style="906" customWidth="1"/>
    <col min="14083" max="14083" width="38.85546875" style="906" bestFit="1" customWidth="1"/>
    <col min="14084" max="14096" width="10.28515625" style="906" customWidth="1"/>
    <col min="14097" max="14097" width="9.140625" style="906"/>
    <col min="14098" max="14098" width="5.85546875" style="906" customWidth="1"/>
    <col min="14099" max="14099" width="7" style="906" customWidth="1"/>
    <col min="14100" max="14336" width="9.140625" style="906"/>
    <col min="14337" max="14338" width="2.140625" style="906" customWidth="1"/>
    <col min="14339" max="14339" width="38.85546875" style="906" bestFit="1" customWidth="1"/>
    <col min="14340" max="14352" width="10.28515625" style="906" customWidth="1"/>
    <col min="14353" max="14353" width="9.140625" style="906"/>
    <col min="14354" max="14354" width="5.85546875" style="906" customWidth="1"/>
    <col min="14355" max="14355" width="7" style="906" customWidth="1"/>
    <col min="14356" max="14592" width="9.140625" style="906"/>
    <col min="14593" max="14594" width="2.140625" style="906" customWidth="1"/>
    <col min="14595" max="14595" width="38.85546875" style="906" bestFit="1" customWidth="1"/>
    <col min="14596" max="14608" width="10.28515625" style="906" customWidth="1"/>
    <col min="14609" max="14609" width="9.140625" style="906"/>
    <col min="14610" max="14610" width="5.85546875" style="906" customWidth="1"/>
    <col min="14611" max="14611" width="7" style="906" customWidth="1"/>
    <col min="14612" max="14848" width="9.140625" style="906"/>
    <col min="14849" max="14850" width="2.140625" style="906" customWidth="1"/>
    <col min="14851" max="14851" width="38.85546875" style="906" bestFit="1" customWidth="1"/>
    <col min="14852" max="14864" width="10.28515625" style="906" customWidth="1"/>
    <col min="14865" max="14865" width="9.140625" style="906"/>
    <col min="14866" max="14866" width="5.85546875" style="906" customWidth="1"/>
    <col min="14867" max="14867" width="7" style="906" customWidth="1"/>
    <col min="14868" max="15104" width="9.140625" style="906"/>
    <col min="15105" max="15106" width="2.140625" style="906" customWidth="1"/>
    <col min="15107" max="15107" width="38.85546875" style="906" bestFit="1" customWidth="1"/>
    <col min="15108" max="15120" width="10.28515625" style="906" customWidth="1"/>
    <col min="15121" max="15121" width="9.140625" style="906"/>
    <col min="15122" max="15122" width="5.85546875" style="906" customWidth="1"/>
    <col min="15123" max="15123" width="7" style="906" customWidth="1"/>
    <col min="15124" max="15360" width="9.140625" style="906"/>
    <col min="15361" max="15362" width="2.140625" style="906" customWidth="1"/>
    <col min="15363" max="15363" width="38.85546875" style="906" bestFit="1" customWidth="1"/>
    <col min="15364" max="15376" width="10.28515625" style="906" customWidth="1"/>
    <col min="15377" max="15377" width="9.140625" style="906"/>
    <col min="15378" max="15378" width="5.85546875" style="906" customWidth="1"/>
    <col min="15379" max="15379" width="7" style="906" customWidth="1"/>
    <col min="15380" max="15616" width="9.140625" style="906"/>
    <col min="15617" max="15618" width="2.140625" style="906" customWidth="1"/>
    <col min="15619" max="15619" width="38.85546875" style="906" bestFit="1" customWidth="1"/>
    <col min="15620" max="15632" width="10.28515625" style="906" customWidth="1"/>
    <col min="15633" max="15633" width="9.140625" style="906"/>
    <col min="15634" max="15634" width="5.85546875" style="906" customWidth="1"/>
    <col min="15635" max="15635" width="7" style="906" customWidth="1"/>
    <col min="15636" max="15872" width="9.140625" style="906"/>
    <col min="15873" max="15874" width="2.140625" style="906" customWidth="1"/>
    <col min="15875" max="15875" width="38.85546875" style="906" bestFit="1" customWidth="1"/>
    <col min="15876" max="15888" width="10.28515625" style="906" customWidth="1"/>
    <col min="15889" max="15889" width="9.140625" style="906"/>
    <col min="15890" max="15890" width="5.85546875" style="906" customWidth="1"/>
    <col min="15891" max="15891" width="7" style="906" customWidth="1"/>
    <col min="15892" max="16128" width="9.140625" style="906"/>
    <col min="16129" max="16130" width="2.140625" style="906" customWidth="1"/>
    <col min="16131" max="16131" width="38.85546875" style="906" bestFit="1" customWidth="1"/>
    <col min="16132" max="16144" width="10.28515625" style="906" customWidth="1"/>
    <col min="16145" max="16145" width="9.140625" style="906"/>
    <col min="16146" max="16146" width="5.85546875" style="906" customWidth="1"/>
    <col min="16147" max="16147" width="7" style="906" customWidth="1"/>
    <col min="16148" max="16384" width="9.140625" style="906"/>
  </cols>
  <sheetData>
    <row r="1" spans="1:23" ht="18">
      <c r="A1" s="961" t="s">
        <v>725</v>
      </c>
      <c r="B1" s="98"/>
      <c r="C1" s="962"/>
      <c r="D1" s="962"/>
      <c r="E1" s="963"/>
      <c r="F1" s="963"/>
      <c r="G1" s="963"/>
      <c r="H1" s="963"/>
      <c r="I1" s="963"/>
      <c r="J1" s="963"/>
      <c r="K1" s="963"/>
      <c r="L1" s="963"/>
      <c r="M1" s="963"/>
      <c r="N1" s="963"/>
      <c r="O1" s="963"/>
      <c r="P1" s="963"/>
      <c r="Q1" s="963"/>
    </row>
    <row r="2" spans="1:23" ht="12.75">
      <c r="A2" s="100" t="s">
        <v>1098</v>
      </c>
      <c r="B2" s="962"/>
      <c r="C2" s="962"/>
      <c r="D2" s="962"/>
      <c r="E2" s="963"/>
      <c r="F2" s="963"/>
      <c r="G2" s="963"/>
      <c r="H2" s="963"/>
      <c r="I2" s="963"/>
      <c r="J2" s="963"/>
      <c r="K2" s="963"/>
      <c r="L2" s="963"/>
      <c r="M2" s="963"/>
      <c r="N2" s="963"/>
      <c r="O2" s="963"/>
      <c r="P2" s="963"/>
      <c r="Q2" s="963"/>
    </row>
    <row r="3" spans="1:23" ht="12.75">
      <c r="A3" s="962"/>
      <c r="B3" s="962"/>
      <c r="C3" s="962"/>
      <c r="D3" s="962"/>
      <c r="E3" s="963"/>
      <c r="F3" s="963"/>
      <c r="G3" s="963"/>
      <c r="H3" s="963"/>
      <c r="I3" s="963"/>
      <c r="J3" s="963"/>
      <c r="K3" s="963"/>
      <c r="L3" s="963"/>
      <c r="M3" s="963"/>
      <c r="N3" s="963"/>
      <c r="O3" s="963"/>
      <c r="P3" s="963"/>
      <c r="Q3" s="963"/>
    </row>
    <row r="4" spans="1:23" ht="12.75">
      <c r="A4" s="964">
        <v>1</v>
      </c>
      <c r="B4" s="962"/>
      <c r="C4" s="962" t="s">
        <v>50</v>
      </c>
      <c r="D4" s="965"/>
      <c r="E4" s="966" t="str">
        <f t="shared" ref="E4:Q4" si="0">E5&amp;"-FY"</f>
        <v>2015-FY</v>
      </c>
      <c r="F4" s="966" t="str">
        <f t="shared" si="0"/>
        <v>2016-FY</v>
      </c>
      <c r="G4" s="966" t="str">
        <f t="shared" si="0"/>
        <v>2017-FY</v>
      </c>
      <c r="H4" s="966" t="str">
        <f t="shared" si="0"/>
        <v>2018-FY</v>
      </c>
      <c r="I4" s="966" t="str">
        <f t="shared" si="0"/>
        <v>2019-FY</v>
      </c>
      <c r="J4" s="966" t="str">
        <f t="shared" si="0"/>
        <v>2020-FY</v>
      </c>
      <c r="K4" s="966" t="str">
        <f t="shared" si="0"/>
        <v>2021-FY</v>
      </c>
      <c r="L4" s="966" t="str">
        <f t="shared" si="0"/>
        <v>2022-FY</v>
      </c>
      <c r="M4" s="966" t="str">
        <f t="shared" si="0"/>
        <v>2023-FY</v>
      </c>
      <c r="N4" s="966" t="str">
        <f t="shared" si="0"/>
        <v>2024-FY</v>
      </c>
      <c r="O4" s="966" t="str">
        <f t="shared" si="0"/>
        <v>2025-FY</v>
      </c>
      <c r="P4" s="966" t="str">
        <f t="shared" si="0"/>
        <v>2026-FY</v>
      </c>
      <c r="Q4" s="966" t="str">
        <f t="shared" si="0"/>
        <v>2027-FY</v>
      </c>
    </row>
    <row r="5" spans="1:23" ht="12.75">
      <c r="A5" s="964">
        <v>2</v>
      </c>
      <c r="B5" s="962"/>
      <c r="C5" s="962" t="s">
        <v>289</v>
      </c>
      <c r="D5" s="962"/>
      <c r="E5" s="966">
        <f t="shared" ref="E5:Q5" si="1">YEAR(E6)</f>
        <v>2015</v>
      </c>
      <c r="F5" s="966">
        <f t="shared" si="1"/>
        <v>2016</v>
      </c>
      <c r="G5" s="966">
        <f t="shared" si="1"/>
        <v>2017</v>
      </c>
      <c r="H5" s="966">
        <f t="shared" si="1"/>
        <v>2018</v>
      </c>
      <c r="I5" s="966">
        <f t="shared" si="1"/>
        <v>2019</v>
      </c>
      <c r="J5" s="966">
        <f t="shared" si="1"/>
        <v>2020</v>
      </c>
      <c r="K5" s="966">
        <f t="shared" si="1"/>
        <v>2021</v>
      </c>
      <c r="L5" s="966">
        <f t="shared" si="1"/>
        <v>2022</v>
      </c>
      <c r="M5" s="966">
        <f t="shared" si="1"/>
        <v>2023</v>
      </c>
      <c r="N5" s="966">
        <f t="shared" si="1"/>
        <v>2024</v>
      </c>
      <c r="O5" s="966">
        <f t="shared" si="1"/>
        <v>2025</v>
      </c>
      <c r="P5" s="966">
        <f t="shared" si="1"/>
        <v>2026</v>
      </c>
      <c r="Q5" s="966">
        <f t="shared" si="1"/>
        <v>2027</v>
      </c>
    </row>
    <row r="6" spans="1:23" ht="12.75">
      <c r="A6" s="964">
        <v>3</v>
      </c>
      <c r="B6" s="962"/>
      <c r="C6" s="962" t="s">
        <v>1099</v>
      </c>
      <c r="D6" s="967"/>
      <c r="E6" s="968">
        <v>42369</v>
      </c>
      <c r="F6" s="968">
        <f t="shared" ref="F6:Q6" si="2">EOMONTH(E6,12)</f>
        <v>42735</v>
      </c>
      <c r="G6" s="968">
        <f t="shared" si="2"/>
        <v>43100</v>
      </c>
      <c r="H6" s="968">
        <f t="shared" si="2"/>
        <v>43465</v>
      </c>
      <c r="I6" s="968">
        <f t="shared" si="2"/>
        <v>43830</v>
      </c>
      <c r="J6" s="968">
        <f t="shared" si="2"/>
        <v>44196</v>
      </c>
      <c r="K6" s="968">
        <f t="shared" si="2"/>
        <v>44561</v>
      </c>
      <c r="L6" s="968">
        <f t="shared" si="2"/>
        <v>44926</v>
      </c>
      <c r="M6" s="968">
        <f t="shared" si="2"/>
        <v>45291</v>
      </c>
      <c r="N6" s="968">
        <f t="shared" si="2"/>
        <v>45657</v>
      </c>
      <c r="O6" s="968">
        <f t="shared" si="2"/>
        <v>46022</v>
      </c>
      <c r="P6" s="968">
        <f t="shared" si="2"/>
        <v>46387</v>
      </c>
      <c r="Q6" s="968">
        <f t="shared" si="2"/>
        <v>46752</v>
      </c>
    </row>
    <row r="7" spans="1:23" ht="12.75">
      <c r="A7" s="99"/>
      <c r="B7" s="99"/>
      <c r="C7" s="99"/>
      <c r="D7" s="99"/>
      <c r="E7" s="99"/>
      <c r="F7" s="99"/>
      <c r="G7" s="99"/>
      <c r="H7" s="99"/>
      <c r="I7" s="99"/>
      <c r="J7" s="99"/>
      <c r="K7" s="99"/>
      <c r="L7" s="99"/>
      <c r="M7" s="99"/>
      <c r="N7" s="99"/>
      <c r="O7" s="99"/>
      <c r="P7" s="99"/>
      <c r="Q7" s="99"/>
    </row>
    <row r="8" spans="1:23" ht="12.75">
      <c r="A8" s="99"/>
      <c r="B8" s="99"/>
      <c r="C8" s="969" t="s">
        <v>249</v>
      </c>
      <c r="D8" s="970"/>
      <c r="E8" s="99"/>
      <c r="F8" s="969" t="s">
        <v>1100</v>
      </c>
      <c r="G8" s="971"/>
      <c r="H8" s="970"/>
      <c r="I8" s="99"/>
      <c r="J8" s="99"/>
      <c r="K8" s="99"/>
      <c r="L8" s="99"/>
      <c r="M8" s="99"/>
      <c r="N8" s="99"/>
      <c r="O8" s="99"/>
      <c r="P8" s="99"/>
      <c r="Q8" s="99"/>
    </row>
    <row r="9" spans="1:23" ht="12.75">
      <c r="A9" s="99"/>
      <c r="B9" s="99"/>
      <c r="C9" s="972"/>
      <c r="D9" s="973"/>
      <c r="E9" s="99"/>
      <c r="F9" s="972" t="s">
        <v>1101</v>
      </c>
      <c r="G9" s="101"/>
      <c r="H9" s="974" t="s">
        <v>263</v>
      </c>
      <c r="I9" s="99"/>
      <c r="J9" s="99"/>
      <c r="K9" s="99"/>
      <c r="L9" s="99"/>
      <c r="M9" s="99"/>
      <c r="N9" s="99"/>
      <c r="O9" s="99"/>
      <c r="P9" s="99"/>
      <c r="Q9" s="99"/>
    </row>
    <row r="10" spans="1:23" ht="12.75">
      <c r="A10" s="99"/>
      <c r="B10" s="99"/>
      <c r="C10" s="972" t="s">
        <v>1102</v>
      </c>
      <c r="D10" s="975">
        <v>2.7E-2</v>
      </c>
      <c r="E10" s="976"/>
      <c r="F10" s="972" t="s">
        <v>1103</v>
      </c>
      <c r="G10" s="101"/>
      <c r="H10" s="977">
        <f>SUM(H40:Q40)</f>
        <v>44268.655089342399</v>
      </c>
      <c r="I10" s="99"/>
      <c r="J10" s="99"/>
      <c r="K10" s="99"/>
      <c r="L10" s="99"/>
      <c r="M10" s="99"/>
      <c r="N10" s="99"/>
      <c r="O10" s="99"/>
      <c r="P10" s="99"/>
      <c r="Q10" s="99"/>
    </row>
    <row r="11" spans="1:23" ht="12.75">
      <c r="A11" s="99"/>
      <c r="B11" s="99"/>
      <c r="C11" s="972" t="s">
        <v>1104</v>
      </c>
      <c r="D11" s="978">
        <v>1.2</v>
      </c>
      <c r="E11" s="979"/>
      <c r="F11" s="972" t="s">
        <v>1123</v>
      </c>
      <c r="G11" s="101"/>
      <c r="H11" s="1006">
        <f>-SOTP!O29</f>
        <v>-10553</v>
      </c>
      <c r="J11" s="99"/>
      <c r="K11" s="99"/>
      <c r="L11" s="99"/>
      <c r="M11" s="99"/>
      <c r="N11" s="99"/>
      <c r="O11" s="99"/>
      <c r="P11" s="99"/>
      <c r="Q11" s="99"/>
      <c r="R11" s="980"/>
      <c r="S11" s="906" t="s">
        <v>1151</v>
      </c>
    </row>
    <row r="12" spans="1:23" ht="12.75">
      <c r="A12" s="99"/>
      <c r="B12" s="99"/>
      <c r="C12" s="972" t="s">
        <v>1105</v>
      </c>
      <c r="D12" s="981">
        <f>D11/(1+(1-D18)*D17/D16)</f>
        <v>1.058091286307054</v>
      </c>
      <c r="E12" s="982"/>
      <c r="F12" s="972" t="s">
        <v>1126</v>
      </c>
      <c r="H12" s="1006">
        <f>-SOTP!O31</f>
        <v>5016</v>
      </c>
      <c r="J12" s="99"/>
      <c r="K12" s="99"/>
      <c r="L12" s="99"/>
      <c r="M12" s="99"/>
      <c r="N12" s="99"/>
      <c r="O12" s="99"/>
      <c r="P12" s="99"/>
      <c r="Q12" s="99"/>
      <c r="R12" s="980"/>
      <c r="S12" s="906" t="s">
        <v>1152</v>
      </c>
    </row>
    <row r="13" spans="1:23" ht="12.75">
      <c r="A13" s="99"/>
      <c r="B13" s="99"/>
      <c r="C13" s="972" t="s">
        <v>1106</v>
      </c>
      <c r="D13" s="975">
        <v>0.05</v>
      </c>
      <c r="E13" s="976"/>
      <c r="F13" s="972" t="s">
        <v>1094</v>
      </c>
      <c r="G13" s="101"/>
      <c r="H13" s="977">
        <f>H10-H11-H12</f>
        <v>49805.655089342399</v>
      </c>
      <c r="J13" s="99"/>
      <c r="K13" s="99"/>
      <c r="L13" s="99"/>
      <c r="M13" s="99"/>
      <c r="N13" s="99"/>
      <c r="O13" s="99"/>
      <c r="P13" s="99"/>
      <c r="Q13" s="99"/>
      <c r="R13" s="980"/>
      <c r="S13" s="906" t="s">
        <v>1153</v>
      </c>
    </row>
    <row r="14" spans="1:23" ht="12.75">
      <c r="A14" s="99"/>
      <c r="B14" s="99"/>
      <c r="C14" s="972" t="s">
        <v>1108</v>
      </c>
      <c r="D14" s="983">
        <f>D10+D12*D13</f>
        <v>7.99045643153527E-2</v>
      </c>
      <c r="E14" s="984"/>
      <c r="F14" s="972" t="s">
        <v>1107</v>
      </c>
      <c r="G14" s="101"/>
      <c r="H14" s="1006">
        <f>'Financial Model'!CU54</f>
        <v>3997.75</v>
      </c>
      <c r="I14" s="99"/>
      <c r="J14" s="987"/>
      <c r="K14" s="99"/>
      <c r="L14" s="99"/>
      <c r="M14" s="99"/>
      <c r="N14" s="99"/>
      <c r="O14" s="99"/>
      <c r="P14" s="99"/>
      <c r="Q14" s="99"/>
      <c r="R14" s="980"/>
    </row>
    <row r="15" spans="1:23" ht="12.75">
      <c r="A15" s="102"/>
      <c r="B15" s="99"/>
      <c r="C15" s="972" t="s">
        <v>1110</v>
      </c>
      <c r="D15" s="988">
        <v>0.06</v>
      </c>
      <c r="E15" s="984"/>
      <c r="F15" s="985" t="s">
        <v>1109</v>
      </c>
      <c r="G15" s="986"/>
      <c r="H15" s="1089">
        <f>H13/H14</f>
        <v>12.458421634505008</v>
      </c>
      <c r="I15" s="99"/>
      <c r="J15" s="99"/>
      <c r="K15" s="99"/>
      <c r="L15" s="99"/>
      <c r="M15" s="99"/>
      <c r="N15" s="99"/>
      <c r="O15" s="99"/>
      <c r="P15" s="99"/>
      <c r="Q15" s="99"/>
      <c r="R15" s="980"/>
      <c r="S15" s="932" t="s">
        <v>1155</v>
      </c>
      <c r="V15" s="1092">
        <v>12</v>
      </c>
      <c r="W15" s="1094">
        <f>1-W16</f>
        <v>0.75</v>
      </c>
    </row>
    <row r="16" spans="1:23" ht="13.5" thickBot="1">
      <c r="A16" s="99"/>
      <c r="B16" s="99"/>
      <c r="C16" s="972" t="s">
        <v>1111</v>
      </c>
      <c r="D16" s="983">
        <f>1-D17</f>
        <v>0.85</v>
      </c>
      <c r="E16" s="984"/>
      <c r="F16" s="99"/>
      <c r="G16" s="99"/>
      <c r="H16" s="99"/>
      <c r="I16" s="99"/>
      <c r="J16" s="99"/>
      <c r="K16" s="99"/>
      <c r="L16" s="99"/>
      <c r="M16" s="99"/>
      <c r="N16" s="99"/>
      <c r="O16" s="99"/>
      <c r="P16" s="99"/>
      <c r="Q16" s="99"/>
      <c r="S16" s="932" t="s">
        <v>1154</v>
      </c>
      <c r="V16" s="1092">
        <v>25</v>
      </c>
      <c r="W16" s="1093">
        <v>0.25</v>
      </c>
    </row>
    <row r="17" spans="1:22" ht="13.5" thickBot="1">
      <c r="A17" s="102"/>
      <c r="B17" s="99"/>
      <c r="C17" s="972" t="s">
        <v>1112</v>
      </c>
      <c r="D17" s="988">
        <v>0.15</v>
      </c>
      <c r="E17" s="984"/>
      <c r="F17" s="99"/>
      <c r="G17" s="99"/>
      <c r="H17" s="99"/>
      <c r="I17" s="99"/>
      <c r="J17" s="99"/>
      <c r="K17" s="99"/>
      <c r="L17" s="99"/>
      <c r="M17" s="99"/>
      <c r="N17" s="99"/>
      <c r="O17" s="99"/>
      <c r="P17" s="99"/>
      <c r="Q17" s="99"/>
      <c r="S17" s="932" t="s">
        <v>1156</v>
      </c>
      <c r="V17" s="1095">
        <f>V15*W15+V16*W16</f>
        <v>15.25</v>
      </c>
    </row>
    <row r="18" spans="1:22" ht="12.75">
      <c r="A18" s="99"/>
      <c r="B18" s="99"/>
      <c r="C18" s="972" t="s">
        <v>1113</v>
      </c>
      <c r="D18" s="988">
        <v>0.24</v>
      </c>
      <c r="E18" s="976"/>
      <c r="F18" s="99"/>
      <c r="G18" s="99"/>
      <c r="H18" s="99"/>
      <c r="I18" s="99"/>
      <c r="J18" s="99"/>
      <c r="K18" s="99"/>
      <c r="L18" s="99"/>
      <c r="M18" s="99"/>
      <c r="N18" s="99"/>
      <c r="O18" s="99"/>
      <c r="P18" s="99"/>
      <c r="Q18" s="99"/>
    </row>
    <row r="19" spans="1:22" ht="12.75">
      <c r="A19" s="99"/>
      <c r="B19" s="99"/>
      <c r="C19" s="972" t="s">
        <v>1114</v>
      </c>
      <c r="D19" s="983">
        <f>D16*D14+D17*D15*(1-D18)</f>
        <v>7.4758879668049796E-2</v>
      </c>
      <c r="E19" s="984"/>
      <c r="F19" s="99"/>
      <c r="G19" s="99"/>
      <c r="H19" s="99"/>
      <c r="I19" s="99"/>
      <c r="J19" s="99"/>
      <c r="K19" s="99"/>
      <c r="L19" s="99"/>
      <c r="M19" s="99"/>
      <c r="N19" s="99"/>
      <c r="O19" s="99"/>
      <c r="P19" s="99"/>
      <c r="Q19" s="99"/>
    </row>
    <row r="20" spans="1:22" ht="12.75">
      <c r="A20" s="99"/>
      <c r="B20" s="99"/>
      <c r="C20" s="989" t="s">
        <v>1115</v>
      </c>
      <c r="D20" s="990">
        <v>0.01</v>
      </c>
      <c r="E20" s="976"/>
      <c r="F20" s="99"/>
      <c r="G20" s="99"/>
      <c r="H20" s="99"/>
      <c r="I20" s="99"/>
      <c r="J20" s="99"/>
      <c r="K20" s="99"/>
      <c r="L20" s="99"/>
      <c r="M20" s="99"/>
      <c r="N20" s="99"/>
      <c r="O20" s="99"/>
      <c r="P20" s="99"/>
      <c r="Q20" s="99"/>
    </row>
    <row r="21" spans="1:22" ht="12.75">
      <c r="A21" s="99"/>
      <c r="B21" s="99"/>
      <c r="C21" s="99"/>
      <c r="D21" s="976"/>
      <c r="E21" s="976"/>
      <c r="F21" s="99"/>
      <c r="G21" s="99"/>
      <c r="H21" s="99"/>
      <c r="I21" s="99"/>
      <c r="J21" s="99"/>
      <c r="K21" s="99"/>
      <c r="L21" s="99"/>
      <c r="M21" s="99"/>
      <c r="N21" s="99"/>
      <c r="O21" s="99"/>
      <c r="P21" s="99"/>
      <c r="Q21" s="99"/>
    </row>
    <row r="22" spans="1:22" ht="12.75">
      <c r="A22" s="99"/>
      <c r="B22" s="99"/>
      <c r="C22" s="991" t="s">
        <v>1116</v>
      </c>
      <c r="D22" s="991"/>
      <c r="E22" s="991"/>
      <c r="F22" s="992">
        <f t="shared" ref="F22:P22" si="3">F5</f>
        <v>2016</v>
      </c>
      <c r="G22" s="991">
        <f t="shared" si="3"/>
        <v>2017</v>
      </c>
      <c r="H22" s="991">
        <f t="shared" si="3"/>
        <v>2018</v>
      </c>
      <c r="I22" s="991">
        <f t="shared" si="3"/>
        <v>2019</v>
      </c>
      <c r="J22" s="991">
        <f t="shared" si="3"/>
        <v>2020</v>
      </c>
      <c r="K22" s="991">
        <f t="shared" si="3"/>
        <v>2021</v>
      </c>
      <c r="L22" s="991">
        <f t="shared" si="3"/>
        <v>2022</v>
      </c>
      <c r="M22" s="991">
        <f t="shared" si="3"/>
        <v>2023</v>
      </c>
      <c r="N22" s="991">
        <f t="shared" si="3"/>
        <v>2024</v>
      </c>
      <c r="O22" s="991">
        <f t="shared" si="3"/>
        <v>2025</v>
      </c>
      <c r="P22" s="991">
        <f t="shared" si="3"/>
        <v>2026</v>
      </c>
      <c r="Q22" s="991">
        <f t="shared" ref="Q22" si="4">Q5</f>
        <v>2027</v>
      </c>
    </row>
    <row r="23" spans="1:22" ht="12.75">
      <c r="A23" s="99"/>
      <c r="B23" s="99"/>
      <c r="C23" s="99"/>
      <c r="D23" s="99"/>
      <c r="E23" s="99"/>
      <c r="F23" s="993"/>
      <c r="G23" s="99"/>
      <c r="H23" s="99"/>
      <c r="I23" s="99"/>
      <c r="J23" s="99"/>
      <c r="K23" s="99"/>
      <c r="L23" s="99"/>
      <c r="M23" s="99"/>
      <c r="N23" s="99"/>
      <c r="O23" s="99"/>
      <c r="P23" s="99"/>
      <c r="Q23" s="99"/>
    </row>
    <row r="24" spans="1:22" ht="12.75">
      <c r="A24" s="102">
        <v>12</v>
      </c>
      <c r="B24" s="99"/>
      <c r="C24" s="99" t="s">
        <v>268</v>
      </c>
      <c r="D24" s="99"/>
      <c r="E24" s="99"/>
      <c r="F24" s="994">
        <f>'Financial Model'!CP15</f>
        <v>151800</v>
      </c>
      <c r="G24" s="1007">
        <f>'Financial Model'!CU15</f>
        <v>156776</v>
      </c>
      <c r="H24" s="1007">
        <f>'Financial Model'!CZ15</f>
        <v>158032.09850000002</v>
      </c>
      <c r="I24" s="1007">
        <f>'Financial Model'!DA15</f>
        <v>158929.28186350001</v>
      </c>
      <c r="J24" s="1007">
        <f>'Financial Model'!DB15</f>
        <v>163539.38317391014</v>
      </c>
      <c r="K24" s="1007">
        <f>'Financial Model'!DC15</f>
        <v>167826.83523714161</v>
      </c>
      <c r="L24" s="102">
        <f t="shared" ref="L24:Q24" si="5">K24*(1+L25)</f>
        <v>169454.75553894188</v>
      </c>
      <c r="M24" s="102">
        <f t="shared" si="5"/>
        <v>170302.02931663659</v>
      </c>
      <c r="N24" s="102">
        <f t="shared" si="5"/>
        <v>171153.53946321976</v>
      </c>
      <c r="O24" s="102">
        <f t="shared" si="5"/>
        <v>172009.30716053583</v>
      </c>
      <c r="P24" s="102">
        <f t="shared" si="5"/>
        <v>172869.35369633848</v>
      </c>
      <c r="Q24" s="102">
        <f t="shared" si="5"/>
        <v>173733.70046482017</v>
      </c>
    </row>
    <row r="25" spans="1:22" ht="12.75">
      <c r="A25" s="102"/>
      <c r="B25" s="99"/>
      <c r="C25" s="99"/>
      <c r="D25" s="99"/>
      <c r="E25" s="99"/>
      <c r="F25" s="994"/>
      <c r="G25" s="995">
        <f>G24/F24-1</f>
        <v>3.2779973649538885E-2</v>
      </c>
      <c r="H25" s="995">
        <f>H24/G24-1</f>
        <v>8.0120586059091448E-3</v>
      </c>
      <c r="I25" s="995">
        <f>I24/H24-1</f>
        <v>5.6772223618861695E-3</v>
      </c>
      <c r="J25" s="995">
        <f>J24/I24-1</f>
        <v>2.9007249364969789E-2</v>
      </c>
      <c r="K25" s="995">
        <f>K24/J24-1</f>
        <v>2.6216633449522853E-2</v>
      </c>
      <c r="L25" s="976">
        <v>9.7000000000000003E-3</v>
      </c>
      <c r="M25" s="976">
        <v>5.0000000000000001E-3</v>
      </c>
      <c r="N25" s="976">
        <v>5.0000000000000001E-3</v>
      </c>
      <c r="O25" s="976">
        <v>5.0000000000000001E-3</v>
      </c>
      <c r="P25" s="976">
        <v>5.0000000000000001E-3</v>
      </c>
      <c r="Q25" s="976">
        <v>5.0000000000000001E-3</v>
      </c>
    </row>
    <row r="26" spans="1:22" ht="12.75">
      <c r="A26" s="99"/>
      <c r="B26" s="99"/>
      <c r="C26" s="99"/>
      <c r="D26" s="99"/>
      <c r="E26" s="99"/>
      <c r="F26" s="994"/>
      <c r="G26" s="102"/>
      <c r="H26" s="102"/>
      <c r="I26" s="102"/>
      <c r="J26" s="102"/>
      <c r="K26" s="102"/>
      <c r="L26" s="102"/>
      <c r="M26" s="102"/>
      <c r="N26" s="102"/>
      <c r="O26" s="102"/>
      <c r="P26" s="102"/>
      <c r="Q26" s="102"/>
    </row>
    <row r="27" spans="1:22" ht="12.75">
      <c r="A27" s="102">
        <v>24</v>
      </c>
      <c r="B27" s="102"/>
      <c r="C27" s="99" t="s">
        <v>1124</v>
      </c>
      <c r="D27" s="99"/>
      <c r="E27" s="99"/>
      <c r="F27" s="994">
        <f>'Financial Model'!CP37</f>
        <v>6796</v>
      </c>
      <c r="G27" s="1007">
        <f>'Financial Model'!CU37</f>
        <v>8148</v>
      </c>
      <c r="H27" s="1007">
        <f>'Financial Model'!CZ37</f>
        <v>6817.33</v>
      </c>
      <c r="I27" s="1007">
        <f>'Financial Model'!DA37</f>
        <v>6311.8827971731616</v>
      </c>
      <c r="J27" s="1007">
        <f>'Financial Model'!DB37</f>
        <v>6654.3135245366429</v>
      </c>
      <c r="K27" s="1007">
        <f>'Financial Model'!DC37</f>
        <v>7133.884515174359</v>
      </c>
      <c r="L27" s="102">
        <f t="shared" ref="L27:Q27" si="6">L24*L28</f>
        <v>6778.1902215576756</v>
      </c>
      <c r="M27" s="102">
        <f t="shared" si="6"/>
        <v>6812.0811726654638</v>
      </c>
      <c r="N27" s="102">
        <f t="shared" si="6"/>
        <v>6846.14157852879</v>
      </c>
      <c r="O27" s="102">
        <f t="shared" si="6"/>
        <v>6880.3722864214333</v>
      </c>
      <c r="P27" s="102">
        <f t="shared" si="6"/>
        <v>6914.774147853539</v>
      </c>
      <c r="Q27" s="102">
        <f t="shared" si="6"/>
        <v>6949.3480185928065</v>
      </c>
    </row>
    <row r="28" spans="1:22" ht="12.75">
      <c r="A28" s="99"/>
      <c r="B28" s="99"/>
      <c r="C28" s="106" t="s">
        <v>1150</v>
      </c>
      <c r="D28" s="99"/>
      <c r="E28" s="99"/>
      <c r="F28" s="996">
        <f t="shared" ref="F28:K28" si="7">F27/F24</f>
        <v>4.4769433465085641E-2</v>
      </c>
      <c r="G28" s="995">
        <f t="shared" si="7"/>
        <v>5.1972240649078939E-2</v>
      </c>
      <c r="H28" s="995">
        <f t="shared" si="7"/>
        <v>4.3138894343037526E-2</v>
      </c>
      <c r="I28" s="995">
        <f t="shared" si="7"/>
        <v>3.9715040067910608E-2</v>
      </c>
      <c r="J28" s="995">
        <f t="shared" si="7"/>
        <v>4.068936420935592E-2</v>
      </c>
      <c r="K28" s="995">
        <f t="shared" si="7"/>
        <v>4.2507412507028941E-2</v>
      </c>
      <c r="L28" s="976">
        <v>0.04</v>
      </c>
      <c r="M28" s="976">
        <v>0.04</v>
      </c>
      <c r="N28" s="976">
        <v>0.04</v>
      </c>
      <c r="O28" s="976">
        <v>0.04</v>
      </c>
      <c r="P28" s="976">
        <v>0.04</v>
      </c>
      <c r="Q28" s="976">
        <v>0.04</v>
      </c>
    </row>
    <row r="29" spans="1:22" ht="12.75">
      <c r="A29" s="99"/>
      <c r="B29" s="99"/>
      <c r="C29" s="99"/>
      <c r="D29" s="99"/>
      <c r="E29" s="99"/>
      <c r="F29" s="993"/>
      <c r="G29" s="99"/>
      <c r="H29" s="99"/>
      <c r="I29" s="99"/>
      <c r="J29" s="99"/>
      <c r="K29" s="99"/>
      <c r="L29" s="99"/>
      <c r="M29" s="99"/>
      <c r="N29" s="99"/>
      <c r="O29" s="99"/>
      <c r="P29" s="99"/>
      <c r="Q29" s="99"/>
    </row>
    <row r="30" spans="1:22" ht="12.75">
      <c r="A30" s="99"/>
      <c r="B30" s="99"/>
      <c r="C30" s="99" t="s">
        <v>1125</v>
      </c>
      <c r="D30" s="99"/>
      <c r="E30" s="99"/>
      <c r="F30" s="994">
        <f>'Financial Model'!CP40</f>
        <v>-2189</v>
      </c>
      <c r="G30" s="1008">
        <f>'Financial Model'!CU40</f>
        <v>-520</v>
      </c>
      <c r="H30" s="1008">
        <f>'Financial Model'!CZ40</f>
        <v>-1022.5995</v>
      </c>
      <c r="I30" s="1008">
        <f>'Financial Model'!DA40</f>
        <v>-1262.3765594346323</v>
      </c>
      <c r="J30" s="1008">
        <f>'Financial Model'!DB40</f>
        <v>-1330.8627049073286</v>
      </c>
      <c r="K30" s="1008">
        <f>'Financial Model'!DC40</f>
        <v>-1426.7769030348718</v>
      </c>
      <c r="L30" s="102">
        <f>-L31*L27</f>
        <v>-1626.7656531738421</v>
      </c>
      <c r="M30" s="102">
        <f t="shared" ref="M30:P30" si="8">-M31*M27</f>
        <v>-1634.8994814397113</v>
      </c>
      <c r="N30" s="102">
        <f t="shared" si="8"/>
        <v>-1643.0739788469095</v>
      </c>
      <c r="O30" s="102">
        <f t="shared" si="8"/>
        <v>-1651.2893487411438</v>
      </c>
      <c r="P30" s="102">
        <f t="shared" si="8"/>
        <v>-1659.5457954848494</v>
      </c>
      <c r="Q30" s="102">
        <f t="shared" ref="Q30" si="9">-Q31*Q27</f>
        <v>-1667.8435244622735</v>
      </c>
    </row>
    <row r="31" spans="1:22" ht="12.75">
      <c r="A31" s="102">
        <v>36</v>
      </c>
      <c r="B31" s="99"/>
      <c r="C31" s="106" t="s">
        <v>1113</v>
      </c>
      <c r="D31" s="99"/>
      <c r="E31" s="99"/>
      <c r="F31" s="996">
        <v>0.31903614457831325</v>
      </c>
      <c r="G31" s="995">
        <f>-G30/G27</f>
        <v>6.3819342169857629E-2</v>
      </c>
      <c r="H31" s="995">
        <f t="shared" ref="H31:K31" si="10">-H30/H27</f>
        <v>0.15</v>
      </c>
      <c r="I31" s="995">
        <f t="shared" si="10"/>
        <v>0.2</v>
      </c>
      <c r="J31" s="995">
        <f t="shared" si="10"/>
        <v>0.2</v>
      </c>
      <c r="K31" s="995">
        <f t="shared" si="10"/>
        <v>0.2</v>
      </c>
      <c r="L31" s="976">
        <v>0.24</v>
      </c>
      <c r="M31" s="984">
        <f>L31</f>
        <v>0.24</v>
      </c>
      <c r="N31" s="984">
        <f>M31</f>
        <v>0.24</v>
      </c>
      <c r="O31" s="984">
        <f>N31</f>
        <v>0.24</v>
      </c>
      <c r="P31" s="984">
        <f>O31</f>
        <v>0.24</v>
      </c>
      <c r="Q31" s="984">
        <f>P31</f>
        <v>0.24</v>
      </c>
    </row>
    <row r="32" spans="1:22" ht="12.75">
      <c r="A32" s="102"/>
      <c r="B32" s="99"/>
      <c r="C32" s="106"/>
      <c r="D32" s="99"/>
      <c r="E32" s="99"/>
      <c r="F32" s="995"/>
      <c r="G32" s="995"/>
      <c r="H32" s="995"/>
      <c r="I32" s="995"/>
      <c r="J32" s="995"/>
      <c r="K32" s="995"/>
      <c r="L32" s="976"/>
      <c r="M32" s="976"/>
      <c r="N32" s="976"/>
      <c r="O32" s="976"/>
      <c r="P32" s="976"/>
      <c r="Q32" s="976"/>
    </row>
    <row r="33" spans="1:17" ht="12.75">
      <c r="A33" s="102">
        <v>124</v>
      </c>
      <c r="B33" s="102"/>
      <c r="C33" s="101" t="s">
        <v>1117</v>
      </c>
      <c r="D33" s="99"/>
      <c r="E33" s="99"/>
      <c r="F33" s="994">
        <f>'Financial Model'!CP133</f>
        <v>9023</v>
      </c>
      <c r="G33" s="1009">
        <f>'Financial Model'!CU133</f>
        <v>5000</v>
      </c>
      <c r="H33" s="1009">
        <f>'Financial Model'!CZ133</f>
        <v>5876.4956000000002</v>
      </c>
      <c r="I33" s="1009">
        <f>'Financial Model'!DA133</f>
        <v>6203.3318036970013</v>
      </c>
      <c r="J33" s="1009">
        <f>'Financial Model'!DB133</f>
        <v>6544.4352469215855</v>
      </c>
      <c r="K33" s="1009">
        <f>'Financial Model'!DC133</f>
        <v>6880.2882917948564</v>
      </c>
      <c r="L33" s="1007">
        <f>-L36*0.9</f>
        <v>7625.4639992523853</v>
      </c>
      <c r="M33" s="1007">
        <f t="shared" ref="M33:Q33" si="11">-M36*0.9</f>
        <v>7663.591319248646</v>
      </c>
      <c r="N33" s="1007">
        <f t="shared" si="11"/>
        <v>7701.9092758448887</v>
      </c>
      <c r="O33" s="1007">
        <f t="shared" si="11"/>
        <v>7740.4188222241128</v>
      </c>
      <c r="P33" s="1007">
        <f t="shared" si="11"/>
        <v>7779.1209163352314</v>
      </c>
      <c r="Q33" s="1007">
        <f t="shared" si="11"/>
        <v>7818.0165209169081</v>
      </c>
    </row>
    <row r="34" spans="1:17" ht="12.75">
      <c r="A34" s="102">
        <v>125</v>
      </c>
      <c r="B34" s="99"/>
      <c r="C34" s="101" t="s">
        <v>1118</v>
      </c>
      <c r="D34" s="101"/>
      <c r="E34" s="102"/>
      <c r="F34" s="994">
        <f>'Financial Model'!CP134</f>
        <v>2954</v>
      </c>
      <c r="G34" s="1009">
        <f>'Financial Model'!CU134</f>
        <v>1765</v>
      </c>
      <c r="H34" s="1009">
        <f>'Financial Model'!CZ134</f>
        <v>-1684.910473108921</v>
      </c>
      <c r="I34" s="1009">
        <f>'Financial Model'!DA134</f>
        <v>-2200.8843219016799</v>
      </c>
      <c r="J34" s="1009">
        <f>'Financial Model'!DB134</f>
        <v>-1333.3667136799013</v>
      </c>
      <c r="K34" s="1009">
        <f>'Financial Model'!DC134</f>
        <v>-1518.3889820253917</v>
      </c>
      <c r="L34" s="1010">
        <f>-(L24-K24)*0.05</f>
        <v>-81.396015090013691</v>
      </c>
      <c r="M34" s="1010">
        <f t="shared" ref="M34:Q34" si="12">-(M24-L24)*0.05</f>
        <v>-42.363688884735168</v>
      </c>
      <c r="N34" s="1010">
        <f t="shared" si="12"/>
        <v>-42.575507329158427</v>
      </c>
      <c r="O34" s="1010">
        <f t="shared" si="12"/>
        <v>-42.788384865803529</v>
      </c>
      <c r="P34" s="1010">
        <f t="shared" si="12"/>
        <v>-43.002326790132798</v>
      </c>
      <c r="Q34" s="1010">
        <f t="shared" si="12"/>
        <v>-43.217338424084303</v>
      </c>
    </row>
    <row r="35" spans="1:17" ht="12.75">
      <c r="A35" s="102">
        <v>131</v>
      </c>
      <c r="B35" s="102"/>
      <c r="C35" s="101" t="s">
        <v>1119</v>
      </c>
      <c r="D35" s="101"/>
      <c r="E35" s="102"/>
      <c r="F35" s="994">
        <f>(SUM(US_Pension!X6:X7)+SUM('Non-US_Pension'!W6:W7)+SUM(OPEB!W6:W7))*(-1)</f>
        <v>-1350.3187</v>
      </c>
      <c r="G35" s="1007">
        <f>(SUM(US_Pension!Y6:Y7)+SUM('Non-US_Pension'!X6:X7)+SUM(OPEB!X6:X7))*(-1)</f>
        <v>-1600.4439573000004</v>
      </c>
      <c r="H35" s="1007">
        <f>(SUM(US_Pension!Z6:Z7)+SUM('Non-US_Pension'!Y6:Y7)+SUM(OPEB!Y6:Y7))*(-1)</f>
        <v>-1761.9492873345</v>
      </c>
      <c r="I35" s="1007">
        <f>(SUM(US_Pension!AA6:AA7)+SUM('Non-US_Pension'!Z6:Z7)+SUM(OPEB!Z6:Z7))*(-1)</f>
        <v>-1699.6736563429436</v>
      </c>
      <c r="J35" s="1007">
        <f>(SUM(US_Pension!AB6:AB7)+SUM('Non-US_Pension'!AA6:AA7)+SUM(OPEB!AA6:AA7))*(-1)</f>
        <v>-1745.8244360757658</v>
      </c>
      <c r="K35" s="1007">
        <f>(SUM(US_Pension!AC6:AC7)+SUM('Non-US_Pension'!AB6:AB7)+SUM(OPEB!AB6:AB7))*(-1)</f>
        <v>-562.6429594867484</v>
      </c>
      <c r="L35" s="1010">
        <f t="shared" ref="L35:Q35" si="13">L24/K24*K35</f>
        <v>-568.10059619376989</v>
      </c>
      <c r="M35" s="1010">
        <f t="shared" si="13"/>
        <v>-570.94109917473872</v>
      </c>
      <c r="N35" s="1010">
        <f t="shared" si="13"/>
        <v>-573.79580467061237</v>
      </c>
      <c r="O35" s="1010">
        <f t="shared" si="13"/>
        <v>-576.66478369396532</v>
      </c>
      <c r="P35" s="1010">
        <f t="shared" si="13"/>
        <v>-579.54810761243505</v>
      </c>
      <c r="Q35" s="1010">
        <f t="shared" si="13"/>
        <v>-582.44584815049711</v>
      </c>
    </row>
    <row r="36" spans="1:17" ht="12.75">
      <c r="A36" s="102">
        <v>135</v>
      </c>
      <c r="B36" s="99"/>
      <c r="C36" s="101" t="s">
        <v>1120</v>
      </c>
      <c r="D36" s="101"/>
      <c r="E36" s="101"/>
      <c r="F36" s="994">
        <f>'Financial Model'!CP144</f>
        <v>-6992</v>
      </c>
      <c r="G36" s="1009">
        <f>'Financial Model'!CU144</f>
        <v>-7049</v>
      </c>
      <c r="H36" s="1009">
        <f>'Financial Model'!CZ144</f>
        <v>-7558.1251020000009</v>
      </c>
      <c r="I36" s="1009">
        <f>'Financial Model'!DA144</f>
        <v>-7946.4640931750009</v>
      </c>
      <c r="J36" s="1009">
        <f>'Financial Model'!DB144</f>
        <v>-8176.9691586955078</v>
      </c>
      <c r="K36" s="1009">
        <f>'Financial Model'!DC144</f>
        <v>-8055.6880913827972</v>
      </c>
      <c r="L36" s="1010">
        <f>-L24*0.05</f>
        <v>-8472.737776947095</v>
      </c>
      <c r="M36" s="1010">
        <f t="shared" ref="M36:Q36" si="14">-M24*0.05</f>
        <v>-8515.101465831829</v>
      </c>
      <c r="N36" s="1010">
        <f t="shared" si="14"/>
        <v>-8557.6769731609875</v>
      </c>
      <c r="O36" s="1010">
        <f t="shared" si="14"/>
        <v>-8600.4653580267914</v>
      </c>
      <c r="P36" s="1010">
        <f t="shared" si="14"/>
        <v>-8643.4676848169238</v>
      </c>
      <c r="Q36" s="1010">
        <f t="shared" si="14"/>
        <v>-8686.6850232410088</v>
      </c>
    </row>
    <row r="37" spans="1:17" ht="12.75">
      <c r="A37" s="99"/>
      <c r="B37" s="99"/>
      <c r="C37" s="998" t="s">
        <v>355</v>
      </c>
      <c r="D37" s="999"/>
      <c r="E37" s="999"/>
      <c r="F37" s="1000">
        <f t="shared" ref="F37:K37" si="15">+F27+F34+F36+F30+F33+F35</f>
        <v>8241.6813000000002</v>
      </c>
      <c r="G37" s="1001">
        <f t="shared" si="15"/>
        <v>5743.5560427</v>
      </c>
      <c r="H37" s="1001">
        <f t="shared" si="15"/>
        <v>666.24123755657797</v>
      </c>
      <c r="I37" s="1001">
        <f t="shared" si="15"/>
        <v>-594.18402998409374</v>
      </c>
      <c r="J37" s="1001">
        <f t="shared" si="15"/>
        <v>611.72575809972523</v>
      </c>
      <c r="K37" s="1001">
        <f t="shared" si="15"/>
        <v>2450.675871039406</v>
      </c>
      <c r="L37" s="1001">
        <f t="shared" ref="L37:Q37" si="16">+L27+L34+L36+L30+L33+L35</f>
        <v>3654.6541794053401</v>
      </c>
      <c r="M37" s="1001">
        <f t="shared" si="16"/>
        <v>3712.366756583096</v>
      </c>
      <c r="N37" s="1001">
        <f t="shared" si="16"/>
        <v>3730.9285903660102</v>
      </c>
      <c r="O37" s="1001">
        <f t="shared" si="16"/>
        <v>3749.5832333178414</v>
      </c>
      <c r="P37" s="1001">
        <f t="shared" si="16"/>
        <v>3768.3311494844302</v>
      </c>
      <c r="Q37" s="1001">
        <f t="shared" si="16"/>
        <v>3787.1728052318513</v>
      </c>
    </row>
    <row r="38" spans="1:17" ht="12.75">
      <c r="A38" s="99"/>
      <c r="B38" s="99"/>
      <c r="C38" s="101" t="s">
        <v>1121</v>
      </c>
      <c r="D38" s="101"/>
      <c r="E38" s="101"/>
      <c r="F38" s="1002"/>
      <c r="G38" s="1003"/>
      <c r="H38" s="1003"/>
      <c r="I38" s="1003"/>
      <c r="J38" s="1003"/>
      <c r="K38" s="1003"/>
      <c r="L38" s="1003"/>
      <c r="M38" s="1003"/>
      <c r="N38" s="1003"/>
      <c r="O38" s="1003"/>
      <c r="P38" s="1003"/>
      <c r="Q38" s="102">
        <f>Q37*(1+$D$20)/($D$19-$D$20)</f>
        <v>59065.946676210624</v>
      </c>
    </row>
    <row r="39" spans="1:17" ht="12.75">
      <c r="A39" s="99"/>
      <c r="B39" s="99"/>
      <c r="C39" s="101"/>
      <c r="D39" s="101"/>
      <c r="E39" s="101"/>
      <c r="F39" s="102"/>
      <c r="G39" s="102"/>
      <c r="H39" s="102"/>
      <c r="I39" s="102"/>
      <c r="J39" s="102"/>
      <c r="K39" s="102"/>
      <c r="L39" s="102"/>
      <c r="M39" s="102"/>
      <c r="N39" s="102"/>
      <c r="O39" s="102"/>
      <c r="P39" s="102"/>
      <c r="Q39" s="102"/>
    </row>
    <row r="40" spans="1:17" ht="12.75">
      <c r="A40" s="99"/>
      <c r="B40" s="99"/>
      <c r="C40" s="1005" t="s">
        <v>1122</v>
      </c>
      <c r="D40" s="101"/>
      <c r="E40" s="101"/>
      <c r="F40" s="997"/>
      <c r="G40" s="1001">
        <f t="shared" ref="G40:Q40" si="17">(G37+G38)/(1+$D$19)^((G$6-$G$6)/365)</f>
        <v>5743.5560427</v>
      </c>
      <c r="H40" s="1001">
        <f t="shared" si="17"/>
        <v>619.8983326961237</v>
      </c>
      <c r="I40" s="1001">
        <f t="shared" si="17"/>
        <v>-514.39754959397635</v>
      </c>
      <c r="J40" s="1001">
        <f t="shared" si="17"/>
        <v>492.64928669500563</v>
      </c>
      <c r="K40" s="1001">
        <f t="shared" si="17"/>
        <v>1836.3519620272832</v>
      </c>
      <c r="L40" s="1001">
        <f t="shared" si="17"/>
        <v>2548.0344462715311</v>
      </c>
      <c r="M40" s="1001">
        <f t="shared" si="17"/>
        <v>2408.2348654110415</v>
      </c>
      <c r="N40" s="1001">
        <f t="shared" si="17"/>
        <v>2251.4799082863142</v>
      </c>
      <c r="O40" s="1001">
        <f t="shared" si="17"/>
        <v>2105.3441387026414</v>
      </c>
      <c r="P40" s="1001">
        <f t="shared" si="17"/>
        <v>1968.6935362187123</v>
      </c>
      <c r="Q40" s="1001">
        <f t="shared" si="17"/>
        <v>30552.366162627724</v>
      </c>
    </row>
    <row r="41" spans="1:17">
      <c r="P41" s="1004"/>
      <c r="Q41" s="1004"/>
    </row>
    <row r="42" spans="1:17">
      <c r="P42" s="1004"/>
      <c r="Q42" s="1004"/>
    </row>
    <row r="44" spans="1:17" ht="12.75">
      <c r="G44" s="102"/>
      <c r="H44" s="102"/>
      <c r="I44" s="102"/>
      <c r="J44" s="102"/>
      <c r="K44" s="997"/>
      <c r="L44" s="997"/>
      <c r="M44" s="997"/>
      <c r="N44" s="997"/>
      <c r="O44" s="997"/>
      <c r="P44" s="997"/>
      <c r="Q44" s="997"/>
    </row>
    <row r="45" spans="1:17" ht="12.75">
      <c r="G45" s="102"/>
      <c r="H45" s="102"/>
      <c r="I45" s="102"/>
      <c r="J45" s="102"/>
      <c r="K45" s="103"/>
      <c r="L45" s="103"/>
      <c r="M45" s="103"/>
      <c r="N45" s="103"/>
      <c r="O45" s="103"/>
      <c r="P45" s="103"/>
      <c r="Q45" s="103"/>
    </row>
  </sheetData>
  <pageMargins left="0" right="0" top="0" bottom="0" header="0" footer="0"/>
  <pageSetup paperSize="5" scale="83" orientation="landscape" horizontalDpi="200" verticalDpi="200" r:id="rId1"/>
  <headerFooter alignWithMargins="0"/>
  <ignoredErrors>
    <ignoredError sqref="F35" formulaRange="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22"/>
    <pageSetUpPr fitToPage="1"/>
  </sheetPr>
  <dimension ref="A1:IV65536"/>
  <sheetViews>
    <sheetView showGridLines="0" zoomScaleNormal="100" workbookViewId="0">
      <pane xSplit="1" ySplit="3" topLeftCell="K31" activePane="bottomRight" state="frozen"/>
      <selection pane="topRight" activeCell="B1" sqref="B1"/>
      <selection pane="bottomLeft" activeCell="A4" sqref="A4"/>
      <selection pane="bottomRight" activeCell="X52" sqref="X52"/>
    </sheetView>
  </sheetViews>
  <sheetFormatPr defaultRowHeight="12.75" outlineLevelRow="1" outlineLevelCol="1"/>
  <cols>
    <col min="1" max="1" width="27.140625" style="503" customWidth="1"/>
    <col min="2" max="10" width="9.28515625" style="503" hidden="1" customWidth="1" outlineLevel="1"/>
    <col min="11" max="11" width="9.28515625" style="503" customWidth="1" collapsed="1"/>
    <col min="12" max="22" width="9.28515625" style="503" customWidth="1"/>
    <col min="23" max="23" width="9.28515625" style="670" customWidth="1"/>
    <col min="24" max="28" width="9.28515625" style="503" customWidth="1"/>
    <col min="29" max="29" width="9.140625" style="503" customWidth="1"/>
    <col min="30" max="30" width="36" style="503" customWidth="1"/>
    <col min="31" max="31" width="9.140625" style="503" customWidth="1"/>
    <col min="32" max="32" width="12.5703125" style="503" customWidth="1"/>
    <col min="33" max="16384" width="9.140625" style="503"/>
  </cols>
  <sheetData>
    <row r="1" spans="1:34">
      <c r="A1" s="501" t="s">
        <v>855</v>
      </c>
      <c r="B1" s="501"/>
      <c r="C1" s="501"/>
      <c r="D1" s="501"/>
      <c r="E1" s="501"/>
      <c r="F1" s="501"/>
      <c r="G1" s="502"/>
      <c r="H1" s="502"/>
      <c r="I1" s="502"/>
      <c r="J1" s="502"/>
      <c r="K1" s="502"/>
      <c r="L1" s="502"/>
      <c r="M1" s="502"/>
      <c r="T1" s="504"/>
      <c r="U1" s="505"/>
      <c r="V1" s="505"/>
      <c r="W1" s="505"/>
      <c r="X1" s="504"/>
      <c r="Y1" s="504"/>
      <c r="Z1" s="504"/>
      <c r="AA1" s="504"/>
      <c r="AB1" s="504"/>
      <c r="AC1" s="504"/>
    </row>
    <row r="2" spans="1:34">
      <c r="A2" s="503" t="s">
        <v>856</v>
      </c>
      <c r="T2" s="504"/>
      <c r="U2" s="505"/>
      <c r="V2" s="505"/>
      <c r="W2" s="505"/>
      <c r="X2" s="504"/>
      <c r="Y2" s="504"/>
      <c r="Z2" s="504"/>
      <c r="AA2" s="504"/>
      <c r="AB2" s="504"/>
      <c r="AC2" s="504"/>
    </row>
    <row r="3" spans="1:34">
      <c r="A3" s="506" t="s">
        <v>857</v>
      </c>
      <c r="B3" s="507">
        <v>1995</v>
      </c>
      <c r="C3" s="507">
        <v>1996</v>
      </c>
      <c r="D3" s="507">
        <v>1997</v>
      </c>
      <c r="E3" s="507">
        <v>1998</v>
      </c>
      <c r="F3" s="507">
        <v>1999</v>
      </c>
      <c r="G3" s="507">
        <v>2000</v>
      </c>
      <c r="H3" s="507">
        <f>I3-1</f>
        <v>2001</v>
      </c>
      <c r="I3" s="507">
        <f>J3-1</f>
        <v>2002</v>
      </c>
      <c r="J3" s="507">
        <f>K3-1</f>
        <v>2003</v>
      </c>
      <c r="K3" s="507">
        <v>2004</v>
      </c>
      <c r="L3" s="507">
        <v>2005</v>
      </c>
      <c r="M3" s="507">
        <v>2006</v>
      </c>
      <c r="N3" s="507">
        <f t="shared" ref="N3:AB3" si="0">M3+1</f>
        <v>2007</v>
      </c>
      <c r="O3" s="507">
        <f>N3+1</f>
        <v>2008</v>
      </c>
      <c r="P3" s="507">
        <f>O3+1</f>
        <v>2009</v>
      </c>
      <c r="Q3" s="507">
        <f t="shared" si="0"/>
        <v>2010</v>
      </c>
      <c r="R3" s="507">
        <f t="shared" si="0"/>
        <v>2011</v>
      </c>
      <c r="S3" s="507">
        <f t="shared" si="0"/>
        <v>2012</v>
      </c>
      <c r="T3" s="507">
        <f t="shared" si="0"/>
        <v>2013</v>
      </c>
      <c r="U3" s="507">
        <f t="shared" si="0"/>
        <v>2014</v>
      </c>
      <c r="V3" s="507">
        <f>U3+1</f>
        <v>2015</v>
      </c>
      <c r="W3" s="507">
        <f>V3+1</f>
        <v>2016</v>
      </c>
      <c r="X3" s="508">
        <f t="shared" si="0"/>
        <v>2017</v>
      </c>
      <c r="Y3" s="508">
        <f t="shared" si="0"/>
        <v>2018</v>
      </c>
      <c r="Z3" s="508">
        <f t="shared" si="0"/>
        <v>2019</v>
      </c>
      <c r="AA3" s="508">
        <f t="shared" si="0"/>
        <v>2020</v>
      </c>
      <c r="AB3" s="508">
        <f t="shared" si="0"/>
        <v>2021</v>
      </c>
      <c r="AC3" s="509"/>
    </row>
    <row r="4" spans="1:34">
      <c r="A4" s="510" t="s">
        <v>858</v>
      </c>
      <c r="B4" s="511"/>
      <c r="C4" s="511">
        <v>-532</v>
      </c>
      <c r="D4" s="511">
        <v>-551</v>
      </c>
      <c r="E4" s="511">
        <v>-596</v>
      </c>
      <c r="F4" s="511">
        <v>-522</v>
      </c>
      <c r="G4" s="511">
        <v>-495</v>
      </c>
      <c r="H4" s="511">
        <v>-531</v>
      </c>
      <c r="I4" s="512">
        <v>-556</v>
      </c>
      <c r="J4" s="512">
        <v>-600</v>
      </c>
      <c r="K4" s="512">
        <v>-636</v>
      </c>
      <c r="L4" s="512">
        <v>-734</v>
      </c>
      <c r="M4" s="512">
        <v>-680</v>
      </c>
      <c r="N4" s="513">
        <v>-464</v>
      </c>
      <c r="O4" s="513">
        <v>-378</v>
      </c>
      <c r="P4" s="513">
        <v>-343</v>
      </c>
      <c r="Q4" s="513">
        <v>-376</v>
      </c>
      <c r="R4" s="513">
        <f>-467</f>
        <v>-467</v>
      </c>
      <c r="S4" s="513">
        <v>-521</v>
      </c>
      <c r="T4" s="513">
        <v>-581</v>
      </c>
      <c r="U4" s="513">
        <v>-507</v>
      </c>
      <c r="V4" s="513">
        <f>-586</f>
        <v>-586</v>
      </c>
      <c r="W4" s="513">
        <v>-510</v>
      </c>
      <c r="X4" s="514">
        <f>W4*(1+X19)</f>
        <v>-529.38</v>
      </c>
      <c r="Y4" s="514">
        <f>X4*(1+Y19)</f>
        <v>-549.49644000000001</v>
      </c>
      <c r="Z4" s="514">
        <f>Y4*(1+Z19)</f>
        <v>-570.37730471999998</v>
      </c>
      <c r="AA4" s="514">
        <f>Z4*(1+AA19)</f>
        <v>-592.05164229935997</v>
      </c>
      <c r="AB4" s="514">
        <f>AA4*(1+AB19)</f>
        <v>-614.54960470673564</v>
      </c>
      <c r="AC4" s="515"/>
      <c r="AD4" s="516" t="s">
        <v>859</v>
      </c>
      <c r="AE4" s="516">
        <v>6</v>
      </c>
      <c r="AF4" s="516" t="s">
        <v>860</v>
      </c>
      <c r="AG4" s="517" t="b">
        <v>1</v>
      </c>
      <c r="AH4" s="516" t="b">
        <v>0</v>
      </c>
    </row>
    <row r="5" spans="1:34">
      <c r="A5" s="510" t="s">
        <v>861</v>
      </c>
      <c r="B5" s="511"/>
      <c r="C5" s="511"/>
      <c r="D5" s="511"/>
      <c r="E5" s="511"/>
      <c r="F5" s="511"/>
      <c r="G5" s="511">
        <v>-620</v>
      </c>
      <c r="H5" s="511">
        <v>-532</v>
      </c>
      <c r="I5" s="518">
        <v>-529</v>
      </c>
      <c r="J5" s="518">
        <v>-472</v>
      </c>
      <c r="K5" s="518">
        <v>-502</v>
      </c>
      <c r="L5" s="518">
        <v>-500</v>
      </c>
      <c r="M5" s="518">
        <v>-444</v>
      </c>
      <c r="N5" s="512">
        <v>-265</v>
      </c>
      <c r="O5" s="512">
        <v>-374</v>
      </c>
      <c r="P5" s="519">
        <v>-374</v>
      </c>
      <c r="Q5" s="519">
        <v>-370</v>
      </c>
      <c r="R5" s="519">
        <v>-343</v>
      </c>
      <c r="S5" s="519">
        <v>-220</v>
      </c>
      <c r="T5" s="519">
        <v>-174</v>
      </c>
      <c r="U5" s="519">
        <v>-155</v>
      </c>
      <c r="V5" s="519">
        <f>-155</f>
        <v>-155</v>
      </c>
      <c r="W5" s="519">
        <v>-170</v>
      </c>
      <c r="X5" s="520">
        <f>W5</f>
        <v>-170</v>
      </c>
      <c r="Y5" s="520">
        <f>X5</f>
        <v>-170</v>
      </c>
      <c r="Z5" s="520">
        <f>Y5</f>
        <v>-170</v>
      </c>
      <c r="AA5" s="520">
        <f>Z5</f>
        <v>-170</v>
      </c>
      <c r="AB5" s="520">
        <f>AA5</f>
        <v>-170</v>
      </c>
      <c r="AC5" s="521"/>
      <c r="AD5" s="516" t="s">
        <v>862</v>
      </c>
      <c r="AE5" s="516">
        <v>6</v>
      </c>
      <c r="AF5" s="516" t="s">
        <v>860</v>
      </c>
      <c r="AG5" s="517" t="b">
        <v>1</v>
      </c>
      <c r="AH5" s="516" t="b">
        <v>0</v>
      </c>
    </row>
    <row r="6" spans="1:34">
      <c r="A6" s="510" t="s">
        <v>863</v>
      </c>
      <c r="B6" s="511">
        <v>-1776</v>
      </c>
      <c r="C6" s="511">
        <v>-1838</v>
      </c>
      <c r="D6" s="511">
        <v>-1993</v>
      </c>
      <c r="E6" s="511">
        <v>-1999</v>
      </c>
      <c r="F6" s="511">
        <v>-1714</v>
      </c>
      <c r="G6" s="511">
        <v>-2345</v>
      </c>
      <c r="H6" s="511">
        <v>-2410</v>
      </c>
      <c r="I6" s="518">
        <v>-2453</v>
      </c>
      <c r="J6" s="518">
        <v>-2442</v>
      </c>
      <c r="K6" s="518">
        <v>-2445</v>
      </c>
      <c r="L6" s="518">
        <v>-2398</v>
      </c>
      <c r="M6" s="518">
        <v>-2431</v>
      </c>
      <c r="N6" s="513">
        <v>-2621</v>
      </c>
      <c r="O6" s="513">
        <v>-2682</v>
      </c>
      <c r="P6" s="513">
        <v>-2698</v>
      </c>
      <c r="Q6" s="513">
        <v>-2530</v>
      </c>
      <c r="R6" s="513">
        <v>-2374</v>
      </c>
      <c r="S6" s="513">
        <v>-2208</v>
      </c>
      <c r="T6" s="513">
        <v>-1914</v>
      </c>
      <c r="U6" s="513">
        <v>-1992</v>
      </c>
      <c r="V6" s="513">
        <f>-1817</f>
        <v>-1817</v>
      </c>
      <c r="W6" s="513">
        <v>-1524</v>
      </c>
      <c r="X6" s="514">
        <f>X27*X17</f>
        <v>-1843.5638000000001</v>
      </c>
      <c r="Y6" s="514">
        <f>Y27*Y17</f>
        <v>-1785.2110302000001</v>
      </c>
      <c r="Z6" s="514">
        <f>Z27*Z17</f>
        <v>-1788.5041140880003</v>
      </c>
      <c r="AA6" s="514">
        <f>AA27*AA17</f>
        <v>-1816.0057529864882</v>
      </c>
      <c r="AB6" s="514">
        <f>AB27*AB17</f>
        <v>-1817.8210133457389</v>
      </c>
      <c r="AC6" s="515"/>
      <c r="AD6" s="516" t="s">
        <v>864</v>
      </c>
      <c r="AE6" s="516">
        <v>6</v>
      </c>
      <c r="AF6" s="516" t="s">
        <v>860</v>
      </c>
      <c r="AG6" s="517" t="b">
        <v>1</v>
      </c>
      <c r="AH6" s="516" t="b">
        <v>0</v>
      </c>
    </row>
    <row r="7" spans="1:34">
      <c r="A7" s="510" t="s">
        <v>865</v>
      </c>
      <c r="B7" s="511">
        <v>2131</v>
      </c>
      <c r="C7" s="511">
        <v>2310</v>
      </c>
      <c r="D7" s="511">
        <v>2505</v>
      </c>
      <c r="E7" s="511">
        <v>2747</v>
      </c>
      <c r="F7" s="511">
        <v>2475</v>
      </c>
      <c r="G7" s="511">
        <v>3281</v>
      </c>
      <c r="H7" s="511">
        <v>3697</v>
      </c>
      <c r="I7" s="512">
        <v>3646</v>
      </c>
      <c r="J7" s="512">
        <v>3202</v>
      </c>
      <c r="K7" s="512">
        <v>3219</v>
      </c>
      <c r="L7" s="512">
        <v>3363</v>
      </c>
      <c r="M7" s="512">
        <v>3379</v>
      </c>
      <c r="N7" s="522">
        <v>3479</v>
      </c>
      <c r="O7" s="522">
        <v>3462</v>
      </c>
      <c r="P7" s="522">
        <v>3288</v>
      </c>
      <c r="Q7" s="522">
        <v>3172</v>
      </c>
      <c r="R7" s="522">
        <v>3028</v>
      </c>
      <c r="S7" s="522">
        <v>2873</v>
      </c>
      <c r="T7" s="522">
        <v>2816</v>
      </c>
      <c r="U7" s="522">
        <v>2735</v>
      </c>
      <c r="V7" s="522">
        <f>2928</f>
        <v>2928</v>
      </c>
      <c r="W7" s="522">
        <v>2693</v>
      </c>
      <c r="X7" s="523">
        <f>X41*X21</f>
        <v>2830.8825000000002</v>
      </c>
      <c r="Y7" s="523">
        <f>Y41*Y21</f>
        <v>2939.3161875000005</v>
      </c>
      <c r="Z7" s="523">
        <f>Z41*Z21</f>
        <v>2995.1324015625005</v>
      </c>
      <c r="AA7" s="523">
        <f>AA41*AA21</f>
        <v>3021.384831679688</v>
      </c>
      <c r="AB7" s="523">
        <f>AB41*AB21</f>
        <v>3049.6061940556647</v>
      </c>
      <c r="AC7" s="523"/>
      <c r="AD7" s="516" t="s">
        <v>866</v>
      </c>
      <c r="AE7" s="516">
        <v>6</v>
      </c>
      <c r="AF7" s="516" t="s">
        <v>860</v>
      </c>
      <c r="AG7" s="516" t="b">
        <v>0</v>
      </c>
      <c r="AH7" s="516" t="b">
        <v>0</v>
      </c>
    </row>
    <row r="8" spans="1:34">
      <c r="A8" s="510" t="s">
        <v>133</v>
      </c>
      <c r="B8" s="511">
        <v>-408</v>
      </c>
      <c r="C8" s="511">
        <f>-599-30</f>
        <v>-629</v>
      </c>
      <c r="D8" s="511">
        <f>-515-30</f>
        <v>-545</v>
      </c>
      <c r="E8" s="511">
        <f>-729-25</f>
        <v>-754</v>
      </c>
      <c r="F8" s="511">
        <f>-471+20</f>
        <v>-451</v>
      </c>
      <c r="G8" s="511">
        <v>418</v>
      </c>
      <c r="H8" s="511">
        <v>0</v>
      </c>
      <c r="I8" s="512">
        <v>130</v>
      </c>
      <c r="J8" s="512">
        <v>-33</v>
      </c>
      <c r="K8" s="512">
        <v>-23</v>
      </c>
      <c r="L8" s="512">
        <v>-102</v>
      </c>
      <c r="M8" s="512">
        <v>-99</v>
      </c>
      <c r="N8" s="512">
        <v>-24</v>
      </c>
      <c r="O8" s="512">
        <v>-19</v>
      </c>
      <c r="P8" s="513">
        <v>-8</v>
      </c>
      <c r="Q8" s="513">
        <v>-12</v>
      </c>
      <c r="R8" s="513">
        <f>-186</f>
        <v>-186</v>
      </c>
      <c r="S8" s="513">
        <v>-425</v>
      </c>
      <c r="T8" s="513">
        <v>-655</v>
      </c>
      <c r="U8" s="513">
        <f>-641</f>
        <v>-641</v>
      </c>
      <c r="V8" s="513">
        <f>-1964</f>
        <v>-1964</v>
      </c>
      <c r="W8" s="513">
        <v>-900</v>
      </c>
      <c r="X8" s="524"/>
      <c r="Y8" s="524"/>
      <c r="Z8" s="524"/>
      <c r="AA8" s="524"/>
      <c r="AB8" s="524"/>
      <c r="AC8" s="525"/>
      <c r="AD8" s="516" t="s">
        <v>867</v>
      </c>
      <c r="AE8" s="516">
        <v>6</v>
      </c>
      <c r="AF8" s="516" t="s">
        <v>860</v>
      </c>
      <c r="AG8" s="516" t="b">
        <v>0</v>
      </c>
      <c r="AH8" s="516" t="b">
        <v>0</v>
      </c>
    </row>
    <row r="9" spans="1:34">
      <c r="A9" s="510" t="s">
        <v>868</v>
      </c>
      <c r="B9" s="526">
        <v>0</v>
      </c>
      <c r="C9" s="526">
        <v>21</v>
      </c>
      <c r="D9" s="526">
        <v>22</v>
      </c>
      <c r="E9" s="526">
        <v>22</v>
      </c>
      <c r="F9" s="526">
        <v>22</v>
      </c>
      <c r="G9" s="526">
        <v>0</v>
      </c>
      <c r="H9" s="526">
        <v>367</v>
      </c>
      <c r="I9" s="527">
        <f>-107+62</f>
        <v>-45</v>
      </c>
      <c r="J9" s="527"/>
      <c r="K9" s="527"/>
      <c r="L9" s="527"/>
      <c r="M9" s="527">
        <v>0</v>
      </c>
      <c r="N9" s="528"/>
      <c r="O9" s="528"/>
      <c r="P9" s="528"/>
      <c r="Q9" s="528"/>
      <c r="R9" s="528"/>
      <c r="S9" s="529"/>
      <c r="T9" s="529"/>
      <c r="U9" s="529"/>
      <c r="V9" s="529"/>
      <c r="W9" s="529"/>
      <c r="X9" s="529"/>
      <c r="Y9" s="529"/>
      <c r="Z9" s="529"/>
      <c r="AA9" s="529"/>
      <c r="AB9" s="529"/>
      <c r="AC9" s="525"/>
      <c r="AD9" s="516" t="s">
        <v>869</v>
      </c>
      <c r="AE9" s="516">
        <v>6</v>
      </c>
      <c r="AF9" s="516" t="s">
        <v>860</v>
      </c>
      <c r="AG9" s="517" t="b">
        <v>1</v>
      </c>
      <c r="AH9" s="516" t="b">
        <v>0</v>
      </c>
    </row>
    <row r="10" spans="1:34">
      <c r="A10" s="510" t="s">
        <v>870</v>
      </c>
      <c r="B10" s="520">
        <f t="shared" ref="B10:H10" si="1">SUM(B4:B9)</f>
        <v>-53</v>
      </c>
      <c r="C10" s="520">
        <f t="shared" si="1"/>
        <v>-668</v>
      </c>
      <c r="D10" s="520">
        <f t="shared" si="1"/>
        <v>-562</v>
      </c>
      <c r="E10" s="520">
        <f t="shared" si="1"/>
        <v>-580</v>
      </c>
      <c r="F10" s="520">
        <f t="shared" si="1"/>
        <v>-190</v>
      </c>
      <c r="G10" s="520">
        <f t="shared" si="1"/>
        <v>239</v>
      </c>
      <c r="H10" s="520">
        <f t="shared" si="1"/>
        <v>591</v>
      </c>
      <c r="I10" s="520">
        <f>SUM(I4:I9)</f>
        <v>193</v>
      </c>
      <c r="J10" s="520">
        <f>SUM(J4:J9)</f>
        <v>-345</v>
      </c>
      <c r="K10" s="520">
        <f>SUM(K4:K9)</f>
        <v>-387</v>
      </c>
      <c r="L10" s="520">
        <f>SUM(L4:L9)</f>
        <v>-371</v>
      </c>
      <c r="M10" s="520">
        <f>SUM(M4:M9)</f>
        <v>-275</v>
      </c>
      <c r="N10" s="520">
        <f t="shared" ref="N10:Y10" si="2">SUM(N4:N8)</f>
        <v>105</v>
      </c>
      <c r="O10" s="520">
        <f>SUM(O4:O8)</f>
        <v>9</v>
      </c>
      <c r="P10" s="520">
        <f>SUM(P4:P8)</f>
        <v>-135</v>
      </c>
      <c r="Q10" s="520">
        <f t="shared" si="2"/>
        <v>-116</v>
      </c>
      <c r="R10" s="520">
        <f t="shared" si="2"/>
        <v>-342</v>
      </c>
      <c r="S10" s="520">
        <f t="shared" si="2"/>
        <v>-501</v>
      </c>
      <c r="T10" s="520">
        <f t="shared" si="2"/>
        <v>-508</v>
      </c>
      <c r="U10" s="520">
        <f>SUM(U4:U8)</f>
        <v>-560</v>
      </c>
      <c r="V10" s="520">
        <f>SUM(V4:V8)</f>
        <v>-1594</v>
      </c>
      <c r="W10" s="520">
        <f t="shared" si="2"/>
        <v>-411</v>
      </c>
      <c r="X10" s="520">
        <f t="shared" si="2"/>
        <v>287.93870000000015</v>
      </c>
      <c r="Y10" s="520">
        <f t="shared" si="2"/>
        <v>434.60871730000054</v>
      </c>
      <c r="Z10" s="520">
        <f>SUM(Z4:Z8)</f>
        <v>466.2509827545</v>
      </c>
      <c r="AA10" s="520">
        <f>SUM(AA4:AA8)</f>
        <v>443.32743639383989</v>
      </c>
      <c r="AB10" s="520">
        <f>SUM(AB4:AB8)</f>
        <v>447.23557600319009</v>
      </c>
      <c r="AC10" s="521"/>
      <c r="AF10" s="516"/>
      <c r="AG10" s="516"/>
      <c r="AH10" s="516"/>
    </row>
    <row r="11" spans="1:34">
      <c r="A11" s="510"/>
      <c r="B11" s="530"/>
      <c r="C11" s="530"/>
      <c r="D11" s="530"/>
      <c r="E11" s="530"/>
      <c r="F11" s="530"/>
      <c r="G11" s="530"/>
      <c r="H11" s="530"/>
      <c r="I11" s="520"/>
      <c r="J11" s="520"/>
      <c r="K11" s="520"/>
      <c r="L11" s="520"/>
      <c r="M11" s="520"/>
      <c r="N11" s="520"/>
      <c r="O11" s="520"/>
      <c r="P11" s="520"/>
      <c r="Q11" s="520"/>
      <c r="R11" s="520"/>
      <c r="S11" s="520"/>
      <c r="T11" s="520"/>
      <c r="U11" s="520"/>
      <c r="V11" s="520"/>
      <c r="W11" s="520"/>
      <c r="X11" s="520"/>
      <c r="Y11" s="520"/>
      <c r="Z11" s="520"/>
      <c r="AA11" s="520"/>
      <c r="AB11" s="520"/>
      <c r="AC11" s="521"/>
      <c r="AF11" s="516"/>
      <c r="AG11" s="516"/>
      <c r="AH11" s="516"/>
    </row>
    <row r="12" spans="1:34">
      <c r="A12" s="510" t="s">
        <v>871</v>
      </c>
      <c r="B12" s="527">
        <v>0</v>
      </c>
      <c r="C12" s="527">
        <v>0</v>
      </c>
      <c r="D12" s="527">
        <v>0</v>
      </c>
      <c r="E12" s="527">
        <v>0</v>
      </c>
      <c r="F12" s="527">
        <v>0</v>
      </c>
      <c r="G12" s="527">
        <f>-122+71</f>
        <v>-51</v>
      </c>
      <c r="H12" s="527">
        <f>-303+58</f>
        <v>-245</v>
      </c>
      <c r="I12" s="527">
        <v>0</v>
      </c>
      <c r="J12" s="527">
        <v>88</v>
      </c>
      <c r="K12" s="527">
        <f>107-1</f>
        <v>106</v>
      </c>
      <c r="L12" s="527">
        <f>-97+84</f>
        <v>-13</v>
      </c>
      <c r="M12" s="527">
        <f>-2535-440</f>
        <v>-2975</v>
      </c>
      <c r="N12" s="528">
        <f>-814-176</f>
        <v>-990</v>
      </c>
      <c r="O12" s="528">
        <f>-334-5</f>
        <v>-339</v>
      </c>
      <c r="P12" s="528">
        <v>-12</v>
      </c>
      <c r="Q12" s="528">
        <v>-6</v>
      </c>
      <c r="R12" s="528">
        <v>-9</v>
      </c>
      <c r="S12" s="528">
        <f>-7-250</f>
        <v>-257</v>
      </c>
      <c r="T12" s="528">
        <f>-10-594</f>
        <v>-604</v>
      </c>
      <c r="U12" s="528">
        <v>-19</v>
      </c>
      <c r="V12" s="528">
        <f>-17</f>
        <v>-17</v>
      </c>
      <c r="W12" s="528">
        <v>-12</v>
      </c>
      <c r="X12" s="529">
        <v>0</v>
      </c>
      <c r="Y12" s="529">
        <v>0</v>
      </c>
      <c r="Z12" s="529">
        <v>0</v>
      </c>
      <c r="AA12" s="529">
        <v>0</v>
      </c>
      <c r="AB12" s="529">
        <v>0</v>
      </c>
      <c r="AC12" s="515"/>
      <c r="AD12" s="516" t="s">
        <v>872</v>
      </c>
      <c r="AE12" s="516">
        <v>6</v>
      </c>
      <c r="AF12" s="516" t="s">
        <v>860</v>
      </c>
      <c r="AG12" s="517" t="b">
        <v>1</v>
      </c>
      <c r="AH12" s="516" t="b">
        <v>0</v>
      </c>
    </row>
    <row r="13" spans="1:34">
      <c r="A13" s="510"/>
      <c r="B13" s="531">
        <f t="shared" ref="B13:Y13" si="3">B10+B12</f>
        <v>-53</v>
      </c>
      <c r="C13" s="531">
        <f t="shared" si="3"/>
        <v>-668</v>
      </c>
      <c r="D13" s="531">
        <f t="shared" si="3"/>
        <v>-562</v>
      </c>
      <c r="E13" s="531">
        <f t="shared" si="3"/>
        <v>-580</v>
      </c>
      <c r="F13" s="531">
        <f t="shared" si="3"/>
        <v>-190</v>
      </c>
      <c r="G13" s="531">
        <f t="shared" si="3"/>
        <v>188</v>
      </c>
      <c r="H13" s="531">
        <f t="shared" si="3"/>
        <v>346</v>
      </c>
      <c r="I13" s="531">
        <f t="shared" si="3"/>
        <v>193</v>
      </c>
      <c r="J13" s="531">
        <f t="shared" si="3"/>
        <v>-257</v>
      </c>
      <c r="K13" s="531">
        <f t="shared" si="3"/>
        <v>-281</v>
      </c>
      <c r="L13" s="531">
        <f t="shared" si="3"/>
        <v>-384</v>
      </c>
      <c r="M13" s="531">
        <f t="shared" si="3"/>
        <v>-3250</v>
      </c>
      <c r="N13" s="531">
        <f t="shared" si="3"/>
        <v>-885</v>
      </c>
      <c r="O13" s="531">
        <f>O10+O12</f>
        <v>-330</v>
      </c>
      <c r="P13" s="531">
        <f>P10+P12</f>
        <v>-147</v>
      </c>
      <c r="Q13" s="531">
        <f t="shared" si="3"/>
        <v>-122</v>
      </c>
      <c r="R13" s="531">
        <f t="shared" si="3"/>
        <v>-351</v>
      </c>
      <c r="S13" s="531">
        <f t="shared" si="3"/>
        <v>-758</v>
      </c>
      <c r="T13" s="531">
        <f t="shared" si="3"/>
        <v>-1112</v>
      </c>
      <c r="U13" s="531">
        <f>U10+U12</f>
        <v>-579</v>
      </c>
      <c r="V13" s="531">
        <f t="shared" si="3"/>
        <v>-1611</v>
      </c>
      <c r="W13" s="531">
        <f t="shared" si="3"/>
        <v>-423</v>
      </c>
      <c r="X13" s="531">
        <f t="shared" si="3"/>
        <v>287.93870000000015</v>
      </c>
      <c r="Y13" s="531">
        <f t="shared" si="3"/>
        <v>434.60871730000054</v>
      </c>
      <c r="Z13" s="531">
        <f>Z10+Z12</f>
        <v>466.2509827545</v>
      </c>
      <c r="AA13" s="531">
        <f>AA10+AA12</f>
        <v>443.32743639383989</v>
      </c>
      <c r="AB13" s="531">
        <f>AB10+AB12</f>
        <v>447.23557600319009</v>
      </c>
      <c r="AC13" s="532"/>
      <c r="AF13" s="516"/>
      <c r="AG13" s="516"/>
      <c r="AH13" s="516"/>
    </row>
    <row r="14" spans="1:34">
      <c r="A14" s="510"/>
      <c r="B14" s="520"/>
      <c r="C14" s="520"/>
      <c r="D14" s="520"/>
      <c r="E14" s="520"/>
      <c r="F14" s="520"/>
      <c r="G14" s="520"/>
      <c r="H14" s="520"/>
      <c r="I14" s="521"/>
      <c r="J14" s="521"/>
      <c r="K14" s="521"/>
      <c r="L14" s="521"/>
      <c r="M14" s="521"/>
      <c r="N14" s="533"/>
      <c r="O14" s="533"/>
      <c r="P14" s="533"/>
      <c r="Q14" s="534"/>
      <c r="R14" s="534"/>
      <c r="S14" s="531">
        <f t="shared" ref="S14:X14" si="4">SUM(S5:S9)</f>
        <v>20</v>
      </c>
      <c r="T14" s="531">
        <f t="shared" si="4"/>
        <v>73</v>
      </c>
      <c r="U14" s="531">
        <f t="shared" si="4"/>
        <v>-53</v>
      </c>
      <c r="V14" s="531">
        <f t="shared" si="4"/>
        <v>-1008</v>
      </c>
      <c r="W14" s="531">
        <f t="shared" si="4"/>
        <v>99</v>
      </c>
      <c r="X14" s="531">
        <f t="shared" si="4"/>
        <v>817.31870000000004</v>
      </c>
      <c r="Y14" s="531">
        <f>SUM(Y5:Y9)</f>
        <v>984.10515730000043</v>
      </c>
      <c r="Z14" s="531">
        <f>SUM(Z5:Z9)</f>
        <v>1036.6282874745002</v>
      </c>
      <c r="AA14" s="531">
        <f>SUM(AA5:AA9)</f>
        <v>1035.3790786931997</v>
      </c>
      <c r="AB14" s="531">
        <f>SUM(AB5:AB9)</f>
        <v>1061.7851807099257</v>
      </c>
      <c r="AC14" s="535"/>
      <c r="AF14" s="516"/>
      <c r="AG14" s="516"/>
      <c r="AH14" s="516"/>
    </row>
    <row r="15" spans="1:34">
      <c r="A15" s="510"/>
      <c r="B15" s="536"/>
      <c r="C15" s="536"/>
      <c r="D15" s="536"/>
      <c r="E15" s="536"/>
      <c r="F15" s="536"/>
      <c r="G15" s="536"/>
      <c r="H15" s="536"/>
      <c r="I15" s="533"/>
      <c r="J15" s="533"/>
      <c r="K15" s="520"/>
      <c r="L15" s="520"/>
      <c r="M15" s="520"/>
      <c r="N15" s="533"/>
      <c r="O15" s="533"/>
      <c r="P15" s="533"/>
      <c r="Q15" s="534"/>
      <c r="R15" s="534"/>
      <c r="S15" s="531">
        <f>+S14+'Non-US_Pension'!S14</f>
        <v>-313</v>
      </c>
      <c r="T15" s="531">
        <f>+T14+'Non-US_Pension'!T14</f>
        <v>-434</v>
      </c>
      <c r="U15" s="531">
        <f>+U14+'Non-US_Pension'!U14</f>
        <v>-2564</v>
      </c>
      <c r="V15" s="531">
        <f>+V14+'Non-US_Pension'!V14</f>
        <v>463</v>
      </c>
      <c r="W15" s="531">
        <f>+W14+'Non-US_Pension'!W14</f>
        <v>-1258</v>
      </c>
      <c r="X15" s="531">
        <f>+X14+'Non-US_Pension'!X14</f>
        <v>1452.6174999999998</v>
      </c>
      <c r="Y15" s="531">
        <f>+Y14+'Non-US_Pension'!Y14</f>
        <v>1723.0443134600002</v>
      </c>
      <c r="Z15" s="531">
        <f>+Z14+'Non-US_Pension'!Z14</f>
        <v>1728.9947941158439</v>
      </c>
      <c r="AA15" s="531">
        <f>+AA14+'Non-US_Pension'!AA14</f>
        <v>1756.2872833428351</v>
      </c>
      <c r="AB15" s="531">
        <f>+AB14+'Non-US_Pension'!AB14</f>
        <v>1834.509432903033</v>
      </c>
      <c r="AC15" s="532"/>
      <c r="AD15" s="532"/>
      <c r="AF15" s="516"/>
      <c r="AG15" s="516"/>
      <c r="AH15" s="516"/>
    </row>
    <row r="16" spans="1:34">
      <c r="A16" s="537" t="s">
        <v>249</v>
      </c>
      <c r="B16" s="530"/>
      <c r="C16" s="530"/>
      <c r="D16" s="530"/>
      <c r="E16" s="530"/>
      <c r="F16" s="530"/>
      <c r="G16" s="530"/>
      <c r="H16" s="530"/>
      <c r="I16" s="538"/>
      <c r="J16" s="538"/>
      <c r="K16" s="538"/>
      <c r="L16" s="538"/>
      <c r="M16" s="538"/>
      <c r="N16" s="533"/>
      <c r="O16" s="533"/>
      <c r="P16" s="533"/>
      <c r="Q16" s="534"/>
      <c r="R16" s="534"/>
      <c r="S16" s="534"/>
      <c r="T16" s="534"/>
      <c r="U16" s="531"/>
      <c r="V16" s="534"/>
      <c r="W16" s="534"/>
      <c r="X16" s="534"/>
      <c r="Y16" s="534"/>
      <c r="Z16" s="534"/>
      <c r="AA16" s="534"/>
      <c r="AB16" s="534"/>
      <c r="AC16" s="535"/>
      <c r="AF16" s="516"/>
      <c r="AG16" s="516"/>
      <c r="AH16" s="516"/>
    </row>
    <row r="17" spans="1:256">
      <c r="A17" s="510" t="s">
        <v>79</v>
      </c>
      <c r="B17" s="539"/>
      <c r="C17" s="539"/>
      <c r="D17" s="539"/>
      <c r="E17" s="539"/>
      <c r="F17" s="539"/>
      <c r="G17" s="539"/>
      <c r="H17" s="539"/>
      <c r="I17" s="540">
        <f t="shared" ref="I17:AB17" si="5">H18</f>
        <v>7.2499999999999995E-2</v>
      </c>
      <c r="J17" s="540">
        <f t="shared" si="5"/>
        <v>6.7500000000000004E-2</v>
      </c>
      <c r="K17" s="540">
        <f t="shared" si="5"/>
        <v>6.25E-2</v>
      </c>
      <c r="L17" s="540">
        <f t="shared" si="5"/>
        <v>5.7500000000000002E-2</v>
      </c>
      <c r="M17" s="540">
        <f t="shared" si="5"/>
        <v>5.6099999999999997E-2</v>
      </c>
      <c r="N17" s="540">
        <f t="shared" si="5"/>
        <v>5.8599999999999999E-2</v>
      </c>
      <c r="O17" s="540">
        <f>N18</f>
        <v>6.25E-2</v>
      </c>
      <c r="P17" s="540">
        <f>O18</f>
        <v>6.5000000000000002E-2</v>
      </c>
      <c r="Q17" s="540">
        <f>P18</f>
        <v>5.8599999999999999E-2</v>
      </c>
      <c r="R17" s="540">
        <f t="shared" si="5"/>
        <v>5.2400000000000002E-2</v>
      </c>
      <c r="S17" s="540">
        <f t="shared" si="5"/>
        <v>4.6399999999999997E-2</v>
      </c>
      <c r="T17" s="540">
        <f t="shared" si="5"/>
        <v>3.8399999999999997E-2</v>
      </c>
      <c r="U17" s="540">
        <f t="shared" si="5"/>
        <v>4.7399999999999998E-2</v>
      </c>
      <c r="V17" s="540">
        <f t="shared" si="5"/>
        <v>3.9399999999999998E-2</v>
      </c>
      <c r="W17" s="540">
        <f t="shared" si="5"/>
        <v>4.2700000000000002E-2</v>
      </c>
      <c r="X17" s="540">
        <f t="shared" si="5"/>
        <v>4.0300000000000002E-2</v>
      </c>
      <c r="Y17" s="540">
        <f t="shared" si="5"/>
        <v>3.9E-2</v>
      </c>
      <c r="Z17" s="540">
        <f t="shared" si="5"/>
        <v>0.04</v>
      </c>
      <c r="AA17" s="540">
        <f t="shared" si="5"/>
        <v>4.2000000000000003E-2</v>
      </c>
      <c r="AB17" s="540">
        <f t="shared" si="5"/>
        <v>4.2999999999999997E-2</v>
      </c>
      <c r="AC17" s="539"/>
      <c r="AF17" s="516"/>
      <c r="AG17" s="516"/>
      <c r="AH17" s="516"/>
    </row>
    <row r="18" spans="1:256">
      <c r="A18" s="541" t="s">
        <v>80</v>
      </c>
      <c r="B18" s="542"/>
      <c r="C18" s="542">
        <v>7.0000000000000007E-2</v>
      </c>
      <c r="D18" s="542">
        <v>7.2499999999999995E-2</v>
      </c>
      <c r="E18" s="542">
        <v>6.7500000000000004E-2</v>
      </c>
      <c r="F18" s="542">
        <v>6.25E-2</v>
      </c>
      <c r="G18" s="542">
        <v>7.4999999999999997E-2</v>
      </c>
      <c r="H18" s="542">
        <v>7.2499999999999995E-2</v>
      </c>
      <c r="I18" s="543">
        <v>6.7500000000000004E-2</v>
      </c>
      <c r="J18" s="543">
        <v>6.25E-2</v>
      </c>
      <c r="K18" s="543">
        <v>5.7500000000000002E-2</v>
      </c>
      <c r="L18" s="543">
        <v>5.6099999999999997E-2</v>
      </c>
      <c r="M18" s="543">
        <v>5.8599999999999999E-2</v>
      </c>
      <c r="N18" s="543">
        <v>6.25E-2</v>
      </c>
      <c r="O18" s="543">
        <v>6.5000000000000002E-2</v>
      </c>
      <c r="P18" s="542">
        <v>5.8599999999999999E-2</v>
      </c>
      <c r="Q18" s="542">
        <v>5.2400000000000002E-2</v>
      </c>
      <c r="R18" s="542">
        <v>4.6399999999999997E-2</v>
      </c>
      <c r="S18" s="542">
        <v>3.8399999999999997E-2</v>
      </c>
      <c r="T18" s="542">
        <v>4.7399999999999998E-2</v>
      </c>
      <c r="U18" s="542">
        <v>3.9399999999999998E-2</v>
      </c>
      <c r="V18" s="542">
        <v>4.2700000000000002E-2</v>
      </c>
      <c r="W18" s="542">
        <v>4.0300000000000002E-2</v>
      </c>
      <c r="X18" s="544">
        <v>3.9E-2</v>
      </c>
      <c r="Y18" s="544">
        <v>0.04</v>
      </c>
      <c r="Z18" s="544">
        <v>4.2000000000000003E-2</v>
      </c>
      <c r="AA18" s="544">
        <v>4.2999999999999997E-2</v>
      </c>
      <c r="AB18" s="544">
        <v>4.2999999999999997E-2</v>
      </c>
      <c r="AC18" s="539"/>
      <c r="AD18" s="545" t="s">
        <v>873</v>
      </c>
      <c r="AE18" s="545">
        <v>0</v>
      </c>
      <c r="AF18" s="516" t="s">
        <v>874</v>
      </c>
      <c r="AG18" s="516" t="b">
        <v>0</v>
      </c>
      <c r="AH18" s="516" t="b">
        <v>0</v>
      </c>
      <c r="AI18" s="541"/>
      <c r="AJ18" s="541"/>
      <c r="AK18" s="541"/>
      <c r="AL18" s="541"/>
      <c r="AM18" s="541"/>
      <c r="AN18" s="541"/>
      <c r="AO18" s="541"/>
      <c r="AP18" s="541"/>
      <c r="AQ18" s="541"/>
      <c r="AR18" s="541"/>
      <c r="AS18" s="541"/>
      <c r="AT18" s="541"/>
      <c r="AU18" s="541"/>
      <c r="AV18" s="541"/>
      <c r="AW18" s="541"/>
      <c r="AX18" s="541"/>
      <c r="AY18" s="541"/>
      <c r="AZ18" s="541"/>
      <c r="BA18" s="541"/>
      <c r="BB18" s="541"/>
      <c r="BC18" s="541"/>
      <c r="BD18" s="541"/>
      <c r="BE18" s="541"/>
      <c r="BF18" s="541"/>
      <c r="BG18" s="541"/>
      <c r="BH18" s="541"/>
      <c r="BI18" s="541"/>
      <c r="BJ18" s="541"/>
      <c r="BK18" s="541"/>
      <c r="BL18" s="541"/>
      <c r="BM18" s="541"/>
      <c r="BN18" s="541"/>
      <c r="BO18" s="541"/>
      <c r="BP18" s="541"/>
      <c r="BQ18" s="541"/>
      <c r="BR18" s="541"/>
      <c r="BS18" s="541"/>
      <c r="BT18" s="541"/>
      <c r="BU18" s="541"/>
      <c r="BV18" s="541"/>
      <c r="BW18" s="541"/>
      <c r="BX18" s="541"/>
      <c r="BY18" s="541"/>
      <c r="BZ18" s="541"/>
      <c r="CA18" s="541"/>
      <c r="CB18" s="541"/>
      <c r="CC18" s="541"/>
      <c r="CD18" s="541"/>
      <c r="CE18" s="541"/>
      <c r="CF18" s="541"/>
      <c r="CG18" s="541"/>
      <c r="CH18" s="541"/>
      <c r="CI18" s="541"/>
      <c r="CJ18" s="541"/>
      <c r="CK18" s="541"/>
      <c r="CL18" s="541"/>
      <c r="CM18" s="541"/>
      <c r="CN18" s="541"/>
      <c r="CO18" s="541"/>
      <c r="CP18" s="541"/>
      <c r="CQ18" s="541"/>
      <c r="CR18" s="541"/>
      <c r="CS18" s="541"/>
      <c r="CT18" s="541"/>
      <c r="CU18" s="541"/>
      <c r="CV18" s="541"/>
      <c r="CW18" s="541"/>
      <c r="CX18" s="541"/>
      <c r="CY18" s="541"/>
      <c r="CZ18" s="541"/>
      <c r="DA18" s="541"/>
      <c r="DB18" s="541"/>
      <c r="DC18" s="541"/>
      <c r="DD18" s="541"/>
      <c r="DE18" s="541"/>
      <c r="DF18" s="541"/>
      <c r="DG18" s="541"/>
      <c r="DH18" s="541"/>
      <c r="DI18" s="541"/>
      <c r="DJ18" s="541"/>
      <c r="DK18" s="541"/>
      <c r="DL18" s="541"/>
      <c r="DM18" s="541"/>
      <c r="DN18" s="541"/>
      <c r="DO18" s="541"/>
      <c r="DP18" s="541"/>
      <c r="DQ18" s="541"/>
      <c r="DR18" s="541"/>
      <c r="DS18" s="541"/>
      <c r="DT18" s="541"/>
      <c r="DU18" s="541"/>
      <c r="DV18" s="541"/>
      <c r="DW18" s="541"/>
      <c r="DX18" s="541"/>
      <c r="DY18" s="541"/>
      <c r="DZ18" s="541"/>
      <c r="EA18" s="541"/>
      <c r="EB18" s="541"/>
      <c r="EC18" s="541"/>
      <c r="ED18" s="541"/>
      <c r="EE18" s="541"/>
      <c r="EF18" s="541"/>
      <c r="EG18" s="541"/>
      <c r="EH18" s="541"/>
      <c r="EI18" s="541"/>
      <c r="EJ18" s="541"/>
      <c r="EK18" s="541"/>
      <c r="EL18" s="541"/>
      <c r="EM18" s="541"/>
      <c r="EN18" s="541"/>
      <c r="EO18" s="541"/>
      <c r="EP18" s="541"/>
      <c r="EQ18" s="541"/>
      <c r="ER18" s="541"/>
      <c r="ES18" s="541"/>
      <c r="ET18" s="541"/>
      <c r="EU18" s="541"/>
      <c r="EV18" s="541"/>
      <c r="EW18" s="541"/>
      <c r="EX18" s="541"/>
      <c r="EY18" s="541"/>
      <c r="EZ18" s="541"/>
      <c r="FA18" s="541"/>
      <c r="FB18" s="541"/>
      <c r="FC18" s="541"/>
      <c r="FD18" s="541"/>
      <c r="FE18" s="541"/>
      <c r="FF18" s="541"/>
      <c r="FG18" s="541"/>
      <c r="FH18" s="541"/>
      <c r="FI18" s="541"/>
      <c r="FJ18" s="541"/>
      <c r="FK18" s="541"/>
      <c r="FL18" s="541"/>
      <c r="FM18" s="541"/>
      <c r="FN18" s="541"/>
      <c r="FO18" s="541"/>
      <c r="FP18" s="541"/>
      <c r="FQ18" s="541"/>
      <c r="FR18" s="541"/>
      <c r="FS18" s="541"/>
      <c r="FT18" s="541"/>
      <c r="FU18" s="541"/>
      <c r="FV18" s="541"/>
      <c r="FW18" s="541"/>
      <c r="FX18" s="541"/>
      <c r="FY18" s="541"/>
      <c r="FZ18" s="541"/>
      <c r="GA18" s="541"/>
      <c r="GB18" s="541"/>
      <c r="GC18" s="541"/>
      <c r="GD18" s="541"/>
      <c r="GE18" s="541"/>
      <c r="GF18" s="541"/>
      <c r="GG18" s="541"/>
      <c r="GH18" s="541"/>
      <c r="GI18" s="541"/>
      <c r="GJ18" s="541"/>
      <c r="GK18" s="541"/>
      <c r="GL18" s="541"/>
      <c r="GM18" s="541"/>
      <c r="GN18" s="541"/>
      <c r="GO18" s="541"/>
      <c r="GP18" s="541"/>
      <c r="GQ18" s="541"/>
      <c r="GR18" s="541"/>
      <c r="GS18" s="541"/>
      <c r="GT18" s="541"/>
      <c r="GU18" s="541"/>
      <c r="GV18" s="541"/>
      <c r="GW18" s="541"/>
      <c r="GX18" s="541"/>
      <c r="GY18" s="541"/>
      <c r="GZ18" s="541"/>
      <c r="HA18" s="541"/>
      <c r="HB18" s="541"/>
      <c r="HC18" s="541"/>
      <c r="HD18" s="541"/>
      <c r="HE18" s="541"/>
      <c r="HF18" s="541"/>
      <c r="HG18" s="541"/>
      <c r="HH18" s="541"/>
      <c r="HI18" s="541"/>
      <c r="HJ18" s="541"/>
      <c r="HK18" s="541"/>
      <c r="HL18" s="541"/>
      <c r="HM18" s="541"/>
      <c r="HN18" s="541"/>
      <c r="HO18" s="541"/>
      <c r="HP18" s="541"/>
      <c r="HQ18" s="541"/>
      <c r="HR18" s="541"/>
      <c r="HS18" s="541"/>
      <c r="HT18" s="541"/>
      <c r="HU18" s="541"/>
      <c r="HV18" s="541"/>
      <c r="HW18" s="541"/>
      <c r="HX18" s="541"/>
      <c r="HY18" s="541"/>
      <c r="HZ18" s="541"/>
      <c r="IA18" s="541"/>
      <c r="IB18" s="541"/>
      <c r="IC18" s="541"/>
      <c r="ID18" s="541"/>
      <c r="IE18" s="541"/>
      <c r="IF18" s="541"/>
      <c r="IG18" s="541"/>
      <c r="IH18" s="541"/>
      <c r="II18" s="541"/>
      <c r="IJ18" s="541"/>
      <c r="IK18" s="541"/>
      <c r="IL18" s="541"/>
      <c r="IM18" s="541"/>
      <c r="IN18" s="541"/>
      <c r="IO18" s="541"/>
      <c r="IP18" s="541"/>
      <c r="IQ18" s="541"/>
      <c r="IR18" s="541"/>
      <c r="IS18" s="541"/>
      <c r="IT18" s="541"/>
      <c r="IU18" s="541"/>
      <c r="IV18" s="541"/>
    </row>
    <row r="19" spans="1:256">
      <c r="A19" s="510" t="s">
        <v>81</v>
      </c>
      <c r="B19" s="542"/>
      <c r="C19" s="542"/>
      <c r="D19" s="542"/>
      <c r="E19" s="542"/>
      <c r="F19" s="542"/>
      <c r="G19" s="542">
        <v>5.1999999999999998E-2</v>
      </c>
      <c r="H19" s="542">
        <v>5.1999999999999998E-2</v>
      </c>
      <c r="I19" s="543">
        <v>5.1999999999999998E-2</v>
      </c>
      <c r="J19" s="543">
        <v>4.4999999999999998E-2</v>
      </c>
      <c r="K19" s="543">
        <v>4.4999999999999998E-2</v>
      </c>
      <c r="L19" s="543">
        <v>0.04</v>
      </c>
      <c r="M19" s="543">
        <v>3.7999999999999999E-2</v>
      </c>
      <c r="N19" s="543">
        <f>M19</f>
        <v>3.7999999999999999E-2</v>
      </c>
      <c r="O19" s="543">
        <v>3.7999999999999999E-2</v>
      </c>
      <c r="P19" s="542">
        <v>3.7999999999999999E-2</v>
      </c>
      <c r="Q19" s="542">
        <v>3.7999999999999999E-2</v>
      </c>
      <c r="R19" s="542">
        <v>3.7999999999999999E-2</v>
      </c>
      <c r="S19" s="542">
        <v>3.7999999999999999E-2</v>
      </c>
      <c r="T19" s="542">
        <v>3.7999999999999999E-2</v>
      </c>
      <c r="U19" s="542">
        <v>3.7999999999999999E-2</v>
      </c>
      <c r="V19" s="542">
        <v>3.7999999999999999E-2</v>
      </c>
      <c r="W19" s="542">
        <v>3.7999999999999999E-2</v>
      </c>
      <c r="X19" s="544">
        <f t="shared" ref="W19:AB21" si="6">W19</f>
        <v>3.7999999999999999E-2</v>
      </c>
      <c r="Y19" s="544">
        <f t="shared" si="6"/>
        <v>3.7999999999999999E-2</v>
      </c>
      <c r="Z19" s="544">
        <f t="shared" si="6"/>
        <v>3.7999999999999999E-2</v>
      </c>
      <c r="AA19" s="544">
        <f t="shared" si="6"/>
        <v>3.7999999999999999E-2</v>
      </c>
      <c r="AB19" s="544">
        <f t="shared" si="6"/>
        <v>3.7999999999999999E-2</v>
      </c>
      <c r="AC19" s="539"/>
      <c r="AD19" s="545" t="s">
        <v>875</v>
      </c>
      <c r="AE19" s="545">
        <v>0</v>
      </c>
      <c r="AF19" s="516" t="s">
        <v>874</v>
      </c>
      <c r="AG19" s="516" t="b">
        <v>0</v>
      </c>
      <c r="AH19" s="516" t="b">
        <v>0</v>
      </c>
    </row>
    <row r="20" spans="1:256">
      <c r="A20" s="510" t="s">
        <v>82</v>
      </c>
      <c r="B20" s="542"/>
      <c r="C20" s="542"/>
      <c r="D20" s="542"/>
      <c r="E20" s="542"/>
      <c r="F20" s="542"/>
      <c r="G20" s="542"/>
      <c r="H20" s="542"/>
      <c r="I20" s="543">
        <v>0</v>
      </c>
      <c r="J20" s="543">
        <v>0</v>
      </c>
      <c r="K20" s="543">
        <v>0</v>
      </c>
      <c r="L20" s="543">
        <v>0</v>
      </c>
      <c r="M20" s="543">
        <v>0</v>
      </c>
      <c r="N20" s="543">
        <f>M20</f>
        <v>0</v>
      </c>
      <c r="O20" s="543">
        <f>N20</f>
        <v>0</v>
      </c>
      <c r="P20" s="542">
        <v>0</v>
      </c>
      <c r="Q20" s="542">
        <v>0</v>
      </c>
      <c r="R20" s="544">
        <f>Q20</f>
        <v>0</v>
      </c>
      <c r="S20" s="544">
        <f>R20</f>
        <v>0</v>
      </c>
      <c r="T20" s="544">
        <f>S20</f>
        <v>0</v>
      </c>
      <c r="U20" s="544">
        <f>T20</f>
        <v>0</v>
      </c>
      <c r="V20" s="544">
        <f>U20</f>
        <v>0</v>
      </c>
      <c r="W20" s="544">
        <f t="shared" si="6"/>
        <v>0</v>
      </c>
      <c r="X20" s="544">
        <f t="shared" si="6"/>
        <v>0</v>
      </c>
      <c r="Y20" s="544">
        <f t="shared" si="6"/>
        <v>0</v>
      </c>
      <c r="Z20" s="544">
        <f t="shared" si="6"/>
        <v>0</v>
      </c>
      <c r="AA20" s="544">
        <f t="shared" si="6"/>
        <v>0</v>
      </c>
      <c r="AB20" s="544">
        <f t="shared" si="6"/>
        <v>0</v>
      </c>
      <c r="AC20" s="539"/>
      <c r="AF20" s="516"/>
      <c r="AG20" s="516"/>
      <c r="AH20" s="516"/>
    </row>
    <row r="21" spans="1:256">
      <c r="A21" s="510" t="s">
        <v>83</v>
      </c>
      <c r="B21" s="542"/>
      <c r="C21" s="542">
        <v>0.09</v>
      </c>
      <c r="D21" s="542">
        <v>0.09</v>
      </c>
      <c r="E21" s="542">
        <v>0.09</v>
      </c>
      <c r="F21" s="542">
        <v>0.09</v>
      </c>
      <c r="G21" s="542">
        <v>9.5000000000000001E-2</v>
      </c>
      <c r="H21" s="542">
        <v>9.5000000000000001E-2</v>
      </c>
      <c r="I21" s="543">
        <v>8.7499999999999994E-2</v>
      </c>
      <c r="J21" s="543">
        <v>8.7499999999999994E-2</v>
      </c>
      <c r="K21" s="543">
        <v>8.7499999999999994E-2</v>
      </c>
      <c r="L21" s="543">
        <v>8.5000000000000006E-2</v>
      </c>
      <c r="M21" s="543">
        <v>8.5000000000000006E-2</v>
      </c>
      <c r="N21" s="543">
        <v>8.5000000000000006E-2</v>
      </c>
      <c r="O21" s="543">
        <v>8.2500000000000004E-2</v>
      </c>
      <c r="P21" s="542">
        <v>8.2500000000000004E-2</v>
      </c>
      <c r="Q21" s="542">
        <v>0.08</v>
      </c>
      <c r="R21" s="542">
        <v>7.4999999999999997E-2</v>
      </c>
      <c r="S21" s="542">
        <v>7.3800000000000004E-2</v>
      </c>
      <c r="T21" s="542">
        <v>7.3800000000000004E-2</v>
      </c>
      <c r="U21" s="542">
        <v>6.8900000000000003E-2</v>
      </c>
      <c r="V21" s="542">
        <v>6.7500000000000004E-2</v>
      </c>
      <c r="W21" s="542">
        <v>6.7500000000000004E-2</v>
      </c>
      <c r="X21" s="544">
        <f t="shared" si="6"/>
        <v>6.7500000000000004E-2</v>
      </c>
      <c r="Y21" s="544">
        <f t="shared" si="6"/>
        <v>6.7500000000000004E-2</v>
      </c>
      <c r="Z21" s="544">
        <f t="shared" si="6"/>
        <v>6.7500000000000004E-2</v>
      </c>
      <c r="AA21" s="544">
        <f t="shared" si="6"/>
        <v>6.7500000000000004E-2</v>
      </c>
      <c r="AB21" s="544">
        <f t="shared" si="6"/>
        <v>6.7500000000000004E-2</v>
      </c>
      <c r="AC21" s="539"/>
      <c r="AD21" s="545" t="s">
        <v>876</v>
      </c>
      <c r="AE21" s="545">
        <v>0</v>
      </c>
      <c r="AF21" s="516" t="s">
        <v>874</v>
      </c>
      <c r="AG21" s="516" t="b">
        <v>0</v>
      </c>
      <c r="AH21" s="516" t="b">
        <v>0</v>
      </c>
    </row>
    <row r="22" spans="1:256">
      <c r="A22" s="510" t="s">
        <v>84</v>
      </c>
      <c r="B22" s="540"/>
      <c r="C22" s="540"/>
      <c r="D22" s="540"/>
      <c r="E22" s="540"/>
      <c r="F22" s="540"/>
      <c r="G22" s="540"/>
      <c r="H22" s="540"/>
      <c r="I22" s="540">
        <f t="shared" ref="I22:W22" si="7">I42/I41</f>
        <v>-9.2847796430858318E-2</v>
      </c>
      <c r="J22" s="540">
        <f t="shared" si="7"/>
        <v>0.25728821501489441</v>
      </c>
      <c r="K22" s="540">
        <f t="shared" si="7"/>
        <v>0.12340609466176788</v>
      </c>
      <c r="L22" s="540">
        <f t="shared" si="7"/>
        <v>9.8970424952054104E-2</v>
      </c>
      <c r="M22" s="540">
        <f t="shared" si="7"/>
        <v>0.13589124877559308</v>
      </c>
      <c r="N22" s="540">
        <f t="shared" si="7"/>
        <v>0.10873456237694648</v>
      </c>
      <c r="O22" s="540">
        <f t="shared" si="7"/>
        <v>-9.8039215686274508E-2</v>
      </c>
      <c r="P22" s="540">
        <f t="shared" si="7"/>
        <v>0.12987881544099944</v>
      </c>
      <c r="Q22" s="540">
        <f t="shared" si="7"/>
        <v>0.13300569467197129</v>
      </c>
      <c r="R22" s="540">
        <f t="shared" si="7"/>
        <v>7.2247247247247251E-2</v>
      </c>
      <c r="S22" s="540">
        <f t="shared" si="7"/>
        <v>0.13840259806160249</v>
      </c>
      <c r="T22" s="540">
        <f t="shared" si="7"/>
        <v>3.630145064276448E-2</v>
      </c>
      <c r="U22" s="540">
        <f t="shared" si="7"/>
        <v>0.15872091612684086</v>
      </c>
      <c r="V22" s="540">
        <f t="shared" si="7"/>
        <v>-1.6836143073766838E-2</v>
      </c>
      <c r="W22" s="540">
        <f t="shared" si="7"/>
        <v>8.5765538640550767E-2</v>
      </c>
      <c r="X22" s="544">
        <v>7.4999999999999997E-2</v>
      </c>
      <c r="Y22" s="544">
        <v>7.4999999999999997E-2</v>
      </c>
      <c r="Z22" s="544">
        <v>7.4999999999999997E-2</v>
      </c>
      <c r="AA22" s="544">
        <v>7.4999999999999997E-2</v>
      </c>
      <c r="AB22" s="544">
        <v>7.4999999999999997E-2</v>
      </c>
      <c r="AC22" s="539"/>
      <c r="AF22" s="516"/>
      <c r="AG22" s="516"/>
      <c r="AH22" s="516"/>
    </row>
    <row r="23" spans="1:256">
      <c r="A23" s="510" t="s">
        <v>85</v>
      </c>
      <c r="B23" s="546"/>
      <c r="C23" s="546"/>
      <c r="D23" s="546"/>
      <c r="E23" s="546"/>
      <c r="F23" s="546"/>
      <c r="G23" s="546"/>
      <c r="H23" s="546"/>
      <c r="I23" s="547">
        <v>15</v>
      </c>
      <c r="J23" s="547">
        <v>15</v>
      </c>
      <c r="K23" s="547">
        <v>15</v>
      </c>
      <c r="L23" s="547">
        <v>15</v>
      </c>
      <c r="M23" s="547">
        <v>15</v>
      </c>
      <c r="N23" s="547">
        <v>15</v>
      </c>
      <c r="O23" s="547">
        <v>15</v>
      </c>
      <c r="P23" s="547">
        <f t="shared" ref="P23:W23" si="8">O23</f>
        <v>15</v>
      </c>
      <c r="Q23" s="547">
        <f t="shared" si="8"/>
        <v>15</v>
      </c>
      <c r="R23" s="547">
        <f t="shared" si="8"/>
        <v>15</v>
      </c>
      <c r="S23" s="547">
        <f t="shared" si="8"/>
        <v>15</v>
      </c>
      <c r="T23" s="547">
        <f t="shared" si="8"/>
        <v>15</v>
      </c>
      <c r="U23" s="547">
        <f t="shared" si="8"/>
        <v>15</v>
      </c>
      <c r="V23" s="547">
        <f t="shared" si="8"/>
        <v>15</v>
      </c>
      <c r="W23" s="547">
        <f t="shared" si="8"/>
        <v>15</v>
      </c>
      <c r="X23" s="547">
        <f>W23</f>
        <v>15</v>
      </c>
      <c r="Y23" s="547">
        <f>X23</f>
        <v>15</v>
      </c>
      <c r="Z23" s="547">
        <f>Y23</f>
        <v>15</v>
      </c>
      <c r="AA23" s="547">
        <f>Z23</f>
        <v>15</v>
      </c>
      <c r="AB23" s="547">
        <f>AA23</f>
        <v>15</v>
      </c>
      <c r="AC23" s="548"/>
      <c r="AF23" s="516"/>
      <c r="AG23" s="516"/>
      <c r="AH23" s="516"/>
    </row>
    <row r="24" spans="1:256">
      <c r="A24" s="541" t="s">
        <v>86</v>
      </c>
      <c r="B24" s="549"/>
      <c r="C24" s="549"/>
      <c r="D24" s="549"/>
      <c r="E24" s="549"/>
      <c r="F24" s="549"/>
      <c r="G24" s="549"/>
      <c r="H24" s="549"/>
      <c r="I24" s="540">
        <v>0.1</v>
      </c>
      <c r="J24" s="540">
        <v>0.1</v>
      </c>
      <c r="K24" s="540">
        <v>0.1</v>
      </c>
      <c r="L24" s="540">
        <v>0.1</v>
      </c>
      <c r="M24" s="540">
        <v>0.1</v>
      </c>
      <c r="N24" s="540">
        <v>0.1</v>
      </c>
      <c r="O24" s="540">
        <v>0.1</v>
      </c>
      <c r="P24" s="540">
        <v>0.1</v>
      </c>
      <c r="Q24" s="540">
        <v>0.1</v>
      </c>
      <c r="R24" s="540">
        <v>0.1</v>
      </c>
      <c r="S24" s="540">
        <v>0.1</v>
      </c>
      <c r="T24" s="540">
        <v>0.1</v>
      </c>
      <c r="U24" s="540">
        <v>0.1</v>
      </c>
      <c r="V24" s="540">
        <v>0.1</v>
      </c>
      <c r="W24" s="540">
        <v>0.1</v>
      </c>
      <c r="X24" s="540">
        <v>0.1</v>
      </c>
      <c r="Y24" s="540">
        <v>0.1</v>
      </c>
      <c r="Z24" s="540">
        <v>0.1</v>
      </c>
      <c r="AA24" s="540">
        <v>0.1</v>
      </c>
      <c r="AB24" s="540">
        <v>0.1</v>
      </c>
      <c r="AC24" s="539"/>
      <c r="AF24" s="516"/>
      <c r="AG24" s="516"/>
      <c r="AH24" s="516"/>
    </row>
    <row r="25" spans="1:256">
      <c r="A25" s="510"/>
      <c r="B25" s="530"/>
      <c r="C25" s="530"/>
      <c r="D25" s="530"/>
      <c r="E25" s="530"/>
      <c r="F25" s="530"/>
      <c r="G25" s="530"/>
      <c r="H25" s="530"/>
      <c r="I25" s="520"/>
      <c r="J25" s="520"/>
      <c r="K25" s="520"/>
      <c r="L25" s="520"/>
      <c r="M25" s="520"/>
      <c r="N25" s="533"/>
      <c r="O25" s="533"/>
      <c r="P25" s="533"/>
      <c r="Q25" s="534"/>
      <c r="R25" s="534"/>
      <c r="S25" s="534"/>
      <c r="T25" s="534"/>
      <c r="U25" s="534"/>
      <c r="V25" s="534"/>
      <c r="W25" s="534"/>
      <c r="X25" s="534"/>
      <c r="Y25" s="534"/>
      <c r="Z25" s="534"/>
      <c r="AA25" s="534"/>
      <c r="AB25" s="534"/>
      <c r="AC25" s="535"/>
      <c r="AF25" s="516"/>
      <c r="AG25" s="516"/>
      <c r="AH25" s="516"/>
    </row>
    <row r="26" spans="1:256">
      <c r="A26" s="506" t="s">
        <v>877</v>
      </c>
      <c r="B26" s="550"/>
      <c r="C26" s="550"/>
      <c r="D26" s="550"/>
      <c r="E26" s="550"/>
      <c r="F26" s="550"/>
      <c r="G26" s="550"/>
      <c r="H26" s="550"/>
      <c r="I26" s="538"/>
      <c r="J26" s="538"/>
      <c r="K26" s="538"/>
      <c r="L26" s="538"/>
      <c r="M26" s="538"/>
      <c r="N26" s="533"/>
      <c r="O26" s="533"/>
      <c r="P26" s="533"/>
      <c r="Q26" s="534"/>
      <c r="R26" s="534"/>
      <c r="S26" s="534"/>
      <c r="T26" s="534"/>
      <c r="U26" s="534"/>
      <c r="V26" s="534"/>
      <c r="W26" s="534"/>
      <c r="X26" s="534"/>
      <c r="Y26" s="534"/>
      <c r="Z26" s="534"/>
      <c r="AA26" s="534"/>
      <c r="AB26" s="534"/>
      <c r="AC26" s="535"/>
      <c r="AF26" s="516"/>
      <c r="AG26" s="516"/>
      <c r="AH26" s="516"/>
    </row>
    <row r="27" spans="1:256" s="553" customFormat="1">
      <c r="A27" s="537" t="s">
        <v>878</v>
      </c>
      <c r="B27" s="551" t="str">
        <f>A38</f>
        <v>Present value of pension liabilities - end of period</v>
      </c>
      <c r="C27" s="551">
        <f>B38</f>
        <v>-1776</v>
      </c>
      <c r="D27" s="551">
        <v>-28245</v>
      </c>
      <c r="E27" s="551">
        <f>D38</f>
        <v>-30923</v>
      </c>
      <c r="F27" s="551">
        <v>-33003</v>
      </c>
      <c r="G27" s="551">
        <f>F38</f>
        <v>-31846</v>
      </c>
      <c r="H27" s="551">
        <f>G38</f>
        <v>-33282</v>
      </c>
      <c r="I27" s="552">
        <v>-35223</v>
      </c>
      <c r="J27" s="551">
        <v>-37153</v>
      </c>
      <c r="K27" s="551">
        <f>J38</f>
        <v>-40463</v>
      </c>
      <c r="L27" s="551">
        <v>-43102</v>
      </c>
      <c r="M27" s="551">
        <f t="shared" ref="M27:AB27" si="9">L38</f>
        <v>-43598</v>
      </c>
      <c r="N27" s="552">
        <v>-45252</v>
      </c>
      <c r="O27" s="552">
        <v>-44412</v>
      </c>
      <c r="P27" s="551">
        <f>O38</f>
        <v>-43053</v>
      </c>
      <c r="Q27" s="551">
        <f t="shared" si="9"/>
        <v>-44638</v>
      </c>
      <c r="R27" s="551">
        <f t="shared" si="9"/>
        <v>-46647</v>
      </c>
      <c r="S27" s="551">
        <f t="shared" si="9"/>
        <v>-48816</v>
      </c>
      <c r="T27" s="551">
        <f t="shared" si="9"/>
        <v>-52125</v>
      </c>
      <c r="U27" s="551">
        <f t="shared" si="9"/>
        <v>-43182</v>
      </c>
      <c r="V27" s="551">
        <f t="shared" si="9"/>
        <v>-47103</v>
      </c>
      <c r="W27" s="551">
        <f>V38</f>
        <v>-44936</v>
      </c>
      <c r="X27" s="551">
        <f t="shared" si="9"/>
        <v>-45746</v>
      </c>
      <c r="Y27" s="551">
        <f t="shared" si="9"/>
        <v>-45774.641800000005</v>
      </c>
      <c r="Z27" s="551">
        <f t="shared" si="9"/>
        <v>-44712.602852200005</v>
      </c>
      <c r="AA27" s="551">
        <f t="shared" si="9"/>
        <v>-43238.232213964002</v>
      </c>
      <c r="AB27" s="551">
        <f t="shared" si="9"/>
        <v>-42274.907287110211</v>
      </c>
      <c r="AC27" s="551"/>
      <c r="AF27" s="554"/>
      <c r="AG27" s="554"/>
      <c r="AH27" s="554"/>
    </row>
    <row r="28" spans="1:256">
      <c r="A28" s="510" t="s">
        <v>87</v>
      </c>
      <c r="B28" s="555">
        <f>B4</f>
        <v>0</v>
      </c>
      <c r="C28" s="555">
        <f>C4</f>
        <v>-532</v>
      </c>
      <c r="D28" s="555">
        <f>D4</f>
        <v>-551</v>
      </c>
      <c r="E28" s="555">
        <f>E4</f>
        <v>-596</v>
      </c>
      <c r="F28" s="555">
        <v>-650</v>
      </c>
      <c r="G28" s="555">
        <v>-535</v>
      </c>
      <c r="H28" s="555">
        <f>H4</f>
        <v>-531</v>
      </c>
      <c r="I28" s="555">
        <f t="shared" ref="I28:Y28" si="10">I4</f>
        <v>-556</v>
      </c>
      <c r="J28" s="555">
        <f t="shared" si="10"/>
        <v>-600</v>
      </c>
      <c r="K28" s="555">
        <f t="shared" si="10"/>
        <v>-636</v>
      </c>
      <c r="L28" s="555">
        <f t="shared" si="10"/>
        <v>-734</v>
      </c>
      <c r="M28" s="555">
        <f t="shared" si="10"/>
        <v>-680</v>
      </c>
      <c r="N28" s="521">
        <f t="shared" si="10"/>
        <v>-464</v>
      </c>
      <c r="O28" s="521">
        <f>O4</f>
        <v>-378</v>
      </c>
      <c r="P28" s="521">
        <f>P4</f>
        <v>-343</v>
      </c>
      <c r="Q28" s="521">
        <f t="shared" si="10"/>
        <v>-376</v>
      </c>
      <c r="R28" s="521">
        <f>R4</f>
        <v>-467</v>
      </c>
      <c r="S28" s="521">
        <f t="shared" si="10"/>
        <v>-521</v>
      </c>
      <c r="T28" s="521">
        <f t="shared" si="10"/>
        <v>-581</v>
      </c>
      <c r="U28" s="521">
        <f t="shared" si="10"/>
        <v>-507</v>
      </c>
      <c r="V28" s="521">
        <f t="shared" si="10"/>
        <v>-586</v>
      </c>
      <c r="W28" s="521">
        <f t="shared" si="10"/>
        <v>-510</v>
      </c>
      <c r="X28" s="521">
        <f t="shared" si="10"/>
        <v>-529.38</v>
      </c>
      <c r="Y28" s="521">
        <f t="shared" si="10"/>
        <v>-549.49644000000001</v>
      </c>
      <c r="Z28" s="521">
        <f>Z4</f>
        <v>-570.37730471999998</v>
      </c>
      <c r="AA28" s="521">
        <f>AA4</f>
        <v>-592.05164229935997</v>
      </c>
      <c r="AB28" s="521">
        <f>AB4</f>
        <v>-614.54960470673564</v>
      </c>
      <c r="AC28" s="521"/>
      <c r="AF28" s="516"/>
      <c r="AG28" s="516"/>
      <c r="AH28" s="516"/>
    </row>
    <row r="29" spans="1:256">
      <c r="A29" s="510" t="s">
        <v>879</v>
      </c>
      <c r="B29" s="511">
        <v>0</v>
      </c>
      <c r="C29" s="511">
        <v>0</v>
      </c>
      <c r="D29" s="511">
        <v>-4</v>
      </c>
      <c r="E29" s="511">
        <v>-10</v>
      </c>
      <c r="F29" s="511">
        <v>-3113</v>
      </c>
      <c r="G29" s="511">
        <v>0</v>
      </c>
      <c r="H29" s="511">
        <v>-6</v>
      </c>
      <c r="I29" s="511">
        <v>3</v>
      </c>
      <c r="J29" s="511">
        <v>-1282</v>
      </c>
      <c r="K29" s="511">
        <v>0</v>
      </c>
      <c r="L29" s="511">
        <v>0</v>
      </c>
      <c r="M29" s="511">
        <v>19</v>
      </c>
      <c r="N29" s="511">
        <v>-1623</v>
      </c>
      <c r="O29" s="511">
        <v>-4</v>
      </c>
      <c r="P29" s="511">
        <f t="shared" ref="P29:U29" si="11">-P57</f>
        <v>0</v>
      </c>
      <c r="Q29" s="521">
        <f t="shared" si="11"/>
        <v>0</v>
      </c>
      <c r="R29" s="521">
        <f t="shared" si="11"/>
        <v>0</v>
      </c>
      <c r="S29" s="511">
        <v>39</v>
      </c>
      <c r="T29" s="511">
        <v>0</v>
      </c>
      <c r="U29" s="511">
        <f t="shared" si="11"/>
        <v>0</v>
      </c>
      <c r="V29" s="521">
        <f>-99</f>
        <v>-99</v>
      </c>
      <c r="W29" s="521">
        <f t="shared" ref="W29:AB29" si="12">-W57</f>
        <v>0</v>
      </c>
      <c r="X29" s="521">
        <f t="shared" si="12"/>
        <v>0</v>
      </c>
      <c r="Y29" s="521">
        <f t="shared" si="12"/>
        <v>0</v>
      </c>
      <c r="Z29" s="521">
        <f t="shared" si="12"/>
        <v>0</v>
      </c>
      <c r="AA29" s="521">
        <f t="shared" si="12"/>
        <v>0</v>
      </c>
      <c r="AB29" s="521">
        <f t="shared" si="12"/>
        <v>0</v>
      </c>
      <c r="AC29" s="556"/>
      <c r="AF29" s="516"/>
      <c r="AG29" s="516"/>
      <c r="AH29" s="516"/>
    </row>
    <row r="30" spans="1:256">
      <c r="A30" s="510" t="s">
        <v>88</v>
      </c>
      <c r="B30" s="555">
        <f>B6</f>
        <v>-1776</v>
      </c>
      <c r="C30" s="555">
        <f>C6</f>
        <v>-1838</v>
      </c>
      <c r="D30" s="555">
        <f>D6</f>
        <v>-1993</v>
      </c>
      <c r="E30" s="555">
        <f>E6</f>
        <v>-1999</v>
      </c>
      <c r="F30" s="555">
        <v>-2099</v>
      </c>
      <c r="G30" s="555">
        <v>-2388</v>
      </c>
      <c r="H30" s="555">
        <f>H6</f>
        <v>-2410</v>
      </c>
      <c r="I30" s="555">
        <f t="shared" ref="I30:Y30" si="13">I6</f>
        <v>-2453</v>
      </c>
      <c r="J30" s="555">
        <f t="shared" si="13"/>
        <v>-2442</v>
      </c>
      <c r="K30" s="555">
        <f t="shared" si="13"/>
        <v>-2445</v>
      </c>
      <c r="L30" s="555">
        <f t="shared" si="13"/>
        <v>-2398</v>
      </c>
      <c r="M30" s="555">
        <f t="shared" si="13"/>
        <v>-2431</v>
      </c>
      <c r="N30" s="521">
        <f t="shared" si="13"/>
        <v>-2621</v>
      </c>
      <c r="O30" s="521">
        <f>O6</f>
        <v>-2682</v>
      </c>
      <c r="P30" s="521">
        <v>-2693</v>
      </c>
      <c r="Q30" s="521">
        <v>-2528</v>
      </c>
      <c r="R30" s="521">
        <f t="shared" si="13"/>
        <v>-2374</v>
      </c>
      <c r="S30" s="521">
        <f t="shared" si="13"/>
        <v>-2208</v>
      </c>
      <c r="T30" s="521">
        <f t="shared" si="13"/>
        <v>-1914</v>
      </c>
      <c r="U30" s="521">
        <f t="shared" si="13"/>
        <v>-1992</v>
      </c>
      <c r="V30" s="521">
        <f t="shared" si="13"/>
        <v>-1817</v>
      </c>
      <c r="W30" s="521">
        <f t="shared" si="13"/>
        <v>-1524</v>
      </c>
      <c r="X30" s="521">
        <f t="shared" si="13"/>
        <v>-1843.5638000000001</v>
      </c>
      <c r="Y30" s="521">
        <f t="shared" si="13"/>
        <v>-1785.2110302000001</v>
      </c>
      <c r="Z30" s="521">
        <f>Z6</f>
        <v>-1788.5041140880003</v>
      </c>
      <c r="AA30" s="521">
        <f>AA6</f>
        <v>-1816.0057529864882</v>
      </c>
      <c r="AB30" s="521">
        <f>AB6</f>
        <v>-1817.8210133457389</v>
      </c>
      <c r="AC30" s="521"/>
      <c r="AF30" s="516"/>
      <c r="AG30" s="516"/>
      <c r="AH30" s="516"/>
    </row>
    <row r="31" spans="1:256">
      <c r="A31" s="510" t="s">
        <v>880</v>
      </c>
      <c r="B31" s="557">
        <v>0</v>
      </c>
      <c r="C31" s="557">
        <v>0</v>
      </c>
      <c r="D31" s="557">
        <v>-1760</v>
      </c>
      <c r="E31" s="557">
        <v>-2046</v>
      </c>
      <c r="F31" s="557">
        <v>5298</v>
      </c>
      <c r="G31" s="557">
        <v>-689</v>
      </c>
      <c r="H31" s="557">
        <v>-1120</v>
      </c>
      <c r="I31" s="511">
        <v>-1559</v>
      </c>
      <c r="J31" s="511">
        <v>-1644</v>
      </c>
      <c r="K31" s="511">
        <v>-2249</v>
      </c>
      <c r="L31" s="511">
        <v>-482</v>
      </c>
      <c r="M31" s="511">
        <v>572</v>
      </c>
      <c r="N31" s="511">
        <v>2490</v>
      </c>
      <c r="O31" s="511">
        <v>822</v>
      </c>
      <c r="P31" s="511">
        <v>-2418</v>
      </c>
      <c r="Q31" s="511">
        <v>-2770</v>
      </c>
      <c r="R31" s="511">
        <v>-2825</v>
      </c>
      <c r="S31" s="511">
        <v>-5182</v>
      </c>
      <c r="T31" s="511">
        <v>5180</v>
      </c>
      <c r="U31" s="511">
        <v>-4474</v>
      </c>
      <c r="V31" s="511">
        <v>1719</v>
      </c>
      <c r="W31" s="511">
        <v>-1745</v>
      </c>
      <c r="X31" s="521">
        <f>-X63</f>
        <v>-594.69800000000112</v>
      </c>
      <c r="Y31" s="521">
        <f>-Y63</f>
        <v>457.74641800000052</v>
      </c>
      <c r="Z31" s="521">
        <f>-Z63</f>
        <v>894.25205704400082</v>
      </c>
      <c r="AA31" s="521">
        <f>-AA63</f>
        <v>432.38232213963738</v>
      </c>
      <c r="AB31" s="521">
        <f>-AB63</f>
        <v>0</v>
      </c>
      <c r="AC31" s="521"/>
      <c r="AF31" s="516"/>
      <c r="AG31" s="516"/>
      <c r="AH31" s="516"/>
    </row>
    <row r="32" spans="1:256">
      <c r="A32" s="510" t="s">
        <v>881</v>
      </c>
      <c r="B32" s="557">
        <v>0</v>
      </c>
      <c r="C32" s="557">
        <v>0</v>
      </c>
      <c r="D32" s="557">
        <v>1828</v>
      </c>
      <c r="E32" s="557">
        <v>1869</v>
      </c>
      <c r="F32" s="557">
        <v>1950</v>
      </c>
      <c r="G32" s="557">
        <v>2273</v>
      </c>
      <c r="H32" s="557">
        <v>2496</v>
      </c>
      <c r="I32" s="511">
        <v>2806</v>
      </c>
      <c r="J32" s="511">
        <v>2697</v>
      </c>
      <c r="K32" s="511">
        <v>2832</v>
      </c>
      <c r="L32" s="511">
        <v>2856</v>
      </c>
      <c r="M32" s="511">
        <v>3005</v>
      </c>
      <c r="N32" s="511">
        <v>3937</v>
      </c>
      <c r="O32" s="511">
        <v>3960</v>
      </c>
      <c r="P32" s="511">
        <v>3908</v>
      </c>
      <c r="Q32" s="511">
        <v>3704</v>
      </c>
      <c r="R32" s="511">
        <v>3534</v>
      </c>
      <c r="S32" s="511">
        <v>3427</v>
      </c>
      <c r="T32" s="511">
        <v>3120</v>
      </c>
      <c r="U32" s="511">
        <v>3028</v>
      </c>
      <c r="V32" s="511">
        <f>2949</f>
        <v>2949</v>
      </c>
      <c r="W32" s="511">
        <v>2966</v>
      </c>
      <c r="X32" s="558">
        <f>W32</f>
        <v>2966</v>
      </c>
      <c r="Y32" s="558">
        <f>X32</f>
        <v>2966</v>
      </c>
      <c r="Z32" s="558">
        <f>Y32</f>
        <v>2966</v>
      </c>
      <c r="AA32" s="558">
        <f>Z32</f>
        <v>2966</v>
      </c>
      <c r="AB32" s="558">
        <f>AA32</f>
        <v>2966</v>
      </c>
      <c r="AC32" s="521"/>
      <c r="AD32" s="559" t="s">
        <v>882</v>
      </c>
      <c r="AE32" s="559">
        <v>6</v>
      </c>
      <c r="AF32" s="559" t="s">
        <v>860</v>
      </c>
      <c r="AG32" s="559" t="b">
        <v>0</v>
      </c>
      <c r="AH32" s="559" t="b">
        <v>0</v>
      </c>
    </row>
    <row r="33" spans="1:34">
      <c r="A33" s="510" t="s">
        <v>883</v>
      </c>
      <c r="B33" s="557">
        <v>0</v>
      </c>
      <c r="C33" s="557">
        <v>0</v>
      </c>
      <c r="D33" s="557">
        <v>0</v>
      </c>
      <c r="E33" s="557">
        <v>0</v>
      </c>
      <c r="F33" s="557">
        <v>-74</v>
      </c>
      <c r="G33" s="557">
        <v>0</v>
      </c>
      <c r="H33" s="557">
        <v>0</v>
      </c>
      <c r="I33" s="560">
        <v>0</v>
      </c>
      <c r="J33" s="560">
        <v>0</v>
      </c>
      <c r="K33" s="560">
        <v>0</v>
      </c>
      <c r="L33" s="560">
        <v>0</v>
      </c>
      <c r="M33" s="560">
        <v>0</v>
      </c>
      <c r="N33" s="511"/>
      <c r="O33" s="511"/>
      <c r="P33" s="511"/>
      <c r="Q33" s="521"/>
      <c r="R33" s="521"/>
      <c r="S33" s="521"/>
      <c r="T33" s="521"/>
      <c r="U33" s="521"/>
      <c r="V33" s="521"/>
      <c r="W33" s="521"/>
      <c r="X33" s="521"/>
      <c r="Y33" s="521"/>
      <c r="Z33" s="521"/>
      <c r="AA33" s="521"/>
      <c r="AB33" s="521"/>
      <c r="AC33" s="521"/>
      <c r="AF33" s="516"/>
      <c r="AG33" s="516"/>
      <c r="AH33" s="516"/>
    </row>
    <row r="34" spans="1:34">
      <c r="A34" s="510" t="s">
        <v>150</v>
      </c>
      <c r="B34" s="561">
        <v>0</v>
      </c>
      <c r="C34" s="561">
        <v>0</v>
      </c>
      <c r="D34" s="561">
        <v>-43</v>
      </c>
      <c r="E34" s="561">
        <v>-45</v>
      </c>
      <c r="F34" s="561">
        <v>-46</v>
      </c>
      <c r="G34" s="561">
        <v>-45</v>
      </c>
      <c r="H34" s="561">
        <v>-40</v>
      </c>
      <c r="I34" s="562">
        <v>-39</v>
      </c>
      <c r="J34" s="562">
        <v>-39</v>
      </c>
      <c r="K34" s="562">
        <v>-42</v>
      </c>
      <c r="L34" s="562">
        <v>-41</v>
      </c>
      <c r="M34" s="562">
        <v>-39</v>
      </c>
      <c r="N34" s="560">
        <v>-34</v>
      </c>
      <c r="O34" s="560">
        <v>-25</v>
      </c>
      <c r="P34" s="560">
        <v>-27</v>
      </c>
      <c r="Q34" s="532">
        <v>-23</v>
      </c>
      <c r="R34" s="532">
        <v>-23</v>
      </c>
      <c r="S34" s="511">
        <v>-27</v>
      </c>
      <c r="T34" s="511">
        <v>-26</v>
      </c>
      <c r="U34" s="511">
        <v>-26</v>
      </c>
      <c r="V34" s="511">
        <f>-26</f>
        <v>-26</v>
      </c>
      <c r="W34" s="511">
        <v>-27</v>
      </c>
      <c r="X34" s="532">
        <f>W34</f>
        <v>-27</v>
      </c>
      <c r="Y34" s="532">
        <f>X34</f>
        <v>-27</v>
      </c>
      <c r="Z34" s="532">
        <f>Y34</f>
        <v>-27</v>
      </c>
      <c r="AA34" s="532">
        <f>Z34</f>
        <v>-27</v>
      </c>
      <c r="AB34" s="532">
        <f>AA34</f>
        <v>-27</v>
      </c>
      <c r="AC34" s="521"/>
      <c r="AF34" s="516"/>
      <c r="AG34" s="516"/>
      <c r="AH34" s="516"/>
    </row>
    <row r="35" spans="1:34">
      <c r="A35" s="541" t="s">
        <v>884</v>
      </c>
      <c r="B35" s="557">
        <v>0</v>
      </c>
      <c r="C35" s="557">
        <v>0</v>
      </c>
      <c r="D35" s="557">
        <v>0</v>
      </c>
      <c r="E35" s="557">
        <v>0</v>
      </c>
      <c r="F35" s="557">
        <v>0</v>
      </c>
      <c r="G35" s="557">
        <v>0</v>
      </c>
      <c r="H35" s="557">
        <v>0</v>
      </c>
      <c r="I35" s="562">
        <v>0</v>
      </c>
      <c r="J35" s="562">
        <v>0</v>
      </c>
      <c r="K35" s="562">
        <v>0</v>
      </c>
      <c r="L35" s="562">
        <v>0</v>
      </c>
      <c r="M35" s="562"/>
      <c r="N35" s="511"/>
      <c r="O35" s="511"/>
      <c r="P35" s="511"/>
      <c r="Q35" s="521"/>
      <c r="R35" s="521"/>
      <c r="S35" s="521"/>
      <c r="T35" s="521"/>
      <c r="U35" s="521"/>
      <c r="V35" s="521"/>
      <c r="W35" s="521"/>
      <c r="X35" s="521"/>
      <c r="Y35" s="521"/>
      <c r="Z35" s="521"/>
      <c r="AA35" s="521"/>
      <c r="AB35" s="521"/>
      <c r="AC35" s="521"/>
      <c r="AF35" s="516"/>
      <c r="AG35" s="516"/>
      <c r="AH35" s="516"/>
    </row>
    <row r="36" spans="1:34">
      <c r="A36" s="510" t="s">
        <v>885</v>
      </c>
      <c r="B36" s="561">
        <v>0</v>
      </c>
      <c r="C36" s="561">
        <v>0</v>
      </c>
      <c r="D36" s="561">
        <v>0</v>
      </c>
      <c r="E36" s="561">
        <v>0</v>
      </c>
      <c r="F36" s="561">
        <v>0</v>
      </c>
      <c r="G36" s="561">
        <v>0</v>
      </c>
      <c r="H36" s="561">
        <v>0</v>
      </c>
      <c r="I36" s="562">
        <v>-132</v>
      </c>
      <c r="J36" s="562">
        <v>0</v>
      </c>
      <c r="K36" s="562">
        <v>0</v>
      </c>
      <c r="L36" s="562">
        <v>0</v>
      </c>
      <c r="M36" s="562">
        <v>-1696</v>
      </c>
      <c r="N36" s="562">
        <f>-118+3</f>
        <v>-115</v>
      </c>
      <c r="O36" s="562">
        <v>0</v>
      </c>
      <c r="P36" s="562"/>
      <c r="Q36" s="515"/>
      <c r="R36" s="515"/>
      <c r="S36" s="511">
        <v>1123</v>
      </c>
      <c r="T36" s="511">
        <v>3089</v>
      </c>
      <c r="U36" s="511">
        <v>0</v>
      </c>
      <c r="V36" s="515"/>
      <c r="W36" s="515"/>
      <c r="X36" s="515"/>
      <c r="Y36" s="515"/>
      <c r="Z36" s="515"/>
      <c r="AA36" s="515"/>
      <c r="AB36" s="515"/>
      <c r="AC36" s="515"/>
      <c r="AF36" s="516"/>
      <c r="AG36" s="516"/>
      <c r="AH36" s="516"/>
    </row>
    <row r="37" spans="1:34">
      <c r="A37" s="510" t="s">
        <v>886</v>
      </c>
      <c r="B37" s="563">
        <v>0</v>
      </c>
      <c r="C37" s="563">
        <v>0</v>
      </c>
      <c r="D37" s="563">
        <f>-79-76</f>
        <v>-155</v>
      </c>
      <c r="E37" s="563">
        <f>-278+493</f>
        <v>215</v>
      </c>
      <c r="F37" s="563">
        <f>-109</f>
        <v>-109</v>
      </c>
      <c r="G37" s="563">
        <f>-141+89</f>
        <v>-52</v>
      </c>
      <c r="H37" s="563">
        <f>-330</f>
        <v>-330</v>
      </c>
      <c r="I37" s="564">
        <v>0</v>
      </c>
      <c r="J37" s="564"/>
      <c r="K37" s="564">
        <v>-74</v>
      </c>
      <c r="L37" s="564">
        <f>400-97</f>
        <v>303</v>
      </c>
      <c r="M37" s="564">
        <v>-440</v>
      </c>
      <c r="N37" s="526">
        <f>-813+2</f>
        <v>-811</v>
      </c>
      <c r="O37" s="526">
        <v>-334</v>
      </c>
      <c r="P37" s="526">
        <v>-12</v>
      </c>
      <c r="Q37" s="565">
        <f>-10-6</f>
        <v>-16</v>
      </c>
      <c r="R37" s="565">
        <f>-5-9</f>
        <v>-14</v>
      </c>
      <c r="S37" s="562">
        <f>40</f>
        <v>40</v>
      </c>
      <c r="T37" s="562">
        <v>75</v>
      </c>
      <c r="U37" s="526">
        <v>50</v>
      </c>
      <c r="V37" s="526">
        <f>27</f>
        <v>27</v>
      </c>
      <c r="W37" s="526">
        <v>30</v>
      </c>
      <c r="X37" s="565"/>
      <c r="Y37" s="565"/>
      <c r="Z37" s="565"/>
      <c r="AA37" s="565"/>
      <c r="AB37" s="565"/>
      <c r="AC37" s="521"/>
      <c r="AF37" s="516"/>
      <c r="AG37" s="516"/>
      <c r="AH37" s="516"/>
    </row>
    <row r="38" spans="1:34">
      <c r="A38" s="537" t="s">
        <v>90</v>
      </c>
      <c r="B38" s="551">
        <f t="shared" ref="B38:Y38" si="14">SUM(B27:B37)</f>
        <v>-1776</v>
      </c>
      <c r="C38" s="551">
        <f t="shared" si="14"/>
        <v>-4146</v>
      </c>
      <c r="D38" s="551">
        <f t="shared" si="14"/>
        <v>-30923</v>
      </c>
      <c r="E38" s="551">
        <f t="shared" si="14"/>
        <v>-33535</v>
      </c>
      <c r="F38" s="551">
        <f t="shared" si="14"/>
        <v>-31846</v>
      </c>
      <c r="G38" s="551">
        <f t="shared" si="14"/>
        <v>-33282</v>
      </c>
      <c r="H38" s="551">
        <f t="shared" si="14"/>
        <v>-35223</v>
      </c>
      <c r="I38" s="551">
        <f t="shared" si="14"/>
        <v>-37153</v>
      </c>
      <c r="J38" s="551">
        <f t="shared" si="14"/>
        <v>-40463</v>
      </c>
      <c r="K38" s="551">
        <f t="shared" si="14"/>
        <v>-43077</v>
      </c>
      <c r="L38" s="551">
        <f t="shared" si="14"/>
        <v>-43598</v>
      </c>
      <c r="M38" s="551">
        <f t="shared" si="14"/>
        <v>-45288</v>
      </c>
      <c r="N38" s="566">
        <f t="shared" si="14"/>
        <v>-44493</v>
      </c>
      <c r="O38" s="566">
        <f>SUM(O27:O37)</f>
        <v>-43053</v>
      </c>
      <c r="P38" s="566">
        <f>SUM(P27:P37)</f>
        <v>-44638</v>
      </c>
      <c r="Q38" s="566">
        <f t="shared" si="14"/>
        <v>-46647</v>
      </c>
      <c r="R38" s="566">
        <f t="shared" si="14"/>
        <v>-48816</v>
      </c>
      <c r="S38" s="567">
        <f t="shared" si="14"/>
        <v>-52125</v>
      </c>
      <c r="T38" s="567">
        <f t="shared" si="14"/>
        <v>-43182</v>
      </c>
      <c r="U38" s="566">
        <f t="shared" si="14"/>
        <v>-47103</v>
      </c>
      <c r="V38" s="566">
        <f t="shared" si="14"/>
        <v>-44936</v>
      </c>
      <c r="W38" s="566">
        <f t="shared" si="14"/>
        <v>-45746</v>
      </c>
      <c r="X38" s="566">
        <f t="shared" si="14"/>
        <v>-45774.641800000005</v>
      </c>
      <c r="Y38" s="566">
        <f t="shared" si="14"/>
        <v>-44712.602852200005</v>
      </c>
      <c r="Z38" s="566">
        <f>SUM(Z27:Z37)</f>
        <v>-43238.232213964002</v>
      </c>
      <c r="AA38" s="566">
        <f>SUM(AA27:AA37)</f>
        <v>-42274.907287110211</v>
      </c>
      <c r="AB38" s="566">
        <f>SUM(AB27:AB37)</f>
        <v>-41768.277905162686</v>
      </c>
      <c r="AC38" s="551"/>
      <c r="AD38" s="516" t="s">
        <v>887</v>
      </c>
      <c r="AE38" s="516">
        <v>6</v>
      </c>
      <c r="AF38" s="516" t="s">
        <v>860</v>
      </c>
      <c r="AG38" s="517" t="b">
        <v>1</v>
      </c>
      <c r="AH38" s="516" t="b">
        <v>0</v>
      </c>
    </row>
    <row r="39" spans="1:34">
      <c r="A39" s="510"/>
      <c r="B39" s="530"/>
      <c r="C39" s="530"/>
      <c r="D39" s="530"/>
      <c r="E39" s="530"/>
      <c r="F39" s="530"/>
      <c r="G39" s="530"/>
      <c r="H39" s="530"/>
      <c r="I39" s="521"/>
      <c r="J39" s="521"/>
      <c r="K39" s="521"/>
      <c r="L39" s="521"/>
      <c r="M39" s="521"/>
      <c r="N39" s="568"/>
      <c r="O39" s="568"/>
      <c r="P39" s="568"/>
      <c r="Q39" s="531"/>
      <c r="R39" s="531"/>
      <c r="S39" s="531"/>
      <c r="T39" s="531"/>
      <c r="U39" s="531"/>
      <c r="V39" s="531"/>
      <c r="W39" s="531"/>
      <c r="X39" s="531"/>
      <c r="Y39" s="531"/>
      <c r="Z39" s="531"/>
      <c r="AA39" s="531"/>
      <c r="AB39" s="531"/>
      <c r="AC39" s="535"/>
      <c r="AF39" s="516"/>
      <c r="AG39" s="516"/>
      <c r="AH39" s="516"/>
    </row>
    <row r="40" spans="1:34">
      <c r="A40" s="510"/>
      <c r="B40" s="530"/>
      <c r="C40" s="530"/>
      <c r="D40" s="530"/>
      <c r="E40" s="530"/>
      <c r="F40" s="530"/>
      <c r="G40" s="530"/>
      <c r="H40" s="530"/>
      <c r="I40" s="520"/>
      <c r="J40" s="520"/>
      <c r="K40" s="520"/>
      <c r="L40" s="520"/>
      <c r="M40" s="566"/>
      <c r="N40" s="551"/>
      <c r="O40" s="551"/>
      <c r="P40" s="551"/>
      <c r="Q40" s="551"/>
      <c r="R40" s="551"/>
      <c r="S40" s="551"/>
      <c r="T40" s="551"/>
      <c r="U40" s="551"/>
      <c r="V40" s="551"/>
      <c r="W40" s="551"/>
      <c r="X40" s="551"/>
      <c r="Y40" s="551"/>
      <c r="Z40" s="551"/>
      <c r="AA40" s="551"/>
      <c r="AB40" s="551"/>
      <c r="AC40" s="535"/>
      <c r="AF40" s="516"/>
      <c r="AG40" s="516"/>
      <c r="AH40" s="516"/>
    </row>
    <row r="41" spans="1:34" s="553" customFormat="1">
      <c r="A41" s="537" t="s">
        <v>888</v>
      </c>
      <c r="B41" s="569" t="str">
        <f>A50</f>
        <v>Plan assets - end of period</v>
      </c>
      <c r="C41" s="569">
        <f>B50</f>
        <v>0</v>
      </c>
      <c r="D41" s="570">
        <v>30933</v>
      </c>
      <c r="E41" s="569">
        <f>D50</f>
        <v>35683</v>
      </c>
      <c r="F41" s="569">
        <v>38417</v>
      </c>
      <c r="G41" s="569">
        <f>F50</f>
        <v>40845</v>
      </c>
      <c r="H41" s="569">
        <f>G50</f>
        <v>39830</v>
      </c>
      <c r="I41" s="552">
        <v>35919</v>
      </c>
      <c r="J41" s="569">
        <f>I50</f>
        <v>29877</v>
      </c>
      <c r="K41" s="569">
        <f t="shared" ref="K41:AB41" si="15">J50</f>
        <v>37016</v>
      </c>
      <c r="L41" s="569">
        <f t="shared" si="15"/>
        <v>39628</v>
      </c>
      <c r="M41" s="569">
        <f t="shared" si="15"/>
        <v>41857</v>
      </c>
      <c r="N41" s="571">
        <v>44696</v>
      </c>
      <c r="O41" s="571">
        <v>45696</v>
      </c>
      <c r="P41" s="566">
        <f>O50</f>
        <v>37381</v>
      </c>
      <c r="Q41" s="566">
        <f t="shared" si="15"/>
        <v>38457</v>
      </c>
      <c r="R41" s="566">
        <f t="shared" si="15"/>
        <v>39960</v>
      </c>
      <c r="S41" s="566">
        <f t="shared" si="15"/>
        <v>39414</v>
      </c>
      <c r="T41" s="566">
        <f t="shared" si="15"/>
        <v>42395</v>
      </c>
      <c r="U41" s="566">
        <f t="shared" si="15"/>
        <v>41217</v>
      </c>
      <c r="V41" s="566">
        <f t="shared" si="15"/>
        <v>44844</v>
      </c>
      <c r="W41" s="566">
        <f t="shared" si="15"/>
        <v>41252</v>
      </c>
      <c r="X41" s="566">
        <f t="shared" si="15"/>
        <v>41939</v>
      </c>
      <c r="Y41" s="566">
        <f t="shared" si="15"/>
        <v>43545.425000000003</v>
      </c>
      <c r="Z41" s="566">
        <f t="shared" si="15"/>
        <v>44372.331875000003</v>
      </c>
      <c r="AA41" s="566">
        <f t="shared" si="15"/>
        <v>44761.256765625003</v>
      </c>
      <c r="AB41" s="566">
        <f t="shared" si="15"/>
        <v>45179.351023046882</v>
      </c>
      <c r="AC41" s="551"/>
      <c r="AF41" s="554"/>
      <c r="AG41" s="554"/>
      <c r="AH41" s="554"/>
    </row>
    <row r="42" spans="1:34" ht="13.5" thickBot="1">
      <c r="A42" s="510" t="s">
        <v>91</v>
      </c>
      <c r="B42" s="557">
        <v>0</v>
      </c>
      <c r="C42" s="557">
        <v>0</v>
      </c>
      <c r="D42" s="557">
        <v>5933</v>
      </c>
      <c r="E42" s="557">
        <v>5746</v>
      </c>
      <c r="F42" s="557">
        <v>4239</v>
      </c>
      <c r="G42" s="557">
        <v>979</v>
      </c>
      <c r="H42" s="557">
        <v>-1558</v>
      </c>
      <c r="I42" s="511">
        <v>-3335</v>
      </c>
      <c r="J42" s="511">
        <v>7687</v>
      </c>
      <c r="K42" s="511">
        <v>4568</v>
      </c>
      <c r="L42" s="511">
        <v>3922</v>
      </c>
      <c r="M42" s="511">
        <v>5688</v>
      </c>
      <c r="N42" s="572">
        <v>4860</v>
      </c>
      <c r="O42" s="572">
        <v>-4480</v>
      </c>
      <c r="P42" s="572">
        <v>4855</v>
      </c>
      <c r="Q42" s="572">
        <v>5115</v>
      </c>
      <c r="R42" s="572">
        <f>2887</f>
        <v>2887</v>
      </c>
      <c r="S42" s="572">
        <v>5455</v>
      </c>
      <c r="T42" s="572">
        <v>1539</v>
      </c>
      <c r="U42" s="572">
        <v>6542</v>
      </c>
      <c r="V42" s="572">
        <f>-755</f>
        <v>-755</v>
      </c>
      <c r="W42" s="572">
        <v>3538</v>
      </c>
      <c r="X42" s="520">
        <f>X41*X22</f>
        <v>3145.4249999999997</v>
      </c>
      <c r="Y42" s="520">
        <f>Y41*Y22</f>
        <v>3265.9068750000001</v>
      </c>
      <c r="Z42" s="520">
        <f>Z41*Z22</f>
        <v>3327.924890625</v>
      </c>
      <c r="AA42" s="520">
        <f>AA41*AA22</f>
        <v>3357.0942574218752</v>
      </c>
      <c r="AB42" s="520">
        <f>AB41*AB22</f>
        <v>3388.4513267285161</v>
      </c>
      <c r="AC42" s="521"/>
      <c r="AD42" s="559" t="s">
        <v>889</v>
      </c>
      <c r="AE42" s="573">
        <v>6</v>
      </c>
      <c r="AF42" s="559" t="s">
        <v>860</v>
      </c>
      <c r="AG42" s="559" t="b">
        <v>0</v>
      </c>
      <c r="AH42" s="559" t="b">
        <v>0</v>
      </c>
    </row>
    <row r="43" spans="1:34" ht="13.5" thickBot="1">
      <c r="A43" s="510" t="s">
        <v>890</v>
      </c>
      <c r="B43" s="557">
        <v>0</v>
      </c>
      <c r="C43" s="557">
        <v>0</v>
      </c>
      <c r="D43" s="557">
        <v>210</v>
      </c>
      <c r="E43" s="557">
        <v>2</v>
      </c>
      <c r="F43" s="557">
        <v>6</v>
      </c>
      <c r="G43" s="557">
        <v>8</v>
      </c>
      <c r="H43" s="557">
        <v>167</v>
      </c>
      <c r="I43" s="511">
        <v>181</v>
      </c>
      <c r="J43" s="511">
        <v>2168</v>
      </c>
      <c r="K43" s="511">
        <v>872</v>
      </c>
      <c r="L43" s="511">
        <v>1432</v>
      </c>
      <c r="M43" s="511">
        <v>149</v>
      </c>
      <c r="N43" s="511">
        <v>148</v>
      </c>
      <c r="O43" s="511">
        <v>138</v>
      </c>
      <c r="P43" s="511">
        <v>136</v>
      </c>
      <c r="Q43" s="511">
        <v>135</v>
      </c>
      <c r="R43" s="511">
        <v>132</v>
      </c>
      <c r="S43" s="511">
        <v>2134</v>
      </c>
      <c r="T43" s="562">
        <v>3535</v>
      </c>
      <c r="U43" s="562">
        <v>130</v>
      </c>
      <c r="V43" s="574">
        <v>130</v>
      </c>
      <c r="W43" s="574">
        <v>130</v>
      </c>
      <c r="X43" s="575">
        <v>1400</v>
      </c>
      <c r="Y43" s="575">
        <v>500</v>
      </c>
      <c r="Z43" s="575">
        <v>0</v>
      </c>
      <c r="AA43" s="575">
        <v>0</v>
      </c>
      <c r="AB43" s="575">
        <v>0</v>
      </c>
      <c r="AC43" s="521"/>
      <c r="AD43" s="516" t="s">
        <v>891</v>
      </c>
      <c r="AE43" s="576">
        <v>6</v>
      </c>
      <c r="AF43" s="516" t="s">
        <v>860</v>
      </c>
      <c r="AG43" s="516" t="b">
        <v>0</v>
      </c>
      <c r="AH43" s="516" t="b">
        <v>0</v>
      </c>
    </row>
    <row r="44" spans="1:34">
      <c r="A44" s="510" t="s">
        <v>892</v>
      </c>
      <c r="B44" s="577">
        <f t="shared" ref="B44:H44" si="16">-B32</f>
        <v>0</v>
      </c>
      <c r="C44" s="577">
        <f t="shared" si="16"/>
        <v>0</v>
      </c>
      <c r="D44" s="577">
        <f t="shared" si="16"/>
        <v>-1828</v>
      </c>
      <c r="E44" s="577">
        <f t="shared" si="16"/>
        <v>-1869</v>
      </c>
      <c r="F44" s="577">
        <f t="shared" si="16"/>
        <v>-1950</v>
      </c>
      <c r="G44" s="577">
        <f t="shared" si="16"/>
        <v>-2273</v>
      </c>
      <c r="H44" s="577">
        <f t="shared" si="16"/>
        <v>-2496</v>
      </c>
      <c r="I44" s="557">
        <v>-2906</v>
      </c>
      <c r="J44" s="557">
        <v>-2697</v>
      </c>
      <c r="K44" s="557">
        <v>-2832</v>
      </c>
      <c r="L44" s="557">
        <v>-2856</v>
      </c>
      <c r="M44" s="557">
        <v>-3005</v>
      </c>
      <c r="N44" s="511">
        <f>M44/M32*N32</f>
        <v>-3937</v>
      </c>
      <c r="O44" s="511">
        <f>N44/N32*O32</f>
        <v>-3960</v>
      </c>
      <c r="P44" s="511">
        <v>-3908</v>
      </c>
      <c r="Q44" s="511">
        <v>-3704</v>
      </c>
      <c r="R44" s="511">
        <v>-3534</v>
      </c>
      <c r="S44" s="511">
        <v>-3427</v>
      </c>
      <c r="T44" s="511">
        <v>-3120</v>
      </c>
      <c r="U44" s="511">
        <v>-3028</v>
      </c>
      <c r="V44" s="511">
        <f>-2949</f>
        <v>-2949</v>
      </c>
      <c r="W44" s="511">
        <v>-2966</v>
      </c>
      <c r="X44" s="521">
        <f>W44/W32*X32</f>
        <v>-2966</v>
      </c>
      <c r="Y44" s="521">
        <f>X44/X32*Y32</f>
        <v>-2966</v>
      </c>
      <c r="Z44" s="521">
        <f>Y44/Y32*Z32</f>
        <v>-2966</v>
      </c>
      <c r="AA44" s="521">
        <f>Z44/Z32*AA32</f>
        <v>-2966</v>
      </c>
      <c r="AB44" s="521">
        <f>AA44/AA32*AB32</f>
        <v>-2966</v>
      </c>
      <c r="AC44" s="521"/>
      <c r="AD44" s="559" t="s">
        <v>893</v>
      </c>
      <c r="AE44" s="573">
        <v>6</v>
      </c>
      <c r="AF44" s="559" t="s">
        <v>860</v>
      </c>
      <c r="AG44" s="578" t="b">
        <v>1</v>
      </c>
      <c r="AH44" s="559" t="b">
        <v>0</v>
      </c>
    </row>
    <row r="45" spans="1:34">
      <c r="A45" s="510" t="s">
        <v>92</v>
      </c>
      <c r="B45" s="579">
        <f t="shared" ref="B45:S45" si="17">-B34</f>
        <v>0</v>
      </c>
      <c r="C45" s="579">
        <f t="shared" si="17"/>
        <v>0</v>
      </c>
      <c r="D45" s="579">
        <f t="shared" si="17"/>
        <v>43</v>
      </c>
      <c r="E45" s="579">
        <f t="shared" si="17"/>
        <v>45</v>
      </c>
      <c r="F45" s="579">
        <f t="shared" si="17"/>
        <v>46</v>
      </c>
      <c r="G45" s="579">
        <f t="shared" si="17"/>
        <v>45</v>
      </c>
      <c r="H45" s="579">
        <f t="shared" si="17"/>
        <v>40</v>
      </c>
      <c r="I45" s="579">
        <f t="shared" si="17"/>
        <v>39</v>
      </c>
      <c r="J45" s="579">
        <f t="shared" si="17"/>
        <v>39</v>
      </c>
      <c r="K45" s="579">
        <f t="shared" si="17"/>
        <v>42</v>
      </c>
      <c r="L45" s="579">
        <f t="shared" si="17"/>
        <v>41</v>
      </c>
      <c r="M45" s="579">
        <f t="shared" si="17"/>
        <v>39</v>
      </c>
      <c r="N45" s="579">
        <f t="shared" si="17"/>
        <v>34</v>
      </c>
      <c r="O45" s="579">
        <f>-O34</f>
        <v>25</v>
      </c>
      <c r="P45" s="579">
        <f>-P34</f>
        <v>27</v>
      </c>
      <c r="Q45" s="579">
        <f t="shared" si="17"/>
        <v>23</v>
      </c>
      <c r="R45" s="579">
        <f t="shared" si="17"/>
        <v>23</v>
      </c>
      <c r="S45" s="579">
        <f t="shared" si="17"/>
        <v>27</v>
      </c>
      <c r="T45" s="579">
        <f>-T34</f>
        <v>26</v>
      </c>
      <c r="U45" s="511">
        <v>26</v>
      </c>
      <c r="V45" s="511">
        <v>26</v>
      </c>
      <c r="W45" s="511">
        <v>27</v>
      </c>
      <c r="X45" s="579">
        <f>-X34</f>
        <v>27</v>
      </c>
      <c r="Y45" s="579">
        <f>-Y34</f>
        <v>27</v>
      </c>
      <c r="Z45" s="579">
        <f>-Z34</f>
        <v>27</v>
      </c>
      <c r="AA45" s="579">
        <f>-AA34</f>
        <v>27</v>
      </c>
      <c r="AB45" s="579">
        <f>-AB34</f>
        <v>27</v>
      </c>
      <c r="AC45" s="515"/>
      <c r="AF45" s="516"/>
      <c r="AG45" s="516"/>
      <c r="AH45" s="516"/>
    </row>
    <row r="46" spans="1:34">
      <c r="A46" s="510" t="s">
        <v>883</v>
      </c>
      <c r="B46" s="562">
        <v>0</v>
      </c>
      <c r="C46" s="562">
        <v>0</v>
      </c>
      <c r="D46" s="562">
        <v>0</v>
      </c>
      <c r="E46" s="562">
        <v>0</v>
      </c>
      <c r="F46" s="562">
        <v>43</v>
      </c>
      <c r="G46" s="562">
        <v>0</v>
      </c>
      <c r="H46" s="562">
        <v>0</v>
      </c>
      <c r="I46" s="562">
        <v>0</v>
      </c>
      <c r="J46" s="562">
        <v>0</v>
      </c>
      <c r="K46" s="562">
        <v>0</v>
      </c>
      <c r="L46" s="562">
        <v>0</v>
      </c>
      <c r="M46" s="562">
        <v>0</v>
      </c>
      <c r="N46" s="561"/>
      <c r="O46" s="561"/>
      <c r="P46" s="561"/>
      <c r="Q46" s="561"/>
      <c r="R46" s="561"/>
      <c r="S46" s="579"/>
      <c r="T46" s="579"/>
      <c r="U46" s="579"/>
      <c r="V46" s="579"/>
      <c r="W46" s="579"/>
      <c r="X46" s="579"/>
      <c r="Y46" s="579"/>
      <c r="Z46" s="579"/>
      <c r="AA46" s="579"/>
      <c r="AB46" s="579"/>
      <c r="AC46" s="515"/>
      <c r="AF46" s="516"/>
      <c r="AG46" s="516"/>
      <c r="AH46" s="516"/>
    </row>
    <row r="47" spans="1:34">
      <c r="A47" s="541" t="s">
        <v>884</v>
      </c>
      <c r="B47" s="557">
        <v>0</v>
      </c>
      <c r="C47" s="557">
        <v>0</v>
      </c>
      <c r="D47" s="557">
        <v>0</v>
      </c>
      <c r="E47" s="557">
        <v>0</v>
      </c>
      <c r="F47" s="557">
        <v>0</v>
      </c>
      <c r="G47" s="557">
        <v>0</v>
      </c>
      <c r="H47" s="557">
        <v>0</v>
      </c>
      <c r="I47" s="511">
        <v>0</v>
      </c>
      <c r="J47" s="511">
        <v>0</v>
      </c>
      <c r="K47" s="511">
        <v>0</v>
      </c>
      <c r="L47" s="511">
        <v>0</v>
      </c>
      <c r="M47" s="511"/>
      <c r="N47" s="572"/>
      <c r="O47" s="572"/>
      <c r="P47" s="572"/>
      <c r="Q47" s="572"/>
      <c r="R47" s="572"/>
      <c r="S47" s="520"/>
      <c r="T47" s="520"/>
      <c r="U47" s="520"/>
      <c r="V47" s="520"/>
      <c r="W47" s="520"/>
      <c r="X47" s="520"/>
      <c r="Y47" s="520"/>
      <c r="Z47" s="520"/>
      <c r="AA47" s="520"/>
      <c r="AB47" s="520"/>
      <c r="AC47" s="521"/>
      <c r="AD47" s="516"/>
      <c r="AE47" s="576"/>
      <c r="AF47" s="516"/>
      <c r="AG47" s="516"/>
      <c r="AH47" s="516"/>
    </row>
    <row r="48" spans="1:34">
      <c r="A48" s="510" t="s">
        <v>885</v>
      </c>
      <c r="B48" s="557">
        <v>0</v>
      </c>
      <c r="C48" s="557">
        <v>0</v>
      </c>
      <c r="D48" s="557">
        <v>0</v>
      </c>
      <c r="E48" s="557">
        <v>0</v>
      </c>
      <c r="F48" s="557">
        <v>0</v>
      </c>
      <c r="G48" s="557">
        <v>0</v>
      </c>
      <c r="H48" s="557">
        <v>0</v>
      </c>
      <c r="I48" s="511">
        <v>0</v>
      </c>
      <c r="J48" s="511">
        <v>-58</v>
      </c>
      <c r="K48" s="511">
        <v>0</v>
      </c>
      <c r="L48" s="511">
        <v>0</v>
      </c>
      <c r="M48" s="511"/>
      <c r="N48" s="572">
        <v>-3</v>
      </c>
      <c r="O48" s="572">
        <v>0</v>
      </c>
      <c r="P48" s="572"/>
      <c r="Q48" s="572"/>
      <c r="R48" s="572"/>
      <c r="S48" s="520">
        <f>-S36</f>
        <v>-1123</v>
      </c>
      <c r="T48" s="520">
        <f>-T36</f>
        <v>-3089</v>
      </c>
      <c r="U48" s="520">
        <v>0</v>
      </c>
      <c r="V48" s="520"/>
      <c r="W48" s="520"/>
      <c r="X48" s="520"/>
      <c r="Y48" s="520"/>
      <c r="Z48" s="520"/>
      <c r="AA48" s="520"/>
      <c r="AB48" s="520"/>
      <c r="AC48" s="521"/>
      <c r="AD48" s="516"/>
      <c r="AE48" s="576"/>
      <c r="AF48" s="516"/>
      <c r="AG48" s="516"/>
      <c r="AH48" s="516"/>
    </row>
    <row r="49" spans="1:34">
      <c r="A49" s="510" t="s">
        <v>72</v>
      </c>
      <c r="B49" s="526">
        <v>0</v>
      </c>
      <c r="C49" s="526">
        <v>0</v>
      </c>
      <c r="D49" s="526">
        <f>393-1</f>
        <v>392</v>
      </c>
      <c r="E49" s="526">
        <f>-95-473+83</f>
        <v>-485</v>
      </c>
      <c r="F49" s="526">
        <f>-32+76</f>
        <v>44</v>
      </c>
      <c r="G49" s="526">
        <f>136+90</f>
        <v>226</v>
      </c>
      <c r="H49" s="526">
        <f>-300+136</f>
        <v>-164</v>
      </c>
      <c r="I49" s="526">
        <v>-21</v>
      </c>
      <c r="J49" s="526">
        <v>0</v>
      </c>
      <c r="K49" s="526">
        <v>-38</v>
      </c>
      <c r="L49" s="526">
        <f>-309-1</f>
        <v>-310</v>
      </c>
      <c r="M49" s="526"/>
      <c r="N49" s="580">
        <v>-39</v>
      </c>
      <c r="O49" s="580">
        <v>-38</v>
      </c>
      <c r="P49" s="580">
        <v>-34</v>
      </c>
      <c r="Q49" s="580">
        <v>-66</v>
      </c>
      <c r="R49" s="580">
        <v>-54</v>
      </c>
      <c r="S49" s="529">
        <v>-85</v>
      </c>
      <c r="T49" s="529">
        <v>-69</v>
      </c>
      <c r="U49" s="526">
        <v>-43</v>
      </c>
      <c r="V49" s="526">
        <f>-44</f>
        <v>-44</v>
      </c>
      <c r="W49" s="526">
        <v>-42</v>
      </c>
      <c r="X49" s="529"/>
      <c r="Y49" s="529"/>
      <c r="Z49" s="529"/>
      <c r="AA49" s="529"/>
      <c r="AB49" s="529"/>
      <c r="AC49" s="521"/>
      <c r="AD49" s="516"/>
      <c r="AE49" s="576"/>
      <c r="AF49" s="516"/>
      <c r="AG49" s="516"/>
      <c r="AH49" s="516"/>
    </row>
    <row r="50" spans="1:34">
      <c r="A50" s="537" t="s">
        <v>93</v>
      </c>
      <c r="B50" s="581">
        <f t="shared" ref="B50:X50" si="18">SUM(B41:B49)</f>
        <v>0</v>
      </c>
      <c r="C50" s="581">
        <f t="shared" si="18"/>
        <v>0</v>
      </c>
      <c r="D50" s="581">
        <f t="shared" si="18"/>
        <v>35683</v>
      </c>
      <c r="E50" s="581">
        <f t="shared" si="18"/>
        <v>39122</v>
      </c>
      <c r="F50" s="581">
        <f t="shared" si="18"/>
        <v>40845</v>
      </c>
      <c r="G50" s="581">
        <f t="shared" si="18"/>
        <v>39830</v>
      </c>
      <c r="H50" s="581">
        <f t="shared" si="18"/>
        <v>35819</v>
      </c>
      <c r="I50" s="581">
        <f t="shared" si="18"/>
        <v>29877</v>
      </c>
      <c r="J50" s="581">
        <f t="shared" si="18"/>
        <v>37016</v>
      </c>
      <c r="K50" s="581">
        <f t="shared" si="18"/>
        <v>39628</v>
      </c>
      <c r="L50" s="581">
        <f t="shared" si="18"/>
        <v>41857</v>
      </c>
      <c r="M50" s="581">
        <f t="shared" si="18"/>
        <v>44728</v>
      </c>
      <c r="N50" s="581">
        <f t="shared" si="18"/>
        <v>45759</v>
      </c>
      <c r="O50" s="581">
        <f t="shared" si="18"/>
        <v>37381</v>
      </c>
      <c r="P50" s="581">
        <f t="shared" si="18"/>
        <v>38457</v>
      </c>
      <c r="Q50" s="581">
        <f t="shared" si="18"/>
        <v>39960</v>
      </c>
      <c r="R50" s="581">
        <f t="shared" si="18"/>
        <v>39414</v>
      </c>
      <c r="S50" s="581">
        <f t="shared" si="18"/>
        <v>42395</v>
      </c>
      <c r="T50" s="581">
        <f t="shared" si="18"/>
        <v>41217</v>
      </c>
      <c r="U50" s="581">
        <f t="shared" si="18"/>
        <v>44844</v>
      </c>
      <c r="V50" s="581">
        <f t="shared" si="18"/>
        <v>41252</v>
      </c>
      <c r="W50" s="581">
        <f t="shared" si="18"/>
        <v>41939</v>
      </c>
      <c r="X50" s="581">
        <f t="shared" si="18"/>
        <v>43545.425000000003</v>
      </c>
      <c r="Y50" s="581">
        <f>SUM(Y41:Y49)</f>
        <v>44372.331875000003</v>
      </c>
      <c r="Z50" s="581">
        <f>SUM(Z41:Z49)</f>
        <v>44761.256765625003</v>
      </c>
      <c r="AA50" s="581">
        <f>SUM(AA41:AA49)</f>
        <v>45179.351023046882</v>
      </c>
      <c r="AB50" s="581">
        <f>SUM(AB41:AB49)</f>
        <v>45628.802349775397</v>
      </c>
      <c r="AC50" s="551"/>
      <c r="AD50" s="516" t="s">
        <v>894</v>
      </c>
      <c r="AE50" s="576">
        <v>6</v>
      </c>
      <c r="AF50" s="516" t="s">
        <v>860</v>
      </c>
      <c r="AG50" s="516" t="b">
        <v>0</v>
      </c>
      <c r="AH50" s="516" t="b">
        <v>0</v>
      </c>
    </row>
    <row r="51" spans="1:34">
      <c r="A51" s="510"/>
      <c r="B51" s="530"/>
      <c r="C51" s="530"/>
      <c r="D51" s="530"/>
      <c r="E51" s="530"/>
      <c r="F51" s="530"/>
      <c r="G51" s="530"/>
      <c r="H51" s="530"/>
      <c r="I51" s="521"/>
      <c r="J51" s="521"/>
      <c r="K51" s="521"/>
      <c r="L51" s="521"/>
      <c r="M51" s="521"/>
      <c r="N51" s="568"/>
      <c r="O51" s="568"/>
      <c r="P51" s="568"/>
      <c r="Q51" s="531"/>
      <c r="R51" s="531"/>
      <c r="S51" s="531"/>
      <c r="T51" s="531"/>
      <c r="U51" s="531"/>
      <c r="V51" s="531"/>
      <c r="W51" s="531"/>
      <c r="X51" s="531"/>
      <c r="Y51" s="531"/>
      <c r="Z51" s="531"/>
      <c r="AA51" s="531"/>
      <c r="AB51" s="531"/>
      <c r="AC51" s="535"/>
      <c r="AF51" s="516"/>
      <c r="AG51" s="516"/>
      <c r="AH51" s="516"/>
    </row>
    <row r="52" spans="1:34">
      <c r="A52" s="537" t="s">
        <v>94</v>
      </c>
      <c r="B52" s="571">
        <f t="shared" ref="B52:Y52" si="19">B38+B50</f>
        <v>-1776</v>
      </c>
      <c r="C52" s="571">
        <v>4456</v>
      </c>
      <c r="D52" s="566">
        <f t="shared" si="19"/>
        <v>4760</v>
      </c>
      <c r="E52" s="566">
        <f t="shared" si="19"/>
        <v>5587</v>
      </c>
      <c r="F52" s="566">
        <f t="shared" si="19"/>
        <v>8999</v>
      </c>
      <c r="G52" s="566">
        <f t="shared" si="19"/>
        <v>6548</v>
      </c>
      <c r="H52" s="566">
        <f t="shared" si="19"/>
        <v>596</v>
      </c>
      <c r="I52" s="566">
        <f t="shared" si="19"/>
        <v>-7276</v>
      </c>
      <c r="J52" s="566">
        <f t="shared" si="19"/>
        <v>-3447</v>
      </c>
      <c r="K52" s="566">
        <f t="shared" si="19"/>
        <v>-3449</v>
      </c>
      <c r="L52" s="566">
        <f t="shared" si="19"/>
        <v>-1741</v>
      </c>
      <c r="M52" s="566">
        <f t="shared" si="19"/>
        <v>-560</v>
      </c>
      <c r="N52" s="566">
        <f t="shared" si="19"/>
        <v>1266</v>
      </c>
      <c r="O52" s="566">
        <f>O38+O50</f>
        <v>-5672</v>
      </c>
      <c r="P52" s="566">
        <f>P38+P50</f>
        <v>-6181</v>
      </c>
      <c r="Q52" s="566">
        <f>Q38+Q50</f>
        <v>-6687</v>
      </c>
      <c r="R52" s="566">
        <f t="shared" si="19"/>
        <v>-9402</v>
      </c>
      <c r="S52" s="566">
        <f t="shared" si="19"/>
        <v>-9730</v>
      </c>
      <c r="T52" s="566">
        <f t="shared" si="19"/>
        <v>-1965</v>
      </c>
      <c r="U52" s="566">
        <f t="shared" si="19"/>
        <v>-2259</v>
      </c>
      <c r="V52" s="566">
        <f t="shared" si="19"/>
        <v>-3684</v>
      </c>
      <c r="W52" s="566">
        <f t="shared" si="19"/>
        <v>-3807</v>
      </c>
      <c r="X52" s="1074">
        <f t="shared" si="19"/>
        <v>-2229.216800000002</v>
      </c>
      <c r="Y52" s="566">
        <f t="shared" si="19"/>
        <v>-340.27097720000165</v>
      </c>
      <c r="Z52" s="566">
        <f>Z38+Z50</f>
        <v>1523.0245516610012</v>
      </c>
      <c r="AA52" s="566">
        <f>AA38+AA50</f>
        <v>2904.4437359366711</v>
      </c>
      <c r="AB52" s="566">
        <f>AB38+AB50</f>
        <v>3860.5244446127108</v>
      </c>
      <c r="AC52" s="551"/>
      <c r="AF52" s="516"/>
      <c r="AG52" s="516"/>
      <c r="AH52" s="516"/>
    </row>
    <row r="53" spans="1:34">
      <c r="A53" s="537" t="s">
        <v>95</v>
      </c>
      <c r="B53" s="582"/>
      <c r="C53" s="582"/>
      <c r="D53" s="582"/>
      <c r="E53" s="582"/>
      <c r="F53" s="582"/>
      <c r="G53" s="582"/>
      <c r="H53" s="582"/>
      <c r="I53" s="582">
        <f t="shared" ref="I53:Y53" si="20">-I50/I38</f>
        <v>0.80416117137243293</v>
      </c>
      <c r="J53" s="582">
        <f t="shared" si="20"/>
        <v>0.91481106195783801</v>
      </c>
      <c r="K53" s="582">
        <f t="shared" si="20"/>
        <v>0.9199340715463008</v>
      </c>
      <c r="L53" s="582">
        <f t="shared" si="20"/>
        <v>0.96006697554933718</v>
      </c>
      <c r="M53" s="582">
        <f t="shared" si="20"/>
        <v>0.98763469351704647</v>
      </c>
      <c r="N53" s="582">
        <f t="shared" si="20"/>
        <v>1.0284539140988469</v>
      </c>
      <c r="O53" s="582">
        <f>-O50/O38</f>
        <v>0.86825540612733143</v>
      </c>
      <c r="P53" s="582">
        <f>-P50/P38</f>
        <v>0.861530534522156</v>
      </c>
      <c r="Q53" s="582">
        <f t="shared" si="20"/>
        <v>0.85664672969322786</v>
      </c>
      <c r="R53" s="582">
        <f t="shared" si="20"/>
        <v>0.80739921337266474</v>
      </c>
      <c r="S53" s="582">
        <f t="shared" si="20"/>
        <v>0.81333333333333335</v>
      </c>
      <c r="T53" s="582">
        <f t="shared" si="20"/>
        <v>0.95449492844240658</v>
      </c>
      <c r="U53" s="582">
        <f t="shared" si="20"/>
        <v>0.95204127125660787</v>
      </c>
      <c r="V53" s="582">
        <f t="shared" si="20"/>
        <v>0.91801673491187463</v>
      </c>
      <c r="W53" s="582">
        <f t="shared" si="20"/>
        <v>0.91677960914615486</v>
      </c>
      <c r="X53" s="582">
        <f t="shared" si="20"/>
        <v>0.95130018035444242</v>
      </c>
      <c r="Y53" s="582">
        <f t="shared" si="20"/>
        <v>0.99238981952527372</v>
      </c>
      <c r="Z53" s="582">
        <f>-Z50/Z38</f>
        <v>1.0352240245189566</v>
      </c>
      <c r="AA53" s="582">
        <f>-AA50/AA38</f>
        <v>1.0687037281054488</v>
      </c>
      <c r="AB53" s="582">
        <f>-AB50/AB38</f>
        <v>1.0924271872874016</v>
      </c>
      <c r="AC53" s="551"/>
      <c r="AF53" s="516"/>
      <c r="AG53" s="516"/>
      <c r="AH53" s="516"/>
    </row>
    <row r="54" spans="1:34">
      <c r="A54" s="537"/>
      <c r="B54" s="582"/>
      <c r="C54" s="582"/>
      <c r="D54" s="582"/>
      <c r="E54" s="582"/>
      <c r="F54" s="582"/>
      <c r="G54" s="582"/>
      <c r="H54" s="582"/>
      <c r="I54" s="583"/>
      <c r="J54" s="521"/>
      <c r="K54" s="521"/>
      <c r="L54" s="521"/>
      <c r="M54" s="521"/>
      <c r="N54" s="582"/>
      <c r="O54" s="582"/>
      <c r="P54" s="582"/>
      <c r="Q54" s="584"/>
      <c r="R54" s="582"/>
      <c r="S54" s="566">
        <f>+S52+'Non-US_Pension'!S52</f>
        <v>-18719</v>
      </c>
      <c r="T54" s="566">
        <f>+T52+'Non-US_Pension'!T52</f>
        <v>-8973</v>
      </c>
      <c r="U54" s="566">
        <f>+U52+'Non-US_Pension'!U52</f>
        <v>-9807</v>
      </c>
      <c r="V54" s="566">
        <f>+V52+'Non-US_Pension'!V52</f>
        <v>-8182</v>
      </c>
      <c r="W54" s="566">
        <f>+W52+'Non-US_Pension'!W52</f>
        <v>-8882</v>
      </c>
      <c r="X54" s="566">
        <f>+X52+'Non-US_Pension'!X52</f>
        <v>-6620.3240000000042</v>
      </c>
      <c r="Y54" s="566">
        <f>+Y52+'Non-US_Pension'!Y52</f>
        <v>-1852.048525840004</v>
      </c>
      <c r="Z54" s="566">
        <f>+Z52+'Non-US_Pension'!Z52</f>
        <v>1797.8138719359413</v>
      </c>
      <c r="AA54" s="566">
        <f>+AA52+'Non-US_Pension'!AA52</f>
        <v>4676.5070289744981</v>
      </c>
      <c r="AB54" s="566">
        <f>+AB52+'Non-US_Pension'!AB52</f>
        <v>6872.4254223268945</v>
      </c>
      <c r="AC54" s="551"/>
      <c r="AF54" s="516"/>
      <c r="AG54" s="516"/>
      <c r="AH54" s="516"/>
    </row>
    <row r="55" spans="1:34">
      <c r="A55" s="585" t="s">
        <v>895</v>
      </c>
      <c r="B55" s="530"/>
      <c r="C55" s="530"/>
      <c r="D55" s="530"/>
      <c r="E55" s="530"/>
      <c r="F55" s="530"/>
      <c r="G55" s="530"/>
      <c r="H55" s="530"/>
      <c r="I55" s="520"/>
      <c r="J55" s="520"/>
      <c r="K55" s="520"/>
      <c r="L55" s="520"/>
      <c r="M55" s="520"/>
      <c r="N55" s="568"/>
      <c r="O55" s="568"/>
      <c r="P55" s="568"/>
      <c r="Q55" s="568"/>
      <c r="R55" s="568"/>
      <c r="S55" s="568"/>
      <c r="T55" s="568"/>
      <c r="U55" s="568"/>
      <c r="V55" s="568"/>
      <c r="W55" s="568"/>
      <c r="X55" s="568"/>
      <c r="Y55" s="568"/>
      <c r="Z55" s="568"/>
      <c r="AA55" s="568"/>
      <c r="AB55" s="568"/>
      <c r="AC55" s="586"/>
      <c r="AF55" s="516"/>
      <c r="AG55" s="516"/>
      <c r="AH55" s="516"/>
    </row>
    <row r="56" spans="1:34">
      <c r="A56" s="510" t="s">
        <v>896</v>
      </c>
      <c r="B56" s="587">
        <v>0</v>
      </c>
      <c r="C56" s="587">
        <v>0</v>
      </c>
      <c r="D56" s="587">
        <v>0</v>
      </c>
      <c r="E56" s="587">
        <v>0</v>
      </c>
      <c r="F56" s="587">
        <v>0</v>
      </c>
      <c r="G56" s="587">
        <v>0</v>
      </c>
      <c r="H56" s="521">
        <f>G60</f>
        <v>3912</v>
      </c>
      <c r="I56" s="521">
        <f t="shared" ref="I56:AB56" si="21">H60</f>
        <v>3358</v>
      </c>
      <c r="J56" s="521">
        <f t="shared" si="21"/>
        <v>2831</v>
      </c>
      <c r="K56" s="521">
        <f t="shared" si="21"/>
        <v>3640</v>
      </c>
      <c r="L56" s="521">
        <f t="shared" si="21"/>
        <v>3139</v>
      </c>
      <c r="M56" s="521">
        <f t="shared" si="21"/>
        <v>2635</v>
      </c>
      <c r="N56" s="521">
        <f t="shared" si="21"/>
        <v>0</v>
      </c>
      <c r="O56" s="521">
        <f>N60</f>
        <v>0</v>
      </c>
      <c r="P56" s="520">
        <f>O60</f>
        <v>0</v>
      </c>
      <c r="Q56" s="520">
        <f t="shared" si="21"/>
        <v>0</v>
      </c>
      <c r="R56" s="520">
        <f t="shared" si="21"/>
        <v>0</v>
      </c>
      <c r="S56" s="520">
        <f t="shared" si="21"/>
        <v>0</v>
      </c>
      <c r="T56" s="520">
        <f t="shared" si="21"/>
        <v>0</v>
      </c>
      <c r="U56" s="520">
        <f t="shared" si="21"/>
        <v>0</v>
      </c>
      <c r="V56" s="520">
        <f t="shared" si="21"/>
        <v>0</v>
      </c>
      <c r="W56" s="520">
        <f t="shared" si="21"/>
        <v>0</v>
      </c>
      <c r="X56" s="520">
        <f t="shared" si="21"/>
        <v>0</v>
      </c>
      <c r="Y56" s="520">
        <f t="shared" si="21"/>
        <v>0</v>
      </c>
      <c r="Z56" s="520">
        <f t="shared" si="21"/>
        <v>0</v>
      </c>
      <c r="AA56" s="520">
        <f t="shared" si="21"/>
        <v>0</v>
      </c>
      <c r="AB56" s="520">
        <f t="shared" si="21"/>
        <v>0</v>
      </c>
      <c r="AC56" s="521"/>
      <c r="AF56" s="516"/>
      <c r="AG56" s="516"/>
      <c r="AH56" s="516"/>
    </row>
    <row r="57" spans="1:34">
      <c r="A57" s="510" t="s">
        <v>879</v>
      </c>
      <c r="B57" s="521">
        <f t="shared" ref="B57:O57" si="22">-B29</f>
        <v>0</v>
      </c>
      <c r="C57" s="521">
        <f t="shared" si="22"/>
        <v>0</v>
      </c>
      <c r="D57" s="521">
        <f t="shared" si="22"/>
        <v>4</v>
      </c>
      <c r="E57" s="521">
        <f t="shared" si="22"/>
        <v>10</v>
      </c>
      <c r="F57" s="521">
        <f t="shared" si="22"/>
        <v>3113</v>
      </c>
      <c r="G57" s="521">
        <f t="shared" si="22"/>
        <v>0</v>
      </c>
      <c r="H57" s="521">
        <f t="shared" si="22"/>
        <v>6</v>
      </c>
      <c r="I57" s="521">
        <f t="shared" si="22"/>
        <v>-3</v>
      </c>
      <c r="J57" s="521">
        <f t="shared" si="22"/>
        <v>1282</v>
      </c>
      <c r="K57" s="521">
        <f t="shared" si="22"/>
        <v>0</v>
      </c>
      <c r="L57" s="521">
        <f t="shared" si="22"/>
        <v>0</v>
      </c>
      <c r="M57" s="521">
        <f t="shared" si="22"/>
        <v>-19</v>
      </c>
      <c r="N57" s="521">
        <f t="shared" si="22"/>
        <v>1623</v>
      </c>
      <c r="O57" s="521">
        <f t="shared" si="22"/>
        <v>4</v>
      </c>
      <c r="P57" s="588">
        <v>0</v>
      </c>
      <c r="Q57" s="588">
        <v>0</v>
      </c>
      <c r="R57" s="588">
        <v>0</v>
      </c>
      <c r="S57" s="588">
        <v>0</v>
      </c>
      <c r="T57" s="588">
        <v>0</v>
      </c>
      <c r="U57" s="588">
        <v>0</v>
      </c>
      <c r="V57" s="588">
        <v>0</v>
      </c>
      <c r="W57" s="588">
        <v>0</v>
      </c>
      <c r="X57" s="588">
        <v>0</v>
      </c>
      <c r="Y57" s="588">
        <v>0</v>
      </c>
      <c r="Z57" s="588">
        <v>0</v>
      </c>
      <c r="AA57" s="588">
        <v>0</v>
      </c>
      <c r="AB57" s="588">
        <v>0</v>
      </c>
      <c r="AC57" s="521"/>
      <c r="AF57" s="516"/>
      <c r="AG57" s="516"/>
      <c r="AH57" s="516"/>
    </row>
    <row r="58" spans="1:34">
      <c r="A58" s="510" t="s">
        <v>72</v>
      </c>
      <c r="B58" s="521">
        <f t="shared" ref="B58:N58" si="23">B60-B59-B57-B56</f>
        <v>0</v>
      </c>
      <c r="C58" s="521">
        <f t="shared" si="23"/>
        <v>0</v>
      </c>
      <c r="D58" s="521">
        <f t="shared" si="23"/>
        <v>2389</v>
      </c>
      <c r="E58" s="521">
        <f t="shared" si="23"/>
        <v>1931</v>
      </c>
      <c r="F58" s="521">
        <f t="shared" si="23"/>
        <v>1435</v>
      </c>
      <c r="G58" s="521">
        <f t="shared" si="23"/>
        <v>4532</v>
      </c>
      <c r="H58" s="521">
        <f t="shared" si="23"/>
        <v>-28</v>
      </c>
      <c r="I58" s="521">
        <f t="shared" si="23"/>
        <v>5</v>
      </c>
      <c r="J58" s="521">
        <f t="shared" si="23"/>
        <v>-1</v>
      </c>
      <c r="K58" s="521">
        <f t="shared" si="23"/>
        <v>1</v>
      </c>
      <c r="L58" s="521">
        <f t="shared" si="23"/>
        <v>-4</v>
      </c>
      <c r="M58" s="521">
        <f t="shared" si="23"/>
        <v>-2172</v>
      </c>
      <c r="N58" s="521">
        <f t="shared" si="23"/>
        <v>-1358</v>
      </c>
      <c r="O58" s="521">
        <f>O60-O59-O57-O56</f>
        <v>370</v>
      </c>
      <c r="P58" s="521"/>
      <c r="Q58" s="521"/>
      <c r="R58" s="521"/>
      <c r="S58" s="521"/>
      <c r="T58" s="521"/>
      <c r="U58" s="521"/>
      <c r="V58" s="521"/>
      <c r="W58" s="521"/>
      <c r="X58" s="521"/>
      <c r="Y58" s="521"/>
      <c r="Z58" s="521"/>
      <c r="AA58" s="521"/>
      <c r="AB58" s="521"/>
      <c r="AC58" s="521"/>
      <c r="AF58" s="516"/>
      <c r="AG58" s="516"/>
      <c r="AH58" s="516"/>
    </row>
    <row r="59" spans="1:34">
      <c r="A59" s="510" t="s">
        <v>897</v>
      </c>
      <c r="B59" s="565">
        <f t="shared" ref="B59:O59" si="24">B5</f>
        <v>0</v>
      </c>
      <c r="C59" s="565">
        <f t="shared" si="24"/>
        <v>0</v>
      </c>
      <c r="D59" s="565">
        <f t="shared" si="24"/>
        <v>0</v>
      </c>
      <c r="E59" s="565">
        <f t="shared" si="24"/>
        <v>0</v>
      </c>
      <c r="F59" s="565">
        <f t="shared" si="24"/>
        <v>0</v>
      </c>
      <c r="G59" s="565">
        <f t="shared" si="24"/>
        <v>-620</v>
      </c>
      <c r="H59" s="565">
        <f t="shared" si="24"/>
        <v>-532</v>
      </c>
      <c r="I59" s="565">
        <f t="shared" si="24"/>
        <v>-529</v>
      </c>
      <c r="J59" s="565">
        <f t="shared" si="24"/>
        <v>-472</v>
      </c>
      <c r="K59" s="565">
        <f t="shared" si="24"/>
        <v>-502</v>
      </c>
      <c r="L59" s="565">
        <f t="shared" si="24"/>
        <v>-500</v>
      </c>
      <c r="M59" s="565">
        <f t="shared" si="24"/>
        <v>-444</v>
      </c>
      <c r="N59" s="565">
        <f t="shared" si="24"/>
        <v>-265</v>
      </c>
      <c r="O59" s="565">
        <f t="shared" si="24"/>
        <v>-374</v>
      </c>
      <c r="P59" s="589">
        <f t="shared" ref="P59:V59" si="25">O59-(P57)/P23</f>
        <v>-374</v>
      </c>
      <c r="Q59" s="589">
        <f t="shared" si="25"/>
        <v>-374</v>
      </c>
      <c r="R59" s="589">
        <f t="shared" si="25"/>
        <v>-374</v>
      </c>
      <c r="S59" s="589">
        <f t="shared" si="25"/>
        <v>-374</v>
      </c>
      <c r="T59" s="589">
        <f t="shared" si="25"/>
        <v>-374</v>
      </c>
      <c r="U59" s="589">
        <f t="shared" si="25"/>
        <v>-374</v>
      </c>
      <c r="V59" s="589">
        <f t="shared" si="25"/>
        <v>-374</v>
      </c>
      <c r="W59" s="589">
        <f t="shared" ref="W59:AB59" si="26">V59-(W57)/W23</f>
        <v>-374</v>
      </c>
      <c r="X59" s="589">
        <f t="shared" si="26"/>
        <v>-374</v>
      </c>
      <c r="Y59" s="589">
        <f t="shared" si="26"/>
        <v>-374</v>
      </c>
      <c r="Z59" s="589">
        <f t="shared" si="26"/>
        <v>-374</v>
      </c>
      <c r="AA59" s="589">
        <f t="shared" si="26"/>
        <v>-374</v>
      </c>
      <c r="AB59" s="589">
        <f t="shared" si="26"/>
        <v>-374</v>
      </c>
      <c r="AC59" s="515"/>
      <c r="AF59" s="516"/>
      <c r="AG59" s="516"/>
      <c r="AH59" s="516"/>
    </row>
    <row r="60" spans="1:34">
      <c r="A60" s="537" t="s">
        <v>898</v>
      </c>
      <c r="B60" s="557">
        <v>0</v>
      </c>
      <c r="C60" s="557">
        <v>0</v>
      </c>
      <c r="D60" s="557">
        <v>2393</v>
      </c>
      <c r="E60" s="557">
        <v>1941</v>
      </c>
      <c r="F60" s="557">
        <v>4548</v>
      </c>
      <c r="G60" s="557">
        <v>3912</v>
      </c>
      <c r="H60" s="557">
        <v>3358</v>
      </c>
      <c r="I60" s="557">
        <v>2831</v>
      </c>
      <c r="J60" s="557">
        <v>3640</v>
      </c>
      <c r="K60" s="557">
        <v>3139</v>
      </c>
      <c r="L60" s="557">
        <v>2635</v>
      </c>
      <c r="M60" s="557">
        <v>0</v>
      </c>
      <c r="N60" s="511">
        <v>0</v>
      </c>
      <c r="O60" s="511">
        <v>0</v>
      </c>
      <c r="P60" s="511">
        <f t="shared" ref="P60:X60" si="27">MAX(0,SUM(P56:P59))</f>
        <v>0</v>
      </c>
      <c r="Q60" s="521">
        <f t="shared" si="27"/>
        <v>0</v>
      </c>
      <c r="R60" s="521">
        <f t="shared" si="27"/>
        <v>0</v>
      </c>
      <c r="S60" s="521">
        <f t="shared" si="27"/>
        <v>0</v>
      </c>
      <c r="T60" s="521">
        <f t="shared" si="27"/>
        <v>0</v>
      </c>
      <c r="U60" s="521">
        <f t="shared" si="27"/>
        <v>0</v>
      </c>
      <c r="V60" s="521">
        <f t="shared" si="27"/>
        <v>0</v>
      </c>
      <c r="W60" s="521">
        <f t="shared" si="27"/>
        <v>0</v>
      </c>
      <c r="X60" s="521">
        <f t="shared" si="27"/>
        <v>0</v>
      </c>
      <c r="Y60" s="521">
        <f>MAX(0,SUM(Y56:Y59))</f>
        <v>0</v>
      </c>
      <c r="Z60" s="521">
        <f>MAX(0,SUM(Z56:Z59))</f>
        <v>0</v>
      </c>
      <c r="AA60" s="521">
        <f>MAX(0,SUM(AA56:AA59))</f>
        <v>0</v>
      </c>
      <c r="AB60" s="521">
        <f>MAX(0,SUM(AB56:AB59))</f>
        <v>0</v>
      </c>
      <c r="AC60" s="521"/>
      <c r="AF60" s="516"/>
      <c r="AG60" s="516"/>
      <c r="AH60" s="516"/>
    </row>
    <row r="61" spans="1:34">
      <c r="A61" s="510"/>
      <c r="B61" s="530"/>
      <c r="C61" s="530"/>
      <c r="D61" s="530"/>
      <c r="E61" s="530"/>
      <c r="F61" s="530"/>
      <c r="G61" s="530"/>
      <c r="H61" s="530"/>
      <c r="I61" s="520"/>
      <c r="J61" s="520"/>
      <c r="K61" s="520"/>
      <c r="L61" s="520"/>
      <c r="M61" s="520"/>
      <c r="N61" s="568"/>
      <c r="O61" s="568"/>
      <c r="P61" s="568"/>
      <c r="Q61" s="568"/>
      <c r="R61" s="568"/>
      <c r="S61" s="568"/>
      <c r="T61" s="568"/>
      <c r="U61" s="568"/>
      <c r="V61" s="568"/>
      <c r="W61" s="568"/>
      <c r="X61" s="568"/>
      <c r="Y61" s="568"/>
      <c r="Z61" s="568"/>
      <c r="AA61" s="568"/>
      <c r="AB61" s="568"/>
      <c r="AC61" s="586"/>
      <c r="AF61" s="516"/>
      <c r="AG61" s="516"/>
      <c r="AH61" s="516"/>
    </row>
    <row r="62" spans="1:34">
      <c r="A62" s="510" t="s">
        <v>899</v>
      </c>
      <c r="B62" s="587">
        <v>0</v>
      </c>
      <c r="C62" s="587">
        <v>0</v>
      </c>
      <c r="D62" s="587">
        <v>0</v>
      </c>
      <c r="E62" s="587">
        <v>0</v>
      </c>
      <c r="F62" s="587">
        <v>0</v>
      </c>
      <c r="G62" s="587">
        <v>0</v>
      </c>
      <c r="H62" s="521">
        <f>G67</f>
        <v>-8557</v>
      </c>
      <c r="I62" s="521">
        <f t="shared" ref="I62:AB62" si="28">H67</f>
        <v>-1939</v>
      </c>
      <c r="J62" s="521">
        <f t="shared" si="28"/>
        <v>6742</v>
      </c>
      <c r="K62" s="521">
        <f t="shared" si="28"/>
        <v>3917</v>
      </c>
      <c r="L62" s="521">
        <f t="shared" si="28"/>
        <v>4777</v>
      </c>
      <c r="M62" s="521">
        <f t="shared" si="28"/>
        <v>4567</v>
      </c>
      <c r="N62" s="520">
        <f t="shared" si="28"/>
        <v>0</v>
      </c>
      <c r="O62" s="520">
        <f>N67</f>
        <v>0</v>
      </c>
      <c r="P62" s="520">
        <f>O67</f>
        <v>0</v>
      </c>
      <c r="Q62" s="520">
        <f t="shared" si="28"/>
        <v>0</v>
      </c>
      <c r="R62" s="520">
        <f t="shared" si="28"/>
        <v>0</v>
      </c>
      <c r="S62" s="520">
        <f t="shared" si="28"/>
        <v>0</v>
      </c>
      <c r="T62" s="520">
        <f t="shared" si="28"/>
        <v>0</v>
      </c>
      <c r="U62" s="520">
        <f t="shared" si="28"/>
        <v>0</v>
      </c>
      <c r="V62" s="520">
        <f t="shared" si="28"/>
        <v>0</v>
      </c>
      <c r="W62" s="520">
        <f t="shared" si="28"/>
        <v>1941.6002666666645</v>
      </c>
      <c r="X62" s="520">
        <f t="shared" si="28"/>
        <v>1972.4992666666644</v>
      </c>
      <c r="Y62" s="520">
        <f t="shared" si="28"/>
        <v>2031.4127333333327</v>
      </c>
      <c r="Z62" s="520">
        <f t="shared" si="28"/>
        <v>1078.1227348666657</v>
      </c>
      <c r="AA62" s="520">
        <f t="shared" si="28"/>
        <v>0</v>
      </c>
      <c r="AB62" s="520">
        <f t="shared" si="28"/>
        <v>0</v>
      </c>
      <c r="AC62" s="521"/>
      <c r="AF62" s="516"/>
      <c r="AG62" s="516"/>
      <c r="AH62" s="516"/>
    </row>
    <row r="63" spans="1:34">
      <c r="A63" s="510" t="s">
        <v>900</v>
      </c>
      <c r="B63" s="590">
        <f t="shared" ref="B63:H63" si="29">-B31</f>
        <v>0</v>
      </c>
      <c r="C63" s="590">
        <f t="shared" si="29"/>
        <v>0</v>
      </c>
      <c r="D63" s="590">
        <f t="shared" si="29"/>
        <v>1760</v>
      </c>
      <c r="E63" s="590">
        <f t="shared" si="29"/>
        <v>2046</v>
      </c>
      <c r="F63" s="590">
        <f t="shared" si="29"/>
        <v>-5298</v>
      </c>
      <c r="G63" s="590">
        <f t="shared" si="29"/>
        <v>689</v>
      </c>
      <c r="H63" s="590">
        <f t="shared" si="29"/>
        <v>1120</v>
      </c>
      <c r="I63" s="590">
        <f>-I31</f>
        <v>1559</v>
      </c>
      <c r="J63" s="590">
        <f>-J31</f>
        <v>1644</v>
      </c>
      <c r="K63" s="590">
        <f>-K31</f>
        <v>2249</v>
      </c>
      <c r="L63" s="590">
        <f>-L31</f>
        <v>482</v>
      </c>
      <c r="M63" s="590">
        <f>-M31</f>
        <v>-572</v>
      </c>
      <c r="N63" s="520">
        <f t="shared" ref="N63:X63" si="30">-(N17-N18)*N27*N24*100</f>
        <v>-1764.8280000000004</v>
      </c>
      <c r="O63" s="520">
        <f t="shared" si="30"/>
        <v>-1110.3000000000011</v>
      </c>
      <c r="P63" s="520">
        <f t="shared" si="30"/>
        <v>2755.3920000000012</v>
      </c>
      <c r="Q63" s="520">
        <f t="shared" si="30"/>
        <v>2767.5559999999991</v>
      </c>
      <c r="R63" s="520">
        <f t="shared" si="30"/>
        <v>2798.8200000000024</v>
      </c>
      <c r="S63" s="520">
        <f t="shared" si="30"/>
        <v>3905.2800000000007</v>
      </c>
      <c r="T63" s="520">
        <f t="shared" si="30"/>
        <v>-4691.2500000000009</v>
      </c>
      <c r="U63" s="520">
        <f t="shared" si="30"/>
        <v>3454.56</v>
      </c>
      <c r="V63" s="520">
        <f t="shared" si="30"/>
        <v>-1554.3990000000019</v>
      </c>
      <c r="W63" s="520">
        <f t="shared" si="30"/>
        <v>1078.4639999999997</v>
      </c>
      <c r="X63" s="520">
        <f t="shared" si="30"/>
        <v>594.69800000000112</v>
      </c>
      <c r="Y63" s="520">
        <f>-(Y17-Y18)*Y27*Y24*100</f>
        <v>-457.74641800000052</v>
      </c>
      <c r="Z63" s="520">
        <f>-(Z17-Z18)*Z27*Z24*100</f>
        <v>-894.25205704400082</v>
      </c>
      <c r="AA63" s="520">
        <f>-(AA17-AA18)*AA27*AA24*100</f>
        <v>-432.38232213963738</v>
      </c>
      <c r="AB63" s="520">
        <f>-(AB17-AB18)*AB27*AB24*100</f>
        <v>0</v>
      </c>
      <c r="AC63" s="521"/>
      <c r="AF63" s="516"/>
      <c r="AG63" s="516"/>
      <c r="AH63" s="516"/>
    </row>
    <row r="64" spans="1:34">
      <c r="A64" s="510" t="s">
        <v>901</v>
      </c>
      <c r="B64" s="521">
        <f t="shared" ref="B64:Y64" si="31">+B7-B42</f>
        <v>2131</v>
      </c>
      <c r="C64" s="521">
        <f t="shared" si="31"/>
        <v>2310</v>
      </c>
      <c r="D64" s="521">
        <f t="shared" si="31"/>
        <v>-3428</v>
      </c>
      <c r="E64" s="521">
        <f t="shared" si="31"/>
        <v>-2999</v>
      </c>
      <c r="F64" s="521">
        <f t="shared" si="31"/>
        <v>-1764</v>
      </c>
      <c r="G64" s="521">
        <f t="shared" si="31"/>
        <v>2302</v>
      </c>
      <c r="H64" s="521">
        <f t="shared" si="31"/>
        <v>5255</v>
      </c>
      <c r="I64" s="521">
        <f t="shared" si="31"/>
        <v>6981</v>
      </c>
      <c r="J64" s="521">
        <f t="shared" si="31"/>
        <v>-4485</v>
      </c>
      <c r="K64" s="521">
        <f t="shared" si="31"/>
        <v>-1349</v>
      </c>
      <c r="L64" s="521">
        <f t="shared" si="31"/>
        <v>-559</v>
      </c>
      <c r="M64" s="521">
        <f t="shared" si="31"/>
        <v>-2309</v>
      </c>
      <c r="N64" s="520">
        <f t="shared" si="31"/>
        <v>-1381</v>
      </c>
      <c r="O64" s="520">
        <f>+O7-O42</f>
        <v>7942</v>
      </c>
      <c r="P64" s="520">
        <f>+P7-P42</f>
        <v>-1567</v>
      </c>
      <c r="Q64" s="520">
        <f t="shared" si="31"/>
        <v>-1943</v>
      </c>
      <c r="R64" s="520">
        <f t="shared" si="31"/>
        <v>141</v>
      </c>
      <c r="S64" s="520">
        <f t="shared" si="31"/>
        <v>-2582</v>
      </c>
      <c r="T64" s="520">
        <f t="shared" si="31"/>
        <v>1277</v>
      </c>
      <c r="U64" s="520">
        <f t="shared" si="31"/>
        <v>-3807</v>
      </c>
      <c r="V64" s="520">
        <f t="shared" si="31"/>
        <v>3683</v>
      </c>
      <c r="W64" s="520">
        <f t="shared" si="31"/>
        <v>-845</v>
      </c>
      <c r="X64" s="520">
        <f t="shared" si="31"/>
        <v>-314.54249999999956</v>
      </c>
      <c r="Y64" s="520">
        <f t="shared" si="31"/>
        <v>-326.5906874999996</v>
      </c>
      <c r="Z64" s="520">
        <f>+Z7-Z42</f>
        <v>-332.7924890624995</v>
      </c>
      <c r="AA64" s="520">
        <f>+AA7-AA42</f>
        <v>-335.70942574218725</v>
      </c>
      <c r="AB64" s="520">
        <f>+AB7-AB42</f>
        <v>-338.84513267285138</v>
      </c>
      <c r="AC64" s="521"/>
      <c r="AF64" s="516"/>
      <c r="AG64" s="516"/>
      <c r="AH64" s="516"/>
    </row>
    <row r="65" spans="1:34">
      <c r="A65" s="541" t="s">
        <v>72</v>
      </c>
      <c r="B65" s="521">
        <f t="shared" ref="B65:H65" si="32">B67-B62-B63-B64-B66</f>
        <v>-1723</v>
      </c>
      <c r="C65" s="521">
        <f t="shared" si="32"/>
        <v>-1681</v>
      </c>
      <c r="D65" s="521">
        <f t="shared" si="32"/>
        <v>-2588</v>
      </c>
      <c r="E65" s="521">
        <f t="shared" si="32"/>
        <v>-3997</v>
      </c>
      <c r="F65" s="521">
        <f t="shared" si="32"/>
        <v>-4524</v>
      </c>
      <c r="G65" s="521">
        <f t="shared" si="32"/>
        <v>-11966</v>
      </c>
      <c r="H65" s="521">
        <f t="shared" si="32"/>
        <v>243</v>
      </c>
      <c r="I65" s="521">
        <f>I67-I62-I63-I64-I66</f>
        <v>11</v>
      </c>
      <c r="J65" s="521">
        <f>J67-J62-J63-J64-J66</f>
        <v>49</v>
      </c>
      <c r="K65" s="521">
        <f>K67-K62-K63-K64-K66</f>
        <v>-17</v>
      </c>
      <c r="L65" s="521">
        <f>L67-L62-L63-L64-L66</f>
        <v>-31</v>
      </c>
      <c r="M65" s="521">
        <f>M67-M62-M63-M64-M66</f>
        <v>-1587</v>
      </c>
      <c r="N65" s="521"/>
      <c r="O65" s="521"/>
      <c r="P65" s="521"/>
      <c r="Q65" s="521"/>
      <c r="R65" s="521"/>
      <c r="S65" s="521"/>
      <c r="T65" s="521"/>
      <c r="U65" s="521"/>
      <c r="V65" s="521"/>
      <c r="W65" s="521"/>
      <c r="X65" s="521"/>
      <c r="Y65" s="521"/>
      <c r="Z65" s="521"/>
      <c r="AA65" s="521"/>
      <c r="AB65" s="521"/>
      <c r="AC65" s="521"/>
      <c r="AF65" s="516"/>
      <c r="AG65" s="516"/>
      <c r="AH65" s="516"/>
    </row>
    <row r="66" spans="1:34">
      <c r="A66" s="510" t="s">
        <v>897</v>
      </c>
      <c r="B66" s="591">
        <f t="shared" ref="B66:Q66" si="33">B8</f>
        <v>-408</v>
      </c>
      <c r="C66" s="591">
        <f t="shared" si="33"/>
        <v>-629</v>
      </c>
      <c r="D66" s="591">
        <f t="shared" si="33"/>
        <v>-545</v>
      </c>
      <c r="E66" s="591">
        <f t="shared" si="33"/>
        <v>-754</v>
      </c>
      <c r="F66" s="591">
        <f t="shared" si="33"/>
        <v>-451</v>
      </c>
      <c r="G66" s="591">
        <f t="shared" si="33"/>
        <v>418</v>
      </c>
      <c r="H66" s="591">
        <f t="shared" si="33"/>
        <v>0</v>
      </c>
      <c r="I66" s="565">
        <f t="shared" si="33"/>
        <v>130</v>
      </c>
      <c r="J66" s="565">
        <f t="shared" si="33"/>
        <v>-33</v>
      </c>
      <c r="K66" s="565">
        <f t="shared" si="33"/>
        <v>-23</v>
      </c>
      <c r="L66" s="565">
        <f t="shared" si="33"/>
        <v>-102</v>
      </c>
      <c r="M66" s="565">
        <f t="shared" si="33"/>
        <v>-99</v>
      </c>
      <c r="N66" s="565">
        <f t="shared" si="33"/>
        <v>-24</v>
      </c>
      <c r="O66" s="565">
        <f t="shared" si="33"/>
        <v>-19</v>
      </c>
      <c r="P66" s="565">
        <f t="shared" si="33"/>
        <v>-8</v>
      </c>
      <c r="Q66" s="565">
        <f t="shared" si="33"/>
        <v>-12</v>
      </c>
      <c r="R66" s="565">
        <f t="shared" ref="R66:W66" si="34">Q66-(R63+R64)/R23</f>
        <v>-207.98800000000017</v>
      </c>
      <c r="S66" s="565">
        <f t="shared" si="34"/>
        <v>-296.20666666666688</v>
      </c>
      <c r="T66" s="565">
        <f t="shared" si="34"/>
        <v>-68.590000000000146</v>
      </c>
      <c r="U66" s="565">
        <f t="shared" si="34"/>
        <v>-45.094000000000143</v>
      </c>
      <c r="V66" s="565">
        <f t="shared" si="34"/>
        <v>-187.00073333333333</v>
      </c>
      <c r="W66" s="565">
        <f t="shared" si="34"/>
        <v>-202.56499999999997</v>
      </c>
      <c r="X66" s="565">
        <f>W66-(X63+X64)/X23</f>
        <v>-221.24203333333341</v>
      </c>
      <c r="Y66" s="565">
        <f>X66-(Y63+Y64)/Y23</f>
        <v>-168.95289296666675</v>
      </c>
      <c r="Z66" s="565">
        <f>Y66-(Z63+Z64)/Z23</f>
        <v>-87.149923226233398</v>
      </c>
      <c r="AA66" s="565">
        <f>Z66-(AA63+AA64)/AA23</f>
        <v>-35.943806700778424</v>
      </c>
      <c r="AB66" s="565">
        <f>AA66-(AB63+AB64)/AB23</f>
        <v>-13.354131189255</v>
      </c>
      <c r="AC66" s="515"/>
      <c r="AF66" s="516"/>
      <c r="AG66" s="516"/>
      <c r="AH66" s="516"/>
    </row>
    <row r="67" spans="1:34">
      <c r="A67" s="537" t="s">
        <v>902</v>
      </c>
      <c r="B67" s="557">
        <v>0</v>
      </c>
      <c r="C67" s="557">
        <v>0</v>
      </c>
      <c r="D67" s="557">
        <v>-4801</v>
      </c>
      <c r="E67" s="557">
        <v>-5704</v>
      </c>
      <c r="F67" s="557">
        <v>-12037</v>
      </c>
      <c r="G67" s="557">
        <v>-8557</v>
      </c>
      <c r="H67" s="557">
        <v>-1939</v>
      </c>
      <c r="I67" s="511">
        <v>6742</v>
      </c>
      <c r="J67" s="511">
        <v>3917</v>
      </c>
      <c r="K67" s="511">
        <v>4777</v>
      </c>
      <c r="L67" s="511">
        <v>4567</v>
      </c>
      <c r="M67" s="511">
        <v>0</v>
      </c>
      <c r="N67" s="511">
        <v>0</v>
      </c>
      <c r="O67" s="511">
        <v>0</v>
      </c>
      <c r="P67" s="511">
        <v>0</v>
      </c>
      <c r="Q67" s="521">
        <v>0</v>
      </c>
      <c r="R67" s="521">
        <v>0</v>
      </c>
      <c r="S67" s="521">
        <v>0</v>
      </c>
      <c r="T67" s="521">
        <f t="shared" ref="T67:Y67" si="35">MAX(0,SUM(T62:T66))</f>
        <v>0</v>
      </c>
      <c r="U67" s="521">
        <f t="shared" si="35"/>
        <v>0</v>
      </c>
      <c r="V67" s="521">
        <f t="shared" si="35"/>
        <v>1941.6002666666645</v>
      </c>
      <c r="W67" s="521">
        <f t="shared" si="35"/>
        <v>1972.4992666666644</v>
      </c>
      <c r="X67" s="521">
        <f t="shared" si="35"/>
        <v>2031.4127333333327</v>
      </c>
      <c r="Y67" s="521">
        <f t="shared" si="35"/>
        <v>1078.1227348666657</v>
      </c>
      <c r="Z67" s="521">
        <f>MAX(0,SUM(Z62:Z66))</f>
        <v>0</v>
      </c>
      <c r="AA67" s="521">
        <f>MAX(0,SUM(AA62:AA66))</f>
        <v>0</v>
      </c>
      <c r="AB67" s="521">
        <f>MAX(0,SUM(AB62:AB66))</f>
        <v>0</v>
      </c>
      <c r="AC67" s="521"/>
      <c r="AF67" s="516"/>
      <c r="AG67" s="516"/>
      <c r="AH67" s="516"/>
    </row>
    <row r="68" spans="1:34" s="504" customFormat="1">
      <c r="A68" s="592"/>
      <c r="B68" s="587"/>
      <c r="C68" s="587"/>
      <c r="D68" s="587"/>
      <c r="E68" s="587"/>
      <c r="F68" s="587"/>
      <c r="G68" s="587"/>
      <c r="H68" s="587"/>
      <c r="I68" s="593"/>
      <c r="J68" s="593"/>
      <c r="K68" s="593"/>
      <c r="L68" s="593"/>
      <c r="M68" s="593"/>
      <c r="N68" s="521"/>
      <c r="O68" s="521"/>
      <c r="P68" s="521"/>
      <c r="Q68" s="521"/>
      <c r="R68" s="521"/>
      <c r="S68" s="521"/>
      <c r="T68" s="521"/>
      <c r="U68" s="521"/>
      <c r="V68" s="521"/>
      <c r="W68" s="521"/>
      <c r="X68" s="521"/>
      <c r="Y68" s="521"/>
      <c r="Z68" s="521"/>
      <c r="AA68" s="521"/>
      <c r="AB68" s="521"/>
      <c r="AC68" s="521"/>
      <c r="AF68" s="516"/>
      <c r="AG68" s="516"/>
      <c r="AH68" s="516"/>
    </row>
    <row r="69" spans="1:34">
      <c r="A69" s="592" t="s">
        <v>903</v>
      </c>
      <c r="B69" s="557">
        <v>0</v>
      </c>
      <c r="C69" s="557">
        <v>0</v>
      </c>
      <c r="D69" s="557">
        <v>0</v>
      </c>
      <c r="E69" s="557">
        <v>0</v>
      </c>
      <c r="F69" s="557">
        <v>0</v>
      </c>
      <c r="G69" s="557">
        <v>0</v>
      </c>
      <c r="H69" s="557">
        <v>0</v>
      </c>
      <c r="I69" s="587">
        <v>0</v>
      </c>
      <c r="J69" s="587">
        <v>0</v>
      </c>
      <c r="K69" s="587">
        <v>0</v>
      </c>
      <c r="L69" s="587">
        <v>0</v>
      </c>
      <c r="M69" s="587">
        <v>0</v>
      </c>
      <c r="N69" s="521">
        <f t="shared" ref="N69:AB70" si="36">M69</f>
        <v>0</v>
      </c>
      <c r="O69" s="521">
        <f>N69</f>
        <v>0</v>
      </c>
      <c r="P69" s="521">
        <f>O69</f>
        <v>0</v>
      </c>
      <c r="Q69" s="521">
        <f t="shared" si="36"/>
        <v>0</v>
      </c>
      <c r="R69" s="521">
        <f t="shared" si="36"/>
        <v>0</v>
      </c>
      <c r="S69" s="521">
        <f t="shared" si="36"/>
        <v>0</v>
      </c>
      <c r="T69" s="521">
        <f t="shared" si="36"/>
        <v>0</v>
      </c>
      <c r="U69" s="521">
        <f t="shared" si="36"/>
        <v>0</v>
      </c>
      <c r="V69" s="521">
        <f t="shared" si="36"/>
        <v>0</v>
      </c>
      <c r="W69" s="521">
        <f t="shared" si="36"/>
        <v>0</v>
      </c>
      <c r="X69" s="521">
        <f t="shared" si="36"/>
        <v>0</v>
      </c>
      <c r="Y69" s="521">
        <f t="shared" si="36"/>
        <v>0</v>
      </c>
      <c r="Z69" s="521">
        <f t="shared" si="36"/>
        <v>0</v>
      </c>
      <c r="AA69" s="521">
        <f t="shared" si="36"/>
        <v>0</v>
      </c>
      <c r="AB69" s="521">
        <f t="shared" si="36"/>
        <v>0</v>
      </c>
      <c r="AC69" s="521"/>
      <c r="AH69" s="516"/>
    </row>
    <row r="70" spans="1:34" s="504" customFormat="1">
      <c r="A70" s="592" t="s">
        <v>904</v>
      </c>
      <c r="B70" s="557">
        <v>0</v>
      </c>
      <c r="C70" s="557">
        <v>0</v>
      </c>
      <c r="D70" s="557">
        <v>-87</v>
      </c>
      <c r="E70" s="557">
        <v>-68</v>
      </c>
      <c r="F70" s="557">
        <v>-36</v>
      </c>
      <c r="G70" s="557">
        <v>0</v>
      </c>
      <c r="H70" s="557">
        <v>0</v>
      </c>
      <c r="I70" s="587">
        <v>0</v>
      </c>
      <c r="J70" s="587">
        <v>0</v>
      </c>
      <c r="K70" s="587">
        <v>0</v>
      </c>
      <c r="L70" s="587">
        <v>0</v>
      </c>
      <c r="M70" s="587">
        <v>0</v>
      </c>
      <c r="N70" s="521">
        <f t="shared" si="36"/>
        <v>0</v>
      </c>
      <c r="O70" s="521">
        <f>N70</f>
        <v>0</v>
      </c>
      <c r="P70" s="521">
        <f>O70</f>
        <v>0</v>
      </c>
      <c r="Q70" s="521">
        <f t="shared" si="36"/>
        <v>0</v>
      </c>
      <c r="R70" s="521">
        <f t="shared" si="36"/>
        <v>0</v>
      </c>
      <c r="S70" s="521">
        <f t="shared" si="36"/>
        <v>0</v>
      </c>
      <c r="T70" s="521">
        <f t="shared" si="36"/>
        <v>0</v>
      </c>
      <c r="U70" s="521">
        <f t="shared" si="36"/>
        <v>0</v>
      </c>
      <c r="V70" s="521">
        <f t="shared" si="36"/>
        <v>0</v>
      </c>
      <c r="W70" s="521">
        <f t="shared" si="36"/>
        <v>0</v>
      </c>
      <c r="X70" s="521">
        <f t="shared" si="36"/>
        <v>0</v>
      </c>
      <c r="Y70" s="521">
        <f t="shared" si="36"/>
        <v>0</v>
      </c>
      <c r="Z70" s="521">
        <f t="shared" si="36"/>
        <v>0</v>
      </c>
      <c r="AA70" s="521">
        <f t="shared" si="36"/>
        <v>0</v>
      </c>
      <c r="AB70" s="521">
        <f t="shared" si="36"/>
        <v>0</v>
      </c>
      <c r="AC70" s="521"/>
      <c r="AF70" s="516"/>
      <c r="AG70" s="516"/>
      <c r="AH70" s="516"/>
    </row>
    <row r="71" spans="1:34" s="504" customFormat="1">
      <c r="A71" s="592"/>
      <c r="B71" s="592"/>
      <c r="C71" s="592"/>
      <c r="D71" s="592"/>
      <c r="E71" s="592"/>
      <c r="F71" s="592"/>
      <c r="G71" s="592"/>
      <c r="H71" s="592"/>
      <c r="I71" s="587"/>
      <c r="J71" s="587"/>
      <c r="K71" s="587"/>
      <c r="L71" s="587"/>
      <c r="M71" s="587"/>
      <c r="N71" s="521"/>
      <c r="O71" s="521"/>
      <c r="P71" s="521"/>
      <c r="Q71" s="521"/>
      <c r="R71" s="521"/>
      <c r="S71" s="521"/>
      <c r="T71" s="521"/>
      <c r="U71" s="521"/>
      <c r="V71" s="521"/>
      <c r="W71" s="521"/>
      <c r="X71" s="521"/>
      <c r="Y71" s="521"/>
      <c r="Z71" s="521"/>
      <c r="AA71" s="521"/>
      <c r="AB71" s="521"/>
      <c r="AC71" s="521"/>
      <c r="AF71" s="516"/>
      <c r="AG71" s="516"/>
      <c r="AH71" s="516"/>
    </row>
    <row r="72" spans="1:34" s="504" customFormat="1">
      <c r="A72" s="594" t="s">
        <v>905</v>
      </c>
      <c r="B72" s="551">
        <f t="shared" ref="B72:Y72" si="37">B52+B60+B67+B69+B70</f>
        <v>-1776</v>
      </c>
      <c r="C72" s="551">
        <f t="shared" si="37"/>
        <v>4456</v>
      </c>
      <c r="D72" s="551">
        <f t="shared" si="37"/>
        <v>2265</v>
      </c>
      <c r="E72" s="551">
        <f t="shared" si="37"/>
        <v>1756</v>
      </c>
      <c r="F72" s="551">
        <f t="shared" si="37"/>
        <v>1474</v>
      </c>
      <c r="G72" s="551">
        <f t="shared" si="37"/>
        <v>1903</v>
      </c>
      <c r="H72" s="551">
        <f t="shared" si="37"/>
        <v>2015</v>
      </c>
      <c r="I72" s="551">
        <f t="shared" si="37"/>
        <v>2297</v>
      </c>
      <c r="J72" s="551">
        <f t="shared" si="37"/>
        <v>4110</v>
      </c>
      <c r="K72" s="551">
        <f t="shared" si="37"/>
        <v>4467</v>
      </c>
      <c r="L72" s="551">
        <f t="shared" si="37"/>
        <v>5461</v>
      </c>
      <c r="M72" s="551">
        <f t="shared" si="37"/>
        <v>-560</v>
      </c>
      <c r="N72" s="551">
        <f t="shared" si="37"/>
        <v>1266</v>
      </c>
      <c r="O72" s="551">
        <f>O52+O60+O67+O69+O70</f>
        <v>-5672</v>
      </c>
      <c r="P72" s="551">
        <f>P52+P60+P67+P69+P70</f>
        <v>-6181</v>
      </c>
      <c r="Q72" s="551">
        <f t="shared" si="37"/>
        <v>-6687</v>
      </c>
      <c r="R72" s="551">
        <f>R52+R60+R67+R69+R70</f>
        <v>-9402</v>
      </c>
      <c r="S72" s="551">
        <f t="shared" si="37"/>
        <v>-9730</v>
      </c>
      <c r="T72" s="551">
        <f t="shared" si="37"/>
        <v>-1965</v>
      </c>
      <c r="U72" s="551">
        <f t="shared" si="37"/>
        <v>-2259</v>
      </c>
      <c r="V72" s="551">
        <f t="shared" si="37"/>
        <v>-1742.3997333333355</v>
      </c>
      <c r="W72" s="551">
        <f t="shared" si="37"/>
        <v>-1834.5007333333356</v>
      </c>
      <c r="X72" s="551">
        <f t="shared" si="37"/>
        <v>-197.80406666666931</v>
      </c>
      <c r="Y72" s="551">
        <f t="shared" si="37"/>
        <v>737.85175766666407</v>
      </c>
      <c r="Z72" s="551">
        <f>Z52+Z60+Z67+Z69+Z70</f>
        <v>1523.0245516610012</v>
      </c>
      <c r="AA72" s="551">
        <f>AA52+AA60+AA67+AA69+AA70</f>
        <v>2904.4437359366711</v>
      </c>
      <c r="AB72" s="551">
        <f>AB52+AB60+AB67+AB69+AB70</f>
        <v>3860.5244446127108</v>
      </c>
      <c r="AC72" s="521"/>
      <c r="AF72" s="516"/>
      <c r="AG72" s="516"/>
      <c r="AH72" s="516"/>
    </row>
    <row r="73" spans="1:34" s="504" customFormat="1">
      <c r="A73" s="592"/>
      <c r="B73" s="587"/>
      <c r="C73" s="587"/>
      <c r="D73" s="587"/>
      <c r="E73" s="587"/>
      <c r="F73" s="587"/>
      <c r="G73" s="587"/>
      <c r="H73" s="587"/>
      <c r="I73" s="593"/>
      <c r="J73" s="593"/>
      <c r="K73" s="593"/>
      <c r="L73" s="593"/>
      <c r="M73" s="593"/>
      <c r="N73" s="521"/>
      <c r="O73" s="521"/>
      <c r="P73" s="521"/>
      <c r="Q73" s="521"/>
      <c r="R73" s="521"/>
      <c r="S73" s="521"/>
      <c r="T73" s="521"/>
      <c r="U73" s="521"/>
      <c r="V73" s="521"/>
      <c r="W73" s="521"/>
      <c r="X73" s="521"/>
      <c r="Y73" s="521"/>
      <c r="Z73" s="521"/>
      <c r="AA73" s="521"/>
      <c r="AB73" s="521"/>
      <c r="AC73" s="521"/>
      <c r="AF73" s="516"/>
      <c r="AG73" s="516"/>
      <c r="AH73" s="516"/>
    </row>
    <row r="74" spans="1:34" s="504" customFormat="1">
      <c r="A74" s="592" t="s">
        <v>906</v>
      </c>
      <c r="B74" s="557">
        <v>0</v>
      </c>
      <c r="C74" s="557">
        <v>0</v>
      </c>
      <c r="D74" s="557">
        <v>63</v>
      </c>
      <c r="E74" s="557">
        <v>54</v>
      </c>
      <c r="F74" s="557">
        <v>88</v>
      </c>
      <c r="G74" s="557">
        <v>175</v>
      </c>
      <c r="H74" s="557">
        <v>200</v>
      </c>
      <c r="I74" s="511">
        <v>4992</v>
      </c>
      <c r="J74" s="511">
        <v>1771</v>
      </c>
      <c r="K74" s="511">
        <v>2144</v>
      </c>
      <c r="L74" s="511">
        <v>2441</v>
      </c>
      <c r="M74" s="511">
        <v>0</v>
      </c>
      <c r="N74" s="511">
        <f t="shared" ref="N74:AB74" si="38">M74</f>
        <v>0</v>
      </c>
      <c r="O74" s="511">
        <f>N74</f>
        <v>0</v>
      </c>
      <c r="P74" s="511">
        <f>O74</f>
        <v>0</v>
      </c>
      <c r="Q74" s="511">
        <f t="shared" si="38"/>
        <v>0</v>
      </c>
      <c r="R74" s="521">
        <f t="shared" si="38"/>
        <v>0</v>
      </c>
      <c r="S74" s="521">
        <f t="shared" si="38"/>
        <v>0</v>
      </c>
      <c r="T74" s="521">
        <f t="shared" si="38"/>
        <v>0</v>
      </c>
      <c r="U74" s="521">
        <f t="shared" si="38"/>
        <v>0</v>
      </c>
      <c r="V74" s="521">
        <f t="shared" si="38"/>
        <v>0</v>
      </c>
      <c r="W74" s="521">
        <f t="shared" si="38"/>
        <v>0</v>
      </c>
      <c r="X74" s="521">
        <f t="shared" si="38"/>
        <v>0</v>
      </c>
      <c r="Y74" s="521">
        <f t="shared" si="38"/>
        <v>0</v>
      </c>
      <c r="Z74" s="521">
        <f t="shared" si="38"/>
        <v>0</v>
      </c>
      <c r="AA74" s="521">
        <f t="shared" si="38"/>
        <v>0</v>
      </c>
      <c r="AB74" s="521">
        <f t="shared" si="38"/>
        <v>0</v>
      </c>
      <c r="AC74" s="521"/>
      <c r="AF74" s="516"/>
      <c r="AG74" s="516"/>
      <c r="AH74" s="516"/>
    </row>
    <row r="75" spans="1:34">
      <c r="A75" s="510"/>
      <c r="B75" s="591"/>
      <c r="C75" s="591"/>
      <c r="D75" s="591"/>
      <c r="E75" s="591"/>
      <c r="F75" s="591"/>
      <c r="G75" s="591"/>
      <c r="H75" s="591"/>
      <c r="I75" s="565"/>
      <c r="J75" s="565"/>
      <c r="K75" s="565"/>
      <c r="L75" s="565"/>
      <c r="M75" s="565"/>
      <c r="N75" s="595"/>
      <c r="O75" s="595"/>
      <c r="P75" s="595"/>
      <c r="Q75" s="595"/>
      <c r="R75" s="595"/>
      <c r="S75" s="595"/>
      <c r="T75" s="595"/>
      <c r="U75" s="595"/>
      <c r="V75" s="595"/>
      <c r="W75" s="595"/>
      <c r="X75" s="595"/>
      <c r="Y75" s="595"/>
      <c r="Z75" s="595"/>
      <c r="AA75" s="595"/>
      <c r="AB75" s="595"/>
      <c r="AC75" s="586"/>
      <c r="AF75" s="516"/>
      <c r="AG75" s="516"/>
      <c r="AH75" s="516"/>
    </row>
    <row r="76" spans="1:34">
      <c r="A76" s="510" t="s">
        <v>907</v>
      </c>
      <c r="B76" s="562">
        <v>0</v>
      </c>
      <c r="C76" s="562">
        <v>0</v>
      </c>
      <c r="D76" s="562">
        <v>-515</v>
      </c>
      <c r="E76" s="562">
        <f>-785</f>
        <v>-785</v>
      </c>
      <c r="F76" s="562">
        <v>-1118</v>
      </c>
      <c r="G76" s="562">
        <v>-1244</v>
      </c>
      <c r="H76" s="562">
        <v>-1356</v>
      </c>
      <c r="I76" s="562">
        <v>-8921</v>
      </c>
      <c r="J76" s="562">
        <v>-3144</v>
      </c>
      <c r="K76" s="562">
        <v>-2679</v>
      </c>
      <c r="L76" s="562">
        <v>-1511</v>
      </c>
      <c r="M76" s="562">
        <v>-1985</v>
      </c>
      <c r="N76" s="562">
        <v>-1718</v>
      </c>
      <c r="O76" s="562">
        <v>-5687</v>
      </c>
      <c r="P76" s="562">
        <v>-6194</v>
      </c>
      <c r="Q76" s="562">
        <v>-6694</v>
      </c>
      <c r="R76" s="562">
        <v>-9402</v>
      </c>
      <c r="S76" s="562">
        <v>-9730</v>
      </c>
      <c r="T76" s="562">
        <v>-2408</v>
      </c>
      <c r="U76" s="562">
        <v>-1854</v>
      </c>
      <c r="V76" s="515">
        <f t="shared" ref="V76:AB76" si="39">U76+V43++V32+V44+V10-(V5+V8)</f>
        <v>-1199</v>
      </c>
      <c r="W76" s="515">
        <f t="shared" si="39"/>
        <v>-410</v>
      </c>
      <c r="X76" s="515">
        <f t="shared" si="39"/>
        <v>1447.9387000000002</v>
      </c>
      <c r="Y76" s="515">
        <f t="shared" si="39"/>
        <v>2552.5474173000011</v>
      </c>
      <c r="Z76" s="515">
        <f t="shared" si="39"/>
        <v>3188.7984000545011</v>
      </c>
      <c r="AA76" s="515">
        <f t="shared" si="39"/>
        <v>3802.125836448341</v>
      </c>
      <c r="AB76" s="515">
        <f t="shared" si="39"/>
        <v>4419.3614124515316</v>
      </c>
      <c r="AC76" s="515"/>
      <c r="AF76" s="516"/>
      <c r="AG76" s="516"/>
      <c r="AH76" s="516"/>
    </row>
    <row r="77" spans="1:34">
      <c r="A77" s="510" t="s">
        <v>908</v>
      </c>
      <c r="B77" s="561">
        <v>0</v>
      </c>
      <c r="C77" s="561">
        <v>0</v>
      </c>
      <c r="D77" s="561">
        <v>2459</v>
      </c>
      <c r="E77" s="561">
        <v>2437</v>
      </c>
      <c r="F77" s="561">
        <v>2288</v>
      </c>
      <c r="G77" s="561">
        <v>2856</v>
      </c>
      <c r="H77" s="561">
        <v>3099</v>
      </c>
      <c r="I77" s="561">
        <v>3429</v>
      </c>
      <c r="J77" s="561">
        <v>2567</v>
      </c>
      <c r="K77" s="561">
        <v>2460</v>
      </c>
      <c r="L77" s="561">
        <v>2398</v>
      </c>
      <c r="M77" s="561">
        <v>1425</v>
      </c>
      <c r="N77" s="562">
        <v>2984</v>
      </c>
      <c r="O77" s="562">
        <v>15</v>
      </c>
      <c r="P77" s="562">
        <v>13</v>
      </c>
      <c r="Q77" s="515">
        <v>7</v>
      </c>
      <c r="R77" s="515">
        <v>0</v>
      </c>
      <c r="S77" s="515">
        <f>R77</f>
        <v>0</v>
      </c>
      <c r="T77" s="515">
        <v>443</v>
      </c>
      <c r="U77" s="515">
        <v>377</v>
      </c>
      <c r="V77" s="515">
        <f t="shared" ref="V77:AB77" si="40">U77-V64</f>
        <v>-3306</v>
      </c>
      <c r="W77" s="515">
        <f t="shared" si="40"/>
        <v>-2461</v>
      </c>
      <c r="X77" s="515">
        <f t="shared" si="40"/>
        <v>-2146.4575000000004</v>
      </c>
      <c r="Y77" s="515">
        <f t="shared" si="40"/>
        <v>-1819.8668125000008</v>
      </c>
      <c r="Z77" s="515">
        <f t="shared" si="40"/>
        <v>-1487.0743234375013</v>
      </c>
      <c r="AA77" s="515">
        <f t="shared" si="40"/>
        <v>-1151.3648976953141</v>
      </c>
      <c r="AB77" s="515">
        <f t="shared" si="40"/>
        <v>-812.51976502246271</v>
      </c>
      <c r="AC77" s="515"/>
      <c r="AF77" s="516"/>
      <c r="AG77" s="516"/>
      <c r="AH77" s="516"/>
    </row>
    <row r="78" spans="1:34">
      <c r="A78" s="510" t="s">
        <v>909</v>
      </c>
      <c r="B78" s="563">
        <v>0</v>
      </c>
      <c r="C78" s="563">
        <v>0</v>
      </c>
      <c r="D78" s="563">
        <f>39+219</f>
        <v>258</v>
      </c>
      <c r="E78" s="563">
        <f>16+34</f>
        <v>50</v>
      </c>
      <c r="F78" s="563">
        <f>170+46</f>
        <v>216</v>
      </c>
      <c r="G78" s="563">
        <v>116</v>
      </c>
      <c r="H78" s="563">
        <v>72</v>
      </c>
      <c r="I78" s="563">
        <v>2797</v>
      </c>
      <c r="J78" s="563">
        <v>2916</v>
      </c>
      <c r="K78" s="563">
        <v>2517</v>
      </c>
      <c r="L78" s="563">
        <v>2133</v>
      </c>
      <c r="M78" s="563">
        <v>0</v>
      </c>
      <c r="N78" s="526">
        <f>M78</f>
        <v>0</v>
      </c>
      <c r="O78" s="526">
        <f>N78</f>
        <v>0</v>
      </c>
      <c r="P78" s="526">
        <f>O78</f>
        <v>0</v>
      </c>
      <c r="Q78" s="565">
        <f>P78</f>
        <v>0</v>
      </c>
      <c r="R78" s="565">
        <f>Q78</f>
        <v>0</v>
      </c>
      <c r="S78" s="565">
        <f>R78</f>
        <v>0</v>
      </c>
      <c r="T78" s="565">
        <f t="shared" ref="T78:AB78" si="41">S78</f>
        <v>0</v>
      </c>
      <c r="U78" s="565">
        <f t="shared" si="41"/>
        <v>0</v>
      </c>
      <c r="V78" s="565">
        <f t="shared" si="41"/>
        <v>0</v>
      </c>
      <c r="W78" s="565">
        <f t="shared" si="41"/>
        <v>0</v>
      </c>
      <c r="X78" s="565">
        <f t="shared" si="41"/>
        <v>0</v>
      </c>
      <c r="Y78" s="565">
        <f t="shared" si="41"/>
        <v>0</v>
      </c>
      <c r="Z78" s="565">
        <f t="shared" si="41"/>
        <v>0</v>
      </c>
      <c r="AA78" s="565">
        <f t="shared" si="41"/>
        <v>0</v>
      </c>
      <c r="AB78" s="565">
        <f t="shared" si="41"/>
        <v>0</v>
      </c>
      <c r="AC78" s="515"/>
      <c r="AF78" s="516"/>
      <c r="AG78" s="516"/>
      <c r="AH78" s="516"/>
    </row>
    <row r="79" spans="1:34">
      <c r="A79" s="510" t="s">
        <v>910</v>
      </c>
      <c r="B79" s="520">
        <f t="shared" ref="B79:Y79" si="42">SUM(B76:B78)</f>
        <v>0</v>
      </c>
      <c r="C79" s="520">
        <f t="shared" si="42"/>
        <v>0</v>
      </c>
      <c r="D79" s="520">
        <f t="shared" si="42"/>
        <v>2202</v>
      </c>
      <c r="E79" s="520">
        <f t="shared" si="42"/>
        <v>1702</v>
      </c>
      <c r="F79" s="520">
        <f t="shared" si="42"/>
        <v>1386</v>
      </c>
      <c r="G79" s="520">
        <f t="shared" si="42"/>
        <v>1728</v>
      </c>
      <c r="H79" s="520">
        <f t="shared" si="42"/>
        <v>1815</v>
      </c>
      <c r="I79" s="520">
        <f t="shared" si="42"/>
        <v>-2695</v>
      </c>
      <c r="J79" s="520">
        <f t="shared" si="42"/>
        <v>2339</v>
      </c>
      <c r="K79" s="520">
        <f t="shared" si="42"/>
        <v>2298</v>
      </c>
      <c r="L79" s="520">
        <f t="shared" si="42"/>
        <v>3020</v>
      </c>
      <c r="M79" s="520">
        <f t="shared" si="42"/>
        <v>-560</v>
      </c>
      <c r="N79" s="520">
        <f t="shared" si="42"/>
        <v>1266</v>
      </c>
      <c r="O79" s="520">
        <f>SUM(O76:O78)</f>
        <v>-5672</v>
      </c>
      <c r="P79" s="520">
        <f>SUM(P76:P78)</f>
        <v>-6181</v>
      </c>
      <c r="Q79" s="520">
        <f t="shared" si="42"/>
        <v>-6687</v>
      </c>
      <c r="R79" s="520">
        <f t="shared" si="42"/>
        <v>-9402</v>
      </c>
      <c r="S79" s="520">
        <f t="shared" si="42"/>
        <v>-9730</v>
      </c>
      <c r="T79" s="520">
        <f t="shared" si="42"/>
        <v>-1965</v>
      </c>
      <c r="U79" s="520">
        <f t="shared" si="42"/>
        <v>-1477</v>
      </c>
      <c r="V79" s="520">
        <f t="shared" si="42"/>
        <v>-4505</v>
      </c>
      <c r="W79" s="520">
        <f t="shared" si="42"/>
        <v>-2871</v>
      </c>
      <c r="X79" s="520">
        <f t="shared" si="42"/>
        <v>-698.51880000000028</v>
      </c>
      <c r="Y79" s="520">
        <f t="shared" si="42"/>
        <v>732.68060480000031</v>
      </c>
      <c r="Z79" s="520">
        <f>SUM(Z76:Z78)</f>
        <v>1701.7240766169998</v>
      </c>
      <c r="AA79" s="520">
        <f>SUM(AA76:AA78)</f>
        <v>2650.7609387530269</v>
      </c>
      <c r="AB79" s="520">
        <f>SUM(AB76:AB78)</f>
        <v>3606.8416474290689</v>
      </c>
      <c r="AC79" s="521"/>
      <c r="AD79" s="516" t="s">
        <v>911</v>
      </c>
      <c r="AE79" s="516">
        <v>6</v>
      </c>
      <c r="AF79" s="516" t="s">
        <v>860</v>
      </c>
      <c r="AG79" s="516" t="b">
        <v>0</v>
      </c>
      <c r="AH79" s="516" t="b">
        <v>0</v>
      </c>
    </row>
    <row r="80" spans="1:34" s="598" customFormat="1">
      <c r="A80" s="596" t="s">
        <v>31</v>
      </c>
      <c r="B80" s="597">
        <f t="shared" ref="B80:Y80" si="43">ROUND(B72-B74-B76-B77-B78,6)</f>
        <v>-1776</v>
      </c>
      <c r="C80" s="597">
        <f t="shared" si="43"/>
        <v>4456</v>
      </c>
      <c r="D80" s="597">
        <f t="shared" si="43"/>
        <v>0</v>
      </c>
      <c r="E80" s="597">
        <f t="shared" si="43"/>
        <v>0</v>
      </c>
      <c r="F80" s="597">
        <f t="shared" si="43"/>
        <v>0</v>
      </c>
      <c r="G80" s="597">
        <f t="shared" si="43"/>
        <v>0</v>
      </c>
      <c r="H80" s="597">
        <f t="shared" si="43"/>
        <v>0</v>
      </c>
      <c r="I80" s="597">
        <f t="shared" si="43"/>
        <v>0</v>
      </c>
      <c r="J80" s="597">
        <f t="shared" si="43"/>
        <v>0</v>
      </c>
      <c r="K80" s="597">
        <f t="shared" si="43"/>
        <v>25</v>
      </c>
      <c r="L80" s="597">
        <f t="shared" si="43"/>
        <v>0</v>
      </c>
      <c r="M80" s="597">
        <f t="shared" si="43"/>
        <v>0</v>
      </c>
      <c r="N80" s="597">
        <f t="shared" si="43"/>
        <v>0</v>
      </c>
      <c r="O80" s="597">
        <f>ROUND(O72-O74-O76-O77-O78,6)</f>
        <v>0</v>
      </c>
      <c r="P80" s="597">
        <f>ROUND(P72-P74-P76-P77-P78,6)</f>
        <v>0</v>
      </c>
      <c r="Q80" s="597">
        <f t="shared" si="43"/>
        <v>0</v>
      </c>
      <c r="R80" s="597">
        <f t="shared" si="43"/>
        <v>0</v>
      </c>
      <c r="S80" s="597">
        <f t="shared" si="43"/>
        <v>0</v>
      </c>
      <c r="T80" s="597">
        <f t="shared" si="43"/>
        <v>0</v>
      </c>
      <c r="U80" s="597">
        <f t="shared" si="43"/>
        <v>-782</v>
      </c>
      <c r="V80" s="597">
        <f t="shared" si="43"/>
        <v>2762.6002669999998</v>
      </c>
      <c r="W80" s="597">
        <f t="shared" si="43"/>
        <v>1036.4992669999999</v>
      </c>
      <c r="X80" s="597">
        <f t="shared" si="43"/>
        <v>500.71473300000002</v>
      </c>
      <c r="Y80" s="597">
        <f t="shared" si="43"/>
        <v>5.1711530000000003</v>
      </c>
      <c r="Z80" s="597">
        <f>ROUND(Z72-Z74-Z76-Z77-Z78,6)</f>
        <v>-178.69952499999999</v>
      </c>
      <c r="AA80" s="597">
        <f>ROUND(AA72-AA74-AA76-AA77-AA78,6)</f>
        <v>253.68279699999999</v>
      </c>
      <c r="AB80" s="597">
        <f>ROUND(AB72-AB74-AB76-AB77-AB78,6)</f>
        <v>253.68279699999999</v>
      </c>
      <c r="AC80" s="597"/>
      <c r="AF80" s="599"/>
      <c r="AG80" s="599"/>
      <c r="AH80" s="599"/>
    </row>
    <row r="81" spans="1:34">
      <c r="A81" s="510"/>
      <c r="B81" s="520"/>
      <c r="C81" s="520"/>
      <c r="D81" s="520"/>
      <c r="E81" s="520"/>
      <c r="F81" s="520"/>
      <c r="G81" s="520"/>
      <c r="H81" s="520"/>
      <c r="I81" s="520"/>
      <c r="J81" s="520"/>
      <c r="K81" s="520"/>
      <c r="L81" s="520"/>
      <c r="M81" s="520"/>
      <c r="N81" s="600"/>
      <c r="O81" s="600"/>
      <c r="P81" s="600"/>
      <c r="Q81" s="601"/>
      <c r="R81" s="601"/>
      <c r="S81" s="601"/>
      <c r="T81" s="601"/>
      <c r="U81" s="601"/>
      <c r="V81" s="601"/>
      <c r="W81" s="601"/>
      <c r="X81" s="601"/>
      <c r="Y81" s="601"/>
      <c r="Z81" s="601"/>
      <c r="AA81" s="601"/>
      <c r="AB81" s="601"/>
      <c r="AC81" s="535"/>
      <c r="AF81" s="516"/>
      <c r="AG81" s="516"/>
      <c r="AH81" s="516"/>
    </row>
    <row r="82" spans="1:34">
      <c r="A82" s="602" t="s">
        <v>99</v>
      </c>
      <c r="B82" s="603">
        <v>0</v>
      </c>
      <c r="C82" s="603">
        <v>0</v>
      </c>
      <c r="D82" s="603">
        <v>0</v>
      </c>
      <c r="E82" s="603">
        <v>0</v>
      </c>
      <c r="F82" s="603">
        <v>0</v>
      </c>
      <c r="G82" s="603">
        <v>0</v>
      </c>
      <c r="H82" s="604">
        <v>0</v>
      </c>
      <c r="I82" s="604">
        <f>8219</f>
        <v>8219</v>
      </c>
      <c r="J82" s="604">
        <v>6721</v>
      </c>
      <c r="K82" s="604">
        <v>6085</v>
      </c>
      <c r="L82" s="604">
        <v>7142</v>
      </c>
      <c r="M82" s="604">
        <v>12723</v>
      </c>
      <c r="N82" s="604">
        <v>10020</v>
      </c>
      <c r="O82" s="604">
        <v>10020</v>
      </c>
      <c r="P82" s="605">
        <f t="shared" ref="P82:AB82" si="44">O82-P83*(P79-O79)</f>
        <v>10198.15</v>
      </c>
      <c r="Q82" s="605">
        <f t="shared" si="44"/>
        <v>10375.25</v>
      </c>
      <c r="R82" s="605">
        <f t="shared" si="44"/>
        <v>11325.5</v>
      </c>
      <c r="S82" s="605">
        <f t="shared" si="44"/>
        <v>11440.3</v>
      </c>
      <c r="T82" s="605">
        <f t="shared" si="44"/>
        <v>8722.5499999999993</v>
      </c>
      <c r="U82" s="605">
        <f t="shared" si="44"/>
        <v>8551.75</v>
      </c>
      <c r="V82" s="605">
        <f t="shared" si="44"/>
        <v>9611.5499999999993</v>
      </c>
      <c r="W82" s="605">
        <f t="shared" si="44"/>
        <v>9039.65</v>
      </c>
      <c r="X82" s="605">
        <f t="shared" si="44"/>
        <v>8279.2815799999989</v>
      </c>
      <c r="Y82" s="605">
        <f t="shared" si="44"/>
        <v>7778.3617883199986</v>
      </c>
      <c r="Z82" s="605">
        <f t="shared" si="44"/>
        <v>7439.1965731840492</v>
      </c>
      <c r="AA82" s="605">
        <f t="shared" si="44"/>
        <v>7107.0336714364394</v>
      </c>
      <c r="AB82" s="605">
        <f t="shared" si="44"/>
        <v>6772.4054233998249</v>
      </c>
      <c r="AC82" s="504"/>
      <c r="AD82" s="606" t="s">
        <v>912</v>
      </c>
      <c r="AE82" s="606">
        <v>6</v>
      </c>
      <c r="AF82" s="516" t="s">
        <v>860</v>
      </c>
      <c r="AG82" s="516" t="b">
        <v>0</v>
      </c>
      <c r="AH82" s="516" t="b">
        <v>0</v>
      </c>
    </row>
    <row r="83" spans="1:34">
      <c r="A83" s="602" t="s">
        <v>100</v>
      </c>
      <c r="B83" s="607">
        <v>0.35</v>
      </c>
      <c r="C83" s="607">
        <v>0.35</v>
      </c>
      <c r="D83" s="607">
        <v>0.35</v>
      </c>
      <c r="E83" s="607">
        <v>0.35</v>
      </c>
      <c r="F83" s="607">
        <v>0.35</v>
      </c>
      <c r="G83" s="607">
        <v>0.35</v>
      </c>
      <c r="H83" s="607">
        <v>0.35</v>
      </c>
      <c r="I83" s="608">
        <v>0</v>
      </c>
      <c r="J83" s="608">
        <v>0.35</v>
      </c>
      <c r="K83" s="608">
        <v>0.35</v>
      </c>
      <c r="L83" s="608">
        <v>0.35</v>
      </c>
      <c r="M83" s="608">
        <v>0.35</v>
      </c>
      <c r="N83" s="608">
        <v>0.35</v>
      </c>
      <c r="O83" s="608">
        <v>0.35</v>
      </c>
      <c r="P83" s="608">
        <v>0.35</v>
      </c>
      <c r="Q83" s="608">
        <v>0.35</v>
      </c>
      <c r="R83" s="608">
        <v>0.35</v>
      </c>
      <c r="S83" s="608">
        <v>0.35</v>
      </c>
      <c r="T83" s="608">
        <v>0.35</v>
      </c>
      <c r="U83" s="608">
        <v>0.35</v>
      </c>
      <c r="V83" s="608">
        <v>0.35</v>
      </c>
      <c r="W83" s="608">
        <v>0.35</v>
      </c>
      <c r="X83" s="608">
        <v>0.35</v>
      </c>
      <c r="Y83" s="608">
        <v>0.35</v>
      </c>
      <c r="Z83" s="608">
        <v>0.35</v>
      </c>
      <c r="AA83" s="608">
        <v>0.35</v>
      </c>
      <c r="AB83" s="608">
        <v>0.35</v>
      </c>
      <c r="AC83" s="504"/>
      <c r="AD83" s="606"/>
      <c r="AE83" s="606"/>
      <c r="AF83" s="516"/>
      <c r="AG83" s="516"/>
      <c r="AH83" s="516"/>
    </row>
    <row r="84" spans="1:34">
      <c r="B84" s="504"/>
      <c r="C84" s="504"/>
      <c r="D84" s="504"/>
      <c r="E84" s="504"/>
      <c r="F84" s="504"/>
      <c r="G84" s="504"/>
      <c r="H84" s="504"/>
      <c r="I84" s="504"/>
      <c r="J84" s="504"/>
      <c r="K84" s="504"/>
      <c r="L84" s="504"/>
      <c r="M84" s="504"/>
      <c r="N84" s="504"/>
      <c r="O84" s="504"/>
      <c r="P84" s="504"/>
      <c r="Q84" s="504"/>
      <c r="R84" s="504"/>
      <c r="S84" s="504"/>
      <c r="T84" s="504"/>
      <c r="U84" s="504"/>
      <c r="V84" s="504"/>
      <c r="W84" s="504"/>
      <c r="X84" s="504"/>
      <c r="Y84" s="504"/>
      <c r="Z84" s="504"/>
      <c r="AA84" s="504"/>
      <c r="AB84" s="504"/>
      <c r="AC84" s="504"/>
    </row>
    <row r="85" spans="1:34" s="609" customFormat="1">
      <c r="B85" s="610"/>
      <c r="C85" s="610"/>
      <c r="D85" s="610"/>
      <c r="E85" s="610"/>
      <c r="F85" s="610"/>
      <c r="G85" s="610"/>
      <c r="H85" s="610"/>
      <c r="J85" s="610"/>
      <c r="K85" s="610"/>
      <c r="L85" s="610"/>
      <c r="M85" s="610"/>
      <c r="N85" s="610"/>
      <c r="O85" s="610"/>
      <c r="P85" s="610"/>
      <c r="Q85" s="610"/>
      <c r="R85" s="610"/>
      <c r="S85" s="610"/>
      <c r="T85" s="610"/>
      <c r="U85" s="610"/>
      <c r="V85" s="610"/>
      <c r="W85" s="610"/>
      <c r="X85" s="610"/>
      <c r="Y85" s="610"/>
      <c r="Z85" s="610"/>
      <c r="AA85" s="610"/>
      <c r="AB85" s="610"/>
    </row>
    <row r="86" spans="1:34" s="504" customFormat="1">
      <c r="B86" s="611">
        <f t="shared" ref="B86:AB86" si="45">B$3</f>
        <v>1995</v>
      </c>
      <c r="C86" s="611">
        <f t="shared" si="45"/>
        <v>1996</v>
      </c>
      <c r="D86" s="611">
        <f t="shared" si="45"/>
        <v>1997</v>
      </c>
      <c r="E86" s="611">
        <f t="shared" si="45"/>
        <v>1998</v>
      </c>
      <c r="F86" s="611">
        <f t="shared" si="45"/>
        <v>1999</v>
      </c>
      <c r="G86" s="611">
        <f t="shared" si="45"/>
        <v>2000</v>
      </c>
      <c r="H86" s="611">
        <f t="shared" si="45"/>
        <v>2001</v>
      </c>
      <c r="I86" s="611">
        <f t="shared" si="45"/>
        <v>2002</v>
      </c>
      <c r="J86" s="611">
        <f t="shared" si="45"/>
        <v>2003</v>
      </c>
      <c r="K86" s="611">
        <f t="shared" si="45"/>
        <v>2004</v>
      </c>
      <c r="L86" s="611">
        <f t="shared" si="45"/>
        <v>2005</v>
      </c>
      <c r="M86" s="611">
        <f t="shared" si="45"/>
        <v>2006</v>
      </c>
      <c r="N86" s="611">
        <f t="shared" si="45"/>
        <v>2007</v>
      </c>
      <c r="O86" s="611">
        <f t="shared" si="45"/>
        <v>2008</v>
      </c>
      <c r="P86" s="611">
        <f t="shared" si="45"/>
        <v>2009</v>
      </c>
      <c r="Q86" s="611">
        <f t="shared" si="45"/>
        <v>2010</v>
      </c>
      <c r="R86" s="611">
        <f t="shared" si="45"/>
        <v>2011</v>
      </c>
      <c r="S86" s="611">
        <f t="shared" si="45"/>
        <v>2012</v>
      </c>
      <c r="T86" s="611">
        <f t="shared" si="45"/>
        <v>2013</v>
      </c>
      <c r="U86" s="611">
        <f t="shared" si="45"/>
        <v>2014</v>
      </c>
      <c r="V86" s="611">
        <f t="shared" si="45"/>
        <v>2015</v>
      </c>
      <c r="W86" s="611">
        <f t="shared" si="45"/>
        <v>2016</v>
      </c>
      <c r="X86" s="611">
        <f t="shared" si="45"/>
        <v>2017</v>
      </c>
      <c r="Y86" s="611">
        <f t="shared" si="45"/>
        <v>2018</v>
      </c>
      <c r="Z86" s="611">
        <f t="shared" si="45"/>
        <v>2019</v>
      </c>
      <c r="AA86" s="611">
        <f t="shared" si="45"/>
        <v>2020</v>
      </c>
      <c r="AB86" s="611">
        <f t="shared" si="45"/>
        <v>2021</v>
      </c>
    </row>
    <row r="87" spans="1:34">
      <c r="A87" s="612" t="s">
        <v>913</v>
      </c>
      <c r="B87" s="611"/>
      <c r="C87" s="611"/>
      <c r="D87" s="611"/>
      <c r="E87" s="611"/>
      <c r="F87" s="611"/>
      <c r="G87" s="611"/>
      <c r="H87" s="611"/>
      <c r="I87" s="611"/>
      <c r="J87" s="611"/>
      <c r="K87" s="611"/>
      <c r="L87" s="611"/>
      <c r="M87" s="611"/>
      <c r="N87" s="611"/>
      <c r="O87" s="611"/>
      <c r="P87" s="611"/>
      <c r="Q87" s="611"/>
      <c r="R87" s="611"/>
      <c r="S87" s="611"/>
      <c r="T87" s="611"/>
      <c r="U87" s="611"/>
      <c r="V87" s="611"/>
      <c r="W87" s="611"/>
      <c r="X87" s="611"/>
      <c r="Y87" s="611"/>
      <c r="Z87" s="611"/>
      <c r="AA87" s="611"/>
      <c r="AB87" s="611"/>
      <c r="AC87" s="504"/>
    </row>
    <row r="88" spans="1:34" outlineLevel="1">
      <c r="A88" s="516" t="s">
        <v>914</v>
      </c>
      <c r="B88" s="613"/>
      <c r="C88" s="613"/>
      <c r="D88" s="613"/>
      <c r="E88" s="613"/>
      <c r="F88" s="613"/>
      <c r="G88" s="613"/>
      <c r="H88" s="613"/>
      <c r="I88" s="613">
        <f>I7/I21</f>
        <v>41668.571428571435</v>
      </c>
      <c r="J88" s="613">
        <f>J7/J21</f>
        <v>36594.285714285717</v>
      </c>
      <c r="K88" s="613">
        <f>K7/K21</f>
        <v>36788.571428571428</v>
      </c>
      <c r="L88" s="613">
        <f>L7/L21</f>
        <v>39564.705882352937</v>
      </c>
      <c r="M88" s="613">
        <f>M7/M21</f>
        <v>39752.941176470587</v>
      </c>
      <c r="N88" s="613">
        <f t="shared" ref="N88:AB88" si="46">M94</f>
        <v>40929.411764705881</v>
      </c>
      <c r="O88" s="613">
        <f>N94</f>
        <v>41986.729411764703</v>
      </c>
      <c r="P88" s="613">
        <f>O94</f>
        <v>43255.983529411766</v>
      </c>
      <c r="Q88" s="613">
        <f t="shared" si="46"/>
        <v>40885.386823529414</v>
      </c>
      <c r="R88" s="613">
        <f t="shared" si="46"/>
        <v>39600.50945882353</v>
      </c>
      <c r="S88" s="613">
        <f t="shared" si="46"/>
        <v>39284.807567058822</v>
      </c>
      <c r="T88" s="613">
        <f t="shared" si="46"/>
        <v>40852.846053647059</v>
      </c>
      <c r="U88" s="613">
        <f t="shared" si="46"/>
        <v>44869.876842917649</v>
      </c>
      <c r="V88" s="613">
        <f t="shared" si="46"/>
        <v>44198.501474334116</v>
      </c>
      <c r="W88" s="613">
        <f t="shared" si="46"/>
        <v>45420.201179467294</v>
      </c>
      <c r="X88" s="613">
        <f t="shared" si="46"/>
        <v>44691.560943573837</v>
      </c>
      <c r="Y88" s="613">
        <f t="shared" si="46"/>
        <v>45822.931254859068</v>
      </c>
      <c r="Z88" s="613">
        <f t="shared" si="46"/>
        <v>46320.654691387259</v>
      </c>
      <c r="AA88" s="613">
        <f t="shared" si="46"/>
        <v>46505.34916717231</v>
      </c>
      <c r="AB88" s="613">
        <f t="shared" si="46"/>
        <v>46823.700653855034</v>
      </c>
      <c r="AC88" s="504"/>
    </row>
    <row r="89" spans="1:34" outlineLevel="1">
      <c r="A89" s="516" t="s">
        <v>915</v>
      </c>
      <c r="B89" s="613">
        <f t="shared" ref="B89:Y89" si="47">B7</f>
        <v>2131</v>
      </c>
      <c r="C89" s="613">
        <f t="shared" si="47"/>
        <v>2310</v>
      </c>
      <c r="D89" s="613">
        <f t="shared" si="47"/>
        <v>2505</v>
      </c>
      <c r="E89" s="613">
        <f t="shared" si="47"/>
        <v>2747</v>
      </c>
      <c r="F89" s="613">
        <f t="shared" si="47"/>
        <v>2475</v>
      </c>
      <c r="G89" s="613">
        <f t="shared" si="47"/>
        <v>3281</v>
      </c>
      <c r="H89" s="613">
        <f t="shared" si="47"/>
        <v>3697</v>
      </c>
      <c r="I89" s="613">
        <f t="shared" si="47"/>
        <v>3646</v>
      </c>
      <c r="J89" s="613">
        <f t="shared" si="47"/>
        <v>3202</v>
      </c>
      <c r="K89" s="613">
        <f t="shared" si="47"/>
        <v>3219</v>
      </c>
      <c r="L89" s="613">
        <f t="shared" si="47"/>
        <v>3363</v>
      </c>
      <c r="M89" s="613">
        <f t="shared" si="47"/>
        <v>3379</v>
      </c>
      <c r="N89" s="613">
        <f t="shared" si="47"/>
        <v>3479</v>
      </c>
      <c r="O89" s="613">
        <f>O7</f>
        <v>3462</v>
      </c>
      <c r="P89" s="613">
        <f>P7</f>
        <v>3288</v>
      </c>
      <c r="Q89" s="613">
        <f t="shared" si="47"/>
        <v>3172</v>
      </c>
      <c r="R89" s="613">
        <f t="shared" si="47"/>
        <v>3028</v>
      </c>
      <c r="S89" s="613">
        <f t="shared" si="47"/>
        <v>2873</v>
      </c>
      <c r="T89" s="613">
        <f t="shared" si="47"/>
        <v>2816</v>
      </c>
      <c r="U89" s="613">
        <f t="shared" si="47"/>
        <v>2735</v>
      </c>
      <c r="V89" s="613">
        <f t="shared" si="47"/>
        <v>2928</v>
      </c>
      <c r="W89" s="613">
        <f>W7</f>
        <v>2693</v>
      </c>
      <c r="X89" s="613">
        <f t="shared" si="47"/>
        <v>2830.8825000000002</v>
      </c>
      <c r="Y89" s="613">
        <f t="shared" si="47"/>
        <v>2939.3161875000005</v>
      </c>
      <c r="Z89" s="613">
        <f>Z7</f>
        <v>2995.1324015625005</v>
      </c>
      <c r="AA89" s="613">
        <f>AA7</f>
        <v>3021.384831679688</v>
      </c>
      <c r="AB89" s="613">
        <f>AB7</f>
        <v>3049.6061940556647</v>
      </c>
      <c r="AC89" s="504"/>
    </row>
    <row r="90" spans="1:34" outlineLevel="1">
      <c r="A90" s="516" t="s">
        <v>916</v>
      </c>
      <c r="B90" s="613">
        <f t="shared" ref="B90:Z92" si="48">B43</f>
        <v>0</v>
      </c>
      <c r="C90" s="613">
        <f t="shared" si="48"/>
        <v>0</v>
      </c>
      <c r="D90" s="613">
        <f t="shared" si="48"/>
        <v>210</v>
      </c>
      <c r="E90" s="613">
        <f t="shared" si="48"/>
        <v>2</v>
      </c>
      <c r="F90" s="613">
        <f t="shared" si="48"/>
        <v>6</v>
      </c>
      <c r="G90" s="613">
        <f t="shared" si="48"/>
        <v>8</v>
      </c>
      <c r="H90" s="613">
        <f t="shared" si="48"/>
        <v>167</v>
      </c>
      <c r="I90" s="613">
        <f t="shared" si="48"/>
        <v>181</v>
      </c>
      <c r="J90" s="613">
        <f t="shared" si="48"/>
        <v>2168</v>
      </c>
      <c r="K90" s="613">
        <f t="shared" si="48"/>
        <v>872</v>
      </c>
      <c r="L90" s="613">
        <f t="shared" si="48"/>
        <v>1432</v>
      </c>
      <c r="M90" s="613">
        <f t="shared" si="48"/>
        <v>149</v>
      </c>
      <c r="N90" s="613">
        <f t="shared" si="48"/>
        <v>148</v>
      </c>
      <c r="O90" s="613">
        <f t="shared" si="48"/>
        <v>138</v>
      </c>
      <c r="P90" s="613">
        <f t="shared" si="48"/>
        <v>136</v>
      </c>
      <c r="Q90" s="613">
        <f t="shared" si="48"/>
        <v>135</v>
      </c>
      <c r="R90" s="613">
        <f t="shared" si="48"/>
        <v>132</v>
      </c>
      <c r="S90" s="613">
        <f t="shared" si="48"/>
        <v>2134</v>
      </c>
      <c r="T90" s="613">
        <f t="shared" si="48"/>
        <v>3535</v>
      </c>
      <c r="U90" s="613">
        <f t="shared" si="48"/>
        <v>130</v>
      </c>
      <c r="V90" s="613">
        <f t="shared" si="48"/>
        <v>130</v>
      </c>
      <c r="W90" s="613">
        <f t="shared" si="48"/>
        <v>130</v>
      </c>
      <c r="X90" s="613">
        <f t="shared" si="48"/>
        <v>1400</v>
      </c>
      <c r="Y90" s="613">
        <f t="shared" si="48"/>
        <v>500</v>
      </c>
      <c r="Z90" s="613">
        <f t="shared" si="48"/>
        <v>0</v>
      </c>
      <c r="AA90" s="613">
        <f t="shared" ref="AA90:AB92" si="49">AA43</f>
        <v>0</v>
      </c>
      <c r="AB90" s="613">
        <f t="shared" si="49"/>
        <v>0</v>
      </c>
      <c r="AC90" s="504"/>
    </row>
    <row r="91" spans="1:34" outlineLevel="1">
      <c r="A91" s="516" t="s">
        <v>917</v>
      </c>
      <c r="B91" s="613">
        <f t="shared" si="48"/>
        <v>0</v>
      </c>
      <c r="C91" s="613">
        <f t="shared" si="48"/>
        <v>0</v>
      </c>
      <c r="D91" s="613">
        <f t="shared" si="48"/>
        <v>-1828</v>
      </c>
      <c r="E91" s="613">
        <f t="shared" si="48"/>
        <v>-1869</v>
      </c>
      <c r="F91" s="613">
        <f t="shared" si="48"/>
        <v>-1950</v>
      </c>
      <c r="G91" s="613">
        <f t="shared" si="48"/>
        <v>-2273</v>
      </c>
      <c r="H91" s="613">
        <f t="shared" si="48"/>
        <v>-2496</v>
      </c>
      <c r="I91" s="613">
        <f t="shared" si="48"/>
        <v>-2906</v>
      </c>
      <c r="J91" s="613">
        <f t="shared" si="48"/>
        <v>-2697</v>
      </c>
      <c r="K91" s="613">
        <f t="shared" si="48"/>
        <v>-2832</v>
      </c>
      <c r="L91" s="613">
        <f t="shared" si="48"/>
        <v>-2856</v>
      </c>
      <c r="M91" s="613">
        <f t="shared" si="48"/>
        <v>-3005</v>
      </c>
      <c r="N91" s="613">
        <f t="shared" si="48"/>
        <v>-3937</v>
      </c>
      <c r="O91" s="613">
        <f t="shared" si="48"/>
        <v>-3960</v>
      </c>
      <c r="P91" s="613">
        <f t="shared" si="48"/>
        <v>-3908</v>
      </c>
      <c r="Q91" s="613">
        <f t="shared" si="48"/>
        <v>-3704</v>
      </c>
      <c r="R91" s="613">
        <f t="shared" si="48"/>
        <v>-3534</v>
      </c>
      <c r="S91" s="613">
        <f t="shared" si="48"/>
        <v>-3427</v>
      </c>
      <c r="T91" s="613">
        <f t="shared" si="48"/>
        <v>-3120</v>
      </c>
      <c r="U91" s="613">
        <f t="shared" si="48"/>
        <v>-3028</v>
      </c>
      <c r="V91" s="613">
        <f t="shared" si="48"/>
        <v>-2949</v>
      </c>
      <c r="W91" s="613">
        <f t="shared" si="48"/>
        <v>-2966</v>
      </c>
      <c r="X91" s="613">
        <f t="shared" si="48"/>
        <v>-2966</v>
      </c>
      <c r="Y91" s="613">
        <f t="shared" si="48"/>
        <v>-2966</v>
      </c>
      <c r="Z91" s="613">
        <f t="shared" si="48"/>
        <v>-2966</v>
      </c>
      <c r="AA91" s="613">
        <f t="shared" si="49"/>
        <v>-2966</v>
      </c>
      <c r="AB91" s="613">
        <f t="shared" si="49"/>
        <v>-2966</v>
      </c>
      <c r="AC91" s="504"/>
    </row>
    <row r="92" spans="1:34" outlineLevel="1">
      <c r="A92" s="516" t="s">
        <v>918</v>
      </c>
      <c r="B92" s="613">
        <f t="shared" si="48"/>
        <v>0</v>
      </c>
      <c r="C92" s="613">
        <f t="shared" si="48"/>
        <v>0</v>
      </c>
      <c r="D92" s="613">
        <f t="shared" si="48"/>
        <v>43</v>
      </c>
      <c r="E92" s="613">
        <f t="shared" si="48"/>
        <v>45</v>
      </c>
      <c r="F92" s="613">
        <f t="shared" si="48"/>
        <v>46</v>
      </c>
      <c r="G92" s="613">
        <f t="shared" si="48"/>
        <v>45</v>
      </c>
      <c r="H92" s="613">
        <f t="shared" si="48"/>
        <v>40</v>
      </c>
      <c r="I92" s="613">
        <f t="shared" si="48"/>
        <v>39</v>
      </c>
      <c r="J92" s="613">
        <f t="shared" si="48"/>
        <v>39</v>
      </c>
      <c r="K92" s="613">
        <f t="shared" si="48"/>
        <v>42</v>
      </c>
      <c r="L92" s="613">
        <f t="shared" si="48"/>
        <v>41</v>
      </c>
      <c r="M92" s="613">
        <f t="shared" si="48"/>
        <v>39</v>
      </c>
      <c r="N92" s="613">
        <f t="shared" si="48"/>
        <v>34</v>
      </c>
      <c r="O92" s="613">
        <f t="shared" si="48"/>
        <v>25</v>
      </c>
      <c r="P92" s="613">
        <f t="shared" si="48"/>
        <v>27</v>
      </c>
      <c r="Q92" s="613">
        <f t="shared" si="48"/>
        <v>23</v>
      </c>
      <c r="R92" s="613">
        <f t="shared" si="48"/>
        <v>23</v>
      </c>
      <c r="S92" s="613">
        <f t="shared" si="48"/>
        <v>27</v>
      </c>
      <c r="T92" s="613">
        <f t="shared" si="48"/>
        <v>26</v>
      </c>
      <c r="U92" s="613">
        <f t="shared" si="48"/>
        <v>26</v>
      </c>
      <c r="V92" s="613">
        <f t="shared" si="48"/>
        <v>26</v>
      </c>
      <c r="W92" s="613">
        <f t="shared" si="48"/>
        <v>27</v>
      </c>
      <c r="X92" s="613">
        <f t="shared" si="48"/>
        <v>27</v>
      </c>
      <c r="Y92" s="613">
        <f t="shared" si="48"/>
        <v>27</v>
      </c>
      <c r="Z92" s="613">
        <f t="shared" si="48"/>
        <v>27</v>
      </c>
      <c r="AA92" s="613">
        <f t="shared" si="49"/>
        <v>27</v>
      </c>
      <c r="AB92" s="613">
        <f t="shared" si="49"/>
        <v>27</v>
      </c>
      <c r="AC92" s="504"/>
    </row>
    <row r="93" spans="1:34" outlineLevel="1">
      <c r="A93" s="516" t="s">
        <v>919</v>
      </c>
      <c r="B93" s="614"/>
      <c r="C93" s="614"/>
      <c r="D93" s="614"/>
      <c r="E93" s="614"/>
      <c r="F93" s="614"/>
      <c r="G93" s="614"/>
      <c r="H93" s="614">
        <f t="shared" ref="H93:M93" si="50">H94-H88-H89-H90-H91-H92</f>
        <v>40260.571428571435</v>
      </c>
      <c r="I93" s="614">
        <f t="shared" si="50"/>
        <v>-6034.2857142857174</v>
      </c>
      <c r="J93" s="614">
        <f t="shared" si="50"/>
        <v>-2517.7142857142899</v>
      </c>
      <c r="K93" s="614">
        <f t="shared" si="50"/>
        <v>1475.1344537815094</v>
      </c>
      <c r="L93" s="614">
        <f t="shared" si="50"/>
        <v>-1791.7647058823495</v>
      </c>
      <c r="M93" s="614">
        <f t="shared" si="50"/>
        <v>614.47058823529369</v>
      </c>
      <c r="N93" s="615">
        <f>M$96/5+SUM($L$98:M98)/5</f>
        <v>1333.3176470588237</v>
      </c>
      <c r="O93" s="615">
        <f>N$96/5+SUM($L$98:N98)/5</f>
        <v>1604.2541176470593</v>
      </c>
      <c r="P93" s="615">
        <f>O$96/5+SUM($L$98:O98)/5</f>
        <v>-1913.596705882353</v>
      </c>
      <c r="Q93" s="615">
        <f>P$96/5+SUM($L$98:P98)/5</f>
        <v>-910.87736470588277</v>
      </c>
      <c r="R93" s="615">
        <f>Q$96/5+SUM($L$98:Q98)/5</f>
        <v>35.298108235294059</v>
      </c>
      <c r="S93" s="615">
        <f>R$96/5+SUM($L$98:R98)/5</f>
        <v>-38.961513411764457</v>
      </c>
      <c r="T93" s="615">
        <f>S$96/5+SUM($L$98:S98)/5</f>
        <v>760.03078927058823</v>
      </c>
      <c r="U93" s="615">
        <f>T$96/5+SUM($L$98:T98)/5</f>
        <v>-534.37536858352973</v>
      </c>
      <c r="V93" s="615">
        <f>U$96/5+SUM($L$98:U98)/5</f>
        <v>1086.6997051331768</v>
      </c>
      <c r="W93" s="615">
        <f>V$96/5+SUM($L$98:V98)/5</f>
        <v>-612.64023589345891</v>
      </c>
      <c r="X93" s="615">
        <f>W$96/5+SUM($L$98:W98)/5</f>
        <v>-160.51218871476738</v>
      </c>
      <c r="Y93" s="615">
        <f>X$96/5+SUM($L$98:X98)/5</f>
        <v>-2.592750971813075</v>
      </c>
      <c r="Z93" s="615">
        <f>Y$96/5+SUM($L$98:Y98)/5</f>
        <v>128.56207422254874</v>
      </c>
      <c r="AA93" s="615">
        <f>Z$96/5+SUM($L$98:Z98)/5</f>
        <v>235.96665500303845</v>
      </c>
      <c r="AB93" s="615">
        <f>AA$96/5+SUM($L$98:AA98)/5</f>
        <v>323.05709429930681</v>
      </c>
      <c r="AC93" s="504"/>
    </row>
    <row r="94" spans="1:34" outlineLevel="1">
      <c r="A94" s="510" t="s">
        <v>920</v>
      </c>
      <c r="B94" s="551"/>
      <c r="C94" s="551"/>
      <c r="D94" s="551"/>
      <c r="E94" s="551"/>
      <c r="F94" s="551"/>
      <c r="G94" s="551"/>
      <c r="H94" s="551">
        <f t="shared" ref="H94:M94" si="51">I7/I21</f>
        <v>41668.571428571435</v>
      </c>
      <c r="I94" s="551">
        <f t="shared" si="51"/>
        <v>36594.285714285717</v>
      </c>
      <c r="J94" s="551">
        <f t="shared" si="51"/>
        <v>36788.571428571428</v>
      </c>
      <c r="K94" s="551">
        <f t="shared" si="51"/>
        <v>39564.705882352937</v>
      </c>
      <c r="L94" s="551">
        <f t="shared" si="51"/>
        <v>39752.941176470587</v>
      </c>
      <c r="M94" s="551">
        <f t="shared" si="51"/>
        <v>40929.411764705881</v>
      </c>
      <c r="N94" s="520">
        <f t="shared" ref="N94:Y94" si="52">SUM(N88:N93)</f>
        <v>41986.729411764703</v>
      </c>
      <c r="O94" s="520">
        <f>SUM(O88:O93)</f>
        <v>43255.983529411766</v>
      </c>
      <c r="P94" s="520">
        <f>SUM(P88:P93)</f>
        <v>40885.386823529414</v>
      </c>
      <c r="Q94" s="520">
        <f t="shared" si="52"/>
        <v>39600.50945882353</v>
      </c>
      <c r="R94" s="520">
        <f t="shared" si="52"/>
        <v>39284.807567058822</v>
      </c>
      <c r="S94" s="520">
        <f t="shared" si="52"/>
        <v>40852.846053647059</v>
      </c>
      <c r="T94" s="520">
        <f t="shared" si="52"/>
        <v>44869.876842917649</v>
      </c>
      <c r="U94" s="520">
        <f t="shared" si="52"/>
        <v>44198.501474334116</v>
      </c>
      <c r="V94" s="520">
        <f t="shared" si="52"/>
        <v>45420.201179467294</v>
      </c>
      <c r="W94" s="520">
        <f>SUM(W88:W93)</f>
        <v>44691.560943573837</v>
      </c>
      <c r="X94" s="520">
        <f t="shared" si="52"/>
        <v>45822.931254859068</v>
      </c>
      <c r="Y94" s="520">
        <f t="shared" si="52"/>
        <v>46320.654691387259</v>
      </c>
      <c r="Z94" s="520">
        <f>SUM(Z88:Z93)</f>
        <v>46505.34916717231</v>
      </c>
      <c r="AA94" s="520">
        <f>SUM(AA88:AA93)</f>
        <v>46823.700653855034</v>
      </c>
      <c r="AB94" s="520">
        <f>SUM(AB88:AB93)</f>
        <v>47257.36394221001</v>
      </c>
    </row>
    <row r="95" spans="1:34" outlineLevel="1">
      <c r="A95" s="510"/>
      <c r="B95" s="521"/>
      <c r="C95" s="521"/>
      <c r="D95" s="521"/>
      <c r="E95" s="521"/>
      <c r="F95" s="521"/>
      <c r="G95" s="521"/>
      <c r="H95" s="521"/>
      <c r="I95" s="521"/>
      <c r="J95" s="521"/>
      <c r="K95" s="521"/>
      <c r="L95" s="521"/>
      <c r="M95" s="521"/>
      <c r="N95" s="521"/>
      <c r="O95" s="521"/>
      <c r="P95" s="521"/>
      <c r="Q95" s="521"/>
      <c r="R95" s="521"/>
      <c r="S95" s="521"/>
      <c r="T95" s="521"/>
      <c r="U95" s="521"/>
      <c r="V95" s="521"/>
      <c r="W95" s="521"/>
      <c r="X95" s="521"/>
      <c r="Y95" s="521"/>
      <c r="Z95" s="521"/>
      <c r="AA95" s="521"/>
      <c r="AB95" s="521"/>
    </row>
    <row r="96" spans="1:34" outlineLevel="1">
      <c r="A96" s="510" t="s">
        <v>921</v>
      </c>
      <c r="B96" s="521">
        <f t="shared" ref="B96:Y96" si="53">B50-B94</f>
        <v>0</v>
      </c>
      <c r="C96" s="521">
        <f t="shared" si="53"/>
        <v>0</v>
      </c>
      <c r="D96" s="521">
        <f t="shared" si="53"/>
        <v>35683</v>
      </c>
      <c r="E96" s="521">
        <f t="shared" si="53"/>
        <v>39122</v>
      </c>
      <c r="F96" s="521">
        <f t="shared" si="53"/>
        <v>40845</v>
      </c>
      <c r="G96" s="521">
        <f t="shared" si="53"/>
        <v>39830</v>
      </c>
      <c r="H96" s="521">
        <f t="shared" si="53"/>
        <v>-5849.5714285714348</v>
      </c>
      <c r="I96" s="521">
        <f t="shared" si="53"/>
        <v>-6717.2857142857174</v>
      </c>
      <c r="J96" s="521">
        <f t="shared" si="53"/>
        <v>227.42857142857247</v>
      </c>
      <c r="K96" s="521">
        <f t="shared" si="53"/>
        <v>63.294117647063104</v>
      </c>
      <c r="L96" s="521">
        <f t="shared" si="53"/>
        <v>2104.0588235294126</v>
      </c>
      <c r="M96" s="521">
        <f t="shared" si="53"/>
        <v>3798.5882352941189</v>
      </c>
      <c r="N96" s="521">
        <f t="shared" si="53"/>
        <v>3772.2705882352966</v>
      </c>
      <c r="O96" s="521">
        <f>O50-O94</f>
        <v>-5874.9835294117656</v>
      </c>
      <c r="P96" s="521">
        <f>P50-P94</f>
        <v>-2428.386823529414</v>
      </c>
      <c r="Q96" s="521">
        <f t="shared" si="53"/>
        <v>359.49054117647029</v>
      </c>
      <c r="R96" s="521">
        <f t="shared" si="53"/>
        <v>129.19243294117769</v>
      </c>
      <c r="S96" s="521">
        <f t="shared" si="53"/>
        <v>1542.1539463529407</v>
      </c>
      <c r="T96" s="521">
        <f t="shared" si="53"/>
        <v>-3652.8768429176489</v>
      </c>
      <c r="U96" s="521">
        <f t="shared" si="53"/>
        <v>645.49852566588379</v>
      </c>
      <c r="V96" s="521">
        <f t="shared" si="53"/>
        <v>-4168.2011794672944</v>
      </c>
      <c r="W96" s="521">
        <f t="shared" si="53"/>
        <v>-2752.560943573837</v>
      </c>
      <c r="X96" s="521">
        <f t="shared" si="53"/>
        <v>-2277.5062548590649</v>
      </c>
      <c r="Y96" s="521">
        <f t="shared" si="53"/>
        <v>-1948.3228163872554</v>
      </c>
      <c r="Z96" s="521">
        <f>Z50-Z94</f>
        <v>-1744.0924015473065</v>
      </c>
      <c r="AA96" s="521">
        <f>AA50-AA94</f>
        <v>-1644.3496308081521</v>
      </c>
      <c r="AB96" s="521">
        <f>AB50-AB94</f>
        <v>-1628.561592434613</v>
      </c>
    </row>
    <row r="97" spans="1:29" outlineLevel="1">
      <c r="A97" s="510"/>
      <c r="B97" s="521"/>
      <c r="C97" s="521"/>
      <c r="D97" s="521"/>
      <c r="E97" s="521"/>
      <c r="F97" s="521"/>
      <c r="G97" s="521"/>
      <c r="H97" s="521"/>
      <c r="I97" s="521"/>
      <c r="J97" s="521"/>
      <c r="K97" s="521"/>
      <c r="L97" s="521"/>
      <c r="M97" s="521"/>
      <c r="N97" s="520"/>
      <c r="O97" s="520"/>
      <c r="P97" s="520"/>
      <c r="Q97" s="520"/>
      <c r="R97" s="520"/>
      <c r="S97" s="520"/>
      <c r="T97" s="520"/>
      <c r="U97" s="520"/>
      <c r="V97" s="520"/>
      <c r="W97" s="520"/>
      <c r="X97" s="520"/>
      <c r="Y97" s="520"/>
      <c r="Z97" s="520"/>
      <c r="AA97" s="520"/>
      <c r="AB97" s="520"/>
    </row>
    <row r="98" spans="1:29" outlineLevel="1">
      <c r="A98" s="510" t="s">
        <v>922</v>
      </c>
      <c r="B98" s="521">
        <f t="shared" ref="B98:Y98" si="54">B42-B7</f>
        <v>-2131</v>
      </c>
      <c r="C98" s="521">
        <f t="shared" si="54"/>
        <v>-2310</v>
      </c>
      <c r="D98" s="521">
        <f t="shared" si="54"/>
        <v>3428</v>
      </c>
      <c r="E98" s="521">
        <f t="shared" si="54"/>
        <v>2999</v>
      </c>
      <c r="F98" s="521">
        <f t="shared" si="54"/>
        <v>1764</v>
      </c>
      <c r="G98" s="521">
        <f t="shared" si="54"/>
        <v>-2302</v>
      </c>
      <c r="H98" s="521">
        <f t="shared" si="54"/>
        <v>-5255</v>
      </c>
      <c r="I98" s="521">
        <f t="shared" si="54"/>
        <v>-6981</v>
      </c>
      <c r="J98" s="521">
        <f t="shared" si="54"/>
        <v>4485</v>
      </c>
      <c r="K98" s="521">
        <f t="shared" si="54"/>
        <v>1349</v>
      </c>
      <c r="L98" s="521">
        <f t="shared" si="54"/>
        <v>559</v>
      </c>
      <c r="M98" s="521">
        <f t="shared" si="54"/>
        <v>2309</v>
      </c>
      <c r="N98" s="521">
        <f t="shared" si="54"/>
        <v>1381</v>
      </c>
      <c r="O98" s="521">
        <f>O42-O7</f>
        <v>-7942</v>
      </c>
      <c r="P98" s="521">
        <f>P42-P7</f>
        <v>1567</v>
      </c>
      <c r="Q98" s="521">
        <f t="shared" si="54"/>
        <v>1943</v>
      </c>
      <c r="R98" s="521">
        <f t="shared" si="54"/>
        <v>-141</v>
      </c>
      <c r="S98" s="521">
        <f t="shared" si="54"/>
        <v>2582</v>
      </c>
      <c r="T98" s="521">
        <f t="shared" si="54"/>
        <v>-1277</v>
      </c>
      <c r="U98" s="521">
        <f t="shared" si="54"/>
        <v>3807</v>
      </c>
      <c r="V98" s="521">
        <f t="shared" si="54"/>
        <v>-3683</v>
      </c>
      <c r="W98" s="521">
        <f t="shared" si="54"/>
        <v>845</v>
      </c>
      <c r="X98" s="521">
        <f t="shared" si="54"/>
        <v>314.54249999999956</v>
      </c>
      <c r="Y98" s="521">
        <f t="shared" si="54"/>
        <v>326.5906874999996</v>
      </c>
      <c r="Z98" s="521">
        <f>Z42-Z7</f>
        <v>332.7924890624995</v>
      </c>
      <c r="AA98" s="521">
        <f>AA42-AA7</f>
        <v>335.70942574218725</v>
      </c>
      <c r="AB98" s="521">
        <f>AB42-AB7</f>
        <v>338.84513267285138</v>
      </c>
    </row>
    <row r="99" spans="1:29">
      <c r="A99" s="616"/>
      <c r="B99" s="511"/>
      <c r="C99" s="511"/>
      <c r="D99" s="511"/>
      <c r="E99" s="511"/>
      <c r="F99" s="511"/>
      <c r="G99" s="511"/>
      <c r="H99" s="511"/>
      <c r="I99" s="511"/>
      <c r="J99" s="511"/>
      <c r="K99" s="511"/>
      <c r="L99" s="511"/>
      <c r="M99" s="511"/>
      <c r="N99" s="572"/>
      <c r="O99" s="572"/>
      <c r="P99" s="572"/>
      <c r="Q99" s="572"/>
      <c r="R99" s="572"/>
      <c r="S99" s="572"/>
      <c r="T99" s="572"/>
      <c r="U99" s="572"/>
      <c r="V99" s="572"/>
      <c r="W99" s="572"/>
      <c r="X99" s="572"/>
      <c r="Y99" s="572"/>
      <c r="Z99" s="572"/>
      <c r="AA99" s="572"/>
      <c r="AB99" s="572"/>
    </row>
    <row r="100" spans="1:29">
      <c r="A100" s="616"/>
      <c r="B100" s="511"/>
      <c r="C100" s="511"/>
      <c r="D100" s="511"/>
      <c r="E100" s="511"/>
      <c r="F100" s="511"/>
      <c r="G100" s="511"/>
      <c r="H100" s="511"/>
      <c r="I100" s="511"/>
      <c r="J100" s="511"/>
      <c r="K100" s="511"/>
      <c r="L100" s="511"/>
      <c r="M100" s="511"/>
      <c r="N100" s="572"/>
      <c r="O100" s="572"/>
      <c r="P100" s="572"/>
      <c r="Q100" s="572"/>
      <c r="R100" s="572"/>
      <c r="S100" s="572"/>
      <c r="T100" s="572"/>
      <c r="U100" s="572"/>
      <c r="V100" s="572"/>
      <c r="W100" s="572"/>
      <c r="X100" s="572"/>
      <c r="Y100" s="572"/>
      <c r="Z100" s="572"/>
      <c r="AA100" s="572"/>
      <c r="AB100" s="572"/>
    </row>
    <row r="101" spans="1:29">
      <c r="A101" s="617" t="s">
        <v>923</v>
      </c>
      <c r="B101" s="611"/>
      <c r="C101" s="611"/>
      <c r="D101" s="611"/>
      <c r="E101" s="611"/>
      <c r="F101" s="611"/>
      <c r="G101" s="611"/>
      <c r="H101" s="611"/>
      <c r="I101" s="611"/>
      <c r="J101" s="611"/>
      <c r="K101" s="611"/>
      <c r="L101" s="611"/>
      <c r="M101" s="611"/>
      <c r="N101" s="611"/>
      <c r="O101" s="611"/>
      <c r="P101" s="611"/>
      <c r="Q101" s="611"/>
      <c r="R101" s="611"/>
      <c r="S101" s="611"/>
      <c r="T101" s="611"/>
      <c r="U101" s="611"/>
      <c r="V101" s="611"/>
      <c r="W101" s="611"/>
      <c r="X101" s="611"/>
      <c r="Y101" s="611"/>
      <c r="Z101" s="611"/>
      <c r="AA101" s="611"/>
      <c r="AB101" s="611"/>
    </row>
    <row r="102" spans="1:29" outlineLevel="1">
      <c r="A102" s="618" t="s">
        <v>924</v>
      </c>
      <c r="B102" s="573">
        <f t="shared" ref="B102:Y102" si="55">MAX((0.1*B94),(-B38*0.1))</f>
        <v>177.60000000000002</v>
      </c>
      <c r="C102" s="573">
        <f t="shared" si="55"/>
        <v>414.6</v>
      </c>
      <c r="D102" s="573">
        <f t="shared" si="55"/>
        <v>3092.3</v>
      </c>
      <c r="E102" s="573">
        <f t="shared" si="55"/>
        <v>3353.5</v>
      </c>
      <c r="F102" s="573">
        <f t="shared" si="55"/>
        <v>3184.6000000000004</v>
      </c>
      <c r="G102" s="573">
        <f t="shared" si="55"/>
        <v>3328.2000000000003</v>
      </c>
      <c r="H102" s="573">
        <f t="shared" si="55"/>
        <v>4166.857142857144</v>
      </c>
      <c r="I102" s="573">
        <f t="shared" si="55"/>
        <v>3715.3</v>
      </c>
      <c r="J102" s="573">
        <f t="shared" si="55"/>
        <v>4046.3</v>
      </c>
      <c r="K102" s="573">
        <f t="shared" si="55"/>
        <v>4307.7</v>
      </c>
      <c r="L102" s="573">
        <f t="shared" si="55"/>
        <v>4359.8</v>
      </c>
      <c r="M102" s="573">
        <f t="shared" si="55"/>
        <v>4528.8</v>
      </c>
      <c r="N102" s="573">
        <f t="shared" si="55"/>
        <v>4449.3</v>
      </c>
      <c r="O102" s="573">
        <f>MAX((0.1*O94),(-O38*0.1))</f>
        <v>4325.5983529411769</v>
      </c>
      <c r="P102" s="573">
        <f>MAX((0.1*P94),(-P38*0.1))</f>
        <v>4463.8</v>
      </c>
      <c r="Q102" s="573">
        <f t="shared" si="55"/>
        <v>4664.7</v>
      </c>
      <c r="R102" s="573">
        <f t="shared" si="55"/>
        <v>4881.6000000000004</v>
      </c>
      <c r="S102" s="573">
        <f t="shared" si="55"/>
        <v>5212.5</v>
      </c>
      <c r="T102" s="573">
        <f t="shared" si="55"/>
        <v>4486.9876842917647</v>
      </c>
      <c r="U102" s="573">
        <f t="shared" si="55"/>
        <v>4710.3</v>
      </c>
      <c r="V102" s="573">
        <f t="shared" si="55"/>
        <v>4542.0201179467294</v>
      </c>
      <c r="W102" s="573">
        <f t="shared" si="55"/>
        <v>4574.6000000000004</v>
      </c>
      <c r="X102" s="573">
        <f t="shared" si="55"/>
        <v>4582.2931254859068</v>
      </c>
      <c r="Y102" s="573">
        <f t="shared" si="55"/>
        <v>4632.0654691387263</v>
      </c>
      <c r="Z102" s="573">
        <f>MAX((0.1*Z94),(-Z38*0.1))</f>
        <v>4650.5349167172308</v>
      </c>
      <c r="AA102" s="573">
        <f>MAX((0.1*AA94),(-AA38*0.1))</f>
        <v>4682.3700653855039</v>
      </c>
      <c r="AB102" s="573">
        <f>MAX((0.1*AB94),(-AB38*0.1))</f>
        <v>4725.7363942210013</v>
      </c>
    </row>
    <row r="103" spans="1:29" outlineLevel="1">
      <c r="A103" s="510" t="s">
        <v>925</v>
      </c>
      <c r="B103" s="573"/>
      <c r="C103" s="573"/>
      <c r="D103" s="573"/>
      <c r="E103" s="573"/>
      <c r="F103" s="573"/>
      <c r="G103" s="573"/>
      <c r="H103" s="573"/>
      <c r="I103" s="573"/>
      <c r="J103" s="573"/>
      <c r="K103" s="573"/>
      <c r="L103" s="573"/>
      <c r="M103" s="573"/>
      <c r="N103" s="573"/>
      <c r="O103" s="573"/>
      <c r="P103" s="573"/>
      <c r="Q103" s="573"/>
      <c r="R103" s="573"/>
      <c r="S103" s="573"/>
      <c r="T103" s="573"/>
      <c r="U103" s="573"/>
      <c r="V103" s="573"/>
      <c r="W103" s="573"/>
      <c r="X103" s="573"/>
      <c r="Y103" s="573"/>
      <c r="Z103" s="573"/>
      <c r="AA103" s="573"/>
      <c r="AB103" s="573"/>
    </row>
    <row r="104" spans="1:29" outlineLevel="1">
      <c r="A104" s="510" t="s">
        <v>921</v>
      </c>
      <c r="B104" s="619">
        <f t="shared" ref="B104:Y104" si="56">B96</f>
        <v>0</v>
      </c>
      <c r="C104" s="619">
        <f t="shared" si="56"/>
        <v>0</v>
      </c>
      <c r="D104" s="619">
        <f t="shared" si="56"/>
        <v>35683</v>
      </c>
      <c r="E104" s="619">
        <f t="shared" si="56"/>
        <v>39122</v>
      </c>
      <c r="F104" s="619">
        <f t="shared" si="56"/>
        <v>40845</v>
      </c>
      <c r="G104" s="619">
        <f t="shared" si="56"/>
        <v>39830</v>
      </c>
      <c r="H104" s="619">
        <f t="shared" si="56"/>
        <v>-5849.5714285714348</v>
      </c>
      <c r="I104" s="619">
        <f t="shared" si="56"/>
        <v>-6717.2857142857174</v>
      </c>
      <c r="J104" s="619">
        <f t="shared" si="56"/>
        <v>227.42857142857247</v>
      </c>
      <c r="K104" s="619">
        <f t="shared" si="56"/>
        <v>63.294117647063104</v>
      </c>
      <c r="L104" s="619">
        <f t="shared" si="56"/>
        <v>2104.0588235294126</v>
      </c>
      <c r="M104" s="619">
        <f t="shared" si="56"/>
        <v>3798.5882352941189</v>
      </c>
      <c r="N104" s="619">
        <f t="shared" si="56"/>
        <v>3772.2705882352966</v>
      </c>
      <c r="O104" s="619">
        <f>O96</f>
        <v>-5874.9835294117656</v>
      </c>
      <c r="P104" s="619">
        <f>P96</f>
        <v>-2428.386823529414</v>
      </c>
      <c r="Q104" s="619">
        <f t="shared" si="56"/>
        <v>359.49054117647029</v>
      </c>
      <c r="R104" s="619">
        <f t="shared" si="56"/>
        <v>129.19243294117769</v>
      </c>
      <c r="S104" s="619">
        <f t="shared" si="56"/>
        <v>1542.1539463529407</v>
      </c>
      <c r="T104" s="619">
        <f t="shared" si="56"/>
        <v>-3652.8768429176489</v>
      </c>
      <c r="U104" s="619">
        <f t="shared" si="56"/>
        <v>645.49852566588379</v>
      </c>
      <c r="V104" s="619">
        <f t="shared" si="56"/>
        <v>-4168.2011794672944</v>
      </c>
      <c r="W104" s="619">
        <f t="shared" si="56"/>
        <v>-2752.560943573837</v>
      </c>
      <c r="X104" s="619">
        <f t="shared" si="56"/>
        <v>-2277.5062548590649</v>
      </c>
      <c r="Y104" s="619">
        <f t="shared" si="56"/>
        <v>-1948.3228163872554</v>
      </c>
      <c r="Z104" s="619">
        <f>Z96</f>
        <v>-1744.0924015473065</v>
      </c>
      <c r="AA104" s="619">
        <f>AA96</f>
        <v>-1644.3496308081521</v>
      </c>
      <c r="AB104" s="619">
        <f>AB96</f>
        <v>-1628.561592434613</v>
      </c>
    </row>
    <row r="105" spans="1:29" outlineLevel="1">
      <c r="A105" s="510" t="s">
        <v>926</v>
      </c>
      <c r="B105" s="620">
        <f t="shared" ref="B105:Y105" si="57">-B67</f>
        <v>0</v>
      </c>
      <c r="C105" s="620">
        <f t="shared" si="57"/>
        <v>0</v>
      </c>
      <c r="D105" s="620">
        <f t="shared" si="57"/>
        <v>4801</v>
      </c>
      <c r="E105" s="620">
        <f t="shared" si="57"/>
        <v>5704</v>
      </c>
      <c r="F105" s="620">
        <f t="shared" si="57"/>
        <v>12037</v>
      </c>
      <c r="G105" s="620">
        <f t="shared" si="57"/>
        <v>8557</v>
      </c>
      <c r="H105" s="620">
        <f t="shared" si="57"/>
        <v>1939</v>
      </c>
      <c r="I105" s="620">
        <f t="shared" si="57"/>
        <v>-6742</v>
      </c>
      <c r="J105" s="620">
        <f t="shared" si="57"/>
        <v>-3917</v>
      </c>
      <c r="K105" s="620">
        <f t="shared" si="57"/>
        <v>-4777</v>
      </c>
      <c r="L105" s="620">
        <f t="shared" si="57"/>
        <v>-4567</v>
      </c>
      <c r="M105" s="620">
        <f t="shared" si="57"/>
        <v>0</v>
      </c>
      <c r="N105" s="620">
        <f t="shared" si="57"/>
        <v>0</v>
      </c>
      <c r="O105" s="620">
        <f>-O67</f>
        <v>0</v>
      </c>
      <c r="P105" s="620">
        <f>-P67</f>
        <v>0</v>
      </c>
      <c r="Q105" s="620">
        <f t="shared" si="57"/>
        <v>0</v>
      </c>
      <c r="R105" s="620">
        <f t="shared" si="57"/>
        <v>0</v>
      </c>
      <c r="S105" s="620">
        <f t="shared" si="57"/>
        <v>0</v>
      </c>
      <c r="T105" s="620">
        <f t="shared" si="57"/>
        <v>0</v>
      </c>
      <c r="U105" s="620">
        <f t="shared" si="57"/>
        <v>0</v>
      </c>
      <c r="V105" s="620">
        <f t="shared" si="57"/>
        <v>-1941.6002666666645</v>
      </c>
      <c r="W105" s="620">
        <f t="shared" si="57"/>
        <v>-1972.4992666666644</v>
      </c>
      <c r="X105" s="620">
        <f t="shared" si="57"/>
        <v>-2031.4127333333327</v>
      </c>
      <c r="Y105" s="620">
        <f t="shared" si="57"/>
        <v>-1078.1227348666657</v>
      </c>
      <c r="Z105" s="620">
        <f>-Z67</f>
        <v>0</v>
      </c>
      <c r="AA105" s="620">
        <f>-AA67</f>
        <v>0</v>
      </c>
      <c r="AB105" s="620">
        <f>-AB67</f>
        <v>0</v>
      </c>
    </row>
    <row r="106" spans="1:29" outlineLevel="1">
      <c r="A106" s="618" t="s">
        <v>927</v>
      </c>
      <c r="B106" s="619">
        <f t="shared" ref="B106:Y106" si="58">B105-B104</f>
        <v>0</v>
      </c>
      <c r="C106" s="619">
        <f t="shared" si="58"/>
        <v>0</v>
      </c>
      <c r="D106" s="619">
        <f t="shared" si="58"/>
        <v>-30882</v>
      </c>
      <c r="E106" s="619">
        <f t="shared" si="58"/>
        <v>-33418</v>
      </c>
      <c r="F106" s="619">
        <f t="shared" si="58"/>
        <v>-28808</v>
      </c>
      <c r="G106" s="619">
        <f t="shared" si="58"/>
        <v>-31273</v>
      </c>
      <c r="H106" s="619">
        <f t="shared" si="58"/>
        <v>7788.5714285714348</v>
      </c>
      <c r="I106" s="619">
        <f t="shared" si="58"/>
        <v>-24.714285714282596</v>
      </c>
      <c r="J106" s="619">
        <f t="shared" si="58"/>
        <v>-4144.4285714285725</v>
      </c>
      <c r="K106" s="619">
        <f t="shared" si="58"/>
        <v>-4840.2941176470631</v>
      </c>
      <c r="L106" s="619">
        <f t="shared" si="58"/>
        <v>-6671.0588235294126</v>
      </c>
      <c r="M106" s="619">
        <f t="shared" si="58"/>
        <v>-3798.5882352941189</v>
      </c>
      <c r="N106" s="619">
        <f t="shared" si="58"/>
        <v>-3772.2705882352966</v>
      </c>
      <c r="O106" s="619">
        <f>O105-O104</f>
        <v>5874.9835294117656</v>
      </c>
      <c r="P106" s="619">
        <f>P105-P104</f>
        <v>2428.386823529414</v>
      </c>
      <c r="Q106" s="619">
        <f t="shared" si="58"/>
        <v>-359.49054117647029</v>
      </c>
      <c r="R106" s="619">
        <f t="shared" si="58"/>
        <v>-129.19243294117769</v>
      </c>
      <c r="S106" s="619">
        <f t="shared" si="58"/>
        <v>-1542.1539463529407</v>
      </c>
      <c r="T106" s="619">
        <f t="shared" si="58"/>
        <v>3652.8768429176489</v>
      </c>
      <c r="U106" s="619">
        <f t="shared" si="58"/>
        <v>-645.49852566588379</v>
      </c>
      <c r="V106" s="619">
        <f t="shared" si="58"/>
        <v>2226.6009128006299</v>
      </c>
      <c r="W106" s="619">
        <f t="shared" si="58"/>
        <v>780.06167690717257</v>
      </c>
      <c r="X106" s="619">
        <f t="shared" si="58"/>
        <v>246.09352152573229</v>
      </c>
      <c r="Y106" s="619">
        <f t="shared" si="58"/>
        <v>870.20008152058972</v>
      </c>
      <c r="Z106" s="619">
        <f>Z105-Z104</f>
        <v>1744.0924015473065</v>
      </c>
      <c r="AA106" s="619">
        <f>AA105-AA104</f>
        <v>1644.3496308081521</v>
      </c>
      <c r="AB106" s="619">
        <f>AB105-AB104</f>
        <v>1628.561592434613</v>
      </c>
    </row>
    <row r="107" spans="1:29" outlineLevel="1">
      <c r="A107" s="618" t="s">
        <v>928</v>
      </c>
      <c r="B107" s="619">
        <f t="shared" ref="B107:Y107" si="59">IF(B106&gt;0,MAX(B106-B102,0),MIN(B106+B102,0))</f>
        <v>0</v>
      </c>
      <c r="C107" s="619">
        <f t="shared" si="59"/>
        <v>0</v>
      </c>
      <c r="D107" s="619">
        <f t="shared" si="59"/>
        <v>-27789.7</v>
      </c>
      <c r="E107" s="619">
        <f t="shared" si="59"/>
        <v>-30064.5</v>
      </c>
      <c r="F107" s="619">
        <f t="shared" si="59"/>
        <v>-25623.4</v>
      </c>
      <c r="G107" s="619">
        <f t="shared" si="59"/>
        <v>-27944.799999999999</v>
      </c>
      <c r="H107" s="619">
        <f t="shared" si="59"/>
        <v>3621.7142857142908</v>
      </c>
      <c r="I107" s="619">
        <f t="shared" si="59"/>
        <v>0</v>
      </c>
      <c r="J107" s="619">
        <f t="shared" si="59"/>
        <v>-98.128571428572286</v>
      </c>
      <c r="K107" s="619">
        <f t="shared" si="59"/>
        <v>-532.59411764706329</v>
      </c>
      <c r="L107" s="619">
        <f t="shared" si="59"/>
        <v>-2311.2588235294124</v>
      </c>
      <c r="M107" s="619">
        <f t="shared" si="59"/>
        <v>0</v>
      </c>
      <c r="N107" s="619">
        <f t="shared" si="59"/>
        <v>0</v>
      </c>
      <c r="O107" s="619">
        <f>IF(O106&gt;0,MAX(O106-O102,0),MIN(O106+O102,0))</f>
        <v>1549.3851764705887</v>
      </c>
      <c r="P107" s="619">
        <f>IF(P106&gt;0,MAX(P106-P102,0),MIN(P106+P102,0))</f>
        <v>0</v>
      </c>
      <c r="Q107" s="619">
        <f t="shared" si="59"/>
        <v>0</v>
      </c>
      <c r="R107" s="619">
        <f t="shared" si="59"/>
        <v>0</v>
      </c>
      <c r="S107" s="619">
        <f t="shared" si="59"/>
        <v>0</v>
      </c>
      <c r="T107" s="619">
        <f t="shared" si="59"/>
        <v>0</v>
      </c>
      <c r="U107" s="619">
        <f t="shared" si="59"/>
        <v>0</v>
      </c>
      <c r="V107" s="619">
        <f t="shared" si="59"/>
        <v>0</v>
      </c>
      <c r="W107" s="619">
        <f t="shared" si="59"/>
        <v>0</v>
      </c>
      <c r="X107" s="619">
        <f t="shared" si="59"/>
        <v>0</v>
      </c>
      <c r="Y107" s="619">
        <f t="shared" si="59"/>
        <v>0</v>
      </c>
      <c r="Z107" s="619">
        <f>IF(Z106&gt;0,MAX(Z106-Z102,0),MIN(Z106+Z102,0))</f>
        <v>0</v>
      </c>
      <c r="AA107" s="619">
        <f>IF(AA106&gt;0,MAX(AA106-AA102,0),MIN(AA106+AA102,0))</f>
        <v>0</v>
      </c>
      <c r="AB107" s="619">
        <f>IF(AB106&gt;0,MAX(AB106-AB102,0),MIN(AB106+AB102,0))</f>
        <v>0</v>
      </c>
    </row>
    <row r="108" spans="1:29" outlineLevel="1">
      <c r="A108" s="621" t="s">
        <v>929</v>
      </c>
      <c r="B108" s="622">
        <f t="shared" ref="B108:H108" si="60">B107/$P$23</f>
        <v>0</v>
      </c>
      <c r="C108" s="622">
        <f t="shared" si="60"/>
        <v>0</v>
      </c>
      <c r="D108" s="622">
        <f t="shared" si="60"/>
        <v>-1852.6466666666668</v>
      </c>
      <c r="E108" s="622">
        <f t="shared" si="60"/>
        <v>-2004.3</v>
      </c>
      <c r="F108" s="622">
        <f t="shared" si="60"/>
        <v>-1708.2266666666667</v>
      </c>
      <c r="G108" s="622">
        <f t="shared" si="60"/>
        <v>-1862.9866666666667</v>
      </c>
      <c r="H108" s="622">
        <f t="shared" si="60"/>
        <v>241.44761904761938</v>
      </c>
      <c r="I108" s="622">
        <f t="shared" ref="I108:Y108" si="61">I107/$M$23</f>
        <v>0</v>
      </c>
      <c r="J108" s="622">
        <f t="shared" si="61"/>
        <v>-6.541904761904819</v>
      </c>
      <c r="K108" s="622">
        <f t="shared" si="61"/>
        <v>-35.506274509804221</v>
      </c>
      <c r="L108" s="622">
        <f t="shared" si="61"/>
        <v>-154.08392156862749</v>
      </c>
      <c r="M108" s="622">
        <f t="shared" si="61"/>
        <v>0</v>
      </c>
      <c r="N108" s="622">
        <f t="shared" si="61"/>
        <v>0</v>
      </c>
      <c r="O108" s="622">
        <f>O107/$M$23</f>
        <v>103.29234509803925</v>
      </c>
      <c r="P108" s="622">
        <f>P107/$M$23</f>
        <v>0</v>
      </c>
      <c r="Q108" s="622">
        <f t="shared" si="61"/>
        <v>0</v>
      </c>
      <c r="R108" s="622">
        <f t="shared" si="61"/>
        <v>0</v>
      </c>
      <c r="S108" s="622">
        <f t="shared" si="61"/>
        <v>0</v>
      </c>
      <c r="T108" s="622">
        <f t="shared" si="61"/>
        <v>0</v>
      </c>
      <c r="U108" s="622">
        <f t="shared" si="61"/>
        <v>0</v>
      </c>
      <c r="V108" s="622">
        <f t="shared" si="61"/>
        <v>0</v>
      </c>
      <c r="W108" s="622">
        <f t="shared" si="61"/>
        <v>0</v>
      </c>
      <c r="X108" s="622">
        <f t="shared" si="61"/>
        <v>0</v>
      </c>
      <c r="Y108" s="622">
        <f t="shared" si="61"/>
        <v>0</v>
      </c>
      <c r="Z108" s="622">
        <f>Z107/$M$23</f>
        <v>0</v>
      </c>
      <c r="AA108" s="622">
        <f>AA107/$M$23</f>
        <v>0</v>
      </c>
      <c r="AB108" s="622">
        <f>AB107/$M$23</f>
        <v>0</v>
      </c>
    </row>
    <row r="109" spans="1:29">
      <c r="A109" s="616"/>
      <c r="B109" s="511"/>
      <c r="C109" s="511"/>
      <c r="D109" s="511"/>
      <c r="E109" s="511"/>
      <c r="F109" s="511"/>
      <c r="G109" s="511"/>
      <c r="H109" s="511"/>
      <c r="I109" s="511"/>
      <c r="J109" s="511"/>
      <c r="K109" s="511"/>
      <c r="L109" s="511"/>
      <c r="M109" s="511"/>
      <c r="N109" s="511"/>
      <c r="O109" s="511"/>
      <c r="P109" s="511"/>
      <c r="Q109" s="511"/>
      <c r="R109" s="511"/>
      <c r="S109" s="511"/>
      <c r="T109" s="511"/>
      <c r="U109" s="511"/>
      <c r="V109" s="511"/>
      <c r="W109" s="511"/>
      <c r="X109" s="511"/>
      <c r="Y109" s="511"/>
      <c r="Z109" s="511"/>
      <c r="AA109" s="511"/>
      <c r="AB109" s="511"/>
    </row>
    <row r="110" spans="1:29">
      <c r="A110" s="616"/>
      <c r="B110" s="511"/>
      <c r="C110" s="511"/>
      <c r="D110" s="511"/>
      <c r="E110" s="511"/>
      <c r="F110" s="511"/>
      <c r="G110" s="511"/>
      <c r="H110" s="511"/>
      <c r="I110" s="511"/>
      <c r="J110" s="511"/>
      <c r="K110" s="511"/>
      <c r="L110" s="511"/>
      <c r="M110" s="511"/>
      <c r="N110" s="511"/>
      <c r="O110" s="511"/>
      <c r="P110" s="511"/>
      <c r="Q110" s="511"/>
      <c r="R110" s="511"/>
      <c r="S110" s="511"/>
      <c r="T110" s="511"/>
      <c r="U110" s="511"/>
      <c r="V110" s="511"/>
      <c r="W110" s="511"/>
      <c r="X110" s="511"/>
      <c r="Y110" s="511"/>
      <c r="Z110" s="511"/>
      <c r="AA110" s="511"/>
      <c r="AB110" s="511"/>
    </row>
    <row r="111" spans="1:29">
      <c r="A111" s="623" t="s">
        <v>930</v>
      </c>
      <c r="B111" s="611"/>
      <c r="C111" s="611"/>
      <c r="D111" s="611"/>
      <c r="E111" s="611"/>
      <c r="F111" s="611"/>
      <c r="G111" s="611"/>
      <c r="H111" s="611"/>
      <c r="I111" s="611"/>
      <c r="J111" s="611"/>
      <c r="K111" s="611"/>
      <c r="L111" s="611"/>
      <c r="M111" s="611"/>
      <c r="N111" s="611"/>
      <c r="O111" s="611"/>
      <c r="P111" s="611"/>
      <c r="Q111" s="611"/>
      <c r="R111" s="611"/>
      <c r="S111" s="611"/>
      <c r="T111" s="611"/>
      <c r="U111" s="611"/>
      <c r="V111" s="611"/>
      <c r="W111" s="611"/>
      <c r="X111" s="611"/>
      <c r="Y111" s="611"/>
      <c r="Z111" s="611"/>
      <c r="AA111" s="611"/>
      <c r="AB111" s="611"/>
      <c r="AC111" s="504"/>
    </row>
    <row r="112" spans="1:29" ht="12.75" customHeight="1" outlineLevel="1">
      <c r="A112" s="624"/>
      <c r="B112" s="625"/>
      <c r="C112" s="625"/>
      <c r="D112" s="625"/>
      <c r="E112" s="625"/>
      <c r="F112" s="625"/>
      <c r="G112" s="625"/>
      <c r="H112" s="625"/>
      <c r="I112" s="625"/>
      <c r="J112" s="625"/>
      <c r="K112" s="625"/>
      <c r="L112" s="625"/>
      <c r="M112" s="625"/>
      <c r="N112" s="626">
        <f t="shared" ref="N112:Y112" si="62">N115+N120+N124+N128+N132+N136</f>
        <v>-108.2</v>
      </c>
      <c r="O112" s="626">
        <f>O115+O120+O124+O128+O132+O136</f>
        <v>-4</v>
      </c>
      <c r="P112" s="626">
        <f>P115+P120+P124+P128+P132+P136</f>
        <v>0</v>
      </c>
      <c r="Q112" s="626">
        <f t="shared" si="62"/>
        <v>0</v>
      </c>
      <c r="R112" s="626">
        <f t="shared" si="62"/>
        <v>0</v>
      </c>
      <c r="S112" s="626">
        <f t="shared" si="62"/>
        <v>0</v>
      </c>
      <c r="T112" s="626">
        <f t="shared" si="62"/>
        <v>0</v>
      </c>
      <c r="U112" s="626">
        <f t="shared" si="62"/>
        <v>0</v>
      </c>
      <c r="V112" s="626">
        <f t="shared" si="62"/>
        <v>0</v>
      </c>
      <c r="W112" s="626">
        <f>W115+W120+W124+W128+W132+W136</f>
        <v>0</v>
      </c>
      <c r="X112" s="626">
        <f t="shared" si="62"/>
        <v>0</v>
      </c>
      <c r="Y112" s="626">
        <f t="shared" si="62"/>
        <v>0</v>
      </c>
      <c r="Z112" s="626">
        <f>Z115+Z120+Z124+Z128+Z132+Z136</f>
        <v>0</v>
      </c>
      <c r="AA112" s="626">
        <f>AA115+AA120+AA124+AA128+AA132+AA136</f>
        <v>0</v>
      </c>
      <c r="AB112" s="626">
        <f>AB115+AB120+AB124+AB128+AB132+AB136</f>
        <v>0</v>
      </c>
      <c r="AC112" s="504"/>
    </row>
    <row r="113" spans="1:29" ht="12.75" customHeight="1" outlineLevel="1">
      <c r="A113" s="627" t="s">
        <v>931</v>
      </c>
      <c r="B113" s="625"/>
      <c r="C113" s="625"/>
      <c r="D113" s="625"/>
      <c r="E113" s="625"/>
      <c r="F113" s="625"/>
      <c r="G113" s="625"/>
      <c r="H113" s="625"/>
      <c r="I113" s="625"/>
      <c r="J113" s="625"/>
      <c r="K113" s="625"/>
      <c r="L113" s="625"/>
      <c r="M113" s="628"/>
      <c r="N113" s="629">
        <f t="shared" ref="N113:AB114" si="63">M115</f>
        <v>0</v>
      </c>
      <c r="O113" s="629">
        <f>N115</f>
        <v>0</v>
      </c>
      <c r="P113" s="629">
        <f>O115</f>
        <v>0</v>
      </c>
      <c r="Q113" s="630">
        <f t="shared" si="63"/>
        <v>0</v>
      </c>
      <c r="R113" s="630">
        <f t="shared" si="63"/>
        <v>0</v>
      </c>
      <c r="S113" s="630">
        <f t="shared" si="63"/>
        <v>0</v>
      </c>
      <c r="T113" s="630">
        <f t="shared" si="63"/>
        <v>0</v>
      </c>
      <c r="U113" s="630">
        <f t="shared" si="63"/>
        <v>0</v>
      </c>
      <c r="V113" s="630">
        <f t="shared" si="63"/>
        <v>0</v>
      </c>
      <c r="W113" s="630">
        <f t="shared" si="63"/>
        <v>0</v>
      </c>
      <c r="X113" s="630">
        <f t="shared" si="63"/>
        <v>0</v>
      </c>
      <c r="Y113" s="630">
        <f t="shared" si="63"/>
        <v>0</v>
      </c>
      <c r="Z113" s="630">
        <f t="shared" si="63"/>
        <v>0</v>
      </c>
      <c r="AA113" s="630">
        <f t="shared" si="63"/>
        <v>0</v>
      </c>
      <c r="AB113" s="630">
        <f t="shared" si="63"/>
        <v>0</v>
      </c>
      <c r="AC113" s="504"/>
    </row>
    <row r="114" spans="1:29" ht="12.75" customHeight="1" outlineLevel="1">
      <c r="A114" s="627" t="s">
        <v>932</v>
      </c>
      <c r="B114" s="625"/>
      <c r="C114" s="625"/>
      <c r="D114" s="625"/>
      <c r="E114" s="625"/>
      <c r="F114" s="625"/>
      <c r="G114" s="625"/>
      <c r="H114" s="625"/>
      <c r="I114" s="625"/>
      <c r="J114" s="625"/>
      <c r="K114" s="625"/>
      <c r="L114" s="625"/>
      <c r="M114" s="628"/>
      <c r="N114" s="629">
        <f t="shared" si="63"/>
        <v>0</v>
      </c>
      <c r="O114" s="629">
        <f>N116</f>
        <v>0</v>
      </c>
      <c r="P114" s="629">
        <f>O116</f>
        <v>0</v>
      </c>
      <c r="Q114" s="630">
        <f t="shared" si="63"/>
        <v>0</v>
      </c>
      <c r="R114" s="630">
        <f t="shared" si="63"/>
        <v>0</v>
      </c>
      <c r="S114" s="630">
        <f t="shared" si="63"/>
        <v>0</v>
      </c>
      <c r="T114" s="630">
        <f t="shared" si="63"/>
        <v>0</v>
      </c>
      <c r="U114" s="630">
        <f t="shared" si="63"/>
        <v>0</v>
      </c>
      <c r="V114" s="630">
        <f t="shared" si="63"/>
        <v>0</v>
      </c>
      <c r="W114" s="630">
        <f t="shared" si="63"/>
        <v>0</v>
      </c>
      <c r="X114" s="630">
        <f t="shared" si="63"/>
        <v>0</v>
      </c>
      <c r="Y114" s="630">
        <f t="shared" si="63"/>
        <v>0</v>
      </c>
      <c r="Z114" s="630">
        <f t="shared" si="63"/>
        <v>0</v>
      </c>
      <c r="AA114" s="630">
        <f t="shared" si="63"/>
        <v>0</v>
      </c>
      <c r="AB114" s="630">
        <f t="shared" si="63"/>
        <v>0</v>
      </c>
      <c r="AC114" s="504"/>
    </row>
    <row r="115" spans="1:29" ht="12.75" customHeight="1" outlineLevel="1">
      <c r="A115" s="627" t="s">
        <v>933</v>
      </c>
      <c r="B115" s="625"/>
      <c r="C115" s="625"/>
      <c r="D115" s="625"/>
      <c r="E115" s="625"/>
      <c r="F115" s="625"/>
      <c r="G115" s="625"/>
      <c r="H115" s="625"/>
      <c r="I115" s="625"/>
      <c r="J115" s="625"/>
      <c r="K115" s="625"/>
      <c r="L115" s="625"/>
      <c r="M115" s="628"/>
      <c r="N115" s="631">
        <f t="shared" ref="N115:Y115" si="64">IF(ABS(N114)&lt;ABS(N113),-N114,N113)</f>
        <v>0</v>
      </c>
      <c r="O115" s="631">
        <f>IF(ABS(O114)&lt;ABS(O113),-O114,O113)</f>
        <v>0</v>
      </c>
      <c r="P115" s="631">
        <f>IF(ABS(P114)&lt;ABS(P113),-P114,P113)</f>
        <v>0</v>
      </c>
      <c r="Q115" s="632">
        <f t="shared" si="64"/>
        <v>0</v>
      </c>
      <c r="R115" s="632">
        <f t="shared" si="64"/>
        <v>0</v>
      </c>
      <c r="S115" s="632">
        <f t="shared" si="64"/>
        <v>0</v>
      </c>
      <c r="T115" s="632">
        <f t="shared" si="64"/>
        <v>0</v>
      </c>
      <c r="U115" s="632">
        <f t="shared" si="64"/>
        <v>0</v>
      </c>
      <c r="V115" s="632">
        <f t="shared" si="64"/>
        <v>0</v>
      </c>
      <c r="W115" s="632">
        <f>IF(ABS(W114)&lt;ABS(W113),-W114,W113)</f>
        <v>0</v>
      </c>
      <c r="X115" s="632">
        <f t="shared" si="64"/>
        <v>0</v>
      </c>
      <c r="Y115" s="632">
        <f t="shared" si="64"/>
        <v>0</v>
      </c>
      <c r="Z115" s="632">
        <f>IF(ABS(Z114)&lt;ABS(Z113),-Z114,Z113)</f>
        <v>0</v>
      </c>
      <c r="AA115" s="632">
        <f>IF(ABS(AA114)&lt;ABS(AA113),-AA114,AA113)</f>
        <v>0</v>
      </c>
      <c r="AB115" s="632">
        <f>IF(ABS(AB114)&lt;ABS(AB113),-AB114,AB113)</f>
        <v>0</v>
      </c>
      <c r="AC115" s="504"/>
    </row>
    <row r="116" spans="1:29" ht="12.75" customHeight="1" outlineLevel="1">
      <c r="A116" s="627" t="s">
        <v>934</v>
      </c>
      <c r="B116" s="625"/>
      <c r="C116" s="625"/>
      <c r="D116" s="625"/>
      <c r="E116" s="625"/>
      <c r="F116" s="625"/>
      <c r="G116" s="625"/>
      <c r="H116" s="625"/>
      <c r="I116" s="625"/>
      <c r="J116" s="625"/>
      <c r="K116" s="625"/>
      <c r="L116" s="625"/>
      <c r="M116" s="628"/>
      <c r="N116" s="629">
        <f t="shared" ref="N116:Y116" si="65">N114+N115</f>
        <v>0</v>
      </c>
      <c r="O116" s="629">
        <f>O114+O115</f>
        <v>0</v>
      </c>
      <c r="P116" s="629">
        <f>P114+P115</f>
        <v>0</v>
      </c>
      <c r="Q116" s="630">
        <f t="shared" si="65"/>
        <v>0</v>
      </c>
      <c r="R116" s="630">
        <f t="shared" si="65"/>
        <v>0</v>
      </c>
      <c r="S116" s="630">
        <f t="shared" si="65"/>
        <v>0</v>
      </c>
      <c r="T116" s="630">
        <f t="shared" si="65"/>
        <v>0</v>
      </c>
      <c r="U116" s="630">
        <f t="shared" si="65"/>
        <v>0</v>
      </c>
      <c r="V116" s="630">
        <f t="shared" si="65"/>
        <v>0</v>
      </c>
      <c r="W116" s="630">
        <f>W114+W115</f>
        <v>0</v>
      </c>
      <c r="X116" s="630">
        <f t="shared" si="65"/>
        <v>0</v>
      </c>
      <c r="Y116" s="630">
        <f t="shared" si="65"/>
        <v>0</v>
      </c>
      <c r="Z116" s="630">
        <f>Z114+Z115</f>
        <v>0</v>
      </c>
      <c r="AA116" s="630">
        <f>AA114+AA115</f>
        <v>0</v>
      </c>
      <c r="AB116" s="630">
        <f>AB114+AB115</f>
        <v>0</v>
      </c>
      <c r="AC116" s="504"/>
    </row>
    <row r="117" spans="1:29" ht="12.75" customHeight="1" outlineLevel="1">
      <c r="A117" s="627"/>
      <c r="B117" s="625"/>
      <c r="C117" s="625"/>
      <c r="D117" s="625"/>
      <c r="E117" s="625"/>
      <c r="F117" s="625"/>
      <c r="G117" s="625"/>
      <c r="H117" s="625"/>
      <c r="I117" s="625"/>
      <c r="J117" s="625"/>
      <c r="K117" s="625"/>
      <c r="L117" s="625"/>
      <c r="M117" s="628"/>
      <c r="N117" s="629"/>
      <c r="O117" s="629"/>
      <c r="P117" s="629"/>
      <c r="Q117" s="630"/>
      <c r="R117" s="630"/>
      <c r="S117" s="630"/>
      <c r="T117" s="630"/>
      <c r="U117" s="630"/>
      <c r="V117" s="630"/>
      <c r="W117" s="630"/>
      <c r="X117" s="630"/>
      <c r="Y117" s="630"/>
      <c r="Z117" s="630"/>
      <c r="AA117" s="630"/>
      <c r="AB117" s="630"/>
    </row>
    <row r="118" spans="1:29" ht="12.75" customHeight="1" outlineLevel="1">
      <c r="A118" s="624" t="s">
        <v>89</v>
      </c>
      <c r="B118" s="625"/>
      <c r="C118" s="625"/>
      <c r="D118" s="625"/>
      <c r="E118" s="625"/>
      <c r="F118" s="625"/>
      <c r="G118" s="625"/>
      <c r="H118" s="625"/>
      <c r="I118" s="625"/>
      <c r="J118" s="625"/>
      <c r="K118" s="625"/>
      <c r="L118" s="625"/>
      <c r="M118" s="628"/>
      <c r="N118" s="628"/>
      <c r="O118" s="628"/>
      <c r="P118" s="628"/>
      <c r="Q118" s="633"/>
      <c r="R118" s="633"/>
      <c r="S118" s="633"/>
      <c r="T118" s="633"/>
      <c r="U118" s="633"/>
      <c r="V118" s="633"/>
      <c r="W118" s="633"/>
      <c r="X118" s="633"/>
      <c r="Y118" s="633"/>
      <c r="Z118" s="633"/>
      <c r="AA118" s="633"/>
      <c r="AB118" s="633"/>
    </row>
    <row r="119" spans="1:29" ht="12.75" customHeight="1" outlineLevel="1">
      <c r="A119" s="627" t="s">
        <v>935</v>
      </c>
      <c r="B119" s="625"/>
      <c r="C119" s="625"/>
      <c r="D119" s="625"/>
      <c r="E119" s="625"/>
      <c r="F119" s="625"/>
      <c r="G119" s="625"/>
      <c r="H119" s="625"/>
      <c r="I119" s="625"/>
      <c r="J119" s="625"/>
      <c r="K119" s="625"/>
      <c r="L119" s="625"/>
      <c r="M119" s="628"/>
      <c r="N119" s="628">
        <f t="shared" ref="N119:AB119" si="66">M121</f>
        <v>0</v>
      </c>
      <c r="O119" s="628">
        <f>N121</f>
        <v>0</v>
      </c>
      <c r="P119" s="628">
        <f>O121</f>
        <v>0</v>
      </c>
      <c r="Q119" s="633">
        <f t="shared" si="66"/>
        <v>0</v>
      </c>
      <c r="R119" s="633">
        <f t="shared" si="66"/>
        <v>0</v>
      </c>
      <c r="S119" s="633">
        <f t="shared" si="66"/>
        <v>0</v>
      </c>
      <c r="T119" s="633">
        <f t="shared" si="66"/>
        <v>0</v>
      </c>
      <c r="U119" s="633">
        <f t="shared" si="66"/>
        <v>0</v>
      </c>
      <c r="V119" s="633">
        <f t="shared" si="66"/>
        <v>0</v>
      </c>
      <c r="W119" s="633">
        <f t="shared" si="66"/>
        <v>0</v>
      </c>
      <c r="X119" s="633">
        <f t="shared" si="66"/>
        <v>0</v>
      </c>
      <c r="Y119" s="633">
        <f t="shared" si="66"/>
        <v>0</v>
      </c>
      <c r="Z119" s="633">
        <f t="shared" si="66"/>
        <v>0</v>
      </c>
      <c r="AA119" s="633">
        <f t="shared" si="66"/>
        <v>0</v>
      </c>
      <c r="AB119" s="633">
        <f t="shared" si="66"/>
        <v>0</v>
      </c>
    </row>
    <row r="120" spans="1:29" ht="12.75" customHeight="1" outlineLevel="1">
      <c r="A120" s="627" t="s">
        <v>936</v>
      </c>
      <c r="B120" s="625"/>
      <c r="C120" s="625"/>
      <c r="D120" s="625"/>
      <c r="E120" s="625"/>
      <c r="F120" s="625"/>
      <c r="G120" s="625"/>
      <c r="H120" s="625"/>
      <c r="I120" s="625"/>
      <c r="J120" s="625"/>
      <c r="K120" s="625"/>
      <c r="L120" s="625"/>
      <c r="M120" s="628"/>
      <c r="N120" s="631">
        <f t="shared" ref="N120:Y120" si="67">IF(ABS(N119)&gt;ABS($M$119/$M$23),-$M$119/$M$23,-N119)</f>
        <v>0</v>
      </c>
      <c r="O120" s="631">
        <f>IF(ABS(O119)&gt;ABS($M$119/$M$23),-$M$119/$M$23,-O119)</f>
        <v>0</v>
      </c>
      <c r="P120" s="631">
        <f>IF(ABS(P119)&gt;ABS($M$119/$M$23),-$M$119/$M$23,-P119)</f>
        <v>0</v>
      </c>
      <c r="Q120" s="632">
        <f t="shared" si="67"/>
        <v>0</v>
      </c>
      <c r="R120" s="632">
        <f t="shared" si="67"/>
        <v>0</v>
      </c>
      <c r="S120" s="632">
        <f t="shared" si="67"/>
        <v>0</v>
      </c>
      <c r="T120" s="632">
        <f t="shared" si="67"/>
        <v>0</v>
      </c>
      <c r="U120" s="632">
        <f t="shared" si="67"/>
        <v>0</v>
      </c>
      <c r="V120" s="632">
        <f t="shared" si="67"/>
        <v>0</v>
      </c>
      <c r="W120" s="632">
        <f>IF(ABS(W119)&gt;ABS($M$119/$M$23),-$M$119/$M$23,-W119)</f>
        <v>0</v>
      </c>
      <c r="X120" s="632">
        <f t="shared" si="67"/>
        <v>0</v>
      </c>
      <c r="Y120" s="632">
        <f t="shared" si="67"/>
        <v>0</v>
      </c>
      <c r="Z120" s="632">
        <f>IF(ABS(Z119)&gt;ABS($M$119/$M$23),-$M$119/$M$23,-Z119)</f>
        <v>0</v>
      </c>
      <c r="AA120" s="632">
        <f>IF(ABS(AA119)&gt;ABS($M$119/$M$23),-$M$119/$M$23,-AA119)</f>
        <v>0</v>
      </c>
      <c r="AB120" s="632">
        <f>IF(ABS(AB119)&gt;ABS($M$119/$M$23),-$M$119/$M$23,-AB119)</f>
        <v>0</v>
      </c>
    </row>
    <row r="121" spans="1:29" ht="12.75" customHeight="1" outlineLevel="1">
      <c r="A121" s="627" t="s">
        <v>937</v>
      </c>
      <c r="B121" s="625"/>
      <c r="C121" s="625"/>
      <c r="D121" s="625"/>
      <c r="E121" s="625"/>
      <c r="F121" s="625"/>
      <c r="G121" s="625"/>
      <c r="H121" s="625"/>
      <c r="I121" s="625"/>
      <c r="J121" s="625"/>
      <c r="K121" s="625"/>
      <c r="L121" s="625"/>
      <c r="M121" s="628"/>
      <c r="N121" s="628">
        <f t="shared" ref="N121:Y121" si="68">N119+N120</f>
        <v>0</v>
      </c>
      <c r="O121" s="628">
        <f>O119+O120</f>
        <v>0</v>
      </c>
      <c r="P121" s="628">
        <f>P119+P120</f>
        <v>0</v>
      </c>
      <c r="Q121" s="633">
        <f t="shared" si="68"/>
        <v>0</v>
      </c>
      <c r="R121" s="633">
        <f t="shared" si="68"/>
        <v>0</v>
      </c>
      <c r="S121" s="633">
        <f t="shared" si="68"/>
        <v>0</v>
      </c>
      <c r="T121" s="633">
        <f t="shared" si="68"/>
        <v>0</v>
      </c>
      <c r="U121" s="633">
        <f t="shared" si="68"/>
        <v>0</v>
      </c>
      <c r="V121" s="633">
        <f t="shared" si="68"/>
        <v>0</v>
      </c>
      <c r="W121" s="633">
        <f>W119+W120</f>
        <v>0</v>
      </c>
      <c r="X121" s="633">
        <f t="shared" si="68"/>
        <v>0</v>
      </c>
      <c r="Y121" s="633">
        <f t="shared" si="68"/>
        <v>0</v>
      </c>
      <c r="Z121" s="633">
        <f>Z119+Z120</f>
        <v>0</v>
      </c>
      <c r="AA121" s="633">
        <f>AA119+AA120</f>
        <v>0</v>
      </c>
      <c r="AB121" s="633">
        <f>AB119+AB120</f>
        <v>0</v>
      </c>
    </row>
    <row r="122" spans="1:29" ht="12.75" customHeight="1" outlineLevel="1">
      <c r="A122" s="627"/>
      <c r="B122" s="625"/>
      <c r="C122" s="625"/>
      <c r="D122" s="625"/>
      <c r="E122" s="625"/>
      <c r="F122" s="625"/>
      <c r="G122" s="625"/>
      <c r="H122" s="625"/>
      <c r="I122" s="625"/>
      <c r="J122" s="625"/>
      <c r="K122" s="625"/>
      <c r="L122" s="625"/>
      <c r="M122" s="628"/>
      <c r="N122" s="628"/>
      <c r="O122" s="628"/>
      <c r="P122" s="628"/>
      <c r="Q122" s="633"/>
      <c r="R122" s="633"/>
      <c r="S122" s="633"/>
      <c r="T122" s="633"/>
      <c r="U122" s="633"/>
      <c r="V122" s="633"/>
      <c r="W122" s="633"/>
      <c r="X122" s="633"/>
      <c r="Y122" s="633"/>
      <c r="Z122" s="633"/>
      <c r="AA122" s="633"/>
      <c r="AB122" s="633"/>
    </row>
    <row r="123" spans="1:29" ht="12.75" customHeight="1" outlineLevel="1">
      <c r="A123" s="627" t="s">
        <v>935</v>
      </c>
      <c r="B123" s="625"/>
      <c r="C123" s="625"/>
      <c r="D123" s="625"/>
      <c r="E123" s="625"/>
      <c r="F123" s="625"/>
      <c r="G123" s="625"/>
      <c r="H123" s="625"/>
      <c r="I123" s="625"/>
      <c r="J123" s="625"/>
      <c r="K123" s="625"/>
      <c r="L123" s="625"/>
      <c r="M123" s="628"/>
      <c r="N123" s="628">
        <f t="shared" ref="N123:AB123" si="69">M125</f>
        <v>0</v>
      </c>
      <c r="O123" s="628">
        <f>N125</f>
        <v>0</v>
      </c>
      <c r="P123" s="628">
        <f>O125</f>
        <v>0</v>
      </c>
      <c r="Q123" s="633">
        <f t="shared" si="69"/>
        <v>0</v>
      </c>
      <c r="R123" s="633">
        <f t="shared" si="69"/>
        <v>0</v>
      </c>
      <c r="S123" s="633">
        <f t="shared" si="69"/>
        <v>0</v>
      </c>
      <c r="T123" s="633">
        <f t="shared" si="69"/>
        <v>0</v>
      </c>
      <c r="U123" s="633">
        <f t="shared" si="69"/>
        <v>0</v>
      </c>
      <c r="V123" s="633">
        <f t="shared" si="69"/>
        <v>0</v>
      </c>
      <c r="W123" s="633">
        <f t="shared" si="69"/>
        <v>0</v>
      </c>
      <c r="X123" s="633">
        <f t="shared" si="69"/>
        <v>0</v>
      </c>
      <c r="Y123" s="633">
        <f t="shared" si="69"/>
        <v>0</v>
      </c>
      <c r="Z123" s="633">
        <f t="shared" si="69"/>
        <v>0</v>
      </c>
      <c r="AA123" s="633">
        <f t="shared" si="69"/>
        <v>0</v>
      </c>
      <c r="AB123" s="633">
        <f t="shared" si="69"/>
        <v>0</v>
      </c>
    </row>
    <row r="124" spans="1:29" ht="12.75" customHeight="1" outlineLevel="1">
      <c r="A124" s="627" t="s">
        <v>938</v>
      </c>
      <c r="B124" s="625"/>
      <c r="C124" s="625"/>
      <c r="D124" s="625"/>
      <c r="E124" s="625"/>
      <c r="F124" s="625"/>
      <c r="G124" s="625"/>
      <c r="H124" s="625"/>
      <c r="I124" s="625"/>
      <c r="J124" s="625"/>
      <c r="K124" s="625"/>
      <c r="L124" s="625"/>
      <c r="M124" s="628"/>
      <c r="N124" s="631">
        <f>IF(ABS(N123)&gt;ABS($M$123/$M$23),-$M$123/$M$23,-N123)</f>
        <v>0</v>
      </c>
      <c r="O124" s="631">
        <f>IF(ABS(O123)&gt;ABS($M$123/$M$23),-$M$123/$M$23,-O123)</f>
        <v>0</v>
      </c>
      <c r="P124" s="631">
        <v>0</v>
      </c>
      <c r="Q124" s="631">
        <v>0</v>
      </c>
      <c r="R124" s="631">
        <v>0</v>
      </c>
      <c r="S124" s="631">
        <v>0</v>
      </c>
      <c r="T124" s="631">
        <v>0</v>
      </c>
      <c r="U124" s="631">
        <v>0</v>
      </c>
      <c r="V124" s="631">
        <v>0</v>
      </c>
      <c r="W124" s="631">
        <v>0</v>
      </c>
      <c r="X124" s="631">
        <v>0</v>
      </c>
      <c r="Y124" s="631">
        <v>0</v>
      </c>
      <c r="Z124" s="631">
        <v>0</v>
      </c>
      <c r="AA124" s="631">
        <v>0</v>
      </c>
      <c r="AB124" s="631">
        <v>0</v>
      </c>
    </row>
    <row r="125" spans="1:29" ht="12.75" customHeight="1" outlineLevel="1">
      <c r="A125" s="627" t="s">
        <v>937</v>
      </c>
      <c r="B125" s="625"/>
      <c r="C125" s="625"/>
      <c r="D125" s="625"/>
      <c r="E125" s="625"/>
      <c r="F125" s="625"/>
      <c r="G125" s="625"/>
      <c r="H125" s="625"/>
      <c r="I125" s="625"/>
      <c r="J125" s="625"/>
      <c r="K125" s="625"/>
      <c r="L125" s="625"/>
      <c r="M125" s="628"/>
      <c r="N125" s="628">
        <f t="shared" ref="N125:Y125" si="70">N123+N124</f>
        <v>0</v>
      </c>
      <c r="O125" s="628">
        <f>O123+O124</f>
        <v>0</v>
      </c>
      <c r="P125" s="628">
        <f>P123+P124</f>
        <v>0</v>
      </c>
      <c r="Q125" s="633">
        <f t="shared" si="70"/>
        <v>0</v>
      </c>
      <c r="R125" s="633">
        <f t="shared" si="70"/>
        <v>0</v>
      </c>
      <c r="S125" s="633">
        <f t="shared" si="70"/>
        <v>0</v>
      </c>
      <c r="T125" s="633">
        <f t="shared" si="70"/>
        <v>0</v>
      </c>
      <c r="U125" s="633">
        <f t="shared" si="70"/>
        <v>0</v>
      </c>
      <c r="V125" s="633">
        <f t="shared" si="70"/>
        <v>0</v>
      </c>
      <c r="W125" s="633">
        <f>W123+W124</f>
        <v>0</v>
      </c>
      <c r="X125" s="633">
        <f t="shared" si="70"/>
        <v>0</v>
      </c>
      <c r="Y125" s="633">
        <f t="shared" si="70"/>
        <v>0</v>
      </c>
      <c r="Z125" s="633">
        <f>Z123+Z124</f>
        <v>0</v>
      </c>
      <c r="AA125" s="633">
        <f>AA123+AA124</f>
        <v>0</v>
      </c>
      <c r="AB125" s="633">
        <f>AB123+AB124</f>
        <v>0</v>
      </c>
    </row>
    <row r="126" spans="1:29" ht="12.75" customHeight="1" outlineLevel="1">
      <c r="A126" s="627"/>
      <c r="B126" s="625"/>
      <c r="C126" s="625"/>
      <c r="D126" s="625"/>
      <c r="E126" s="625"/>
      <c r="F126" s="625"/>
      <c r="G126" s="625"/>
      <c r="H126" s="625"/>
      <c r="I126" s="625"/>
      <c r="J126" s="625"/>
      <c r="K126" s="625"/>
      <c r="L126" s="625"/>
      <c r="M126" s="628"/>
      <c r="N126" s="628"/>
      <c r="O126" s="628"/>
      <c r="P126" s="628"/>
      <c r="Q126" s="633"/>
      <c r="R126" s="633"/>
      <c r="S126" s="633"/>
      <c r="T126" s="633"/>
      <c r="U126" s="633"/>
      <c r="V126" s="633"/>
      <c r="W126" s="633"/>
      <c r="X126" s="633"/>
      <c r="Y126" s="633"/>
      <c r="Z126" s="633"/>
      <c r="AA126" s="633"/>
      <c r="AB126" s="633"/>
    </row>
    <row r="127" spans="1:29" ht="12.75" customHeight="1" outlineLevel="1">
      <c r="A127" s="627" t="s">
        <v>935</v>
      </c>
      <c r="B127" s="625"/>
      <c r="C127" s="625"/>
      <c r="D127" s="625"/>
      <c r="E127" s="625"/>
      <c r="F127" s="625"/>
      <c r="G127" s="625"/>
      <c r="H127" s="625"/>
      <c r="I127" s="625"/>
      <c r="J127" s="625"/>
      <c r="K127" s="625"/>
      <c r="L127" s="625"/>
      <c r="M127" s="628"/>
      <c r="N127" s="628">
        <f>N57</f>
        <v>1623</v>
      </c>
      <c r="O127" s="628">
        <f>O57</f>
        <v>4</v>
      </c>
      <c r="P127" s="628">
        <f t="shared" ref="P127:AB127" si="71">O129</f>
        <v>0</v>
      </c>
      <c r="Q127" s="633">
        <f t="shared" si="71"/>
        <v>0</v>
      </c>
      <c r="R127" s="633">
        <f t="shared" si="71"/>
        <v>0</v>
      </c>
      <c r="S127" s="633">
        <f t="shared" si="71"/>
        <v>0</v>
      </c>
      <c r="T127" s="633">
        <f t="shared" si="71"/>
        <v>0</v>
      </c>
      <c r="U127" s="633">
        <f t="shared" si="71"/>
        <v>0</v>
      </c>
      <c r="V127" s="633">
        <f t="shared" si="71"/>
        <v>0</v>
      </c>
      <c r="W127" s="633">
        <f t="shared" si="71"/>
        <v>0</v>
      </c>
      <c r="X127" s="633">
        <f t="shared" si="71"/>
        <v>0</v>
      </c>
      <c r="Y127" s="633">
        <f t="shared" si="71"/>
        <v>0</v>
      </c>
      <c r="Z127" s="633">
        <f t="shared" si="71"/>
        <v>0</v>
      </c>
      <c r="AA127" s="633">
        <f t="shared" si="71"/>
        <v>0</v>
      </c>
      <c r="AB127" s="633">
        <f t="shared" si="71"/>
        <v>0</v>
      </c>
    </row>
    <row r="128" spans="1:29" ht="12.75" customHeight="1" outlineLevel="1">
      <c r="A128" s="627" t="s">
        <v>939</v>
      </c>
      <c r="B128" s="625"/>
      <c r="C128" s="625"/>
      <c r="D128" s="625"/>
      <c r="E128" s="625"/>
      <c r="F128" s="625"/>
      <c r="G128" s="625"/>
      <c r="H128" s="625"/>
      <c r="I128" s="625"/>
      <c r="J128" s="625"/>
      <c r="K128" s="625"/>
      <c r="L128" s="625"/>
      <c r="M128" s="628"/>
      <c r="N128" s="631">
        <f t="shared" ref="N128:Y128" si="72">IF(ABS(N127)&gt;ABS($N$127/$N$23),-$N$127/$N$23,-N127)</f>
        <v>-108.2</v>
      </c>
      <c r="O128" s="631">
        <f>IF(ABS(O127)&gt;ABS($N$127/$N$23),-$N$127/$N$23,-O127)</f>
        <v>-4</v>
      </c>
      <c r="P128" s="631">
        <f>IF(ABS(P127)&gt;ABS($N$127/$N$23),-$N$127/$N$23,-P127)</f>
        <v>0</v>
      </c>
      <c r="Q128" s="632">
        <f t="shared" si="72"/>
        <v>0</v>
      </c>
      <c r="R128" s="632">
        <f t="shared" si="72"/>
        <v>0</v>
      </c>
      <c r="S128" s="632">
        <f t="shared" si="72"/>
        <v>0</v>
      </c>
      <c r="T128" s="632">
        <f t="shared" si="72"/>
        <v>0</v>
      </c>
      <c r="U128" s="632">
        <f t="shared" si="72"/>
        <v>0</v>
      </c>
      <c r="V128" s="632">
        <f t="shared" si="72"/>
        <v>0</v>
      </c>
      <c r="W128" s="632">
        <f>IF(ABS(W127)&gt;ABS($N$127/$N$23),-$N$127/$N$23,-W127)</f>
        <v>0</v>
      </c>
      <c r="X128" s="632">
        <f t="shared" si="72"/>
        <v>0</v>
      </c>
      <c r="Y128" s="632">
        <f t="shared" si="72"/>
        <v>0</v>
      </c>
      <c r="Z128" s="632">
        <f>IF(ABS(Z127)&gt;ABS($N$127/$N$23),-$N$127/$N$23,-Z127)</f>
        <v>0</v>
      </c>
      <c r="AA128" s="632">
        <f>IF(ABS(AA127)&gt;ABS($N$127/$N$23),-$N$127/$N$23,-AA127)</f>
        <v>0</v>
      </c>
      <c r="AB128" s="632">
        <f>IF(ABS(AB127)&gt;ABS($N$127/$N$23),-$N$127/$N$23,-AB127)</f>
        <v>0</v>
      </c>
    </row>
    <row r="129" spans="1:29" ht="12.75" customHeight="1" outlineLevel="1">
      <c r="A129" s="627" t="s">
        <v>937</v>
      </c>
      <c r="B129" s="625"/>
      <c r="C129" s="625"/>
      <c r="D129" s="625"/>
      <c r="E129" s="625"/>
      <c r="F129" s="625"/>
      <c r="G129" s="625"/>
      <c r="H129" s="625"/>
      <c r="I129" s="625"/>
      <c r="J129" s="625"/>
      <c r="K129" s="625"/>
      <c r="L129" s="625"/>
      <c r="M129" s="628"/>
      <c r="N129" s="628">
        <f t="shared" ref="N129:Y129" si="73">N127+N128</f>
        <v>1514.8</v>
      </c>
      <c r="O129" s="628">
        <f>O127+O128</f>
        <v>0</v>
      </c>
      <c r="P129" s="628">
        <f>P127+P128</f>
        <v>0</v>
      </c>
      <c r="Q129" s="633">
        <f t="shared" si="73"/>
        <v>0</v>
      </c>
      <c r="R129" s="633">
        <f t="shared" si="73"/>
        <v>0</v>
      </c>
      <c r="S129" s="633">
        <f t="shared" si="73"/>
        <v>0</v>
      </c>
      <c r="T129" s="633">
        <f t="shared" si="73"/>
        <v>0</v>
      </c>
      <c r="U129" s="633">
        <f t="shared" si="73"/>
        <v>0</v>
      </c>
      <c r="V129" s="633">
        <f t="shared" si="73"/>
        <v>0</v>
      </c>
      <c r="W129" s="633">
        <f>W127+W128</f>
        <v>0</v>
      </c>
      <c r="X129" s="633">
        <f t="shared" si="73"/>
        <v>0</v>
      </c>
      <c r="Y129" s="633">
        <f t="shared" si="73"/>
        <v>0</v>
      </c>
      <c r="Z129" s="633">
        <f>Z127+Z128</f>
        <v>0</v>
      </c>
      <c r="AA129" s="633">
        <f>AA127+AA128</f>
        <v>0</v>
      </c>
      <c r="AB129" s="633">
        <f>AB127+AB128</f>
        <v>0</v>
      </c>
    </row>
    <row r="130" spans="1:29" ht="12.75" customHeight="1" outlineLevel="1">
      <c r="A130" s="627"/>
      <c r="B130" s="625"/>
      <c r="C130" s="625"/>
      <c r="D130" s="625"/>
      <c r="E130" s="625"/>
      <c r="F130" s="625"/>
      <c r="G130" s="625"/>
      <c r="H130" s="625"/>
      <c r="I130" s="625"/>
      <c r="J130" s="625"/>
      <c r="K130" s="625"/>
      <c r="L130" s="625"/>
      <c r="M130" s="628"/>
      <c r="N130" s="628"/>
      <c r="O130" s="628"/>
      <c r="P130" s="628"/>
      <c r="Q130" s="633"/>
      <c r="R130" s="633"/>
      <c r="S130" s="633"/>
      <c r="T130" s="633"/>
      <c r="U130" s="633"/>
      <c r="V130" s="633"/>
      <c r="W130" s="633"/>
      <c r="X130" s="633"/>
      <c r="Y130" s="633"/>
      <c r="Z130" s="633"/>
      <c r="AA130" s="633"/>
      <c r="AB130" s="633"/>
    </row>
    <row r="131" spans="1:29" ht="12.75" customHeight="1" outlineLevel="1">
      <c r="A131" s="627" t="s">
        <v>935</v>
      </c>
      <c r="B131" s="625"/>
      <c r="C131" s="625"/>
      <c r="D131" s="625"/>
      <c r="E131" s="625"/>
      <c r="F131" s="625"/>
      <c r="G131" s="625"/>
      <c r="H131" s="625"/>
      <c r="I131" s="625"/>
      <c r="J131" s="625"/>
      <c r="K131" s="625"/>
      <c r="L131" s="625"/>
      <c r="M131" s="628"/>
      <c r="N131" s="628"/>
      <c r="O131" s="628"/>
      <c r="P131" s="628">
        <f>P57</f>
        <v>0</v>
      </c>
      <c r="Q131" s="633">
        <f t="shared" ref="Q131:AB131" si="74">P133</f>
        <v>0</v>
      </c>
      <c r="R131" s="633">
        <f t="shared" si="74"/>
        <v>0</v>
      </c>
      <c r="S131" s="633">
        <f t="shared" si="74"/>
        <v>0</v>
      </c>
      <c r="T131" s="633">
        <f t="shared" si="74"/>
        <v>0</v>
      </c>
      <c r="U131" s="633">
        <f t="shared" si="74"/>
        <v>0</v>
      </c>
      <c r="V131" s="633">
        <f t="shared" si="74"/>
        <v>0</v>
      </c>
      <c r="W131" s="633">
        <f t="shared" si="74"/>
        <v>0</v>
      </c>
      <c r="X131" s="633">
        <f t="shared" si="74"/>
        <v>0</v>
      </c>
      <c r="Y131" s="633">
        <f t="shared" si="74"/>
        <v>0</v>
      </c>
      <c r="Z131" s="633">
        <f t="shared" si="74"/>
        <v>0</v>
      </c>
      <c r="AA131" s="633">
        <f t="shared" si="74"/>
        <v>0</v>
      </c>
      <c r="AB131" s="633">
        <f t="shared" si="74"/>
        <v>0</v>
      </c>
    </row>
    <row r="132" spans="1:29" ht="12.75" customHeight="1" outlineLevel="1">
      <c r="A132" s="627" t="s">
        <v>940</v>
      </c>
      <c r="B132" s="625"/>
      <c r="C132" s="625"/>
      <c r="D132" s="625"/>
      <c r="E132" s="625"/>
      <c r="F132" s="625"/>
      <c r="G132" s="625"/>
      <c r="H132" s="625"/>
      <c r="I132" s="625"/>
      <c r="J132" s="625"/>
      <c r="K132" s="625"/>
      <c r="L132" s="625"/>
      <c r="M132" s="628"/>
      <c r="N132" s="628"/>
      <c r="O132" s="628"/>
      <c r="P132" s="631">
        <f t="shared" ref="P132:X132" si="75">IF(ABS(P131)&gt;ABS($O$131/$O$23),-$O$131/$O$23,-P131)</f>
        <v>0</v>
      </c>
      <c r="Q132" s="632">
        <f t="shared" si="75"/>
        <v>0</v>
      </c>
      <c r="R132" s="632">
        <f t="shared" si="75"/>
        <v>0</v>
      </c>
      <c r="S132" s="632">
        <f t="shared" si="75"/>
        <v>0</v>
      </c>
      <c r="T132" s="632">
        <f t="shared" si="75"/>
        <v>0</v>
      </c>
      <c r="U132" s="632">
        <f t="shared" si="75"/>
        <v>0</v>
      </c>
      <c r="V132" s="632">
        <f t="shared" si="75"/>
        <v>0</v>
      </c>
      <c r="W132" s="632">
        <f>IF(ABS(W131)&gt;ABS($O$131/$O$23),-$O$131/$O$23,-W131)</f>
        <v>0</v>
      </c>
      <c r="X132" s="632">
        <f t="shared" si="75"/>
        <v>0</v>
      </c>
      <c r="Y132" s="632">
        <f>IF(ABS(Y131)&gt;ABS($O$131/$O$23),-$O$131/$O$23,-Y131)</f>
        <v>0</v>
      </c>
      <c r="Z132" s="632">
        <f>IF(ABS(Z131)&gt;ABS($O$131/$O$23),-$O$131/$O$23,-Z131)</f>
        <v>0</v>
      </c>
      <c r="AA132" s="632">
        <f>IF(ABS(AA131)&gt;ABS($O$131/$O$23),-$O$131/$O$23,-AA131)</f>
        <v>0</v>
      </c>
      <c r="AB132" s="632">
        <f>IF(ABS(AB131)&gt;ABS($O$131/$O$23),-$O$131/$O$23,-AB131)</f>
        <v>0</v>
      </c>
    </row>
    <row r="133" spans="1:29" ht="12.75" customHeight="1" outlineLevel="1">
      <c r="A133" s="627" t="s">
        <v>937</v>
      </c>
      <c r="B133" s="625"/>
      <c r="C133" s="625"/>
      <c r="D133" s="625"/>
      <c r="E133" s="625"/>
      <c r="F133" s="625"/>
      <c r="G133" s="625"/>
      <c r="H133" s="625"/>
      <c r="I133" s="625"/>
      <c r="J133" s="625"/>
      <c r="K133" s="625"/>
      <c r="L133" s="625"/>
      <c r="M133" s="628"/>
      <c r="N133" s="628"/>
      <c r="O133" s="628"/>
      <c r="P133" s="628">
        <f t="shared" ref="P133:X133" si="76">P131+P132</f>
        <v>0</v>
      </c>
      <c r="Q133" s="633">
        <f t="shared" si="76"/>
        <v>0</v>
      </c>
      <c r="R133" s="633">
        <f t="shared" si="76"/>
        <v>0</v>
      </c>
      <c r="S133" s="633">
        <f t="shared" si="76"/>
        <v>0</v>
      </c>
      <c r="T133" s="633">
        <f t="shared" si="76"/>
        <v>0</v>
      </c>
      <c r="U133" s="633">
        <f t="shared" si="76"/>
        <v>0</v>
      </c>
      <c r="V133" s="633">
        <f t="shared" si="76"/>
        <v>0</v>
      </c>
      <c r="W133" s="633">
        <f>W131+W132</f>
        <v>0</v>
      </c>
      <c r="X133" s="633">
        <f t="shared" si="76"/>
        <v>0</v>
      </c>
      <c r="Y133" s="633">
        <f>Y131+Y132</f>
        <v>0</v>
      </c>
      <c r="Z133" s="633">
        <f>Z131+Z132</f>
        <v>0</v>
      </c>
      <c r="AA133" s="633">
        <f>AA131+AA132</f>
        <v>0</v>
      </c>
      <c r="AB133" s="633">
        <f>AB131+AB132</f>
        <v>0</v>
      </c>
    </row>
    <row r="134" spans="1:29" ht="12.75" customHeight="1" outlineLevel="1">
      <c r="A134" s="627"/>
      <c r="B134" s="625"/>
      <c r="C134" s="625"/>
      <c r="D134" s="625"/>
      <c r="E134" s="625"/>
      <c r="F134" s="625"/>
      <c r="G134" s="625"/>
      <c r="H134" s="625"/>
      <c r="I134" s="625"/>
      <c r="J134" s="625"/>
      <c r="K134" s="625"/>
      <c r="L134" s="625"/>
      <c r="M134" s="625"/>
      <c r="N134" s="628"/>
      <c r="O134" s="628"/>
      <c r="P134" s="628"/>
      <c r="Q134" s="633"/>
      <c r="R134" s="633"/>
      <c r="S134" s="633"/>
      <c r="T134" s="633"/>
      <c r="U134" s="633"/>
      <c r="V134" s="633"/>
      <c r="W134" s="633"/>
      <c r="X134" s="633"/>
      <c r="Y134" s="633"/>
      <c r="Z134" s="633"/>
      <c r="AA134" s="633"/>
      <c r="AB134" s="633"/>
    </row>
    <row r="135" spans="1:29" ht="12.75" customHeight="1" outlineLevel="1">
      <c r="A135" s="627" t="s">
        <v>935</v>
      </c>
      <c r="B135" s="625"/>
      <c r="C135" s="625"/>
      <c r="D135" s="625"/>
      <c r="E135" s="625"/>
      <c r="F135" s="625"/>
      <c r="G135" s="625"/>
      <c r="H135" s="625"/>
      <c r="I135" s="625"/>
      <c r="J135" s="625"/>
      <c r="K135" s="625"/>
      <c r="L135" s="625"/>
      <c r="M135" s="625"/>
      <c r="N135" s="628"/>
      <c r="O135" s="628"/>
      <c r="P135" s="628"/>
      <c r="Q135" s="633">
        <f t="shared" ref="Q135:V135" si="77">Q57</f>
        <v>0</v>
      </c>
      <c r="R135" s="633">
        <f t="shared" si="77"/>
        <v>0</v>
      </c>
      <c r="S135" s="633">
        <f t="shared" si="77"/>
        <v>0</v>
      </c>
      <c r="T135" s="633">
        <f t="shared" si="77"/>
        <v>0</v>
      </c>
      <c r="U135" s="633">
        <f t="shared" si="77"/>
        <v>0</v>
      </c>
      <c r="V135" s="633">
        <f t="shared" si="77"/>
        <v>0</v>
      </c>
      <c r="W135" s="633">
        <f t="shared" ref="W135:AB135" si="78">W57</f>
        <v>0</v>
      </c>
      <c r="X135" s="633">
        <f t="shared" si="78"/>
        <v>0</v>
      </c>
      <c r="Y135" s="633">
        <f t="shared" si="78"/>
        <v>0</v>
      </c>
      <c r="Z135" s="633">
        <f t="shared" si="78"/>
        <v>0</v>
      </c>
      <c r="AA135" s="633">
        <f t="shared" si="78"/>
        <v>0</v>
      </c>
      <c r="AB135" s="633">
        <f t="shared" si="78"/>
        <v>0</v>
      </c>
    </row>
    <row r="136" spans="1:29" ht="12.75" customHeight="1" outlineLevel="1">
      <c r="A136" s="627" t="s">
        <v>941</v>
      </c>
      <c r="B136" s="625"/>
      <c r="C136" s="625"/>
      <c r="D136" s="625"/>
      <c r="E136" s="625"/>
      <c r="F136" s="625"/>
      <c r="G136" s="625"/>
      <c r="H136" s="625"/>
      <c r="I136" s="625"/>
      <c r="J136" s="625"/>
      <c r="K136" s="625"/>
      <c r="L136" s="625"/>
      <c r="M136" s="625"/>
      <c r="N136" s="628"/>
      <c r="O136" s="628"/>
      <c r="P136" s="628"/>
      <c r="Q136" s="632">
        <f t="shared" ref="Q136:X136" si="79">IF(ABS(Q135)&gt;ABS($P$135/$P$23),-$P$135/$P$23,-Q135)</f>
        <v>0</v>
      </c>
      <c r="R136" s="632">
        <f t="shared" si="79"/>
        <v>0</v>
      </c>
      <c r="S136" s="632">
        <f t="shared" si="79"/>
        <v>0</v>
      </c>
      <c r="T136" s="632">
        <f t="shared" si="79"/>
        <v>0</v>
      </c>
      <c r="U136" s="632">
        <f t="shared" si="79"/>
        <v>0</v>
      </c>
      <c r="V136" s="632">
        <f t="shared" si="79"/>
        <v>0</v>
      </c>
      <c r="W136" s="632">
        <f>IF(ABS(W135)&gt;ABS($P$135/$P$23),-$P$135/$P$23,-W135)</f>
        <v>0</v>
      </c>
      <c r="X136" s="632">
        <f t="shared" si="79"/>
        <v>0</v>
      </c>
      <c r="Y136" s="632">
        <f>IF(ABS(Y135)&gt;ABS($P$135/$P$23),-$P$135/$P$23,-Y135)</f>
        <v>0</v>
      </c>
      <c r="Z136" s="632">
        <f>IF(ABS(Z135)&gt;ABS($P$135/$P$23),-$P$135/$P$23,-Z135)</f>
        <v>0</v>
      </c>
      <c r="AA136" s="632">
        <f>IF(ABS(AA135)&gt;ABS($P$135/$P$23),-$P$135/$P$23,-AA135)</f>
        <v>0</v>
      </c>
      <c r="AB136" s="632">
        <f>IF(ABS(AB135)&gt;ABS($P$135/$P$23),-$P$135/$P$23,-AB135)</f>
        <v>0</v>
      </c>
    </row>
    <row r="137" spans="1:29" ht="12.75" customHeight="1" outlineLevel="1">
      <c r="A137" s="634" t="s">
        <v>937</v>
      </c>
      <c r="B137" s="635"/>
      <c r="C137" s="635"/>
      <c r="D137" s="635"/>
      <c r="E137" s="635"/>
      <c r="F137" s="635"/>
      <c r="G137" s="635"/>
      <c r="H137" s="635"/>
      <c r="I137" s="635"/>
      <c r="J137" s="635"/>
      <c r="K137" s="635"/>
      <c r="L137" s="635"/>
      <c r="M137" s="635"/>
      <c r="N137" s="636"/>
      <c r="O137" s="636"/>
      <c r="P137" s="636"/>
      <c r="Q137" s="637">
        <f t="shared" ref="Q137:X137" si="80">Q135+Q136</f>
        <v>0</v>
      </c>
      <c r="R137" s="637">
        <f t="shared" si="80"/>
        <v>0</v>
      </c>
      <c r="S137" s="637">
        <f t="shared" si="80"/>
        <v>0</v>
      </c>
      <c r="T137" s="637">
        <f t="shared" si="80"/>
        <v>0</v>
      </c>
      <c r="U137" s="637">
        <f t="shared" si="80"/>
        <v>0</v>
      </c>
      <c r="V137" s="637">
        <f t="shared" si="80"/>
        <v>0</v>
      </c>
      <c r="W137" s="637">
        <f>W135+W136</f>
        <v>0</v>
      </c>
      <c r="X137" s="637">
        <f t="shared" si="80"/>
        <v>0</v>
      </c>
      <c r="Y137" s="637">
        <f>Y135+Y136</f>
        <v>0</v>
      </c>
      <c r="Z137" s="637">
        <f>Z135+Z136</f>
        <v>0</v>
      </c>
      <c r="AA137" s="637">
        <f>AA135+AA136</f>
        <v>0</v>
      </c>
      <c r="AB137" s="637">
        <f>AB135+AB136</f>
        <v>0</v>
      </c>
    </row>
    <row r="138" spans="1:29">
      <c r="N138" s="638"/>
      <c r="O138" s="638"/>
      <c r="P138" s="638"/>
      <c r="Q138" s="638"/>
      <c r="R138" s="638"/>
      <c r="S138" s="638"/>
      <c r="T138" s="638"/>
      <c r="U138" s="638"/>
      <c r="V138" s="638"/>
      <c r="W138" s="638"/>
      <c r="X138" s="638"/>
      <c r="Y138" s="638"/>
      <c r="Z138" s="638"/>
      <c r="AA138" s="638"/>
      <c r="AB138" s="638"/>
    </row>
    <row r="139" spans="1:29">
      <c r="W139" s="503"/>
    </row>
    <row r="140" spans="1:29">
      <c r="A140" s="639" t="s">
        <v>942</v>
      </c>
      <c r="B140" s="640"/>
      <c r="C140" s="640"/>
      <c r="D140" s="640"/>
      <c r="E140" s="640"/>
      <c r="F140" s="640"/>
      <c r="G140" s="640"/>
      <c r="H140" s="640"/>
      <c r="I140" s="640"/>
      <c r="J140" s="640"/>
      <c r="K140" s="640"/>
      <c r="L140" s="640"/>
      <c r="M140" s="640"/>
      <c r="N140" s="640"/>
      <c r="O140" s="640"/>
      <c r="P140" s="640"/>
      <c r="Q140" s="640"/>
      <c r="R140" s="640"/>
      <c r="S140" s="640"/>
      <c r="T140" s="640"/>
      <c r="U140" s="640"/>
      <c r="V140" s="640"/>
      <c r="W140" s="640"/>
      <c r="X140" s="640"/>
      <c r="Y140" s="640"/>
      <c r="Z140" s="640"/>
      <c r="AA140" s="640"/>
      <c r="AB140" s="640"/>
      <c r="AC140" s="504"/>
    </row>
    <row r="141" spans="1:29" outlineLevel="1">
      <c r="A141" s="641" t="s">
        <v>943</v>
      </c>
      <c r="B141" s="576">
        <f t="shared" ref="B141:Y141" si="81">B52</f>
        <v>-1776</v>
      </c>
      <c r="C141" s="576">
        <f t="shared" si="81"/>
        <v>4456</v>
      </c>
      <c r="D141" s="576">
        <f t="shared" si="81"/>
        <v>4760</v>
      </c>
      <c r="E141" s="576">
        <f t="shared" si="81"/>
        <v>5587</v>
      </c>
      <c r="F141" s="576">
        <f t="shared" si="81"/>
        <v>8999</v>
      </c>
      <c r="G141" s="576">
        <f t="shared" si="81"/>
        <v>6548</v>
      </c>
      <c r="H141" s="576">
        <f t="shared" si="81"/>
        <v>596</v>
      </c>
      <c r="I141" s="576">
        <f t="shared" si="81"/>
        <v>-7276</v>
      </c>
      <c r="J141" s="576">
        <f t="shared" si="81"/>
        <v>-3447</v>
      </c>
      <c r="K141" s="576">
        <f t="shared" si="81"/>
        <v>-3449</v>
      </c>
      <c r="L141" s="576">
        <f t="shared" si="81"/>
        <v>-1741</v>
      </c>
      <c r="M141" s="576">
        <f t="shared" si="81"/>
        <v>-560</v>
      </c>
      <c r="N141" s="576">
        <f t="shared" si="81"/>
        <v>1266</v>
      </c>
      <c r="O141" s="576">
        <f>O52</f>
        <v>-5672</v>
      </c>
      <c r="P141" s="576">
        <f>P52</f>
        <v>-6181</v>
      </c>
      <c r="Q141" s="576">
        <f t="shared" si="81"/>
        <v>-6687</v>
      </c>
      <c r="R141" s="576">
        <f t="shared" si="81"/>
        <v>-9402</v>
      </c>
      <c r="S141" s="576">
        <f t="shared" si="81"/>
        <v>-9730</v>
      </c>
      <c r="T141" s="576">
        <f t="shared" si="81"/>
        <v>-1965</v>
      </c>
      <c r="U141" s="576">
        <f t="shared" si="81"/>
        <v>-2259</v>
      </c>
      <c r="V141" s="576">
        <f t="shared" si="81"/>
        <v>-3684</v>
      </c>
      <c r="W141" s="576">
        <f t="shared" si="81"/>
        <v>-3807</v>
      </c>
      <c r="X141" s="576">
        <f t="shared" si="81"/>
        <v>-2229.216800000002</v>
      </c>
      <c r="Y141" s="576">
        <f t="shared" si="81"/>
        <v>-340.27097720000165</v>
      </c>
      <c r="Z141" s="576">
        <f>Z52</f>
        <v>1523.0245516610012</v>
      </c>
      <c r="AA141" s="576">
        <f>AA52</f>
        <v>2904.4437359366711</v>
      </c>
      <c r="AB141" s="576">
        <f>AB52</f>
        <v>3860.5244446127108</v>
      </c>
      <c r="AC141" s="504"/>
    </row>
    <row r="142" spans="1:29" outlineLevel="1">
      <c r="A142" s="641" t="s">
        <v>944</v>
      </c>
      <c r="B142" s="642"/>
      <c r="C142" s="642"/>
      <c r="D142" s="642"/>
      <c r="E142" s="642"/>
      <c r="F142" s="642"/>
      <c r="G142" s="642"/>
      <c r="H142" s="642"/>
      <c r="I142" s="642">
        <f t="shared" ref="I142:Y142" si="82">I50/-I38</f>
        <v>0.80416117137243293</v>
      </c>
      <c r="J142" s="642">
        <f t="shared" si="82"/>
        <v>0.91481106195783801</v>
      </c>
      <c r="K142" s="642">
        <f t="shared" si="82"/>
        <v>0.9199340715463008</v>
      </c>
      <c r="L142" s="642">
        <f t="shared" si="82"/>
        <v>0.96006697554933718</v>
      </c>
      <c r="M142" s="642">
        <f t="shared" si="82"/>
        <v>0.98763469351704647</v>
      </c>
      <c r="N142" s="642">
        <f t="shared" si="82"/>
        <v>1.0284539140988469</v>
      </c>
      <c r="O142" s="642">
        <f>O50/-O38</f>
        <v>0.86825540612733143</v>
      </c>
      <c r="P142" s="642">
        <f>P50/-P38</f>
        <v>0.861530534522156</v>
      </c>
      <c r="Q142" s="642">
        <f t="shared" si="82"/>
        <v>0.85664672969322786</v>
      </c>
      <c r="R142" s="642">
        <f t="shared" si="82"/>
        <v>0.80739921337266474</v>
      </c>
      <c r="S142" s="642">
        <f t="shared" si="82"/>
        <v>0.81333333333333335</v>
      </c>
      <c r="T142" s="642">
        <f t="shared" si="82"/>
        <v>0.95449492844240658</v>
      </c>
      <c r="U142" s="642">
        <f t="shared" si="82"/>
        <v>0.95204127125660787</v>
      </c>
      <c r="V142" s="642">
        <f t="shared" si="82"/>
        <v>0.91801673491187463</v>
      </c>
      <c r="W142" s="642">
        <f t="shared" si="82"/>
        <v>0.91677960914615486</v>
      </c>
      <c r="X142" s="642">
        <f t="shared" si="82"/>
        <v>0.95130018035444242</v>
      </c>
      <c r="Y142" s="642">
        <f t="shared" si="82"/>
        <v>0.99238981952527372</v>
      </c>
      <c r="Z142" s="642">
        <f>Z50/-Z38</f>
        <v>1.0352240245189566</v>
      </c>
      <c r="AA142" s="642">
        <f>AA50/-AA38</f>
        <v>1.0687037281054488</v>
      </c>
      <c r="AB142" s="642">
        <f>AB50/-AB38</f>
        <v>1.0924271872874016</v>
      </c>
      <c r="AC142" s="504"/>
    </row>
    <row r="143" spans="1:29" outlineLevel="1">
      <c r="A143" s="641"/>
      <c r="B143" s="516"/>
      <c r="C143" s="516"/>
      <c r="D143" s="516"/>
      <c r="E143" s="516"/>
      <c r="F143" s="516"/>
      <c r="G143" s="516"/>
      <c r="H143" s="516"/>
      <c r="I143" s="516"/>
      <c r="J143" s="516"/>
      <c r="K143" s="516"/>
      <c r="L143" s="516"/>
      <c r="M143" s="516"/>
      <c r="N143" s="516"/>
      <c r="O143" s="516"/>
      <c r="P143" s="516"/>
      <c r="Q143" s="516"/>
      <c r="R143" s="516"/>
      <c r="S143" s="516"/>
      <c r="T143" s="516"/>
      <c r="U143" s="516"/>
      <c r="V143" s="516"/>
      <c r="W143" s="516"/>
      <c r="X143" s="516"/>
      <c r="Y143" s="516"/>
      <c r="Z143" s="516"/>
      <c r="AA143" s="516"/>
      <c r="AB143" s="516"/>
      <c r="AC143" s="504"/>
    </row>
    <row r="144" spans="1:29" outlineLevel="1">
      <c r="A144" s="643" t="s">
        <v>945</v>
      </c>
      <c r="B144" s="516"/>
      <c r="C144" s="516"/>
      <c r="D144" s="516"/>
      <c r="E144" s="516"/>
      <c r="F144" s="516"/>
      <c r="G144" s="516"/>
      <c r="H144" s="516"/>
      <c r="I144" s="516"/>
      <c r="J144" s="516"/>
      <c r="K144" s="516"/>
      <c r="L144" s="516"/>
      <c r="M144" s="556"/>
      <c r="N144" s="556">
        <f t="shared" ref="N144:AB144" si="83">IF(M142&gt;65%,IF(M142&gt;72%,IF(M142&gt;80%,IF(M142&gt;90%,0,IF(AVERAGE(L142:M142)&gt;90%,0,22%)),22%),25%),30%)</f>
        <v>0</v>
      </c>
      <c r="O144" s="556">
        <f>IF(N142&gt;65%,IF(N142&gt;72%,IF(N142&gt;80%,IF(N142&gt;90%,0,IF(AVERAGE(M142:N142)&gt;90%,0,22%)),22%),25%),30%)</f>
        <v>0</v>
      </c>
      <c r="P144" s="556">
        <f>IF(O142&gt;65%,IF(O142&gt;72%,IF(O142&gt;80%,IF(O142&gt;90%,0,IF(AVERAGE(N142:O142)&gt;90%,0,22%)),22%),25%),30%)</f>
        <v>0</v>
      </c>
      <c r="Q144" s="556">
        <f t="shared" si="83"/>
        <v>0.22</v>
      </c>
      <c r="R144" s="556">
        <f t="shared" si="83"/>
        <v>0.22</v>
      </c>
      <c r="S144" s="556">
        <f t="shared" si="83"/>
        <v>0.22</v>
      </c>
      <c r="T144" s="556">
        <f t="shared" si="83"/>
        <v>0.22</v>
      </c>
      <c r="U144" s="556">
        <f t="shared" si="83"/>
        <v>0</v>
      </c>
      <c r="V144" s="556">
        <f t="shared" si="83"/>
        <v>0</v>
      </c>
      <c r="W144" s="556">
        <f t="shared" si="83"/>
        <v>0</v>
      </c>
      <c r="X144" s="556">
        <f t="shared" si="83"/>
        <v>0</v>
      </c>
      <c r="Y144" s="556">
        <f t="shared" si="83"/>
        <v>0</v>
      </c>
      <c r="Z144" s="556">
        <f t="shared" si="83"/>
        <v>0</v>
      </c>
      <c r="AA144" s="556">
        <f t="shared" si="83"/>
        <v>0</v>
      </c>
      <c r="AB144" s="556">
        <f t="shared" si="83"/>
        <v>0</v>
      </c>
      <c r="AC144" s="504"/>
    </row>
    <row r="145" spans="1:29" outlineLevel="1">
      <c r="A145" s="641" t="s">
        <v>946</v>
      </c>
      <c r="B145" s="516"/>
      <c r="C145" s="516"/>
      <c r="D145" s="516"/>
      <c r="E145" s="516"/>
      <c r="F145" s="516"/>
      <c r="G145" s="516"/>
      <c r="H145" s="516"/>
      <c r="I145" s="516"/>
      <c r="J145" s="516"/>
      <c r="K145" s="516"/>
      <c r="L145" s="516"/>
      <c r="M145" s="576"/>
      <c r="N145" s="576">
        <f t="shared" ref="N145:AB145" si="84">N144*-M141</f>
        <v>0</v>
      </c>
      <c r="O145" s="576">
        <f>O144*-N141</f>
        <v>0</v>
      </c>
      <c r="P145" s="576">
        <f>P144*-O141</f>
        <v>0</v>
      </c>
      <c r="Q145" s="576">
        <f t="shared" si="84"/>
        <v>1359.82</v>
      </c>
      <c r="R145" s="576">
        <f t="shared" si="84"/>
        <v>1471.14</v>
      </c>
      <c r="S145" s="576">
        <f t="shared" si="84"/>
        <v>2068.44</v>
      </c>
      <c r="T145" s="576">
        <f t="shared" si="84"/>
        <v>2140.6</v>
      </c>
      <c r="U145" s="576">
        <f t="shared" si="84"/>
        <v>0</v>
      </c>
      <c r="V145" s="576">
        <f t="shared" si="84"/>
        <v>0</v>
      </c>
      <c r="W145" s="576">
        <f t="shared" si="84"/>
        <v>0</v>
      </c>
      <c r="X145" s="576">
        <f t="shared" si="84"/>
        <v>0</v>
      </c>
      <c r="Y145" s="576">
        <f t="shared" si="84"/>
        <v>0</v>
      </c>
      <c r="Z145" s="576">
        <f t="shared" si="84"/>
        <v>0</v>
      </c>
      <c r="AA145" s="576">
        <f t="shared" si="84"/>
        <v>0</v>
      </c>
      <c r="AB145" s="576">
        <f t="shared" si="84"/>
        <v>0</v>
      </c>
      <c r="AC145" s="504"/>
    </row>
    <row r="146" spans="1:29">
      <c r="A146" s="644"/>
      <c r="B146" s="516"/>
      <c r="C146" s="516"/>
      <c r="D146" s="516"/>
      <c r="E146" s="516"/>
      <c r="F146" s="516"/>
      <c r="G146" s="516"/>
      <c r="H146" s="516"/>
      <c r="I146" s="516"/>
      <c r="J146" s="516"/>
      <c r="K146" s="516"/>
      <c r="L146" s="516"/>
      <c r="M146" s="516"/>
      <c r="N146" s="516"/>
      <c r="O146" s="516"/>
      <c r="P146" s="516"/>
      <c r="Q146" s="516"/>
      <c r="R146" s="516"/>
      <c r="S146" s="516"/>
      <c r="T146" s="516"/>
      <c r="U146" s="516"/>
      <c r="V146" s="516"/>
      <c r="W146" s="516"/>
      <c r="X146" s="516"/>
      <c r="Y146" s="516"/>
      <c r="Z146" s="516"/>
      <c r="AA146" s="516"/>
      <c r="AB146" s="516"/>
      <c r="AC146" s="504"/>
    </row>
    <row r="147" spans="1:29">
      <c r="A147" s="504"/>
      <c r="B147" s="504"/>
      <c r="C147" s="504"/>
      <c r="D147" s="504"/>
      <c r="E147" s="504"/>
      <c r="F147" s="504"/>
      <c r="G147" s="504"/>
      <c r="H147" s="504"/>
      <c r="I147" s="504"/>
      <c r="J147" s="504"/>
      <c r="K147" s="504"/>
      <c r="L147" s="504"/>
      <c r="M147" s="504"/>
      <c r="N147" s="504"/>
      <c r="O147" s="504"/>
      <c r="P147" s="504"/>
      <c r="Q147" s="504"/>
      <c r="R147" s="504"/>
      <c r="S147" s="504"/>
      <c r="T147" s="504"/>
      <c r="U147" s="504"/>
      <c r="V147" s="504"/>
      <c r="W147" s="504"/>
      <c r="X147" s="504"/>
      <c r="Y147" s="504"/>
      <c r="Z147" s="504"/>
      <c r="AA147" s="504"/>
      <c r="AB147" s="504"/>
      <c r="AC147" s="504"/>
    </row>
    <row r="148" spans="1:29" s="516" customFormat="1" ht="11.25">
      <c r="A148" s="645" t="s">
        <v>101</v>
      </c>
      <c r="B148" s="646"/>
      <c r="C148" s="646"/>
      <c r="D148" s="646"/>
      <c r="E148" s="646"/>
      <c r="F148" s="646"/>
      <c r="G148" s="646"/>
      <c r="H148" s="646"/>
      <c r="I148" s="646"/>
      <c r="J148" s="646"/>
      <c r="K148" s="646"/>
      <c r="L148" s="646"/>
      <c r="M148" s="646"/>
      <c r="N148" s="646"/>
      <c r="O148" s="646"/>
    </row>
    <row r="149" spans="1:29" s="516" customFormat="1" ht="11.25">
      <c r="A149" s="645"/>
      <c r="B149" s="646"/>
      <c r="C149" s="646"/>
      <c r="D149" s="646"/>
      <c r="E149" s="646"/>
      <c r="F149" s="646"/>
      <c r="G149" s="646"/>
      <c r="H149" s="646"/>
      <c r="I149" s="646"/>
      <c r="J149" s="646"/>
      <c r="K149" s="646"/>
      <c r="L149" s="646"/>
      <c r="M149" s="646"/>
      <c r="N149" s="646"/>
      <c r="O149" s="646"/>
    </row>
    <row r="150" spans="1:29" s="516" customFormat="1" ht="11.25">
      <c r="A150" s="647" t="s">
        <v>947</v>
      </c>
      <c r="B150" s="648">
        <f t="shared" ref="B150:AB150" si="85">B$3</f>
        <v>1995</v>
      </c>
      <c r="C150" s="648">
        <f t="shared" si="85"/>
        <v>1996</v>
      </c>
      <c r="D150" s="648">
        <f t="shared" si="85"/>
        <v>1997</v>
      </c>
      <c r="E150" s="648">
        <f t="shared" si="85"/>
        <v>1998</v>
      </c>
      <c r="F150" s="648">
        <f t="shared" si="85"/>
        <v>1999</v>
      </c>
      <c r="G150" s="648">
        <f t="shared" si="85"/>
        <v>2000</v>
      </c>
      <c r="H150" s="648">
        <f t="shared" si="85"/>
        <v>2001</v>
      </c>
      <c r="I150" s="648">
        <f t="shared" si="85"/>
        <v>2002</v>
      </c>
      <c r="J150" s="648">
        <f t="shared" si="85"/>
        <v>2003</v>
      </c>
      <c r="K150" s="648">
        <f t="shared" si="85"/>
        <v>2004</v>
      </c>
      <c r="L150" s="648">
        <f t="shared" si="85"/>
        <v>2005</v>
      </c>
      <c r="M150" s="648">
        <f t="shared" si="85"/>
        <v>2006</v>
      </c>
      <c r="N150" s="648">
        <f t="shared" si="85"/>
        <v>2007</v>
      </c>
      <c r="O150" s="648">
        <f t="shared" si="85"/>
        <v>2008</v>
      </c>
      <c r="P150" s="648">
        <f t="shared" si="85"/>
        <v>2009</v>
      </c>
      <c r="Q150" s="648">
        <f t="shared" si="85"/>
        <v>2010</v>
      </c>
      <c r="R150" s="648">
        <f t="shared" si="85"/>
        <v>2011</v>
      </c>
      <c r="S150" s="648">
        <f t="shared" si="85"/>
        <v>2012</v>
      </c>
      <c r="T150" s="648">
        <f t="shared" si="85"/>
        <v>2013</v>
      </c>
      <c r="U150" s="648">
        <f t="shared" si="85"/>
        <v>2014</v>
      </c>
      <c r="V150" s="648">
        <f t="shared" si="85"/>
        <v>2015</v>
      </c>
      <c r="W150" s="648">
        <f t="shared" si="85"/>
        <v>2016</v>
      </c>
      <c r="X150" s="648">
        <f t="shared" si="85"/>
        <v>2017</v>
      </c>
      <c r="Y150" s="648">
        <f t="shared" si="85"/>
        <v>2018</v>
      </c>
      <c r="Z150" s="648">
        <f t="shared" si="85"/>
        <v>2019</v>
      </c>
      <c r="AA150" s="648">
        <f t="shared" si="85"/>
        <v>2020</v>
      </c>
      <c r="AB150" s="648">
        <f t="shared" si="85"/>
        <v>2021</v>
      </c>
    </row>
    <row r="151" spans="1:29" s="516" customFormat="1" ht="11.25">
      <c r="A151" s="649" t="s">
        <v>948</v>
      </c>
      <c r="B151" s="640"/>
      <c r="C151" s="640"/>
      <c r="D151" s="640"/>
      <c r="E151" s="640"/>
      <c r="F151" s="640"/>
      <c r="G151" s="640"/>
      <c r="H151" s="640"/>
      <c r="I151" s="640"/>
      <c r="J151" s="640"/>
      <c r="K151" s="640"/>
      <c r="L151" s="640"/>
      <c r="M151" s="640"/>
      <c r="N151" s="640"/>
      <c r="O151" s="640"/>
      <c r="P151" s="640"/>
      <c r="Q151" s="640"/>
      <c r="R151" s="611"/>
      <c r="S151" s="640"/>
      <c r="T151" s="640"/>
      <c r="U151" s="640"/>
      <c r="V151" s="640"/>
      <c r="W151" s="640"/>
      <c r="X151" s="640"/>
      <c r="Y151" s="640"/>
      <c r="Z151" s="640"/>
      <c r="AA151" s="640"/>
      <c r="AB151" s="640"/>
    </row>
    <row r="152" spans="1:29" s="516" customFormat="1" ht="11.25">
      <c r="A152" s="650" t="s">
        <v>949</v>
      </c>
      <c r="B152" s="576"/>
      <c r="C152" s="576"/>
      <c r="D152" s="576"/>
      <c r="E152" s="576"/>
      <c r="F152" s="576"/>
      <c r="G152" s="576"/>
      <c r="H152" s="576"/>
      <c r="I152" s="576"/>
      <c r="J152" s="576"/>
      <c r="K152" s="576"/>
      <c r="L152" s="576"/>
      <c r="M152" s="576"/>
      <c r="N152" s="576"/>
      <c r="O152" s="576"/>
      <c r="P152" s="576"/>
      <c r="Q152" s="573"/>
      <c r="R152" s="573"/>
      <c r="S152" s="576">
        <f t="shared" ref="S152:X152" si="86">S13</f>
        <v>-758</v>
      </c>
      <c r="T152" s="576">
        <f t="shared" si="86"/>
        <v>-1112</v>
      </c>
      <c r="U152" s="576">
        <f t="shared" si="86"/>
        <v>-579</v>
      </c>
      <c r="V152" s="576">
        <f t="shared" si="86"/>
        <v>-1611</v>
      </c>
      <c r="W152" s="576">
        <f t="shared" si="86"/>
        <v>-423</v>
      </c>
      <c r="X152" s="576">
        <f t="shared" si="86"/>
        <v>287.93870000000015</v>
      </c>
      <c r="Y152" s="576">
        <f>Y13</f>
        <v>434.60871730000054</v>
      </c>
      <c r="Z152" s="576">
        <f>Z13</f>
        <v>466.2509827545</v>
      </c>
      <c r="AA152" s="576">
        <f>AA13</f>
        <v>443.32743639383989</v>
      </c>
      <c r="AB152" s="576">
        <f>AB13</f>
        <v>447.23557600319009</v>
      </c>
    </row>
    <row r="153" spans="1:29" s="516" customFormat="1" ht="11.25">
      <c r="A153" s="650" t="s">
        <v>950</v>
      </c>
      <c r="K153" s="576"/>
      <c r="L153" s="576"/>
      <c r="M153" s="576"/>
      <c r="N153" s="576"/>
      <c r="O153" s="576"/>
      <c r="P153" s="576"/>
      <c r="Q153" s="573"/>
      <c r="R153" s="573"/>
      <c r="S153" s="576">
        <f t="shared" ref="S153:AB153" si="87">R153</f>
        <v>0</v>
      </c>
      <c r="T153" s="576">
        <f t="shared" si="87"/>
        <v>0</v>
      </c>
      <c r="U153" s="576">
        <f t="shared" si="87"/>
        <v>0</v>
      </c>
      <c r="V153" s="576">
        <f t="shared" si="87"/>
        <v>0</v>
      </c>
      <c r="W153" s="576">
        <f t="shared" si="87"/>
        <v>0</v>
      </c>
      <c r="X153" s="576">
        <f t="shared" si="87"/>
        <v>0</v>
      </c>
      <c r="Y153" s="576">
        <f t="shared" si="87"/>
        <v>0</v>
      </c>
      <c r="Z153" s="576">
        <f t="shared" si="87"/>
        <v>0</v>
      </c>
      <c r="AA153" s="576">
        <f t="shared" si="87"/>
        <v>0</v>
      </c>
      <c r="AB153" s="576">
        <f t="shared" si="87"/>
        <v>0</v>
      </c>
    </row>
    <row r="154" spans="1:29" s="554" customFormat="1" ht="11.25">
      <c r="A154" s="651" t="s">
        <v>951</v>
      </c>
      <c r="K154" s="652"/>
      <c r="L154" s="652"/>
      <c r="M154" s="652"/>
      <c r="N154" s="652"/>
      <c r="O154" s="652"/>
      <c r="P154" s="652"/>
      <c r="Q154" s="622"/>
      <c r="R154" s="622"/>
      <c r="S154" s="652">
        <f t="shared" ref="S154:X154" si="88">S152-S153</f>
        <v>-758</v>
      </c>
      <c r="T154" s="652">
        <f t="shared" si="88"/>
        <v>-1112</v>
      </c>
      <c r="U154" s="652">
        <f t="shared" si="88"/>
        <v>-579</v>
      </c>
      <c r="V154" s="652">
        <f t="shared" si="88"/>
        <v>-1611</v>
      </c>
      <c r="W154" s="652">
        <f t="shared" si="88"/>
        <v>-423</v>
      </c>
      <c r="X154" s="652">
        <f t="shared" si="88"/>
        <v>287.93870000000015</v>
      </c>
      <c r="Y154" s="652">
        <f>Y152-Y153</f>
        <v>434.60871730000054</v>
      </c>
      <c r="Z154" s="652">
        <f>Z152-Z153</f>
        <v>466.2509827545</v>
      </c>
      <c r="AA154" s="652">
        <f>AA152-AA153</f>
        <v>443.32743639383989</v>
      </c>
      <c r="AB154" s="652">
        <f>AB152-AB153</f>
        <v>447.23557600319009</v>
      </c>
    </row>
    <row r="155" spans="1:29" s="516" customFormat="1" ht="11.25">
      <c r="A155" s="653"/>
      <c r="B155" s="576"/>
      <c r="C155" s="576"/>
      <c r="D155" s="576"/>
      <c r="E155" s="576"/>
      <c r="F155" s="576"/>
      <c r="G155" s="576"/>
      <c r="H155" s="576"/>
      <c r="I155" s="576"/>
      <c r="J155" s="576"/>
      <c r="K155" s="576"/>
      <c r="L155" s="576"/>
      <c r="M155" s="576"/>
      <c r="N155" s="576"/>
      <c r="O155" s="576"/>
      <c r="P155" s="576"/>
      <c r="Q155" s="573"/>
      <c r="R155" s="573"/>
      <c r="S155" s="576"/>
      <c r="T155" s="576"/>
      <c r="U155" s="576"/>
      <c r="V155" s="576"/>
      <c r="W155" s="576"/>
      <c r="X155" s="576"/>
      <c r="Y155" s="576"/>
      <c r="Z155" s="576"/>
      <c r="AA155" s="576"/>
      <c r="AB155" s="576"/>
    </row>
    <row r="156" spans="1:29" s="516" customFormat="1" ht="11.25">
      <c r="A156" s="649" t="s">
        <v>952</v>
      </c>
      <c r="B156" s="576"/>
      <c r="C156" s="576"/>
      <c r="D156" s="576"/>
      <c r="E156" s="576"/>
      <c r="F156" s="576"/>
      <c r="G156" s="576"/>
      <c r="H156" s="576"/>
      <c r="I156" s="576"/>
      <c r="J156" s="576"/>
      <c r="K156" s="576"/>
      <c r="L156" s="576"/>
      <c r="M156" s="576"/>
      <c r="N156" s="576"/>
      <c r="O156" s="576"/>
      <c r="P156" s="576"/>
      <c r="Q156" s="573"/>
      <c r="R156" s="573"/>
      <c r="S156" s="576"/>
      <c r="T156" s="576"/>
      <c r="U156" s="576"/>
      <c r="V156" s="576"/>
      <c r="W156" s="576"/>
      <c r="X156" s="576"/>
      <c r="Y156" s="576"/>
      <c r="Z156" s="576"/>
      <c r="AA156" s="576"/>
      <c r="AB156" s="576"/>
    </row>
    <row r="157" spans="1:29" s="516" customFormat="1" ht="11.25">
      <c r="A157" s="650" t="s">
        <v>949</v>
      </c>
      <c r="K157" s="576"/>
      <c r="L157" s="576"/>
      <c r="M157" s="576"/>
      <c r="N157" s="576"/>
      <c r="O157" s="576"/>
      <c r="P157" s="576"/>
      <c r="Q157" s="573"/>
      <c r="R157" s="573"/>
      <c r="S157" s="576">
        <f t="shared" ref="S157:X157" si="89">S13</f>
        <v>-758</v>
      </c>
      <c r="T157" s="576">
        <f t="shared" si="89"/>
        <v>-1112</v>
      </c>
      <c r="U157" s="576">
        <f t="shared" si="89"/>
        <v>-579</v>
      </c>
      <c r="V157" s="576">
        <f t="shared" si="89"/>
        <v>-1611</v>
      </c>
      <c r="W157" s="576">
        <f t="shared" si="89"/>
        <v>-423</v>
      </c>
      <c r="X157" s="576">
        <f t="shared" si="89"/>
        <v>287.93870000000015</v>
      </c>
      <c r="Y157" s="576">
        <f>Y13</f>
        <v>434.60871730000054</v>
      </c>
      <c r="Z157" s="576">
        <f>Z13</f>
        <v>466.2509827545</v>
      </c>
      <c r="AA157" s="576">
        <f>AA13</f>
        <v>443.32743639383989</v>
      </c>
      <c r="AB157" s="576">
        <f>AB13</f>
        <v>447.23557600319009</v>
      </c>
    </row>
    <row r="158" spans="1:29" s="516" customFormat="1" ht="11.25">
      <c r="A158" s="650" t="s">
        <v>950</v>
      </c>
      <c r="K158" s="576"/>
      <c r="L158" s="576"/>
      <c r="M158" s="576"/>
      <c r="Q158" s="559"/>
      <c r="R158" s="559"/>
    </row>
    <row r="159" spans="1:29" s="642" customFormat="1" ht="11.25">
      <c r="A159" s="650" t="s">
        <v>953</v>
      </c>
      <c r="M159" s="654"/>
      <c r="N159" s="654"/>
      <c r="O159" s="654"/>
      <c r="P159" s="654"/>
      <c r="Q159" s="655"/>
      <c r="R159" s="655"/>
      <c r="S159" s="656">
        <v>0</v>
      </c>
      <c r="T159" s="656">
        <v>0</v>
      </c>
      <c r="U159" s="656">
        <v>0</v>
      </c>
      <c r="V159" s="656">
        <v>0</v>
      </c>
      <c r="W159" s="656">
        <v>0</v>
      </c>
      <c r="X159" s="656">
        <v>0</v>
      </c>
      <c r="Y159" s="656">
        <v>0</v>
      </c>
      <c r="Z159" s="656">
        <v>0</v>
      </c>
      <c r="AA159" s="656">
        <v>0</v>
      </c>
      <c r="AB159" s="656">
        <v>0</v>
      </c>
    </row>
    <row r="160" spans="1:29" s="516" customFormat="1" ht="11.25">
      <c r="A160" s="644" t="s">
        <v>954</v>
      </c>
      <c r="K160" s="576"/>
      <c r="L160" s="576"/>
      <c r="M160" s="576"/>
      <c r="N160" s="576"/>
      <c r="O160" s="576"/>
      <c r="P160" s="576"/>
      <c r="Q160" s="573"/>
      <c r="R160" s="573"/>
      <c r="S160" s="576">
        <f t="shared" ref="S160:AB160" si="90">R160*(1+S159)</f>
        <v>0</v>
      </c>
      <c r="T160" s="576">
        <f t="shared" si="90"/>
        <v>0</v>
      </c>
      <c r="U160" s="576">
        <f t="shared" si="90"/>
        <v>0</v>
      </c>
      <c r="V160" s="576">
        <f t="shared" si="90"/>
        <v>0</v>
      </c>
      <c r="W160" s="576">
        <f t="shared" si="90"/>
        <v>0</v>
      </c>
      <c r="X160" s="576">
        <f t="shared" si="90"/>
        <v>0</v>
      </c>
      <c r="Y160" s="576">
        <f t="shared" si="90"/>
        <v>0</v>
      </c>
      <c r="Z160" s="576">
        <f t="shared" si="90"/>
        <v>0</v>
      </c>
      <c r="AA160" s="576">
        <f t="shared" si="90"/>
        <v>0</v>
      </c>
      <c r="AB160" s="576">
        <f t="shared" si="90"/>
        <v>0</v>
      </c>
    </row>
    <row r="161" spans="1:29" s="554" customFormat="1" ht="11.25">
      <c r="A161" s="651" t="s">
        <v>951</v>
      </c>
      <c r="K161" s="652"/>
      <c r="L161" s="652"/>
      <c r="M161" s="652"/>
      <c r="N161" s="652"/>
      <c r="O161" s="652"/>
      <c r="P161" s="652"/>
      <c r="Q161" s="622"/>
      <c r="R161" s="622"/>
      <c r="S161" s="652">
        <f t="shared" ref="S161:X161" si="91">S157-S160</f>
        <v>-758</v>
      </c>
      <c r="T161" s="652">
        <f t="shared" si="91"/>
        <v>-1112</v>
      </c>
      <c r="U161" s="652">
        <f t="shared" si="91"/>
        <v>-579</v>
      </c>
      <c r="V161" s="652">
        <f t="shared" si="91"/>
        <v>-1611</v>
      </c>
      <c r="W161" s="652">
        <f t="shared" si="91"/>
        <v>-423</v>
      </c>
      <c r="X161" s="652">
        <f t="shared" si="91"/>
        <v>287.93870000000015</v>
      </c>
      <c r="Y161" s="652">
        <f>Y157-Y160</f>
        <v>434.60871730000054</v>
      </c>
      <c r="Z161" s="652">
        <f>Z157-Z160</f>
        <v>466.2509827545</v>
      </c>
      <c r="AA161" s="652">
        <f>AA157-AA160</f>
        <v>443.32743639383989</v>
      </c>
      <c r="AB161" s="652">
        <f>AB157-AB160</f>
        <v>447.23557600319009</v>
      </c>
    </row>
    <row r="162" spans="1:29" s="516" customFormat="1" ht="11.25">
      <c r="A162" s="644"/>
      <c r="R162" s="559"/>
    </row>
    <row r="163" spans="1:29" s="516" customFormat="1" ht="11.25">
      <c r="A163" s="644"/>
      <c r="P163" s="657"/>
      <c r="R163" s="559"/>
    </row>
    <row r="164" spans="1:29" s="516" customFormat="1" ht="11.25">
      <c r="A164" s="647" t="s">
        <v>102</v>
      </c>
      <c r="B164" s="648">
        <f t="shared" ref="B164:AB164" si="92">B$3</f>
        <v>1995</v>
      </c>
      <c r="C164" s="648">
        <f t="shared" si="92"/>
        <v>1996</v>
      </c>
      <c r="D164" s="648">
        <f t="shared" si="92"/>
        <v>1997</v>
      </c>
      <c r="E164" s="648">
        <f t="shared" si="92"/>
        <v>1998</v>
      </c>
      <c r="F164" s="648">
        <f t="shared" si="92"/>
        <v>1999</v>
      </c>
      <c r="G164" s="648">
        <f t="shared" si="92"/>
        <v>2000</v>
      </c>
      <c r="H164" s="648">
        <f t="shared" si="92"/>
        <v>2001</v>
      </c>
      <c r="I164" s="648">
        <f t="shared" si="92"/>
        <v>2002</v>
      </c>
      <c r="J164" s="648">
        <f t="shared" si="92"/>
        <v>2003</v>
      </c>
      <c r="K164" s="648">
        <f t="shared" si="92"/>
        <v>2004</v>
      </c>
      <c r="L164" s="648">
        <f t="shared" si="92"/>
        <v>2005</v>
      </c>
      <c r="M164" s="648">
        <f t="shared" si="92"/>
        <v>2006</v>
      </c>
      <c r="N164" s="648">
        <f t="shared" si="92"/>
        <v>2007</v>
      </c>
      <c r="O164" s="648">
        <f t="shared" si="92"/>
        <v>2008</v>
      </c>
      <c r="P164" s="648">
        <f t="shared" si="92"/>
        <v>2009</v>
      </c>
      <c r="Q164" s="648">
        <f t="shared" si="92"/>
        <v>2010</v>
      </c>
      <c r="R164" s="658">
        <f t="shared" si="92"/>
        <v>2011</v>
      </c>
      <c r="S164" s="648">
        <f t="shared" si="92"/>
        <v>2012</v>
      </c>
      <c r="T164" s="648">
        <f t="shared" si="92"/>
        <v>2013</v>
      </c>
      <c r="U164" s="648">
        <f t="shared" si="92"/>
        <v>2014</v>
      </c>
      <c r="V164" s="648">
        <f t="shared" si="92"/>
        <v>2015</v>
      </c>
      <c r="W164" s="648">
        <f t="shared" si="92"/>
        <v>2016</v>
      </c>
      <c r="X164" s="648">
        <f t="shared" si="92"/>
        <v>2017</v>
      </c>
      <c r="Y164" s="648">
        <f t="shared" si="92"/>
        <v>2018</v>
      </c>
      <c r="Z164" s="648">
        <f t="shared" si="92"/>
        <v>2019</v>
      </c>
      <c r="AA164" s="648">
        <f t="shared" si="92"/>
        <v>2020</v>
      </c>
      <c r="AB164" s="648">
        <f t="shared" si="92"/>
        <v>2021</v>
      </c>
    </row>
    <row r="165" spans="1:29" s="516" customFormat="1" ht="11.25">
      <c r="A165" s="659" t="s">
        <v>103</v>
      </c>
      <c r="B165" s="640"/>
      <c r="C165" s="640"/>
      <c r="D165" s="640"/>
      <c r="E165" s="640"/>
      <c r="F165" s="640"/>
      <c r="G165" s="640"/>
      <c r="H165" s="640"/>
      <c r="I165" s="640"/>
      <c r="J165" s="640"/>
      <c r="K165" s="640"/>
      <c r="L165" s="640"/>
      <c r="M165" s="640"/>
      <c r="N165" s="640"/>
      <c r="O165" s="640"/>
      <c r="P165" s="660"/>
      <c r="Q165" s="640"/>
      <c r="R165" s="611"/>
      <c r="S165" s="640"/>
      <c r="T165" s="640"/>
      <c r="U165" s="640"/>
      <c r="V165" s="640"/>
      <c r="W165" s="640"/>
      <c r="X165" s="640"/>
      <c r="Y165" s="640"/>
      <c r="Z165" s="640"/>
      <c r="AA165" s="640"/>
      <c r="AB165" s="640"/>
    </row>
    <row r="166" spans="1:29" s="576" customFormat="1" ht="11.25">
      <c r="A166" s="510" t="s">
        <v>105</v>
      </c>
      <c r="N166" s="573"/>
      <c r="O166" s="573"/>
      <c r="P166" s="661"/>
      <c r="Q166" s="573"/>
      <c r="R166" s="573"/>
      <c r="S166" s="662">
        <f t="shared" ref="S166:AB166" si="93">-(S76-R76)-(S5+S8)*(1-S83)</f>
        <v>747.25</v>
      </c>
      <c r="T166" s="662">
        <f t="shared" si="93"/>
        <v>-6783.15</v>
      </c>
      <c r="U166" s="662">
        <f t="shared" si="93"/>
        <v>-36.600000000000023</v>
      </c>
      <c r="V166" s="662">
        <f t="shared" si="93"/>
        <v>722.35000000000014</v>
      </c>
      <c r="W166" s="662">
        <f t="shared" si="93"/>
        <v>-93.5</v>
      </c>
      <c r="X166" s="662">
        <f t="shared" si="93"/>
        <v>-1747.4387000000002</v>
      </c>
      <c r="Y166" s="662">
        <f t="shared" si="93"/>
        <v>-994.10871730000099</v>
      </c>
      <c r="Z166" s="662">
        <f t="shared" si="93"/>
        <v>-525.7509827545</v>
      </c>
      <c r="AA166" s="662">
        <f t="shared" si="93"/>
        <v>-502.82743639383989</v>
      </c>
      <c r="AB166" s="662">
        <f t="shared" si="93"/>
        <v>-506.73557600319054</v>
      </c>
    </row>
    <row r="167" spans="1:29" s="576" customFormat="1" ht="11.25">
      <c r="A167" s="644" t="s">
        <v>106</v>
      </c>
      <c r="N167" s="573"/>
      <c r="O167" s="573"/>
      <c r="P167" s="661"/>
      <c r="Q167" s="573"/>
      <c r="R167" s="573"/>
      <c r="S167" s="662">
        <f t="shared" ref="S167:AB167" si="94">S82-R82</f>
        <v>114.79999999999927</v>
      </c>
      <c r="T167" s="662">
        <f t="shared" si="94"/>
        <v>-2717.75</v>
      </c>
      <c r="U167" s="662">
        <f t="shared" si="94"/>
        <v>-170.79999999999927</v>
      </c>
      <c r="V167" s="662">
        <f t="shared" si="94"/>
        <v>1059.7999999999993</v>
      </c>
      <c r="W167" s="662">
        <f t="shared" si="94"/>
        <v>-571.89999999999964</v>
      </c>
      <c r="X167" s="662">
        <f t="shared" si="94"/>
        <v>-760.3684200000007</v>
      </c>
      <c r="Y167" s="662">
        <f t="shared" si="94"/>
        <v>-500.91979168000034</v>
      </c>
      <c r="Z167" s="662">
        <f t="shared" si="94"/>
        <v>-339.16521513594944</v>
      </c>
      <c r="AA167" s="662">
        <f t="shared" si="94"/>
        <v>-332.16290174760979</v>
      </c>
      <c r="AB167" s="662">
        <f t="shared" si="94"/>
        <v>-334.62824803661442</v>
      </c>
    </row>
    <row r="168" spans="1:29" s="576" customFormat="1" ht="11.25">
      <c r="A168" s="644"/>
      <c r="P168" s="661"/>
      <c r="R168" s="573"/>
    </row>
    <row r="169" spans="1:29" s="576" customFormat="1" ht="11.25">
      <c r="A169" s="644"/>
      <c r="P169" s="661"/>
      <c r="R169" s="573"/>
    </row>
    <row r="170" spans="1:29" s="576" customFormat="1" ht="11.25">
      <c r="A170" s="644"/>
      <c r="P170" s="661"/>
      <c r="R170" s="573"/>
    </row>
    <row r="171" spans="1:29" s="576" customFormat="1" ht="11.25">
      <c r="A171" s="663" t="s">
        <v>107</v>
      </c>
      <c r="B171" s="648">
        <f t="shared" ref="B171:AB171" si="95">B$3</f>
        <v>1995</v>
      </c>
      <c r="C171" s="648">
        <f t="shared" si="95"/>
        <v>1996</v>
      </c>
      <c r="D171" s="648">
        <f t="shared" si="95"/>
        <v>1997</v>
      </c>
      <c r="E171" s="648">
        <f t="shared" si="95"/>
        <v>1998</v>
      </c>
      <c r="F171" s="648">
        <f t="shared" si="95"/>
        <v>1999</v>
      </c>
      <c r="G171" s="648">
        <f t="shared" si="95"/>
        <v>2000</v>
      </c>
      <c r="H171" s="648">
        <f t="shared" si="95"/>
        <v>2001</v>
      </c>
      <c r="I171" s="648">
        <f t="shared" si="95"/>
        <v>2002</v>
      </c>
      <c r="J171" s="648">
        <f t="shared" si="95"/>
        <v>2003</v>
      </c>
      <c r="K171" s="648">
        <f t="shared" si="95"/>
        <v>2004</v>
      </c>
      <c r="L171" s="648">
        <f t="shared" si="95"/>
        <v>2005</v>
      </c>
      <c r="M171" s="648">
        <f t="shared" si="95"/>
        <v>2006</v>
      </c>
      <c r="N171" s="648">
        <f t="shared" si="95"/>
        <v>2007</v>
      </c>
      <c r="O171" s="648">
        <f t="shared" si="95"/>
        <v>2008</v>
      </c>
      <c r="P171" s="648">
        <f t="shared" si="95"/>
        <v>2009</v>
      </c>
      <c r="Q171" s="648">
        <f t="shared" si="95"/>
        <v>2010</v>
      </c>
      <c r="R171" s="658">
        <f t="shared" si="95"/>
        <v>2011</v>
      </c>
      <c r="S171" s="648">
        <f t="shared" si="95"/>
        <v>2012</v>
      </c>
      <c r="T171" s="648">
        <f t="shared" si="95"/>
        <v>2013</v>
      </c>
      <c r="U171" s="648">
        <f t="shared" si="95"/>
        <v>2014</v>
      </c>
      <c r="V171" s="648">
        <f t="shared" si="95"/>
        <v>2015</v>
      </c>
      <c r="W171" s="648">
        <f t="shared" si="95"/>
        <v>2016</v>
      </c>
      <c r="X171" s="648">
        <f t="shared" si="95"/>
        <v>2017</v>
      </c>
      <c r="Y171" s="648">
        <f t="shared" si="95"/>
        <v>2018</v>
      </c>
      <c r="Z171" s="648">
        <f t="shared" si="95"/>
        <v>2019</v>
      </c>
      <c r="AA171" s="648">
        <f t="shared" si="95"/>
        <v>2020</v>
      </c>
      <c r="AB171" s="648">
        <f t="shared" si="95"/>
        <v>2021</v>
      </c>
    </row>
    <row r="172" spans="1:29" s="576" customFormat="1" ht="11.25">
      <c r="A172" s="644" t="s">
        <v>108</v>
      </c>
      <c r="Q172" s="573"/>
      <c r="R172" s="573"/>
      <c r="S172" s="662">
        <f t="shared" ref="S172:X172" si="96">(-S43-S32-S44)*(1-S83)</f>
        <v>-1387.1000000000001</v>
      </c>
      <c r="T172" s="662">
        <f t="shared" si="96"/>
        <v>-2297.75</v>
      </c>
      <c r="U172" s="662">
        <f t="shared" si="96"/>
        <v>-84.5</v>
      </c>
      <c r="V172" s="662">
        <f t="shared" si="96"/>
        <v>-84.5</v>
      </c>
      <c r="W172" s="662">
        <f t="shared" si="96"/>
        <v>-84.5</v>
      </c>
      <c r="X172" s="662">
        <f t="shared" si="96"/>
        <v>-910</v>
      </c>
      <c r="Y172" s="662">
        <f>(-Y43-Y32-Y44)*(1-Y83)</f>
        <v>-325</v>
      </c>
      <c r="Z172" s="662">
        <f>(-Z43-Z32-Z44)*(1-Z83)</f>
        <v>0</v>
      </c>
      <c r="AA172" s="662">
        <f>(-AA43-AA32-AA44)*(1-AA83)</f>
        <v>0</v>
      </c>
      <c r="AB172" s="662">
        <f>(-AB43-AB32-AB44)*(1-AB83)</f>
        <v>0</v>
      </c>
    </row>
    <row r="173" spans="1:29" s="516" customFormat="1" ht="11.25">
      <c r="A173" s="644" t="s">
        <v>109</v>
      </c>
      <c r="Q173" s="573"/>
      <c r="R173" s="573"/>
      <c r="S173" s="662">
        <f t="shared" ref="S173:X173" si="97">-S13*(1-S83)</f>
        <v>492.7</v>
      </c>
      <c r="T173" s="662">
        <f t="shared" si="97"/>
        <v>722.80000000000007</v>
      </c>
      <c r="U173" s="662">
        <f t="shared" si="97"/>
        <v>376.35</v>
      </c>
      <c r="V173" s="662">
        <f t="shared" si="97"/>
        <v>1047.1500000000001</v>
      </c>
      <c r="W173" s="662">
        <f t="shared" si="97"/>
        <v>274.95</v>
      </c>
      <c r="X173" s="662">
        <f t="shared" si="97"/>
        <v>-187.16015500000012</v>
      </c>
      <c r="Y173" s="662">
        <f>-Y13*(1-Y83)</f>
        <v>-282.49566624500034</v>
      </c>
      <c r="Z173" s="662">
        <f>-Z13*(1-Z83)</f>
        <v>-303.063138790425</v>
      </c>
      <c r="AA173" s="662">
        <f>-AA13*(1-AA83)</f>
        <v>-288.16283365599594</v>
      </c>
      <c r="AB173" s="662">
        <f>-AB13*(1-AB83)</f>
        <v>-290.70312440207357</v>
      </c>
    </row>
    <row r="174" spans="1:29" s="516" customFormat="1" ht="11.25">
      <c r="A174" s="644"/>
      <c r="P174" s="657"/>
      <c r="Q174" s="664"/>
      <c r="R174" s="559"/>
    </row>
    <row r="175" spans="1:29" s="666" customFormat="1" ht="11.25">
      <c r="A175" s="665" t="s">
        <v>97</v>
      </c>
      <c r="B175" s="665"/>
      <c r="C175" s="665"/>
      <c r="D175" s="665"/>
      <c r="E175" s="665"/>
      <c r="F175" s="665"/>
      <c r="N175" s="667"/>
      <c r="O175" s="667"/>
      <c r="P175" s="668"/>
      <c r="Q175" s="667"/>
      <c r="R175" s="667"/>
      <c r="S175" s="667">
        <f t="shared" ref="S175:X175" si="98">ROUND(-S166+S167+S172+S173,6)</f>
        <v>-1526.85</v>
      </c>
      <c r="T175" s="667">
        <f t="shared" si="98"/>
        <v>2490.4499999999998</v>
      </c>
      <c r="U175" s="667">
        <f t="shared" si="98"/>
        <v>157.65</v>
      </c>
      <c r="V175" s="667">
        <f t="shared" si="98"/>
        <v>1300.0999999999999</v>
      </c>
      <c r="W175" s="667">
        <f t="shared" si="98"/>
        <v>-287.95</v>
      </c>
      <c r="X175" s="667">
        <f t="shared" si="98"/>
        <v>-110.08987500000001</v>
      </c>
      <c r="Y175" s="667">
        <f>ROUND(-Y166+Y167+Y172+Y173,6)</f>
        <v>-114.306741</v>
      </c>
      <c r="Z175" s="667">
        <f>ROUND(-Z166+Z167+Z172+Z173,6)</f>
        <v>-116.47737100000001</v>
      </c>
      <c r="AA175" s="667">
        <f>ROUND(-AA166+AA167+AA172+AA173,6)</f>
        <v>-117.498299</v>
      </c>
      <c r="AB175" s="667">
        <f>ROUND(-AB166+AB167+AB172+AB173,6)</f>
        <v>-118.59579600000001</v>
      </c>
    </row>
    <row r="176" spans="1:29">
      <c r="A176" s="504"/>
      <c r="B176" s="504"/>
      <c r="C176" s="504"/>
      <c r="D176" s="504"/>
      <c r="E176" s="504"/>
      <c r="F176" s="504"/>
      <c r="G176" s="504"/>
      <c r="H176" s="504"/>
      <c r="I176" s="504"/>
      <c r="J176" s="504"/>
      <c r="K176" s="504"/>
      <c r="L176" s="504"/>
      <c r="M176" s="504"/>
      <c r="N176" s="504"/>
      <c r="O176" s="504"/>
      <c r="P176" s="669"/>
      <c r="Q176" s="504"/>
      <c r="R176" s="504"/>
      <c r="S176" s="504"/>
      <c r="T176" s="504"/>
      <c r="U176" s="504"/>
      <c r="V176" s="504"/>
      <c r="W176" s="504"/>
      <c r="X176" s="504"/>
      <c r="Y176" s="504"/>
      <c r="Z176" s="504"/>
      <c r="AA176" s="504"/>
      <c r="AB176" s="504"/>
      <c r="AC176" s="504"/>
    </row>
    <row r="177" spans="1:29">
      <c r="A177" s="504"/>
      <c r="B177" s="504"/>
      <c r="C177" s="504"/>
      <c r="D177" s="504"/>
      <c r="E177" s="504"/>
      <c r="F177" s="504"/>
      <c r="G177" s="504"/>
      <c r="H177" s="504"/>
      <c r="I177" s="504"/>
      <c r="J177" s="504"/>
      <c r="K177" s="504"/>
      <c r="L177" s="504"/>
      <c r="M177" s="504"/>
      <c r="N177" s="504"/>
      <c r="O177" s="504"/>
      <c r="P177" s="504"/>
      <c r="Q177" s="504"/>
      <c r="R177" s="504"/>
      <c r="S177" s="504"/>
      <c r="T177" s="504"/>
      <c r="U177" s="504"/>
      <c r="V177" s="504"/>
      <c r="W177" s="504"/>
      <c r="X177" s="504"/>
      <c r="Y177" s="504"/>
      <c r="Z177" s="504"/>
      <c r="AA177" s="504"/>
      <c r="AB177" s="504"/>
      <c r="AC177" s="504"/>
    </row>
    <row r="178" spans="1:29">
      <c r="A178" s="504"/>
      <c r="B178" s="504"/>
      <c r="C178" s="504"/>
      <c r="D178" s="504"/>
      <c r="E178" s="504"/>
      <c r="F178" s="504"/>
      <c r="G178" s="504"/>
      <c r="H178" s="504"/>
      <c r="I178" s="504"/>
      <c r="J178" s="504"/>
      <c r="K178" s="504"/>
      <c r="L178" s="504"/>
      <c r="M178" s="504"/>
      <c r="N178" s="504"/>
      <c r="O178" s="504"/>
      <c r="P178" s="504"/>
      <c r="Q178" s="504"/>
      <c r="R178" s="504"/>
      <c r="S178" s="504"/>
      <c r="T178" s="504"/>
      <c r="U178" s="504"/>
      <c r="V178" s="504"/>
      <c r="W178" s="504"/>
      <c r="X178" s="504"/>
      <c r="Y178" s="504"/>
      <c r="Z178" s="504"/>
      <c r="AA178" s="504"/>
      <c r="AB178" s="504"/>
      <c r="AC178" s="504"/>
    </row>
    <row r="179" spans="1:29">
      <c r="A179" s="504"/>
      <c r="B179" s="504"/>
      <c r="C179" s="504"/>
      <c r="D179" s="504"/>
      <c r="E179" s="504"/>
      <c r="F179" s="504"/>
      <c r="G179" s="504"/>
      <c r="H179" s="504"/>
      <c r="I179" s="504"/>
      <c r="J179" s="504"/>
      <c r="K179" s="504"/>
      <c r="L179" s="504"/>
      <c r="M179" s="504"/>
      <c r="N179" s="504"/>
      <c r="O179" s="504"/>
      <c r="P179" s="504"/>
      <c r="Q179" s="504"/>
      <c r="R179" s="504"/>
      <c r="S179" s="504"/>
      <c r="T179" s="504"/>
      <c r="U179" s="504"/>
      <c r="V179" s="504"/>
      <c r="W179" s="504"/>
      <c r="X179" s="504"/>
      <c r="Y179" s="504"/>
      <c r="Z179" s="504"/>
      <c r="AA179" s="504"/>
      <c r="AB179" s="504"/>
      <c r="AC179" s="504"/>
    </row>
    <row r="180" spans="1:29">
      <c r="A180" s="504"/>
      <c r="B180" s="504"/>
      <c r="C180" s="504"/>
      <c r="D180" s="504"/>
      <c r="E180" s="504"/>
      <c r="F180" s="504"/>
      <c r="G180" s="504"/>
      <c r="H180" s="504"/>
      <c r="I180" s="504"/>
      <c r="J180" s="504"/>
      <c r="K180" s="504"/>
      <c r="L180" s="504"/>
      <c r="M180" s="504"/>
      <c r="N180" s="504"/>
      <c r="O180" s="504"/>
      <c r="P180" s="504"/>
      <c r="Q180" s="504"/>
      <c r="R180" s="504"/>
      <c r="S180" s="504"/>
      <c r="T180" s="504"/>
      <c r="U180" s="504"/>
      <c r="V180" s="504"/>
      <c r="W180" s="504"/>
      <c r="X180" s="504"/>
      <c r="Y180" s="504"/>
      <c r="Z180" s="504"/>
      <c r="AA180" s="504"/>
      <c r="AB180" s="504"/>
      <c r="AC180" s="504"/>
    </row>
    <row r="181" spans="1:29">
      <c r="A181" s="504"/>
      <c r="B181" s="504"/>
      <c r="C181" s="504"/>
      <c r="D181" s="504"/>
      <c r="E181" s="504"/>
      <c r="F181" s="504"/>
      <c r="G181" s="504"/>
      <c r="H181" s="504"/>
      <c r="I181" s="504"/>
      <c r="J181" s="504"/>
      <c r="K181" s="504"/>
      <c r="L181" s="504"/>
      <c r="M181" s="504"/>
      <c r="N181" s="504"/>
      <c r="O181" s="504"/>
      <c r="P181" s="504"/>
      <c r="Q181" s="504"/>
      <c r="R181" s="504"/>
      <c r="S181" s="504"/>
      <c r="T181" s="504"/>
      <c r="U181" s="504"/>
      <c r="V181" s="504"/>
      <c r="W181" s="504"/>
      <c r="X181" s="504"/>
      <c r="Y181" s="504"/>
      <c r="Z181" s="504"/>
      <c r="AA181" s="504"/>
      <c r="AB181" s="504"/>
      <c r="AC181" s="504"/>
    </row>
    <row r="182" spans="1:29">
      <c r="A182" s="504"/>
      <c r="B182" s="504"/>
      <c r="C182" s="504"/>
      <c r="D182" s="504"/>
      <c r="E182" s="504"/>
      <c r="F182" s="504"/>
      <c r="G182" s="504"/>
      <c r="H182" s="504"/>
      <c r="I182" s="504"/>
      <c r="J182" s="504"/>
      <c r="K182" s="504"/>
      <c r="L182" s="504"/>
      <c r="M182" s="504"/>
      <c r="N182" s="504"/>
      <c r="O182" s="504"/>
      <c r="P182" s="504"/>
      <c r="Q182" s="504"/>
      <c r="R182" s="504"/>
      <c r="S182" s="504"/>
      <c r="T182" s="504"/>
      <c r="U182" s="504"/>
      <c r="V182" s="504"/>
      <c r="W182" s="504"/>
      <c r="X182" s="504"/>
      <c r="Y182" s="504"/>
      <c r="Z182" s="504"/>
      <c r="AA182" s="504"/>
      <c r="AB182" s="504"/>
      <c r="AC182" s="504"/>
    </row>
    <row r="183" spans="1:29">
      <c r="A183" s="504"/>
      <c r="B183" s="504"/>
      <c r="C183" s="504"/>
      <c r="D183" s="504"/>
      <c r="E183" s="504"/>
      <c r="F183" s="504"/>
      <c r="G183" s="504"/>
      <c r="H183" s="504"/>
      <c r="I183" s="504"/>
      <c r="J183" s="504"/>
      <c r="K183" s="504"/>
      <c r="L183" s="504"/>
      <c r="M183" s="504"/>
      <c r="N183" s="504"/>
      <c r="O183" s="504"/>
      <c r="P183" s="504"/>
      <c r="Q183" s="504"/>
      <c r="R183" s="504"/>
      <c r="S183" s="504"/>
      <c r="T183" s="504"/>
      <c r="U183" s="504"/>
      <c r="V183" s="504"/>
      <c r="W183" s="504"/>
      <c r="X183" s="504"/>
      <c r="Y183" s="504"/>
      <c r="Z183" s="504"/>
      <c r="AA183" s="504"/>
      <c r="AB183" s="504"/>
      <c r="AC183" s="504"/>
    </row>
    <row r="184" spans="1:29">
      <c r="A184" s="504"/>
      <c r="B184" s="504"/>
      <c r="C184" s="504"/>
      <c r="D184" s="504"/>
      <c r="E184" s="504"/>
      <c r="F184" s="504"/>
      <c r="G184" s="504"/>
      <c r="H184" s="504"/>
      <c r="I184" s="504"/>
      <c r="J184" s="504"/>
      <c r="K184" s="504"/>
      <c r="L184" s="504"/>
      <c r="M184" s="504"/>
      <c r="N184" s="504"/>
      <c r="O184" s="504"/>
      <c r="P184" s="504"/>
      <c r="Q184" s="504"/>
      <c r="R184" s="504"/>
      <c r="S184" s="504"/>
      <c r="T184" s="504"/>
      <c r="U184" s="504"/>
      <c r="V184" s="504"/>
      <c r="W184" s="504"/>
      <c r="X184" s="504"/>
      <c r="Y184" s="504"/>
      <c r="Z184" s="504"/>
      <c r="AA184" s="504"/>
      <c r="AB184" s="504"/>
      <c r="AC184" s="504"/>
    </row>
    <row r="185" spans="1:29">
      <c r="A185" s="504"/>
      <c r="B185" s="504"/>
      <c r="C185" s="504"/>
      <c r="D185" s="504"/>
      <c r="E185" s="504"/>
      <c r="F185" s="504"/>
      <c r="G185" s="504"/>
      <c r="H185" s="504"/>
      <c r="I185" s="504"/>
      <c r="J185" s="504"/>
      <c r="K185" s="504"/>
      <c r="L185" s="504"/>
      <c r="M185" s="504"/>
      <c r="N185" s="504"/>
      <c r="O185" s="504"/>
      <c r="P185" s="504"/>
      <c r="Q185" s="504"/>
      <c r="R185" s="504"/>
      <c r="S185" s="504"/>
      <c r="T185" s="504"/>
      <c r="U185" s="504"/>
      <c r="V185" s="504"/>
      <c r="W185" s="504"/>
      <c r="X185" s="504"/>
      <c r="Y185" s="504"/>
      <c r="Z185" s="504"/>
      <c r="AA185" s="504"/>
      <c r="AB185" s="504"/>
      <c r="AC185" s="504"/>
    </row>
    <row r="186" spans="1:29">
      <c r="A186" s="504"/>
      <c r="B186" s="504"/>
      <c r="C186" s="504"/>
      <c r="D186" s="504"/>
      <c r="E186" s="504"/>
      <c r="F186" s="504"/>
      <c r="G186" s="504"/>
      <c r="H186" s="504"/>
      <c r="I186" s="504"/>
      <c r="J186" s="504"/>
      <c r="K186" s="504"/>
      <c r="L186" s="504"/>
      <c r="M186" s="504"/>
      <c r="N186" s="504"/>
      <c r="O186" s="504"/>
      <c r="P186" s="504"/>
      <c r="Q186" s="504"/>
      <c r="R186" s="504"/>
      <c r="S186" s="504"/>
      <c r="T186" s="504"/>
      <c r="U186" s="504"/>
      <c r="V186" s="504"/>
      <c r="W186" s="504"/>
      <c r="X186" s="504"/>
      <c r="Y186" s="504"/>
      <c r="Z186" s="504"/>
      <c r="AA186" s="504"/>
      <c r="AB186" s="504"/>
      <c r="AC186" s="504"/>
    </row>
    <row r="187" spans="1:29">
      <c r="A187" s="504"/>
      <c r="B187" s="504"/>
      <c r="C187" s="504"/>
      <c r="D187" s="504"/>
      <c r="E187" s="504"/>
      <c r="F187" s="504"/>
      <c r="G187" s="504"/>
      <c r="H187" s="504"/>
      <c r="I187" s="504"/>
      <c r="J187" s="504"/>
      <c r="K187" s="504"/>
      <c r="L187" s="504"/>
      <c r="M187" s="504"/>
      <c r="N187" s="504"/>
      <c r="O187" s="504"/>
      <c r="P187" s="504"/>
      <c r="Q187" s="504"/>
      <c r="R187" s="504"/>
      <c r="S187" s="504"/>
      <c r="T187" s="504"/>
      <c r="U187" s="504"/>
      <c r="V187" s="504"/>
      <c r="W187" s="504"/>
      <c r="X187" s="504"/>
      <c r="Y187" s="504"/>
      <c r="Z187" s="504"/>
      <c r="AA187" s="504"/>
      <c r="AB187" s="504"/>
      <c r="AC187" s="504"/>
    </row>
    <row r="188" spans="1:29">
      <c r="A188" s="504"/>
      <c r="B188" s="504"/>
      <c r="C188" s="504"/>
      <c r="D188" s="504"/>
      <c r="E188" s="504"/>
      <c r="F188" s="504"/>
      <c r="G188" s="504"/>
      <c r="H188" s="504"/>
      <c r="I188" s="504"/>
      <c r="J188" s="504"/>
      <c r="K188" s="504"/>
      <c r="L188" s="504"/>
      <c r="M188" s="504"/>
      <c r="N188" s="504"/>
      <c r="O188" s="504"/>
      <c r="P188" s="504"/>
      <c r="Q188" s="504"/>
      <c r="R188" s="504"/>
      <c r="S188" s="504"/>
      <c r="T188" s="504"/>
      <c r="U188" s="504"/>
      <c r="V188" s="504"/>
      <c r="W188" s="504"/>
      <c r="X188" s="504"/>
      <c r="Y188" s="504"/>
      <c r="Z188" s="504"/>
      <c r="AA188" s="504"/>
      <c r="AB188" s="504"/>
      <c r="AC188" s="504"/>
    </row>
    <row r="189" spans="1:29">
      <c r="A189" s="504"/>
      <c r="B189" s="504"/>
      <c r="C189" s="504"/>
      <c r="D189" s="504"/>
      <c r="E189" s="504"/>
      <c r="F189" s="504"/>
      <c r="G189" s="504"/>
      <c r="H189" s="504"/>
      <c r="I189" s="504"/>
      <c r="J189" s="504"/>
      <c r="K189" s="504"/>
      <c r="L189" s="504"/>
      <c r="M189" s="504"/>
      <c r="N189" s="504"/>
      <c r="O189" s="504"/>
      <c r="P189" s="504"/>
      <c r="Q189" s="504"/>
      <c r="R189" s="504"/>
      <c r="S189" s="504"/>
      <c r="T189" s="504"/>
      <c r="U189" s="504"/>
      <c r="V189" s="504"/>
      <c r="W189" s="504"/>
      <c r="X189" s="504"/>
      <c r="Y189" s="504"/>
      <c r="Z189" s="504"/>
      <c r="AA189" s="504"/>
      <c r="AB189" s="504"/>
      <c r="AC189" s="504"/>
    </row>
    <row r="190" spans="1:29">
      <c r="A190" s="504"/>
      <c r="B190" s="504"/>
      <c r="C190" s="504"/>
      <c r="D190" s="504"/>
      <c r="E190" s="504"/>
      <c r="F190" s="504"/>
      <c r="G190" s="504"/>
      <c r="H190" s="504"/>
      <c r="I190" s="504"/>
      <c r="J190" s="504"/>
      <c r="K190" s="504"/>
      <c r="L190" s="504"/>
      <c r="M190" s="504"/>
      <c r="N190" s="504"/>
      <c r="O190" s="504"/>
      <c r="P190" s="504"/>
      <c r="Q190" s="504"/>
      <c r="R190" s="504"/>
      <c r="S190" s="504"/>
      <c r="T190" s="504"/>
      <c r="U190" s="504"/>
      <c r="V190" s="504"/>
      <c r="W190" s="504"/>
      <c r="X190" s="504"/>
      <c r="Y190" s="504"/>
      <c r="Z190" s="504"/>
      <c r="AA190" s="504"/>
      <c r="AB190" s="504"/>
      <c r="AC190" s="504"/>
    </row>
    <row r="191" spans="1:29">
      <c r="A191" s="504"/>
      <c r="B191" s="504"/>
      <c r="C191" s="504"/>
      <c r="D191" s="504"/>
      <c r="E191" s="504"/>
      <c r="F191" s="504"/>
      <c r="G191" s="504"/>
      <c r="H191" s="504"/>
      <c r="I191" s="504"/>
      <c r="J191" s="504"/>
      <c r="K191" s="504"/>
      <c r="L191" s="504"/>
      <c r="M191" s="504"/>
      <c r="N191" s="504"/>
      <c r="O191" s="504"/>
      <c r="P191" s="504"/>
      <c r="Q191" s="504"/>
      <c r="R191" s="504"/>
      <c r="S191" s="504"/>
      <c r="T191" s="504"/>
      <c r="U191" s="504"/>
      <c r="V191" s="504"/>
      <c r="W191" s="504"/>
      <c r="X191" s="504"/>
      <c r="Y191" s="504"/>
      <c r="Z191" s="504"/>
      <c r="AA191" s="504"/>
      <c r="AB191" s="504"/>
      <c r="AC191" s="504"/>
    </row>
    <row r="192" spans="1:29">
      <c r="A192" s="504"/>
      <c r="B192" s="504"/>
      <c r="C192" s="504"/>
      <c r="D192" s="504"/>
      <c r="E192" s="504"/>
      <c r="F192" s="504"/>
      <c r="G192" s="504"/>
      <c r="H192" s="504"/>
      <c r="I192" s="504"/>
      <c r="J192" s="504"/>
      <c r="K192" s="504"/>
      <c r="L192" s="504"/>
      <c r="M192" s="504"/>
      <c r="N192" s="504"/>
      <c r="O192" s="504"/>
      <c r="P192" s="504"/>
      <c r="Q192" s="504"/>
      <c r="R192" s="504"/>
      <c r="S192" s="504"/>
      <c r="T192" s="504"/>
      <c r="U192" s="504"/>
      <c r="V192" s="504"/>
      <c r="W192" s="504"/>
      <c r="X192" s="504"/>
      <c r="Y192" s="504"/>
      <c r="Z192" s="504"/>
      <c r="AA192" s="504"/>
      <c r="AB192" s="504"/>
      <c r="AC192" s="504"/>
    </row>
    <row r="193" spans="1:29">
      <c r="A193" s="504"/>
      <c r="B193" s="504"/>
      <c r="C193" s="504"/>
      <c r="D193" s="504"/>
      <c r="E193" s="504"/>
      <c r="F193" s="504"/>
      <c r="G193" s="504"/>
      <c r="H193" s="504"/>
      <c r="I193" s="504"/>
      <c r="J193" s="504"/>
      <c r="K193" s="504"/>
      <c r="L193" s="504"/>
      <c r="M193" s="504"/>
      <c r="N193" s="504"/>
      <c r="O193" s="504"/>
      <c r="P193" s="504"/>
      <c r="Q193" s="504"/>
      <c r="R193" s="504"/>
      <c r="S193" s="504"/>
      <c r="T193" s="504"/>
      <c r="U193" s="504"/>
      <c r="V193" s="504"/>
      <c r="W193" s="504"/>
      <c r="X193" s="504"/>
      <c r="Y193" s="504"/>
      <c r="Z193" s="504"/>
      <c r="AA193" s="504"/>
      <c r="AB193" s="504"/>
      <c r="AC193" s="504"/>
    </row>
    <row r="194" spans="1:29">
      <c r="A194" s="504"/>
      <c r="B194" s="504"/>
      <c r="C194" s="504"/>
      <c r="D194" s="504"/>
      <c r="E194" s="504"/>
      <c r="F194" s="504"/>
      <c r="G194" s="504"/>
      <c r="H194" s="504"/>
      <c r="I194" s="504"/>
      <c r="J194" s="504"/>
      <c r="K194" s="504"/>
      <c r="L194" s="504"/>
      <c r="M194" s="504"/>
      <c r="N194" s="504"/>
      <c r="O194" s="504"/>
      <c r="P194" s="504"/>
      <c r="Q194" s="504"/>
      <c r="R194" s="504"/>
      <c r="S194" s="504"/>
      <c r="T194" s="504"/>
      <c r="U194" s="504"/>
      <c r="V194" s="504"/>
      <c r="W194" s="504"/>
      <c r="X194" s="504"/>
      <c r="Y194" s="504"/>
      <c r="Z194" s="504"/>
      <c r="AA194" s="504"/>
      <c r="AB194" s="504"/>
      <c r="AC194" s="504"/>
    </row>
    <row r="195" spans="1:29">
      <c r="A195" s="504"/>
      <c r="B195" s="504"/>
      <c r="C195" s="504"/>
      <c r="D195" s="504"/>
      <c r="E195" s="504"/>
      <c r="F195" s="504"/>
      <c r="G195" s="504"/>
      <c r="H195" s="504"/>
      <c r="I195" s="504"/>
      <c r="J195" s="504"/>
      <c r="K195" s="504"/>
      <c r="L195" s="504"/>
      <c r="M195" s="504"/>
      <c r="N195" s="504"/>
      <c r="O195" s="504"/>
      <c r="P195" s="504"/>
      <c r="Q195" s="504"/>
      <c r="R195" s="504"/>
      <c r="S195" s="504"/>
      <c r="T195" s="504"/>
      <c r="U195" s="504"/>
      <c r="V195" s="504"/>
      <c r="W195" s="504"/>
      <c r="X195" s="504"/>
      <c r="Y195" s="504"/>
      <c r="Z195" s="504"/>
      <c r="AA195" s="504"/>
      <c r="AB195" s="504"/>
      <c r="AC195" s="504"/>
    </row>
    <row r="196" spans="1:29">
      <c r="A196" s="504"/>
      <c r="B196" s="504"/>
      <c r="C196" s="504"/>
      <c r="D196" s="504"/>
      <c r="E196" s="504"/>
      <c r="F196" s="504"/>
      <c r="G196" s="504"/>
      <c r="H196" s="504"/>
      <c r="I196" s="504"/>
      <c r="J196" s="504"/>
      <c r="K196" s="504"/>
      <c r="L196" s="504"/>
      <c r="M196" s="504"/>
      <c r="N196" s="504"/>
      <c r="O196" s="504"/>
      <c r="P196" s="504"/>
      <c r="Q196" s="504"/>
      <c r="R196" s="504"/>
      <c r="S196" s="504"/>
      <c r="T196" s="504"/>
      <c r="U196" s="504"/>
      <c r="V196" s="504"/>
      <c r="W196" s="504"/>
      <c r="X196" s="504"/>
      <c r="Y196" s="504"/>
      <c r="Z196" s="504"/>
      <c r="AA196" s="504"/>
      <c r="AB196" s="504"/>
      <c r="AC196" s="504"/>
    </row>
    <row r="197" spans="1:29">
      <c r="A197" s="504"/>
      <c r="B197" s="504"/>
      <c r="C197" s="504"/>
      <c r="D197" s="504"/>
      <c r="E197" s="504"/>
      <c r="F197" s="504"/>
      <c r="G197" s="504"/>
      <c r="H197" s="504"/>
      <c r="I197" s="504"/>
      <c r="J197" s="504"/>
      <c r="K197" s="504"/>
      <c r="L197" s="504"/>
      <c r="M197" s="504"/>
      <c r="N197" s="504"/>
      <c r="O197" s="504"/>
      <c r="P197" s="504"/>
      <c r="Q197" s="504"/>
      <c r="R197" s="504"/>
      <c r="S197" s="504"/>
      <c r="T197" s="504"/>
      <c r="U197" s="504"/>
      <c r="V197" s="504"/>
      <c r="W197" s="504"/>
      <c r="X197" s="504"/>
      <c r="Y197" s="504"/>
      <c r="Z197" s="504"/>
      <c r="AA197" s="504"/>
      <c r="AB197" s="504"/>
      <c r="AC197" s="504"/>
    </row>
    <row r="198" spans="1:29">
      <c r="A198" s="504"/>
      <c r="B198" s="504"/>
      <c r="C198" s="504"/>
      <c r="D198" s="504"/>
      <c r="E198" s="504"/>
      <c r="F198" s="504"/>
      <c r="G198" s="504"/>
      <c r="H198" s="504"/>
      <c r="I198" s="504"/>
      <c r="J198" s="504"/>
      <c r="K198" s="504"/>
      <c r="L198" s="504"/>
      <c r="M198" s="504"/>
      <c r="N198" s="504"/>
      <c r="O198" s="504"/>
      <c r="P198" s="504"/>
      <c r="Q198" s="504"/>
      <c r="R198" s="504"/>
      <c r="S198" s="504"/>
      <c r="T198" s="504"/>
      <c r="U198" s="504"/>
      <c r="V198" s="504"/>
      <c r="W198" s="504"/>
      <c r="X198" s="504"/>
      <c r="Y198" s="504"/>
      <c r="Z198" s="504"/>
      <c r="AA198" s="504"/>
      <c r="AB198" s="504"/>
      <c r="AC198" s="504"/>
    </row>
    <row r="199" spans="1:29">
      <c r="A199" s="504"/>
      <c r="B199" s="504"/>
      <c r="C199" s="504"/>
      <c r="D199" s="504"/>
      <c r="E199" s="504"/>
      <c r="F199" s="504"/>
      <c r="G199" s="504"/>
      <c r="H199" s="504"/>
      <c r="I199" s="504"/>
      <c r="J199" s="504"/>
      <c r="K199" s="504"/>
      <c r="L199" s="504"/>
      <c r="M199" s="504"/>
      <c r="N199" s="504"/>
      <c r="O199" s="504"/>
      <c r="P199" s="504"/>
      <c r="Q199" s="504"/>
      <c r="R199" s="504"/>
      <c r="S199" s="504"/>
      <c r="T199" s="504"/>
      <c r="U199" s="504"/>
      <c r="V199" s="504"/>
      <c r="W199" s="504"/>
      <c r="X199" s="504"/>
      <c r="Y199" s="504"/>
      <c r="Z199" s="504"/>
      <c r="AA199" s="504"/>
      <c r="AB199" s="504"/>
      <c r="AC199" s="504"/>
    </row>
    <row r="200" spans="1:29">
      <c r="A200" s="504"/>
      <c r="B200" s="504"/>
      <c r="C200" s="504"/>
      <c r="D200" s="504"/>
      <c r="E200" s="504"/>
      <c r="F200" s="504"/>
      <c r="G200" s="504"/>
      <c r="H200" s="504"/>
      <c r="I200" s="504"/>
      <c r="J200" s="504"/>
      <c r="K200" s="504"/>
      <c r="L200" s="504"/>
      <c r="M200" s="504"/>
      <c r="N200" s="504"/>
      <c r="O200" s="504"/>
      <c r="P200" s="504"/>
      <c r="Q200" s="504"/>
      <c r="R200" s="504"/>
      <c r="S200" s="504"/>
      <c r="T200" s="504"/>
      <c r="U200" s="504"/>
      <c r="V200" s="504"/>
      <c r="W200" s="504"/>
      <c r="X200" s="504"/>
      <c r="Y200" s="504"/>
      <c r="Z200" s="504"/>
      <c r="AA200" s="504"/>
      <c r="AB200" s="504"/>
      <c r="AC200" s="504"/>
    </row>
    <row r="201" spans="1:29">
      <c r="A201" s="504"/>
      <c r="B201" s="504"/>
      <c r="C201" s="504"/>
      <c r="D201" s="504"/>
      <c r="E201" s="504"/>
      <c r="F201" s="504"/>
      <c r="G201" s="504"/>
      <c r="H201" s="504"/>
      <c r="I201" s="504"/>
      <c r="J201" s="504"/>
      <c r="K201" s="504"/>
      <c r="L201" s="504"/>
      <c r="M201" s="504"/>
      <c r="N201" s="504"/>
      <c r="O201" s="504"/>
      <c r="P201" s="504"/>
      <c r="Q201" s="504"/>
      <c r="R201" s="504"/>
      <c r="S201" s="504"/>
      <c r="T201" s="504"/>
      <c r="U201" s="504"/>
      <c r="V201" s="504"/>
      <c r="W201" s="504"/>
      <c r="X201" s="504"/>
      <c r="Y201" s="504"/>
      <c r="Z201" s="504"/>
      <c r="AA201" s="504"/>
      <c r="AB201" s="504"/>
      <c r="AC201" s="504"/>
    </row>
    <row r="202" spans="1:29">
      <c r="A202" s="504"/>
      <c r="B202" s="504"/>
      <c r="C202" s="504"/>
      <c r="D202" s="504"/>
      <c r="E202" s="504"/>
      <c r="F202" s="504"/>
      <c r="G202" s="504"/>
      <c r="H202" s="504"/>
      <c r="I202" s="504"/>
      <c r="J202" s="504"/>
      <c r="K202" s="504"/>
      <c r="L202" s="504"/>
      <c r="M202" s="504"/>
      <c r="N202" s="504"/>
      <c r="O202" s="504"/>
      <c r="P202" s="504"/>
      <c r="Q202" s="504"/>
      <c r="R202" s="504"/>
      <c r="S202" s="504"/>
      <c r="T202" s="504"/>
      <c r="U202" s="504"/>
      <c r="V202" s="504"/>
      <c r="W202" s="504"/>
      <c r="X202" s="504"/>
      <c r="Y202" s="504"/>
      <c r="Z202" s="504"/>
      <c r="AA202" s="504"/>
      <c r="AB202" s="504"/>
      <c r="AC202" s="504"/>
    </row>
    <row r="203" spans="1:29">
      <c r="A203" s="504"/>
      <c r="B203" s="504"/>
      <c r="C203" s="504"/>
      <c r="D203" s="504"/>
      <c r="E203" s="504"/>
      <c r="F203" s="504"/>
      <c r="G203" s="504"/>
      <c r="H203" s="504"/>
      <c r="I203" s="504"/>
      <c r="J203" s="504"/>
      <c r="K203" s="504"/>
      <c r="L203" s="504"/>
      <c r="M203" s="504"/>
      <c r="N203" s="504"/>
      <c r="O203" s="504"/>
      <c r="P203" s="504"/>
      <c r="Q203" s="504"/>
      <c r="R203" s="504"/>
      <c r="S203" s="504"/>
      <c r="T203" s="504"/>
      <c r="U203" s="504"/>
      <c r="V203" s="504"/>
      <c r="W203" s="504"/>
      <c r="X203" s="504"/>
      <c r="Y203" s="504"/>
      <c r="Z203" s="504"/>
      <c r="AA203" s="504"/>
      <c r="AB203" s="504"/>
      <c r="AC203" s="504"/>
    </row>
    <row r="204" spans="1:29">
      <c r="A204" s="504"/>
      <c r="B204" s="504"/>
      <c r="C204" s="504"/>
      <c r="D204" s="504"/>
      <c r="E204" s="504"/>
      <c r="F204" s="504"/>
      <c r="G204" s="504"/>
      <c r="H204" s="504"/>
      <c r="I204" s="504"/>
      <c r="J204" s="504"/>
      <c r="K204" s="504"/>
      <c r="L204" s="504"/>
      <c r="M204" s="504"/>
      <c r="N204" s="504"/>
      <c r="O204" s="504"/>
      <c r="P204" s="504"/>
      <c r="Q204" s="504"/>
      <c r="R204" s="504"/>
      <c r="S204" s="504"/>
      <c r="T204" s="504"/>
      <c r="U204" s="504"/>
      <c r="V204" s="504"/>
      <c r="W204" s="504"/>
      <c r="X204" s="504"/>
      <c r="Y204" s="504"/>
      <c r="Z204" s="504"/>
      <c r="AA204" s="504"/>
      <c r="AB204" s="504"/>
      <c r="AC204" s="504"/>
    </row>
    <row r="205" spans="1:29">
      <c r="A205" s="504"/>
      <c r="B205" s="504"/>
      <c r="C205" s="504"/>
      <c r="D205" s="504"/>
      <c r="E205" s="504"/>
      <c r="F205" s="504"/>
      <c r="G205" s="504"/>
      <c r="H205" s="504"/>
      <c r="I205" s="504"/>
      <c r="J205" s="504"/>
      <c r="K205" s="504"/>
      <c r="L205" s="504"/>
      <c r="M205" s="504"/>
      <c r="N205" s="504"/>
      <c r="O205" s="504"/>
      <c r="P205" s="504"/>
      <c r="Q205" s="504"/>
      <c r="R205" s="504"/>
      <c r="S205" s="504"/>
      <c r="T205" s="504"/>
      <c r="U205" s="504"/>
      <c r="V205" s="504"/>
      <c r="W205" s="504"/>
      <c r="X205" s="504"/>
      <c r="Y205" s="504"/>
      <c r="Z205" s="504"/>
      <c r="AA205" s="504"/>
      <c r="AB205" s="504"/>
      <c r="AC205" s="504"/>
    </row>
    <row r="206" spans="1:29">
      <c r="A206" s="504"/>
      <c r="B206" s="504"/>
      <c r="C206" s="504"/>
      <c r="D206" s="504"/>
      <c r="E206" s="504"/>
      <c r="F206" s="504"/>
      <c r="G206" s="504"/>
      <c r="H206" s="504"/>
      <c r="I206" s="504"/>
      <c r="J206" s="504"/>
      <c r="K206" s="504"/>
      <c r="L206" s="504"/>
      <c r="M206" s="504"/>
      <c r="N206" s="504"/>
      <c r="O206" s="504"/>
      <c r="P206" s="504"/>
      <c r="Q206" s="504"/>
      <c r="R206" s="504"/>
      <c r="S206" s="504"/>
      <c r="T206" s="504"/>
      <c r="U206" s="504"/>
      <c r="V206" s="504"/>
      <c r="W206" s="504"/>
      <c r="X206" s="504"/>
      <c r="Y206" s="504"/>
      <c r="Z206" s="504"/>
      <c r="AA206" s="504"/>
      <c r="AB206" s="504"/>
      <c r="AC206" s="504"/>
    </row>
    <row r="207" spans="1:29">
      <c r="A207" s="504"/>
      <c r="B207" s="504"/>
      <c r="C207" s="504"/>
      <c r="D207" s="504"/>
      <c r="E207" s="504"/>
      <c r="F207" s="504"/>
      <c r="G207" s="504"/>
      <c r="H207" s="504"/>
      <c r="I207" s="504"/>
      <c r="J207" s="504"/>
      <c r="K207" s="504"/>
      <c r="L207" s="504"/>
      <c r="M207" s="504"/>
      <c r="N207" s="504"/>
      <c r="O207" s="504"/>
      <c r="P207" s="504"/>
      <c r="Q207" s="504"/>
      <c r="R207" s="504"/>
      <c r="S207" s="504"/>
      <c r="T207" s="504"/>
      <c r="U207" s="504"/>
      <c r="V207" s="504"/>
      <c r="W207" s="504"/>
      <c r="X207" s="504"/>
      <c r="Y207" s="504"/>
      <c r="Z207" s="504"/>
      <c r="AA207" s="504"/>
      <c r="AB207" s="504"/>
      <c r="AC207" s="504"/>
    </row>
    <row r="208" spans="1:29">
      <c r="A208" s="504"/>
      <c r="B208" s="504"/>
      <c r="C208" s="504"/>
      <c r="D208" s="504"/>
      <c r="E208" s="504"/>
      <c r="F208" s="504"/>
      <c r="G208" s="504"/>
      <c r="H208" s="504"/>
      <c r="I208" s="504"/>
      <c r="J208" s="504"/>
      <c r="K208" s="504"/>
      <c r="L208" s="504"/>
      <c r="M208" s="504"/>
      <c r="N208" s="504"/>
      <c r="O208" s="504"/>
      <c r="P208" s="504"/>
      <c r="Q208" s="504"/>
      <c r="R208" s="504"/>
      <c r="S208" s="504"/>
      <c r="T208" s="504"/>
      <c r="U208" s="504"/>
      <c r="V208" s="504"/>
      <c r="W208" s="504"/>
      <c r="X208" s="504"/>
      <c r="Y208" s="504"/>
      <c r="Z208" s="504"/>
      <c r="AA208" s="504"/>
      <c r="AB208" s="504"/>
      <c r="AC208" s="504"/>
    </row>
    <row r="209" spans="1:29">
      <c r="A209" s="504"/>
      <c r="B209" s="504"/>
      <c r="C209" s="504"/>
      <c r="D209" s="504"/>
      <c r="E209" s="504"/>
      <c r="F209" s="504"/>
      <c r="G209" s="504"/>
      <c r="H209" s="504"/>
      <c r="I209" s="504"/>
      <c r="J209" s="504"/>
      <c r="K209" s="504"/>
      <c r="L209" s="504"/>
      <c r="M209" s="504"/>
      <c r="N209" s="504"/>
      <c r="O209" s="504"/>
      <c r="P209" s="504"/>
      <c r="Q209" s="504"/>
      <c r="R209" s="504"/>
      <c r="S209" s="504"/>
      <c r="T209" s="504"/>
      <c r="U209" s="504"/>
      <c r="V209" s="504"/>
      <c r="W209" s="504"/>
      <c r="X209" s="504"/>
      <c r="Y209" s="504"/>
      <c r="Z209" s="504"/>
      <c r="AA209" s="504"/>
      <c r="AB209" s="504"/>
      <c r="AC209" s="504"/>
    </row>
    <row r="210" spans="1:29">
      <c r="A210" s="504"/>
      <c r="B210" s="504"/>
      <c r="C210" s="504"/>
      <c r="D210" s="504"/>
      <c r="E210" s="504"/>
      <c r="F210" s="504"/>
      <c r="G210" s="504"/>
      <c r="H210" s="504"/>
      <c r="I210" s="504"/>
      <c r="J210" s="504"/>
      <c r="K210" s="504"/>
      <c r="L210" s="504"/>
      <c r="M210" s="504"/>
      <c r="N210" s="504"/>
      <c r="O210" s="504"/>
      <c r="P210" s="504"/>
      <c r="Q210" s="504"/>
      <c r="R210" s="504"/>
      <c r="S210" s="504"/>
      <c r="T210" s="504"/>
      <c r="U210" s="504"/>
      <c r="V210" s="504"/>
      <c r="W210" s="504"/>
      <c r="X210" s="504"/>
      <c r="Y210" s="504"/>
      <c r="Z210" s="504"/>
      <c r="AA210" s="504"/>
      <c r="AB210" s="504"/>
      <c r="AC210" s="504"/>
    </row>
    <row r="211" spans="1:29">
      <c r="A211" s="504"/>
      <c r="B211" s="504"/>
      <c r="C211" s="504"/>
      <c r="D211" s="504"/>
      <c r="E211" s="504"/>
      <c r="F211" s="504"/>
      <c r="G211" s="504"/>
      <c r="H211" s="504"/>
      <c r="I211" s="504"/>
      <c r="J211" s="504"/>
      <c r="K211" s="504"/>
      <c r="L211" s="504"/>
      <c r="M211" s="504"/>
      <c r="N211" s="504"/>
      <c r="O211" s="504"/>
      <c r="P211" s="504"/>
      <c r="Q211" s="504"/>
      <c r="R211" s="504"/>
      <c r="S211" s="504"/>
      <c r="T211" s="504"/>
      <c r="U211" s="504"/>
      <c r="V211" s="504"/>
      <c r="W211" s="504"/>
      <c r="X211" s="504"/>
      <c r="Y211" s="504"/>
      <c r="Z211" s="504"/>
      <c r="AA211" s="504"/>
      <c r="AB211" s="504"/>
      <c r="AC211" s="504"/>
    </row>
    <row r="212" spans="1:29">
      <c r="A212" s="504"/>
      <c r="B212" s="504"/>
      <c r="C212" s="504"/>
      <c r="D212" s="504"/>
      <c r="E212" s="504"/>
      <c r="F212" s="504"/>
      <c r="G212" s="504"/>
      <c r="H212" s="504"/>
      <c r="I212" s="504"/>
      <c r="J212" s="504"/>
      <c r="K212" s="504"/>
      <c r="L212" s="504"/>
      <c r="M212" s="504"/>
      <c r="N212" s="504"/>
      <c r="O212" s="504"/>
      <c r="P212" s="504"/>
      <c r="Q212" s="504"/>
      <c r="R212" s="504"/>
      <c r="S212" s="504"/>
      <c r="T212" s="504"/>
      <c r="U212" s="504"/>
      <c r="V212" s="504"/>
      <c r="W212" s="504"/>
      <c r="X212" s="504"/>
      <c r="Y212" s="504"/>
      <c r="Z212" s="504"/>
      <c r="AA212" s="504"/>
      <c r="AB212" s="504"/>
      <c r="AC212" s="504"/>
    </row>
    <row r="213" spans="1:29">
      <c r="A213" s="504"/>
      <c r="B213" s="504"/>
      <c r="C213" s="504"/>
      <c r="D213" s="504"/>
      <c r="E213" s="504"/>
      <c r="F213" s="504"/>
      <c r="G213" s="504"/>
      <c r="H213" s="504"/>
      <c r="I213" s="504"/>
      <c r="J213" s="504"/>
      <c r="K213" s="504"/>
      <c r="L213" s="504"/>
      <c r="M213" s="504"/>
      <c r="N213" s="504"/>
      <c r="O213" s="504"/>
      <c r="P213" s="504"/>
      <c r="Q213" s="504"/>
      <c r="R213" s="504"/>
      <c r="S213" s="504"/>
      <c r="T213" s="504"/>
      <c r="U213" s="504"/>
      <c r="V213" s="504"/>
      <c r="W213" s="504"/>
      <c r="X213" s="504"/>
      <c r="Y213" s="504"/>
      <c r="Z213" s="504"/>
      <c r="AA213" s="504"/>
      <c r="AB213" s="504"/>
      <c r="AC213" s="504"/>
    </row>
    <row r="214" spans="1:29">
      <c r="A214" s="504"/>
      <c r="B214" s="504"/>
      <c r="C214" s="504"/>
      <c r="D214" s="504"/>
      <c r="E214" s="504"/>
      <c r="F214" s="504"/>
      <c r="G214" s="504"/>
      <c r="H214" s="504"/>
      <c r="I214" s="504"/>
      <c r="J214" s="504"/>
      <c r="K214" s="504"/>
      <c r="L214" s="504"/>
      <c r="M214" s="504"/>
      <c r="N214" s="504"/>
      <c r="O214" s="504"/>
      <c r="P214" s="504"/>
      <c r="Q214" s="504"/>
      <c r="R214" s="504"/>
      <c r="S214" s="504"/>
      <c r="T214" s="504"/>
      <c r="U214" s="504"/>
      <c r="V214" s="504"/>
      <c r="W214" s="504"/>
      <c r="X214" s="504"/>
      <c r="Y214" s="504"/>
      <c r="Z214" s="504"/>
      <c r="AA214" s="504"/>
      <c r="AB214" s="504"/>
      <c r="AC214" s="504"/>
    </row>
    <row r="215" spans="1:29">
      <c r="A215" s="504"/>
      <c r="B215" s="504"/>
      <c r="C215" s="504"/>
      <c r="D215" s="504"/>
      <c r="E215" s="504"/>
      <c r="F215" s="504"/>
      <c r="G215" s="504"/>
      <c r="H215" s="504"/>
      <c r="I215" s="504"/>
      <c r="J215" s="504"/>
      <c r="K215" s="504"/>
      <c r="L215" s="504"/>
      <c r="M215" s="504"/>
      <c r="N215" s="504"/>
      <c r="O215" s="504"/>
      <c r="P215" s="504"/>
      <c r="Q215" s="504"/>
      <c r="R215" s="504"/>
      <c r="S215" s="504"/>
      <c r="T215" s="504"/>
      <c r="U215" s="504"/>
      <c r="V215" s="504"/>
      <c r="W215" s="504"/>
      <c r="X215" s="504"/>
      <c r="Y215" s="504"/>
      <c r="Z215" s="504"/>
      <c r="AA215" s="504"/>
      <c r="AB215" s="504"/>
      <c r="AC215" s="504"/>
    </row>
    <row r="216" spans="1:29">
      <c r="A216" s="504"/>
      <c r="B216" s="504"/>
      <c r="C216" s="504"/>
      <c r="D216" s="504"/>
      <c r="E216" s="504"/>
      <c r="F216" s="504"/>
      <c r="G216" s="504"/>
      <c r="H216" s="504"/>
      <c r="I216" s="504"/>
      <c r="J216" s="504"/>
      <c r="K216" s="504"/>
      <c r="L216" s="504"/>
      <c r="M216" s="504"/>
      <c r="N216" s="504"/>
      <c r="O216" s="504"/>
      <c r="P216" s="504"/>
      <c r="Q216" s="504"/>
      <c r="R216" s="504"/>
      <c r="S216" s="504"/>
      <c r="T216" s="504"/>
      <c r="U216" s="504"/>
      <c r="V216" s="504"/>
      <c r="W216" s="504"/>
      <c r="X216" s="504"/>
      <c r="Y216" s="504"/>
      <c r="Z216" s="504"/>
      <c r="AA216" s="504"/>
      <c r="AB216" s="504"/>
      <c r="AC216" s="504"/>
    </row>
    <row r="217" spans="1:29">
      <c r="A217" s="504"/>
      <c r="B217" s="504"/>
      <c r="C217" s="504"/>
      <c r="D217" s="504"/>
      <c r="E217" s="504"/>
      <c r="F217" s="504"/>
      <c r="G217" s="504"/>
      <c r="H217" s="504"/>
      <c r="I217" s="504"/>
      <c r="J217" s="504"/>
      <c r="K217" s="504"/>
      <c r="L217" s="504"/>
      <c r="M217" s="504"/>
      <c r="N217" s="504"/>
      <c r="O217" s="504"/>
      <c r="P217" s="504"/>
      <c r="Q217" s="504"/>
      <c r="R217" s="504"/>
      <c r="S217" s="504"/>
      <c r="T217" s="504"/>
      <c r="U217" s="504"/>
      <c r="V217" s="504"/>
      <c r="W217" s="504"/>
      <c r="X217" s="504"/>
      <c r="Y217" s="504"/>
      <c r="Z217" s="504"/>
      <c r="AA217" s="504"/>
      <c r="AB217" s="504"/>
      <c r="AC217" s="504"/>
    </row>
    <row r="218" spans="1:29">
      <c r="A218" s="504"/>
      <c r="B218" s="504"/>
      <c r="C218" s="504"/>
      <c r="D218" s="504"/>
      <c r="E218" s="504"/>
      <c r="F218" s="504"/>
      <c r="G218" s="504"/>
      <c r="H218" s="504"/>
      <c r="I218" s="504"/>
      <c r="J218" s="504"/>
      <c r="K218" s="504"/>
      <c r="L218" s="504"/>
      <c r="M218" s="504"/>
      <c r="N218" s="504"/>
      <c r="O218" s="504"/>
      <c r="P218" s="504"/>
      <c r="Q218" s="504"/>
      <c r="R218" s="504"/>
      <c r="S218" s="504"/>
      <c r="T218" s="504"/>
      <c r="U218" s="504"/>
      <c r="V218" s="504"/>
      <c r="W218" s="504"/>
      <c r="X218" s="504"/>
      <c r="Y218" s="504"/>
      <c r="Z218" s="504"/>
      <c r="AA218" s="504"/>
      <c r="AB218" s="504"/>
      <c r="AC218" s="504"/>
    </row>
    <row r="219" spans="1:29">
      <c r="A219" s="504"/>
      <c r="B219" s="504"/>
      <c r="C219" s="504"/>
      <c r="D219" s="504"/>
      <c r="E219" s="504"/>
      <c r="F219" s="504"/>
      <c r="G219" s="504"/>
      <c r="H219" s="504"/>
      <c r="I219" s="504"/>
      <c r="J219" s="504"/>
      <c r="K219" s="504"/>
      <c r="L219" s="504"/>
      <c r="M219" s="504"/>
      <c r="N219" s="504"/>
      <c r="O219" s="504"/>
      <c r="P219" s="504"/>
      <c r="Q219" s="504"/>
      <c r="R219" s="504"/>
      <c r="S219" s="504"/>
      <c r="T219" s="504"/>
      <c r="U219" s="504"/>
      <c r="V219" s="504"/>
      <c r="W219" s="504"/>
      <c r="X219" s="504"/>
      <c r="Y219" s="504"/>
      <c r="Z219" s="504"/>
      <c r="AA219" s="504"/>
      <c r="AB219" s="504"/>
      <c r="AC219" s="504"/>
    </row>
    <row r="220" spans="1:29">
      <c r="A220" s="504"/>
      <c r="B220" s="504"/>
      <c r="C220" s="504"/>
      <c r="D220" s="504"/>
      <c r="E220" s="504"/>
      <c r="F220" s="504"/>
      <c r="G220" s="504"/>
      <c r="H220" s="504"/>
      <c r="I220" s="504"/>
      <c r="J220" s="504"/>
      <c r="K220" s="504"/>
      <c r="L220" s="504"/>
      <c r="M220" s="504"/>
      <c r="N220" s="504"/>
      <c r="O220" s="504"/>
      <c r="P220" s="504"/>
      <c r="Q220" s="504"/>
      <c r="R220" s="504"/>
      <c r="S220" s="504"/>
      <c r="T220" s="504"/>
      <c r="U220" s="504"/>
      <c r="V220" s="504"/>
      <c r="W220" s="504"/>
      <c r="X220" s="504"/>
      <c r="Y220" s="504"/>
      <c r="Z220" s="504"/>
      <c r="AA220" s="504"/>
      <c r="AB220" s="504"/>
      <c r="AC220" s="504"/>
    </row>
    <row r="221" spans="1:29">
      <c r="A221" s="504"/>
      <c r="B221" s="504"/>
      <c r="C221" s="504"/>
      <c r="D221" s="504"/>
      <c r="E221" s="504"/>
      <c r="F221" s="504"/>
      <c r="G221" s="504"/>
      <c r="H221" s="504"/>
      <c r="I221" s="504"/>
      <c r="J221" s="504"/>
      <c r="K221" s="504"/>
      <c r="L221" s="504"/>
      <c r="M221" s="504"/>
      <c r="N221" s="504"/>
      <c r="O221" s="504"/>
      <c r="P221" s="504"/>
      <c r="Q221" s="504"/>
      <c r="R221" s="504"/>
      <c r="S221" s="504"/>
      <c r="T221" s="504"/>
      <c r="U221" s="504"/>
      <c r="V221" s="504"/>
      <c r="W221" s="504"/>
      <c r="X221" s="504"/>
      <c r="Y221" s="504"/>
      <c r="Z221" s="504"/>
      <c r="AA221" s="504"/>
      <c r="AB221" s="504"/>
      <c r="AC221" s="504"/>
    </row>
    <row r="222" spans="1:29">
      <c r="A222" s="504"/>
      <c r="B222" s="504"/>
      <c r="C222" s="504"/>
      <c r="D222" s="504"/>
      <c r="E222" s="504"/>
      <c r="F222" s="504"/>
      <c r="G222" s="504"/>
      <c r="H222" s="504"/>
      <c r="I222" s="504"/>
      <c r="J222" s="504"/>
      <c r="K222" s="504"/>
      <c r="L222" s="504"/>
      <c r="M222" s="504"/>
      <c r="N222" s="504"/>
      <c r="O222" s="504"/>
      <c r="P222" s="504"/>
      <c r="Q222" s="504"/>
      <c r="R222" s="504"/>
      <c r="S222" s="504"/>
      <c r="T222" s="504"/>
      <c r="U222" s="504"/>
      <c r="V222" s="504"/>
      <c r="W222" s="504"/>
      <c r="X222" s="504"/>
      <c r="Y222" s="504"/>
      <c r="Z222" s="504"/>
      <c r="AA222" s="504"/>
      <c r="AB222" s="504"/>
      <c r="AC222" s="504"/>
    </row>
    <row r="223" spans="1:29">
      <c r="A223" s="504"/>
      <c r="B223" s="504"/>
      <c r="C223" s="504"/>
      <c r="D223" s="504"/>
      <c r="E223" s="504"/>
      <c r="F223" s="504"/>
      <c r="G223" s="504"/>
      <c r="H223" s="504"/>
      <c r="I223" s="504"/>
      <c r="J223" s="504"/>
      <c r="K223" s="504"/>
      <c r="L223" s="504"/>
      <c r="M223" s="504"/>
      <c r="N223" s="504"/>
      <c r="O223" s="504"/>
      <c r="P223" s="504"/>
      <c r="Q223" s="504"/>
      <c r="R223" s="504"/>
      <c r="S223" s="504"/>
      <c r="T223" s="504"/>
      <c r="U223" s="504"/>
      <c r="V223" s="504"/>
      <c r="W223" s="504"/>
      <c r="X223" s="504"/>
      <c r="Y223" s="504"/>
      <c r="Z223" s="504"/>
      <c r="AA223" s="504"/>
      <c r="AB223" s="504"/>
      <c r="AC223" s="504"/>
    </row>
    <row r="224" spans="1:29">
      <c r="A224" s="504"/>
      <c r="B224" s="504"/>
      <c r="C224" s="504"/>
      <c r="D224" s="504"/>
      <c r="E224" s="504"/>
      <c r="F224" s="504"/>
      <c r="G224" s="504"/>
      <c r="H224" s="504"/>
      <c r="I224" s="504"/>
      <c r="J224" s="504"/>
      <c r="K224" s="504"/>
      <c r="L224" s="504"/>
      <c r="M224" s="504"/>
      <c r="N224" s="504"/>
      <c r="O224" s="504"/>
      <c r="P224" s="504"/>
      <c r="Q224" s="504"/>
      <c r="R224" s="504"/>
      <c r="S224" s="504"/>
      <c r="T224" s="504"/>
      <c r="U224" s="504"/>
      <c r="V224" s="504"/>
      <c r="W224" s="504"/>
      <c r="X224" s="504"/>
      <c r="Y224" s="504"/>
      <c r="Z224" s="504"/>
      <c r="AA224" s="504"/>
      <c r="AB224" s="504"/>
      <c r="AC224" s="504"/>
    </row>
    <row r="225" spans="1:29">
      <c r="A225" s="504"/>
      <c r="B225" s="504"/>
      <c r="C225" s="504"/>
      <c r="D225" s="504"/>
      <c r="E225" s="504"/>
      <c r="F225" s="504"/>
      <c r="G225" s="504"/>
      <c r="H225" s="504"/>
      <c r="I225" s="504"/>
      <c r="J225" s="504"/>
      <c r="K225" s="504"/>
      <c r="L225" s="504"/>
      <c r="M225" s="504"/>
      <c r="N225" s="504"/>
      <c r="O225" s="504"/>
      <c r="P225" s="504"/>
      <c r="Q225" s="504"/>
      <c r="R225" s="504"/>
      <c r="S225" s="504"/>
      <c r="T225" s="504"/>
      <c r="U225" s="504"/>
      <c r="V225" s="504"/>
      <c r="W225" s="504"/>
      <c r="X225" s="504"/>
      <c r="Y225" s="504"/>
      <c r="Z225" s="504"/>
      <c r="AA225" s="504"/>
      <c r="AB225" s="504"/>
      <c r="AC225" s="504"/>
    </row>
    <row r="226" spans="1:29">
      <c r="A226" s="504"/>
      <c r="B226" s="504"/>
      <c r="C226" s="504"/>
      <c r="D226" s="504"/>
      <c r="E226" s="504"/>
      <c r="F226" s="504"/>
      <c r="G226" s="504"/>
      <c r="H226" s="504"/>
      <c r="I226" s="504"/>
      <c r="J226" s="504"/>
      <c r="K226" s="504"/>
      <c r="L226" s="504"/>
      <c r="M226" s="504"/>
      <c r="N226" s="504"/>
      <c r="O226" s="504"/>
      <c r="P226" s="504"/>
      <c r="Q226" s="504"/>
      <c r="R226" s="504"/>
      <c r="S226" s="504"/>
      <c r="T226" s="504"/>
      <c r="U226" s="504"/>
      <c r="V226" s="504"/>
      <c r="W226" s="504"/>
      <c r="X226" s="504"/>
      <c r="Y226" s="504"/>
      <c r="Z226" s="504"/>
      <c r="AA226" s="504"/>
      <c r="AB226" s="504"/>
      <c r="AC226" s="504"/>
    </row>
    <row r="227" spans="1:29">
      <c r="A227" s="504"/>
      <c r="B227" s="504"/>
      <c r="C227" s="504"/>
      <c r="D227" s="504"/>
      <c r="E227" s="504"/>
      <c r="F227" s="504"/>
      <c r="G227" s="504"/>
      <c r="H227" s="504"/>
      <c r="I227" s="504"/>
      <c r="J227" s="504"/>
      <c r="K227" s="504"/>
      <c r="L227" s="504"/>
      <c r="M227" s="504"/>
      <c r="N227" s="504"/>
      <c r="O227" s="504"/>
      <c r="P227" s="504"/>
      <c r="Q227" s="504"/>
      <c r="R227" s="504"/>
      <c r="S227" s="504"/>
      <c r="T227" s="504"/>
      <c r="U227" s="504"/>
      <c r="V227" s="504"/>
      <c r="W227" s="504"/>
      <c r="X227" s="504"/>
      <c r="Y227" s="504"/>
      <c r="Z227" s="504"/>
      <c r="AA227" s="504"/>
      <c r="AB227" s="504"/>
      <c r="AC227" s="504"/>
    </row>
    <row r="228" spans="1:29">
      <c r="A228" s="504"/>
      <c r="B228" s="504"/>
      <c r="C228" s="504"/>
      <c r="D228" s="504"/>
      <c r="E228" s="504"/>
      <c r="F228" s="504"/>
      <c r="G228" s="504"/>
      <c r="H228" s="504"/>
      <c r="I228" s="504"/>
      <c r="J228" s="504"/>
      <c r="K228" s="504"/>
      <c r="L228" s="504"/>
      <c r="M228" s="504"/>
      <c r="N228" s="504"/>
      <c r="O228" s="504"/>
      <c r="P228" s="504"/>
      <c r="Q228" s="504"/>
      <c r="R228" s="504"/>
      <c r="S228" s="504"/>
      <c r="T228" s="504"/>
      <c r="U228" s="504"/>
      <c r="V228" s="504"/>
      <c r="W228" s="504"/>
      <c r="X228" s="504"/>
      <c r="Y228" s="504"/>
      <c r="Z228" s="504"/>
      <c r="AA228" s="504"/>
      <c r="AB228" s="504"/>
      <c r="AC228" s="504"/>
    </row>
    <row r="229" spans="1:29">
      <c r="A229" s="504"/>
      <c r="B229" s="504"/>
      <c r="C229" s="504"/>
      <c r="D229" s="504"/>
      <c r="E229" s="504"/>
      <c r="F229" s="504"/>
      <c r="G229" s="504"/>
      <c r="H229" s="504"/>
      <c r="I229" s="504"/>
      <c r="J229" s="504"/>
      <c r="K229" s="504"/>
      <c r="L229" s="504"/>
      <c r="M229" s="504"/>
      <c r="N229" s="504"/>
      <c r="O229" s="504"/>
      <c r="P229" s="504"/>
      <c r="Q229" s="504"/>
      <c r="R229" s="504"/>
      <c r="S229" s="504"/>
      <c r="T229" s="504"/>
      <c r="U229" s="504"/>
      <c r="V229" s="504"/>
      <c r="W229" s="504"/>
      <c r="X229" s="504"/>
      <c r="Y229" s="504"/>
      <c r="Z229" s="504"/>
      <c r="AA229" s="504"/>
      <c r="AB229" s="504"/>
      <c r="AC229" s="504"/>
    </row>
    <row r="230" spans="1:29">
      <c r="A230" s="504"/>
      <c r="B230" s="504"/>
      <c r="C230" s="504"/>
      <c r="D230" s="504"/>
      <c r="E230" s="504"/>
      <c r="F230" s="504"/>
      <c r="G230" s="504"/>
      <c r="H230" s="504"/>
      <c r="I230" s="504"/>
      <c r="J230" s="504"/>
      <c r="K230" s="504"/>
      <c r="L230" s="504"/>
      <c r="M230" s="504"/>
      <c r="N230" s="504"/>
      <c r="O230" s="504"/>
      <c r="P230" s="504"/>
      <c r="Q230" s="504"/>
      <c r="R230" s="504"/>
      <c r="S230" s="504"/>
      <c r="T230" s="504"/>
      <c r="U230" s="504"/>
      <c r="V230" s="504"/>
      <c r="W230" s="504"/>
      <c r="X230" s="504"/>
      <c r="Y230" s="504"/>
      <c r="Z230" s="504"/>
      <c r="AA230" s="504"/>
      <c r="AB230" s="504"/>
      <c r="AC230" s="504"/>
    </row>
    <row r="231" spans="1:29">
      <c r="A231" s="504"/>
      <c r="B231" s="504"/>
      <c r="C231" s="504"/>
      <c r="D231" s="504"/>
      <c r="E231" s="504"/>
      <c r="F231" s="504"/>
      <c r="G231" s="504"/>
      <c r="H231" s="504"/>
      <c r="I231" s="504"/>
      <c r="J231" s="504"/>
      <c r="K231" s="504"/>
      <c r="L231" s="504"/>
      <c r="M231" s="504"/>
      <c r="N231" s="504"/>
      <c r="O231" s="504"/>
      <c r="P231" s="504"/>
      <c r="Q231" s="504"/>
      <c r="R231" s="504"/>
      <c r="S231" s="504"/>
      <c r="T231" s="504"/>
      <c r="U231" s="504"/>
      <c r="V231" s="504"/>
      <c r="W231" s="504"/>
      <c r="X231" s="504"/>
      <c r="Y231" s="504"/>
      <c r="Z231" s="504"/>
      <c r="AA231" s="504"/>
      <c r="AB231" s="504"/>
      <c r="AC231" s="504"/>
    </row>
    <row r="232" spans="1:29">
      <c r="A232" s="504"/>
      <c r="B232" s="504"/>
      <c r="C232" s="504"/>
      <c r="D232" s="504"/>
      <c r="E232" s="504"/>
      <c r="F232" s="504"/>
      <c r="G232" s="504"/>
      <c r="H232" s="504"/>
      <c r="I232" s="504"/>
      <c r="J232" s="504"/>
      <c r="K232" s="504"/>
      <c r="L232" s="504"/>
      <c r="M232" s="504"/>
      <c r="N232" s="504"/>
      <c r="O232" s="504"/>
      <c r="P232" s="504"/>
      <c r="Q232" s="504"/>
      <c r="R232" s="504"/>
      <c r="S232" s="504"/>
      <c r="T232" s="504"/>
      <c r="U232" s="504"/>
      <c r="V232" s="504"/>
      <c r="W232" s="504"/>
      <c r="X232" s="504"/>
      <c r="Y232" s="504"/>
      <c r="Z232" s="504"/>
      <c r="AA232" s="504"/>
      <c r="AB232" s="504"/>
      <c r="AC232" s="504"/>
    </row>
    <row r="233" spans="1:29">
      <c r="A233" s="504"/>
      <c r="B233" s="504"/>
      <c r="C233" s="504"/>
      <c r="D233" s="504"/>
      <c r="E233" s="504"/>
      <c r="F233" s="504"/>
      <c r="G233" s="504"/>
      <c r="H233" s="504"/>
      <c r="I233" s="504"/>
      <c r="J233" s="504"/>
      <c r="K233" s="504"/>
      <c r="L233" s="504"/>
      <c r="M233" s="504"/>
      <c r="N233" s="504"/>
      <c r="O233" s="504"/>
      <c r="P233" s="504"/>
      <c r="Q233" s="504"/>
      <c r="R233" s="504"/>
      <c r="S233" s="504"/>
      <c r="T233" s="504"/>
      <c r="U233" s="504"/>
      <c r="V233" s="504"/>
      <c r="W233" s="504"/>
      <c r="X233" s="504"/>
      <c r="Y233" s="504"/>
      <c r="Z233" s="504"/>
      <c r="AA233" s="504"/>
      <c r="AB233" s="504"/>
      <c r="AC233" s="504"/>
    </row>
    <row r="234" spans="1:29">
      <c r="A234" s="504"/>
      <c r="B234" s="504"/>
      <c r="C234" s="504"/>
      <c r="D234" s="504"/>
      <c r="E234" s="504"/>
      <c r="F234" s="504"/>
      <c r="G234" s="504"/>
      <c r="H234" s="504"/>
      <c r="I234" s="504"/>
      <c r="J234" s="504"/>
      <c r="K234" s="504"/>
      <c r="L234" s="504"/>
      <c r="M234" s="504"/>
      <c r="N234" s="504"/>
      <c r="O234" s="504"/>
      <c r="P234" s="504"/>
      <c r="Q234" s="504"/>
      <c r="R234" s="504"/>
      <c r="S234" s="504"/>
      <c r="T234" s="504"/>
      <c r="U234" s="504"/>
      <c r="V234" s="504"/>
      <c r="W234" s="504"/>
      <c r="X234" s="504"/>
      <c r="Y234" s="504"/>
      <c r="Z234" s="504"/>
      <c r="AA234" s="504"/>
      <c r="AB234" s="504"/>
      <c r="AC234" s="504"/>
    </row>
    <row r="235" spans="1:29">
      <c r="A235" s="504"/>
      <c r="B235" s="504"/>
      <c r="C235" s="504"/>
      <c r="D235" s="504"/>
      <c r="E235" s="504"/>
      <c r="F235" s="504"/>
      <c r="G235" s="504"/>
      <c r="H235" s="504"/>
      <c r="I235" s="504"/>
      <c r="J235" s="504"/>
      <c r="K235" s="504"/>
      <c r="L235" s="504"/>
      <c r="M235" s="504"/>
      <c r="N235" s="504"/>
      <c r="O235" s="504"/>
      <c r="P235" s="504"/>
      <c r="Q235" s="504"/>
      <c r="R235" s="504"/>
      <c r="S235" s="504"/>
      <c r="T235" s="504"/>
      <c r="U235" s="504"/>
      <c r="V235" s="504"/>
      <c r="W235" s="504"/>
      <c r="X235" s="504"/>
      <c r="Y235" s="504"/>
      <c r="Z235" s="504"/>
      <c r="AA235" s="504"/>
      <c r="AB235" s="504"/>
      <c r="AC235" s="504"/>
    </row>
    <row r="236" spans="1:29">
      <c r="A236" s="504"/>
      <c r="B236" s="504"/>
      <c r="C236" s="504"/>
      <c r="D236" s="504"/>
      <c r="E236" s="504"/>
      <c r="F236" s="504"/>
      <c r="G236" s="504"/>
      <c r="H236" s="504"/>
      <c r="I236" s="504"/>
      <c r="J236" s="504"/>
      <c r="K236" s="504"/>
      <c r="L236" s="504"/>
      <c r="M236" s="504"/>
      <c r="N236" s="504"/>
      <c r="O236" s="504"/>
      <c r="P236" s="504"/>
      <c r="Q236" s="504"/>
      <c r="R236" s="504"/>
      <c r="S236" s="504"/>
      <c r="T236" s="504"/>
      <c r="U236" s="504"/>
      <c r="V236" s="504"/>
      <c r="W236" s="504"/>
      <c r="X236" s="504"/>
      <c r="Y236" s="504"/>
      <c r="Z236" s="504"/>
      <c r="AA236" s="504"/>
      <c r="AB236" s="504"/>
      <c r="AC236" s="504"/>
    </row>
    <row r="237" spans="1:29">
      <c r="A237" s="504"/>
      <c r="B237" s="504"/>
      <c r="C237" s="504"/>
      <c r="D237" s="504"/>
      <c r="E237" s="504"/>
      <c r="F237" s="504"/>
      <c r="G237" s="504"/>
      <c r="H237" s="504"/>
      <c r="I237" s="504"/>
      <c r="J237" s="504"/>
      <c r="K237" s="504"/>
      <c r="L237" s="504"/>
      <c r="M237" s="504"/>
      <c r="N237" s="504"/>
      <c r="O237" s="504"/>
      <c r="P237" s="504"/>
      <c r="Q237" s="504"/>
      <c r="R237" s="504"/>
      <c r="S237" s="504"/>
      <c r="T237" s="504"/>
      <c r="U237" s="504"/>
      <c r="V237" s="504"/>
      <c r="W237" s="504"/>
      <c r="X237" s="504"/>
      <c r="Y237" s="504"/>
      <c r="Z237" s="504"/>
      <c r="AA237" s="504"/>
      <c r="AB237" s="504"/>
      <c r="AC237" s="504"/>
    </row>
    <row r="238" spans="1:29">
      <c r="A238" s="504"/>
      <c r="B238" s="504"/>
      <c r="C238" s="504"/>
      <c r="D238" s="504"/>
      <c r="E238" s="504"/>
      <c r="F238" s="504"/>
      <c r="G238" s="504"/>
      <c r="H238" s="504"/>
      <c r="I238" s="504"/>
      <c r="J238" s="504"/>
      <c r="K238" s="504"/>
      <c r="L238" s="504"/>
      <c r="M238" s="504"/>
      <c r="N238" s="504"/>
      <c r="O238" s="504"/>
      <c r="P238" s="504"/>
      <c r="Q238" s="504"/>
      <c r="R238" s="504"/>
      <c r="S238" s="504"/>
      <c r="T238" s="504"/>
      <c r="U238" s="504"/>
      <c r="V238" s="504"/>
      <c r="W238" s="504"/>
      <c r="X238" s="504"/>
      <c r="Y238" s="504"/>
      <c r="Z238" s="504"/>
      <c r="AA238" s="504"/>
      <c r="AB238" s="504"/>
      <c r="AC238" s="504"/>
    </row>
    <row r="239" spans="1:29">
      <c r="A239" s="504"/>
      <c r="B239" s="504"/>
      <c r="C239" s="504"/>
      <c r="D239" s="504"/>
      <c r="E239" s="504"/>
      <c r="F239" s="504"/>
      <c r="G239" s="504"/>
      <c r="H239" s="504"/>
      <c r="I239" s="504"/>
      <c r="J239" s="504"/>
      <c r="K239" s="504"/>
      <c r="L239" s="504"/>
      <c r="M239" s="504"/>
      <c r="N239" s="504"/>
      <c r="O239" s="504"/>
      <c r="P239" s="504"/>
      <c r="Q239" s="504"/>
      <c r="R239" s="504"/>
      <c r="S239" s="504"/>
      <c r="T239" s="504"/>
      <c r="U239" s="504"/>
      <c r="V239" s="504"/>
      <c r="W239" s="504"/>
      <c r="X239" s="504"/>
      <c r="Y239" s="504"/>
      <c r="Z239" s="504"/>
      <c r="AA239" s="504"/>
      <c r="AB239" s="504"/>
      <c r="AC239" s="504"/>
    </row>
    <row r="240" spans="1:29">
      <c r="A240" s="504"/>
      <c r="B240" s="504"/>
      <c r="C240" s="504"/>
      <c r="D240" s="504"/>
      <c r="E240" s="504"/>
      <c r="F240" s="504"/>
      <c r="G240" s="504"/>
      <c r="H240" s="504"/>
      <c r="I240" s="504"/>
      <c r="J240" s="504"/>
      <c r="K240" s="504"/>
      <c r="L240" s="504"/>
      <c r="M240" s="504"/>
      <c r="N240" s="504"/>
      <c r="O240" s="504"/>
      <c r="P240" s="504"/>
      <c r="Q240" s="504"/>
      <c r="R240" s="504"/>
      <c r="S240" s="504"/>
      <c r="T240" s="504"/>
      <c r="U240" s="504"/>
      <c r="V240" s="504"/>
      <c r="W240" s="504"/>
      <c r="X240" s="504"/>
      <c r="Y240" s="504"/>
      <c r="Z240" s="504"/>
      <c r="AA240" s="504"/>
      <c r="AB240" s="504"/>
      <c r="AC240" s="504"/>
    </row>
    <row r="241" spans="1:29">
      <c r="A241" s="504"/>
      <c r="B241" s="504"/>
      <c r="C241" s="504"/>
      <c r="D241" s="504"/>
      <c r="E241" s="504"/>
      <c r="F241" s="504"/>
      <c r="G241" s="504"/>
      <c r="H241" s="504"/>
      <c r="I241" s="504"/>
      <c r="J241" s="504"/>
      <c r="K241" s="504"/>
      <c r="L241" s="504"/>
      <c r="M241" s="504"/>
      <c r="N241" s="504"/>
      <c r="O241" s="504"/>
      <c r="P241" s="504"/>
      <c r="Q241" s="504"/>
      <c r="R241" s="504"/>
      <c r="S241" s="504"/>
      <c r="T241" s="504"/>
      <c r="U241" s="504"/>
      <c r="V241" s="504"/>
      <c r="W241" s="504"/>
      <c r="X241" s="504"/>
      <c r="Y241" s="504"/>
      <c r="Z241" s="504"/>
      <c r="AA241" s="504"/>
      <c r="AB241" s="504"/>
      <c r="AC241" s="504"/>
    </row>
    <row r="242" spans="1:29">
      <c r="A242" s="504"/>
      <c r="B242" s="504"/>
      <c r="C242" s="504"/>
      <c r="D242" s="504"/>
      <c r="E242" s="504"/>
      <c r="F242" s="504"/>
      <c r="G242" s="504"/>
      <c r="H242" s="504"/>
      <c r="I242" s="504"/>
      <c r="J242" s="504"/>
      <c r="K242" s="504"/>
      <c r="L242" s="504"/>
      <c r="M242" s="504"/>
      <c r="N242" s="504"/>
      <c r="O242" s="504"/>
      <c r="P242" s="504"/>
      <c r="Q242" s="504"/>
      <c r="R242" s="504"/>
      <c r="S242" s="504"/>
      <c r="T242" s="504"/>
      <c r="U242" s="504"/>
      <c r="V242" s="504"/>
      <c r="W242" s="504"/>
      <c r="X242" s="504"/>
      <c r="Y242" s="504"/>
      <c r="Z242" s="504"/>
      <c r="AA242" s="504"/>
      <c r="AB242" s="504"/>
      <c r="AC242" s="504"/>
    </row>
    <row r="243" spans="1:29">
      <c r="A243" s="504"/>
      <c r="B243" s="504"/>
      <c r="C243" s="504"/>
      <c r="D243" s="504"/>
      <c r="E243" s="504"/>
      <c r="F243" s="504"/>
      <c r="G243" s="504"/>
      <c r="H243" s="504"/>
      <c r="I243" s="504"/>
      <c r="J243" s="504"/>
      <c r="K243" s="504"/>
      <c r="L243" s="504"/>
      <c r="M243" s="504"/>
      <c r="N243" s="504"/>
      <c r="O243" s="504"/>
      <c r="P243" s="504"/>
      <c r="Q243" s="504"/>
      <c r="R243" s="504"/>
      <c r="S243" s="504"/>
      <c r="T243" s="504"/>
      <c r="U243" s="504"/>
      <c r="V243" s="504"/>
      <c r="W243" s="504"/>
      <c r="X243" s="504"/>
      <c r="Y243" s="504"/>
      <c r="Z243" s="504"/>
      <c r="AA243" s="504"/>
      <c r="AB243" s="504"/>
      <c r="AC243" s="504"/>
    </row>
    <row r="244" spans="1:29">
      <c r="A244" s="504"/>
      <c r="B244" s="504"/>
      <c r="C244" s="504"/>
      <c r="D244" s="504"/>
      <c r="E244" s="504"/>
      <c r="F244" s="504"/>
      <c r="G244" s="504"/>
      <c r="H244" s="504"/>
      <c r="I244" s="504"/>
      <c r="J244" s="504"/>
      <c r="K244" s="504"/>
      <c r="L244" s="504"/>
      <c r="M244" s="504"/>
      <c r="N244" s="504"/>
      <c r="O244" s="504"/>
      <c r="P244" s="504"/>
      <c r="Q244" s="504"/>
      <c r="R244" s="504"/>
      <c r="S244" s="504"/>
      <c r="T244" s="504"/>
      <c r="U244" s="504"/>
      <c r="V244" s="504"/>
      <c r="W244" s="504"/>
      <c r="X244" s="504"/>
      <c r="Y244" s="504"/>
      <c r="Z244" s="504"/>
      <c r="AA244" s="504"/>
      <c r="AB244" s="504"/>
      <c r="AC244" s="504"/>
    </row>
    <row r="245" spans="1:29">
      <c r="W245" s="503"/>
    </row>
    <row r="246" spans="1:29">
      <c r="W246" s="503"/>
    </row>
    <row r="247" spans="1:29">
      <c r="W247" s="503"/>
    </row>
    <row r="248" spans="1:29">
      <c r="W248" s="503"/>
    </row>
    <row r="249" spans="1:29">
      <c r="W249" s="503"/>
    </row>
    <row r="250" spans="1:29">
      <c r="W250" s="503"/>
    </row>
    <row r="251" spans="1:29">
      <c r="W251" s="503"/>
    </row>
    <row r="252" spans="1:29">
      <c r="W252" s="503"/>
    </row>
    <row r="253" spans="1:29">
      <c r="W253" s="503"/>
    </row>
    <row r="254" spans="1:29">
      <c r="W254" s="503"/>
    </row>
    <row r="255" spans="1:29">
      <c r="W255" s="503"/>
    </row>
    <row r="256" spans="1:29">
      <c r="W256" s="503"/>
    </row>
    <row r="257" spans="23:23">
      <c r="W257" s="503"/>
    </row>
    <row r="258" spans="23:23">
      <c r="W258" s="503"/>
    </row>
    <row r="259" spans="23:23">
      <c r="W259" s="503"/>
    </row>
    <row r="260" spans="23:23">
      <c r="W260" s="503"/>
    </row>
    <row r="261" spans="23:23">
      <c r="W261" s="503"/>
    </row>
    <row r="262" spans="23:23">
      <c r="W262" s="503"/>
    </row>
    <row r="263" spans="23:23">
      <c r="W263" s="503"/>
    </row>
    <row r="264" spans="23:23">
      <c r="W264" s="503"/>
    </row>
    <row r="265" spans="23:23">
      <c r="W265" s="503"/>
    </row>
    <row r="266" spans="23:23">
      <c r="W266" s="503"/>
    </row>
    <row r="267" spans="23:23">
      <c r="W267" s="503"/>
    </row>
    <row r="268" spans="23:23">
      <c r="W268" s="503"/>
    </row>
    <row r="269" spans="23:23">
      <c r="W269" s="503"/>
    </row>
    <row r="270" spans="23:23">
      <c r="W270" s="503"/>
    </row>
    <row r="271" spans="23:23">
      <c r="W271" s="503"/>
    </row>
    <row r="272" spans="23:23">
      <c r="W272" s="503"/>
    </row>
    <row r="273" spans="23:23">
      <c r="W273" s="503"/>
    </row>
    <row r="274" spans="23:23">
      <c r="W274" s="503"/>
    </row>
    <row r="275" spans="23:23">
      <c r="W275" s="503"/>
    </row>
    <row r="276" spans="23:23">
      <c r="W276" s="503"/>
    </row>
    <row r="277" spans="23:23">
      <c r="W277" s="503"/>
    </row>
    <row r="278" spans="23:23">
      <c r="W278" s="503"/>
    </row>
    <row r="279" spans="23:23">
      <c r="W279" s="503"/>
    </row>
    <row r="280" spans="23:23">
      <c r="W280" s="503"/>
    </row>
    <row r="281" spans="23:23">
      <c r="W281" s="503"/>
    </row>
    <row r="282" spans="23:23">
      <c r="W282" s="503"/>
    </row>
    <row r="283" spans="23:23">
      <c r="W283" s="503"/>
    </row>
    <row r="284" spans="23:23">
      <c r="W284" s="503"/>
    </row>
    <row r="285" spans="23:23">
      <c r="W285" s="503"/>
    </row>
    <row r="286" spans="23:23">
      <c r="W286" s="503"/>
    </row>
    <row r="287" spans="23:23">
      <c r="W287" s="503"/>
    </row>
    <row r="288" spans="23:23">
      <c r="W288" s="503"/>
    </row>
    <row r="289" spans="23:23">
      <c r="W289" s="503"/>
    </row>
    <row r="290" spans="23:23">
      <c r="W290" s="503"/>
    </row>
    <row r="291" spans="23:23">
      <c r="W291" s="503"/>
    </row>
    <row r="292" spans="23:23">
      <c r="W292" s="503"/>
    </row>
    <row r="293" spans="23:23">
      <c r="W293" s="503"/>
    </row>
    <row r="294" spans="23:23">
      <c r="W294" s="503"/>
    </row>
    <row r="295" spans="23:23">
      <c r="W295" s="503"/>
    </row>
    <row r="296" spans="23:23">
      <c r="W296" s="503"/>
    </row>
    <row r="297" spans="23:23">
      <c r="W297" s="503"/>
    </row>
    <row r="298" spans="23:23">
      <c r="W298" s="503"/>
    </row>
    <row r="299" spans="23:23">
      <c r="W299" s="503"/>
    </row>
    <row r="300" spans="23:23">
      <c r="W300" s="503"/>
    </row>
    <row r="301" spans="23:23">
      <c r="W301" s="503"/>
    </row>
    <row r="302" spans="23:23">
      <c r="W302" s="503"/>
    </row>
    <row r="303" spans="23:23">
      <c r="W303" s="503"/>
    </row>
    <row r="304" spans="23:23">
      <c r="W304" s="503"/>
    </row>
    <row r="305" spans="23:23">
      <c r="W305" s="503"/>
    </row>
    <row r="306" spans="23:23">
      <c r="W306" s="503"/>
    </row>
    <row r="307" spans="23:23">
      <c r="W307" s="503"/>
    </row>
    <row r="308" spans="23:23">
      <c r="W308" s="503"/>
    </row>
    <row r="309" spans="23:23">
      <c r="W309" s="503"/>
    </row>
    <row r="310" spans="23:23">
      <c r="W310" s="503"/>
    </row>
    <row r="311" spans="23:23">
      <c r="W311" s="503"/>
    </row>
    <row r="312" spans="23:23">
      <c r="W312" s="503"/>
    </row>
    <row r="313" spans="23:23">
      <c r="W313" s="503"/>
    </row>
    <row r="314" spans="23:23">
      <c r="W314" s="503"/>
    </row>
    <row r="315" spans="23:23">
      <c r="W315" s="503"/>
    </row>
    <row r="316" spans="23:23">
      <c r="W316" s="503"/>
    </row>
    <row r="317" spans="23:23">
      <c r="W317" s="503"/>
    </row>
    <row r="318" spans="23:23">
      <c r="W318" s="503"/>
    </row>
    <row r="319" spans="23:23">
      <c r="W319" s="503"/>
    </row>
    <row r="320" spans="23:23">
      <c r="W320" s="503"/>
    </row>
    <row r="321" spans="23:23">
      <c r="W321" s="503"/>
    </row>
    <row r="322" spans="23:23">
      <c r="W322" s="503"/>
    </row>
    <row r="323" spans="23:23">
      <c r="W323" s="503"/>
    </row>
    <row r="324" spans="23:23">
      <c r="W324" s="503"/>
    </row>
    <row r="325" spans="23:23">
      <c r="W325" s="503"/>
    </row>
    <row r="326" spans="23:23">
      <c r="W326" s="503"/>
    </row>
    <row r="327" spans="23:23">
      <c r="W327" s="503"/>
    </row>
    <row r="328" spans="23:23">
      <c r="W328" s="503"/>
    </row>
    <row r="329" spans="23:23">
      <c r="W329" s="503"/>
    </row>
    <row r="330" spans="23:23">
      <c r="W330" s="503"/>
    </row>
    <row r="331" spans="23:23">
      <c r="W331" s="503"/>
    </row>
    <row r="332" spans="23:23">
      <c r="W332" s="503"/>
    </row>
    <row r="333" spans="23:23">
      <c r="W333" s="503"/>
    </row>
    <row r="334" spans="23:23">
      <c r="W334" s="503"/>
    </row>
    <row r="335" spans="23:23">
      <c r="W335" s="503"/>
    </row>
    <row r="336" spans="23:23">
      <c r="W336" s="503"/>
    </row>
    <row r="337" spans="23:23">
      <c r="W337" s="503"/>
    </row>
    <row r="338" spans="23:23">
      <c r="W338" s="503"/>
    </row>
    <row r="339" spans="23:23">
      <c r="W339" s="503"/>
    </row>
    <row r="340" spans="23:23">
      <c r="W340" s="503"/>
    </row>
    <row r="341" spans="23:23">
      <c r="W341" s="503"/>
    </row>
    <row r="342" spans="23:23">
      <c r="W342" s="503"/>
    </row>
    <row r="343" spans="23:23">
      <c r="W343" s="503"/>
    </row>
    <row r="344" spans="23:23">
      <c r="W344" s="503"/>
    </row>
    <row r="345" spans="23:23">
      <c r="W345" s="503"/>
    </row>
    <row r="346" spans="23:23">
      <c r="W346" s="503"/>
    </row>
    <row r="347" spans="23:23">
      <c r="W347" s="503"/>
    </row>
    <row r="348" spans="23:23">
      <c r="W348" s="503"/>
    </row>
    <row r="349" spans="23:23">
      <c r="W349" s="503"/>
    </row>
    <row r="350" spans="23:23">
      <c r="W350" s="503"/>
    </row>
    <row r="351" spans="23:23">
      <c r="W351" s="503"/>
    </row>
    <row r="352" spans="23:23">
      <c r="W352" s="503"/>
    </row>
    <row r="353" spans="23:23">
      <c r="W353" s="503"/>
    </row>
    <row r="354" spans="23:23">
      <c r="W354" s="503"/>
    </row>
    <row r="355" spans="23:23">
      <c r="W355" s="503"/>
    </row>
    <row r="356" spans="23:23">
      <c r="W356" s="503"/>
    </row>
    <row r="357" spans="23:23">
      <c r="W357" s="503"/>
    </row>
    <row r="358" spans="23:23">
      <c r="W358" s="503"/>
    </row>
    <row r="359" spans="23:23">
      <c r="W359" s="503"/>
    </row>
    <row r="360" spans="23:23">
      <c r="W360" s="503"/>
    </row>
    <row r="361" spans="23:23">
      <c r="W361" s="503"/>
    </row>
    <row r="362" spans="23:23">
      <c r="W362" s="503"/>
    </row>
    <row r="363" spans="23:23">
      <c r="W363" s="503"/>
    </row>
    <row r="364" spans="23:23">
      <c r="W364" s="503"/>
    </row>
    <row r="365" spans="23:23">
      <c r="W365" s="503"/>
    </row>
    <row r="366" spans="23:23">
      <c r="W366" s="503"/>
    </row>
    <row r="367" spans="23:23">
      <c r="W367" s="503"/>
    </row>
    <row r="368" spans="23:23">
      <c r="W368" s="503"/>
    </row>
    <row r="369" spans="23:23">
      <c r="W369" s="503"/>
    </row>
    <row r="370" spans="23:23">
      <c r="W370" s="503"/>
    </row>
    <row r="371" spans="23:23">
      <c r="W371" s="503"/>
    </row>
    <row r="372" spans="23:23">
      <c r="W372" s="503"/>
    </row>
    <row r="373" spans="23:23">
      <c r="W373" s="503"/>
    </row>
    <row r="374" spans="23:23">
      <c r="W374" s="503"/>
    </row>
    <row r="375" spans="23:23">
      <c r="W375" s="503"/>
    </row>
    <row r="376" spans="23:23">
      <c r="W376" s="503"/>
    </row>
    <row r="377" spans="23:23">
      <c r="W377" s="503"/>
    </row>
    <row r="378" spans="23:23">
      <c r="W378" s="503"/>
    </row>
    <row r="379" spans="23:23">
      <c r="W379" s="503"/>
    </row>
    <row r="380" spans="23:23">
      <c r="W380" s="503"/>
    </row>
    <row r="381" spans="23:23">
      <c r="W381" s="503"/>
    </row>
    <row r="382" spans="23:23">
      <c r="W382" s="503"/>
    </row>
    <row r="383" spans="23:23">
      <c r="W383" s="503"/>
    </row>
    <row r="384" spans="23:23">
      <c r="W384" s="503"/>
    </row>
    <row r="385" spans="23:23">
      <c r="W385" s="503"/>
    </row>
    <row r="386" spans="23:23">
      <c r="W386" s="503"/>
    </row>
    <row r="387" spans="23:23">
      <c r="W387" s="503"/>
    </row>
    <row r="388" spans="23:23">
      <c r="W388" s="503"/>
    </row>
    <row r="389" spans="23:23">
      <c r="W389" s="503"/>
    </row>
    <row r="390" spans="23:23">
      <c r="W390" s="503"/>
    </row>
    <row r="391" spans="23:23">
      <c r="W391" s="503"/>
    </row>
    <row r="392" spans="23:23">
      <c r="W392" s="503"/>
    </row>
    <row r="393" spans="23:23">
      <c r="W393" s="503"/>
    </row>
    <row r="394" spans="23:23">
      <c r="W394" s="503"/>
    </row>
    <row r="395" spans="23:23">
      <c r="W395" s="503"/>
    </row>
    <row r="396" spans="23:23">
      <c r="W396" s="503"/>
    </row>
    <row r="397" spans="23:23">
      <c r="W397" s="503"/>
    </row>
    <row r="398" spans="23:23">
      <c r="W398" s="503"/>
    </row>
    <row r="399" spans="23:23">
      <c r="W399" s="503"/>
    </row>
    <row r="400" spans="23:23">
      <c r="W400" s="503"/>
    </row>
    <row r="401" spans="23:23">
      <c r="W401" s="503"/>
    </row>
    <row r="402" spans="23:23">
      <c r="W402" s="503"/>
    </row>
    <row r="403" spans="23:23">
      <c r="W403" s="503"/>
    </row>
    <row r="404" spans="23:23">
      <c r="W404" s="503"/>
    </row>
    <row r="405" spans="23:23">
      <c r="W405" s="503"/>
    </row>
    <row r="406" spans="23:23">
      <c r="W406" s="503"/>
    </row>
    <row r="407" spans="23:23">
      <c r="W407" s="503"/>
    </row>
    <row r="408" spans="23:23">
      <c r="W408" s="503"/>
    </row>
    <row r="409" spans="23:23">
      <c r="W409" s="503"/>
    </row>
    <row r="410" spans="23:23">
      <c r="W410" s="503"/>
    </row>
    <row r="411" spans="23:23">
      <c r="W411" s="503"/>
    </row>
    <row r="412" spans="23:23">
      <c r="W412" s="503"/>
    </row>
    <row r="413" spans="23:23">
      <c r="W413" s="503"/>
    </row>
    <row r="414" spans="23:23">
      <c r="W414" s="503"/>
    </row>
    <row r="415" spans="23:23">
      <c r="W415" s="503"/>
    </row>
    <row r="416" spans="23:23">
      <c r="W416" s="503"/>
    </row>
    <row r="417" spans="23:23">
      <c r="W417" s="503"/>
    </row>
    <row r="418" spans="23:23">
      <c r="W418" s="503"/>
    </row>
    <row r="419" spans="23:23">
      <c r="W419" s="503"/>
    </row>
    <row r="420" spans="23:23">
      <c r="W420" s="503"/>
    </row>
    <row r="421" spans="23:23">
      <c r="W421" s="503"/>
    </row>
    <row r="422" spans="23:23">
      <c r="W422" s="503"/>
    </row>
    <row r="423" spans="23:23">
      <c r="W423" s="503"/>
    </row>
    <row r="424" spans="23:23">
      <c r="W424" s="503"/>
    </row>
    <row r="425" spans="23:23">
      <c r="W425" s="503"/>
    </row>
    <row r="426" spans="23:23">
      <c r="W426" s="503"/>
    </row>
    <row r="427" spans="23:23">
      <c r="W427" s="503"/>
    </row>
    <row r="428" spans="23:23">
      <c r="W428" s="503"/>
    </row>
    <row r="429" spans="23:23">
      <c r="W429" s="503"/>
    </row>
    <row r="430" spans="23:23">
      <c r="W430" s="503"/>
    </row>
    <row r="431" spans="23:23">
      <c r="W431" s="503"/>
    </row>
    <row r="432" spans="23:23">
      <c r="W432" s="503"/>
    </row>
    <row r="433" spans="23:23">
      <c r="W433" s="503"/>
    </row>
    <row r="434" spans="23:23">
      <c r="W434" s="503"/>
    </row>
    <row r="435" spans="23:23">
      <c r="W435" s="503"/>
    </row>
    <row r="436" spans="23:23">
      <c r="W436" s="503"/>
    </row>
    <row r="437" spans="23:23">
      <c r="W437" s="503"/>
    </row>
    <row r="438" spans="23:23">
      <c r="W438" s="503"/>
    </row>
    <row r="439" spans="23:23">
      <c r="W439" s="503"/>
    </row>
    <row r="440" spans="23:23">
      <c r="W440" s="503"/>
    </row>
    <row r="441" spans="23:23">
      <c r="W441" s="503"/>
    </row>
    <row r="442" spans="23:23">
      <c r="W442" s="503"/>
    </row>
    <row r="443" spans="23:23">
      <c r="W443" s="503"/>
    </row>
    <row r="444" spans="23:23">
      <c r="W444" s="503"/>
    </row>
    <row r="445" spans="23:23">
      <c r="W445" s="503"/>
    </row>
    <row r="446" spans="23:23">
      <c r="W446" s="503"/>
    </row>
    <row r="447" spans="23:23">
      <c r="W447" s="503"/>
    </row>
    <row r="448" spans="23:23">
      <c r="W448" s="503"/>
    </row>
    <row r="449" spans="23:23">
      <c r="W449" s="503"/>
    </row>
    <row r="450" spans="23:23">
      <c r="W450" s="503"/>
    </row>
    <row r="451" spans="23:23">
      <c r="W451" s="503"/>
    </row>
    <row r="452" spans="23:23">
      <c r="W452" s="503"/>
    </row>
    <row r="453" spans="23:23">
      <c r="W453" s="503"/>
    </row>
    <row r="454" spans="23:23">
      <c r="W454" s="503"/>
    </row>
    <row r="455" spans="23:23">
      <c r="W455" s="503"/>
    </row>
    <row r="456" spans="23:23">
      <c r="W456" s="503"/>
    </row>
    <row r="457" spans="23:23">
      <c r="W457" s="503"/>
    </row>
    <row r="458" spans="23:23">
      <c r="W458" s="503"/>
    </row>
    <row r="459" spans="23:23">
      <c r="W459" s="503"/>
    </row>
    <row r="460" spans="23:23">
      <c r="W460" s="503"/>
    </row>
    <row r="461" spans="23:23">
      <c r="W461" s="503"/>
    </row>
    <row r="462" spans="23:23">
      <c r="W462" s="503"/>
    </row>
    <row r="463" spans="23:23">
      <c r="W463" s="503"/>
    </row>
    <row r="464" spans="23:23">
      <c r="W464" s="503"/>
    </row>
    <row r="465" spans="23:23">
      <c r="W465" s="503"/>
    </row>
    <row r="466" spans="23:23">
      <c r="W466" s="503"/>
    </row>
    <row r="467" spans="23:23">
      <c r="W467" s="503"/>
    </row>
    <row r="468" spans="23:23">
      <c r="W468" s="503"/>
    </row>
    <row r="469" spans="23:23">
      <c r="W469" s="503"/>
    </row>
    <row r="470" spans="23:23">
      <c r="W470" s="503"/>
    </row>
    <row r="471" spans="23:23">
      <c r="W471" s="503"/>
    </row>
    <row r="472" spans="23:23">
      <c r="W472" s="503"/>
    </row>
    <row r="473" spans="23:23">
      <c r="W473" s="503"/>
    </row>
    <row r="474" spans="23:23">
      <c r="W474" s="503"/>
    </row>
    <row r="475" spans="23:23">
      <c r="W475" s="503"/>
    </row>
    <row r="476" spans="23:23">
      <c r="W476" s="503"/>
    </row>
    <row r="477" spans="23:23">
      <c r="W477" s="503"/>
    </row>
    <row r="478" spans="23:23">
      <c r="W478" s="503"/>
    </row>
    <row r="479" spans="23:23">
      <c r="W479" s="503"/>
    </row>
    <row r="480" spans="23:23">
      <c r="W480" s="503"/>
    </row>
    <row r="481" spans="23:23">
      <c r="W481" s="503"/>
    </row>
    <row r="482" spans="23:23">
      <c r="W482" s="503"/>
    </row>
    <row r="483" spans="23:23">
      <c r="W483" s="503"/>
    </row>
    <row r="484" spans="23:23">
      <c r="W484" s="503"/>
    </row>
    <row r="485" spans="23:23">
      <c r="W485" s="503"/>
    </row>
    <row r="486" spans="23:23">
      <c r="W486" s="503"/>
    </row>
    <row r="487" spans="23:23">
      <c r="W487" s="503"/>
    </row>
    <row r="488" spans="23:23">
      <c r="W488" s="503"/>
    </row>
    <row r="489" spans="23:23">
      <c r="W489" s="503"/>
    </row>
    <row r="490" spans="23:23">
      <c r="W490" s="503"/>
    </row>
    <row r="491" spans="23:23">
      <c r="W491" s="503"/>
    </row>
    <row r="492" spans="23:23">
      <c r="W492" s="503"/>
    </row>
    <row r="493" spans="23:23">
      <c r="W493" s="503"/>
    </row>
    <row r="494" spans="23:23">
      <c r="W494" s="503"/>
    </row>
    <row r="495" spans="23:23">
      <c r="W495" s="503"/>
    </row>
    <row r="496" spans="23:23">
      <c r="W496" s="503"/>
    </row>
    <row r="497" spans="23:23">
      <c r="W497" s="503"/>
    </row>
    <row r="498" spans="23:23">
      <c r="W498" s="503"/>
    </row>
    <row r="499" spans="23:23">
      <c r="W499" s="503"/>
    </row>
    <row r="500" spans="23:23">
      <c r="W500" s="503"/>
    </row>
    <row r="501" spans="23:23">
      <c r="W501" s="503"/>
    </row>
    <row r="502" spans="23:23">
      <c r="W502" s="503"/>
    </row>
    <row r="503" spans="23:23">
      <c r="W503" s="503"/>
    </row>
    <row r="504" spans="23:23">
      <c r="W504" s="503"/>
    </row>
    <row r="505" spans="23:23">
      <c r="W505" s="503"/>
    </row>
    <row r="506" spans="23:23">
      <c r="W506" s="503"/>
    </row>
    <row r="507" spans="23:23">
      <c r="W507" s="503"/>
    </row>
    <row r="508" spans="23:23">
      <c r="W508" s="503"/>
    </row>
    <row r="509" spans="23:23">
      <c r="W509" s="503"/>
    </row>
    <row r="510" spans="23:23">
      <c r="W510" s="503"/>
    </row>
    <row r="511" spans="23:23">
      <c r="W511" s="503"/>
    </row>
    <row r="512" spans="23:23">
      <c r="W512" s="503"/>
    </row>
    <row r="513" spans="23:23">
      <c r="W513" s="503"/>
    </row>
    <row r="514" spans="23:23">
      <c r="W514" s="503"/>
    </row>
    <row r="515" spans="23:23">
      <c r="W515" s="503"/>
    </row>
    <row r="516" spans="23:23">
      <c r="W516" s="503"/>
    </row>
    <row r="517" spans="23:23">
      <c r="W517" s="503"/>
    </row>
    <row r="518" spans="23:23">
      <c r="W518" s="503"/>
    </row>
    <row r="519" spans="23:23">
      <c r="W519" s="503"/>
    </row>
    <row r="520" spans="23:23">
      <c r="W520" s="503"/>
    </row>
    <row r="521" spans="23:23">
      <c r="W521" s="503"/>
    </row>
    <row r="522" spans="23:23">
      <c r="W522" s="503"/>
    </row>
    <row r="523" spans="23:23">
      <c r="W523" s="503"/>
    </row>
    <row r="524" spans="23:23">
      <c r="W524" s="503"/>
    </row>
    <row r="525" spans="23:23">
      <c r="W525" s="503"/>
    </row>
    <row r="526" spans="23:23">
      <c r="W526" s="503"/>
    </row>
    <row r="527" spans="23:23">
      <c r="W527" s="503"/>
    </row>
    <row r="528" spans="23:23">
      <c r="W528" s="503"/>
    </row>
    <row r="529" spans="23:23">
      <c r="W529" s="503"/>
    </row>
    <row r="530" spans="23:23">
      <c r="W530" s="503"/>
    </row>
    <row r="531" spans="23:23">
      <c r="W531" s="503"/>
    </row>
    <row r="532" spans="23:23">
      <c r="W532" s="503"/>
    </row>
    <row r="533" spans="23:23">
      <c r="W533" s="503"/>
    </row>
    <row r="534" spans="23:23">
      <c r="W534" s="503"/>
    </row>
    <row r="535" spans="23:23">
      <c r="W535" s="503"/>
    </row>
    <row r="536" spans="23:23">
      <c r="W536" s="503"/>
    </row>
    <row r="537" spans="23:23">
      <c r="W537" s="503"/>
    </row>
    <row r="538" spans="23:23">
      <c r="W538" s="503"/>
    </row>
    <row r="539" spans="23:23">
      <c r="W539" s="503"/>
    </row>
    <row r="540" spans="23:23">
      <c r="W540" s="503"/>
    </row>
    <row r="541" spans="23:23">
      <c r="W541" s="503"/>
    </row>
    <row r="542" spans="23:23">
      <c r="W542" s="503"/>
    </row>
    <row r="543" spans="23:23">
      <c r="W543" s="503"/>
    </row>
    <row r="544" spans="23:23">
      <c r="W544" s="503"/>
    </row>
    <row r="545" spans="23:23">
      <c r="W545" s="503"/>
    </row>
    <row r="546" spans="23:23">
      <c r="W546" s="503"/>
    </row>
    <row r="547" spans="23:23">
      <c r="W547" s="503"/>
    </row>
    <row r="548" spans="23:23">
      <c r="W548" s="503"/>
    </row>
    <row r="549" spans="23:23">
      <c r="W549" s="503"/>
    </row>
    <row r="550" spans="23:23">
      <c r="W550" s="503"/>
    </row>
    <row r="551" spans="23:23">
      <c r="W551" s="503"/>
    </row>
    <row r="552" spans="23:23">
      <c r="W552" s="503"/>
    </row>
    <row r="553" spans="23:23">
      <c r="W553" s="503"/>
    </row>
    <row r="554" spans="23:23">
      <c r="W554" s="503"/>
    </row>
    <row r="555" spans="23:23">
      <c r="W555" s="503"/>
    </row>
    <row r="556" spans="23:23">
      <c r="W556" s="503"/>
    </row>
    <row r="557" spans="23:23">
      <c r="W557" s="503"/>
    </row>
    <row r="558" spans="23:23">
      <c r="W558" s="503"/>
    </row>
    <row r="559" spans="23:23">
      <c r="W559" s="503"/>
    </row>
    <row r="560" spans="23:23">
      <c r="W560" s="503"/>
    </row>
    <row r="561" spans="23:23">
      <c r="W561" s="503"/>
    </row>
    <row r="562" spans="23:23">
      <c r="W562" s="503"/>
    </row>
    <row r="563" spans="23:23">
      <c r="W563" s="503"/>
    </row>
    <row r="564" spans="23:23">
      <c r="W564" s="503"/>
    </row>
    <row r="565" spans="23:23">
      <c r="W565" s="503"/>
    </row>
    <row r="566" spans="23:23">
      <c r="W566" s="503"/>
    </row>
    <row r="567" spans="23:23">
      <c r="W567" s="503"/>
    </row>
    <row r="568" spans="23:23">
      <c r="W568" s="503"/>
    </row>
    <row r="569" spans="23:23">
      <c r="W569" s="503"/>
    </row>
    <row r="570" spans="23:23">
      <c r="W570" s="503"/>
    </row>
    <row r="571" spans="23:23">
      <c r="W571" s="503"/>
    </row>
    <row r="572" spans="23:23">
      <c r="W572" s="503"/>
    </row>
    <row r="573" spans="23:23">
      <c r="W573" s="503"/>
    </row>
    <row r="574" spans="23:23">
      <c r="W574" s="503"/>
    </row>
    <row r="575" spans="23:23">
      <c r="W575" s="503"/>
    </row>
    <row r="576" spans="23:23">
      <c r="W576" s="503"/>
    </row>
    <row r="577" spans="23:23">
      <c r="W577" s="503"/>
    </row>
    <row r="578" spans="23:23">
      <c r="W578" s="503"/>
    </row>
    <row r="579" spans="23:23">
      <c r="W579" s="503"/>
    </row>
    <row r="580" spans="23:23">
      <c r="W580" s="503"/>
    </row>
    <row r="581" spans="23:23">
      <c r="W581" s="503"/>
    </row>
    <row r="582" spans="23:23">
      <c r="W582" s="503"/>
    </row>
    <row r="583" spans="23:23">
      <c r="W583" s="503"/>
    </row>
    <row r="584" spans="23:23">
      <c r="W584" s="503"/>
    </row>
    <row r="585" spans="23:23">
      <c r="W585" s="503"/>
    </row>
    <row r="586" spans="23:23">
      <c r="W586" s="503"/>
    </row>
    <row r="587" spans="23:23">
      <c r="W587" s="503"/>
    </row>
    <row r="588" spans="23:23">
      <c r="W588" s="503"/>
    </row>
    <row r="589" spans="23:23">
      <c r="W589" s="503"/>
    </row>
    <row r="590" spans="23:23">
      <c r="W590" s="503"/>
    </row>
    <row r="591" spans="23:23">
      <c r="W591" s="503"/>
    </row>
    <row r="592" spans="23:23">
      <c r="W592" s="503"/>
    </row>
    <row r="593" spans="23:23">
      <c r="W593" s="503"/>
    </row>
    <row r="594" spans="23:23">
      <c r="W594" s="503"/>
    </row>
    <row r="595" spans="23:23">
      <c r="W595" s="503"/>
    </row>
    <row r="596" spans="23:23">
      <c r="W596" s="503"/>
    </row>
    <row r="597" spans="23:23">
      <c r="W597" s="503"/>
    </row>
    <row r="598" spans="23:23">
      <c r="W598" s="503"/>
    </row>
    <row r="599" spans="23:23">
      <c r="W599" s="503"/>
    </row>
    <row r="600" spans="23:23">
      <c r="W600" s="503"/>
    </row>
    <row r="601" spans="23:23">
      <c r="W601" s="503"/>
    </row>
    <row r="602" spans="23:23">
      <c r="W602" s="503"/>
    </row>
    <row r="603" spans="23:23">
      <c r="W603" s="503"/>
    </row>
    <row r="604" spans="23:23">
      <c r="W604" s="503"/>
    </row>
    <row r="605" spans="23:23">
      <c r="W605" s="503"/>
    </row>
    <row r="606" spans="23:23">
      <c r="W606" s="503"/>
    </row>
    <row r="607" spans="23:23">
      <c r="W607" s="503"/>
    </row>
    <row r="608" spans="23:23">
      <c r="W608" s="503"/>
    </row>
    <row r="609" spans="23:23">
      <c r="W609" s="503"/>
    </row>
    <row r="610" spans="23:23">
      <c r="W610" s="503"/>
    </row>
    <row r="611" spans="23:23">
      <c r="W611" s="503"/>
    </row>
    <row r="612" spans="23:23">
      <c r="W612" s="503"/>
    </row>
    <row r="613" spans="23:23">
      <c r="W613" s="503"/>
    </row>
    <row r="614" spans="23:23">
      <c r="W614" s="503"/>
    </row>
    <row r="615" spans="23:23">
      <c r="W615" s="503"/>
    </row>
    <row r="616" spans="23:23">
      <c r="W616" s="503"/>
    </row>
    <row r="617" spans="23:23">
      <c r="W617" s="503"/>
    </row>
    <row r="618" spans="23:23">
      <c r="W618" s="503"/>
    </row>
    <row r="619" spans="23:23">
      <c r="W619" s="503"/>
    </row>
    <row r="620" spans="23:23">
      <c r="W620" s="503"/>
    </row>
    <row r="621" spans="23:23">
      <c r="W621" s="503"/>
    </row>
    <row r="622" spans="23:23">
      <c r="W622" s="503"/>
    </row>
    <row r="623" spans="23:23">
      <c r="W623" s="503"/>
    </row>
    <row r="624" spans="23:23">
      <c r="W624" s="503"/>
    </row>
    <row r="625" spans="23:23">
      <c r="W625" s="503"/>
    </row>
    <row r="626" spans="23:23">
      <c r="W626" s="503"/>
    </row>
    <row r="627" spans="23:23">
      <c r="W627" s="503"/>
    </row>
    <row r="628" spans="23:23">
      <c r="W628" s="503"/>
    </row>
    <row r="629" spans="23:23">
      <c r="W629" s="503"/>
    </row>
    <row r="630" spans="23:23">
      <c r="W630" s="503"/>
    </row>
    <row r="631" spans="23:23">
      <c r="W631" s="503"/>
    </row>
    <row r="632" spans="23:23">
      <c r="W632" s="503"/>
    </row>
    <row r="633" spans="23:23">
      <c r="W633" s="503"/>
    </row>
    <row r="634" spans="23:23">
      <c r="W634" s="503"/>
    </row>
    <row r="635" spans="23:23">
      <c r="W635" s="503"/>
    </row>
    <row r="636" spans="23:23">
      <c r="W636" s="503"/>
    </row>
    <row r="637" spans="23:23">
      <c r="W637" s="503"/>
    </row>
    <row r="638" spans="23:23">
      <c r="W638" s="503"/>
    </row>
    <row r="639" spans="23:23">
      <c r="W639" s="503"/>
    </row>
    <row r="640" spans="23:23">
      <c r="W640" s="503"/>
    </row>
    <row r="641" spans="23:23">
      <c r="W641" s="503"/>
    </row>
    <row r="642" spans="23:23">
      <c r="W642" s="503"/>
    </row>
    <row r="643" spans="23:23">
      <c r="W643" s="503"/>
    </row>
    <row r="644" spans="23:23">
      <c r="W644" s="503"/>
    </row>
    <row r="645" spans="23:23">
      <c r="W645" s="503"/>
    </row>
    <row r="646" spans="23:23">
      <c r="W646" s="503"/>
    </row>
    <row r="647" spans="23:23">
      <c r="W647" s="503"/>
    </row>
    <row r="648" spans="23:23">
      <c r="W648" s="503"/>
    </row>
    <row r="649" spans="23:23">
      <c r="W649" s="503"/>
    </row>
    <row r="650" spans="23:23">
      <c r="W650" s="503"/>
    </row>
    <row r="651" spans="23:23">
      <c r="W651" s="503"/>
    </row>
    <row r="652" spans="23:23">
      <c r="W652" s="503"/>
    </row>
    <row r="653" spans="23:23">
      <c r="W653" s="503"/>
    </row>
    <row r="654" spans="23:23">
      <c r="W654" s="503"/>
    </row>
    <row r="655" spans="23:23">
      <c r="W655" s="503"/>
    </row>
    <row r="656" spans="23:23">
      <c r="W656" s="503"/>
    </row>
    <row r="657" spans="23:23">
      <c r="W657" s="503"/>
    </row>
    <row r="658" spans="23:23">
      <c r="W658" s="503"/>
    </row>
    <row r="659" spans="23:23">
      <c r="W659" s="503"/>
    </row>
    <row r="660" spans="23:23">
      <c r="W660" s="503"/>
    </row>
    <row r="661" spans="23:23">
      <c r="W661" s="503"/>
    </row>
    <row r="662" spans="23:23">
      <c r="W662" s="503"/>
    </row>
    <row r="663" spans="23:23">
      <c r="W663" s="503"/>
    </row>
    <row r="664" spans="23:23">
      <c r="W664" s="503"/>
    </row>
    <row r="665" spans="23:23">
      <c r="W665" s="503"/>
    </row>
    <row r="666" spans="23:23">
      <c r="W666" s="503"/>
    </row>
    <row r="667" spans="23:23">
      <c r="W667" s="503"/>
    </row>
    <row r="668" spans="23:23">
      <c r="W668" s="503"/>
    </row>
    <row r="669" spans="23:23">
      <c r="W669" s="503"/>
    </row>
    <row r="670" spans="23:23">
      <c r="W670" s="503"/>
    </row>
    <row r="671" spans="23:23">
      <c r="W671" s="503"/>
    </row>
    <row r="672" spans="23:23">
      <c r="W672" s="503"/>
    </row>
    <row r="673" spans="23:23">
      <c r="W673" s="503"/>
    </row>
    <row r="674" spans="23:23">
      <c r="W674" s="503"/>
    </row>
    <row r="675" spans="23:23">
      <c r="W675" s="503"/>
    </row>
    <row r="676" spans="23:23">
      <c r="W676" s="503"/>
    </row>
    <row r="677" spans="23:23">
      <c r="W677" s="503"/>
    </row>
    <row r="678" spans="23:23">
      <c r="W678" s="503"/>
    </row>
    <row r="679" spans="23:23">
      <c r="W679" s="503"/>
    </row>
    <row r="680" spans="23:23">
      <c r="W680" s="503"/>
    </row>
    <row r="681" spans="23:23">
      <c r="W681" s="503"/>
    </row>
    <row r="682" spans="23:23">
      <c r="W682" s="503"/>
    </row>
    <row r="683" spans="23:23">
      <c r="W683" s="503"/>
    </row>
    <row r="684" spans="23:23">
      <c r="W684" s="503"/>
    </row>
    <row r="685" spans="23:23">
      <c r="W685" s="503"/>
    </row>
    <row r="686" spans="23:23">
      <c r="W686" s="503"/>
    </row>
    <row r="687" spans="23:23">
      <c r="W687" s="503"/>
    </row>
    <row r="688" spans="23:23">
      <c r="W688" s="503"/>
    </row>
    <row r="689" spans="23:23">
      <c r="W689" s="503"/>
    </row>
    <row r="690" spans="23:23">
      <c r="W690" s="503"/>
    </row>
    <row r="691" spans="23:23">
      <c r="W691" s="503"/>
    </row>
    <row r="692" spans="23:23">
      <c r="W692" s="503"/>
    </row>
    <row r="693" spans="23:23">
      <c r="W693" s="503"/>
    </row>
    <row r="694" spans="23:23">
      <c r="W694" s="503"/>
    </row>
    <row r="695" spans="23:23">
      <c r="W695" s="503"/>
    </row>
    <row r="696" spans="23:23">
      <c r="W696" s="503"/>
    </row>
    <row r="697" spans="23:23">
      <c r="W697" s="503"/>
    </row>
    <row r="698" spans="23:23">
      <c r="W698" s="503"/>
    </row>
    <row r="699" spans="23:23">
      <c r="W699" s="503"/>
    </row>
    <row r="700" spans="23:23">
      <c r="W700" s="503"/>
    </row>
    <row r="701" spans="23:23">
      <c r="W701" s="503"/>
    </row>
    <row r="702" spans="23:23">
      <c r="W702" s="503"/>
    </row>
    <row r="703" spans="23:23">
      <c r="W703" s="503"/>
    </row>
    <row r="704" spans="23:23">
      <c r="W704" s="503"/>
    </row>
    <row r="705" spans="23:23">
      <c r="W705" s="503"/>
    </row>
    <row r="706" spans="23:23">
      <c r="W706" s="503"/>
    </row>
    <row r="707" spans="23:23">
      <c r="W707" s="503"/>
    </row>
    <row r="708" spans="23:23">
      <c r="W708" s="503"/>
    </row>
    <row r="709" spans="23:23">
      <c r="W709" s="503"/>
    </row>
    <row r="710" spans="23:23">
      <c r="W710" s="503"/>
    </row>
    <row r="711" spans="23:23">
      <c r="W711" s="503"/>
    </row>
    <row r="712" spans="23:23">
      <c r="W712" s="503"/>
    </row>
    <row r="713" spans="23:23">
      <c r="W713" s="503"/>
    </row>
    <row r="714" spans="23:23">
      <c r="W714" s="503"/>
    </row>
    <row r="715" spans="23:23">
      <c r="W715" s="503"/>
    </row>
    <row r="716" spans="23:23">
      <c r="W716" s="503"/>
    </row>
    <row r="717" spans="23:23">
      <c r="W717" s="503"/>
    </row>
    <row r="718" spans="23:23">
      <c r="W718" s="503"/>
    </row>
    <row r="719" spans="23:23">
      <c r="W719" s="503"/>
    </row>
    <row r="720" spans="23:23">
      <c r="W720" s="503"/>
    </row>
    <row r="721" spans="23:23">
      <c r="W721" s="503"/>
    </row>
    <row r="722" spans="23:23">
      <c r="W722" s="503"/>
    </row>
    <row r="723" spans="23:23">
      <c r="W723" s="503"/>
    </row>
    <row r="724" spans="23:23">
      <c r="W724" s="503"/>
    </row>
    <row r="725" spans="23:23">
      <c r="W725" s="503"/>
    </row>
    <row r="726" spans="23:23">
      <c r="W726" s="503"/>
    </row>
    <row r="727" spans="23:23">
      <c r="W727" s="503"/>
    </row>
    <row r="728" spans="23:23">
      <c r="W728" s="503"/>
    </row>
    <row r="729" spans="23:23">
      <c r="W729" s="503"/>
    </row>
    <row r="730" spans="23:23">
      <c r="W730" s="503"/>
    </row>
    <row r="731" spans="23:23">
      <c r="W731" s="503"/>
    </row>
    <row r="732" spans="23:23">
      <c r="W732" s="503"/>
    </row>
    <row r="733" spans="23:23">
      <c r="W733" s="503"/>
    </row>
    <row r="734" spans="23:23">
      <c r="W734" s="503"/>
    </row>
    <row r="735" spans="23:23">
      <c r="W735" s="503"/>
    </row>
    <row r="736" spans="23:23">
      <c r="W736" s="503"/>
    </row>
    <row r="737" spans="23:23">
      <c r="W737" s="503"/>
    </row>
    <row r="738" spans="23:23">
      <c r="W738" s="503"/>
    </row>
    <row r="739" spans="23:23">
      <c r="W739" s="503"/>
    </row>
    <row r="740" spans="23:23">
      <c r="W740" s="503"/>
    </row>
    <row r="741" spans="23:23">
      <c r="W741" s="503"/>
    </row>
    <row r="742" spans="23:23">
      <c r="W742" s="503"/>
    </row>
    <row r="743" spans="23:23">
      <c r="W743" s="503"/>
    </row>
    <row r="744" spans="23:23">
      <c r="W744" s="503"/>
    </row>
    <row r="745" spans="23:23">
      <c r="W745" s="503"/>
    </row>
    <row r="746" spans="23:23">
      <c r="W746" s="503"/>
    </row>
    <row r="747" spans="23:23">
      <c r="W747" s="503"/>
    </row>
    <row r="748" spans="23:23">
      <c r="W748" s="503"/>
    </row>
    <row r="749" spans="23:23">
      <c r="W749" s="503"/>
    </row>
    <row r="750" spans="23:23">
      <c r="W750" s="503"/>
    </row>
    <row r="751" spans="23:23">
      <c r="W751" s="503"/>
    </row>
    <row r="752" spans="23:23">
      <c r="W752" s="503"/>
    </row>
    <row r="753" spans="23:23">
      <c r="W753" s="503"/>
    </row>
    <row r="754" spans="23:23">
      <c r="W754" s="503"/>
    </row>
    <row r="755" spans="23:23">
      <c r="W755" s="503"/>
    </row>
    <row r="756" spans="23:23">
      <c r="W756" s="503"/>
    </row>
    <row r="757" spans="23:23">
      <c r="W757" s="503"/>
    </row>
    <row r="758" spans="23:23">
      <c r="W758" s="503"/>
    </row>
    <row r="759" spans="23:23">
      <c r="W759" s="503"/>
    </row>
    <row r="760" spans="23:23">
      <c r="W760" s="503"/>
    </row>
    <row r="761" spans="23:23">
      <c r="W761" s="503"/>
    </row>
    <row r="762" spans="23:23">
      <c r="W762" s="503"/>
    </row>
    <row r="763" spans="23:23">
      <c r="W763" s="503"/>
    </row>
    <row r="764" spans="23:23">
      <c r="W764" s="503"/>
    </row>
    <row r="765" spans="23:23">
      <c r="W765" s="503"/>
    </row>
    <row r="766" spans="23:23">
      <c r="W766" s="503"/>
    </row>
    <row r="767" spans="23:23">
      <c r="W767" s="503"/>
    </row>
    <row r="768" spans="23:23">
      <c r="W768" s="503"/>
    </row>
    <row r="769" spans="23:23">
      <c r="W769" s="503"/>
    </row>
    <row r="770" spans="23:23">
      <c r="W770" s="503"/>
    </row>
    <row r="771" spans="23:23">
      <c r="W771" s="503"/>
    </row>
    <row r="772" spans="23:23">
      <c r="W772" s="503"/>
    </row>
    <row r="773" spans="23:23">
      <c r="W773" s="503"/>
    </row>
    <row r="774" spans="23:23">
      <c r="W774" s="503"/>
    </row>
    <row r="775" spans="23:23">
      <c r="W775" s="503"/>
    </row>
    <row r="776" spans="23:23">
      <c r="W776" s="503"/>
    </row>
    <row r="777" spans="23:23">
      <c r="W777" s="503"/>
    </row>
    <row r="778" spans="23:23">
      <c r="W778" s="503"/>
    </row>
    <row r="779" spans="23:23">
      <c r="W779" s="503"/>
    </row>
    <row r="780" spans="23:23">
      <c r="W780" s="503"/>
    </row>
    <row r="781" spans="23:23">
      <c r="W781" s="503"/>
    </row>
    <row r="782" spans="23:23">
      <c r="W782" s="503"/>
    </row>
    <row r="783" spans="23:23">
      <c r="W783" s="503"/>
    </row>
    <row r="784" spans="23:23">
      <c r="W784" s="503"/>
    </row>
    <row r="785" spans="23:23">
      <c r="W785" s="503"/>
    </row>
    <row r="786" spans="23:23">
      <c r="W786" s="503"/>
    </row>
    <row r="787" spans="23:23">
      <c r="W787" s="503"/>
    </row>
    <row r="788" spans="23:23">
      <c r="W788" s="503"/>
    </row>
    <row r="789" spans="23:23">
      <c r="W789" s="503"/>
    </row>
    <row r="790" spans="23:23">
      <c r="W790" s="503"/>
    </row>
    <row r="791" spans="23:23">
      <c r="W791" s="503"/>
    </row>
    <row r="792" spans="23:23">
      <c r="W792" s="503"/>
    </row>
    <row r="793" spans="23:23">
      <c r="W793" s="503"/>
    </row>
    <row r="794" spans="23:23">
      <c r="W794" s="503"/>
    </row>
    <row r="795" spans="23:23">
      <c r="W795" s="503"/>
    </row>
    <row r="796" spans="23:23">
      <c r="W796" s="503"/>
    </row>
    <row r="797" spans="23:23">
      <c r="W797" s="503"/>
    </row>
    <row r="798" spans="23:23">
      <c r="W798" s="503"/>
    </row>
    <row r="799" spans="23:23">
      <c r="W799" s="503"/>
    </row>
    <row r="800" spans="23:23">
      <c r="W800" s="503"/>
    </row>
    <row r="801" spans="23:23">
      <c r="W801" s="503"/>
    </row>
    <row r="802" spans="23:23">
      <c r="W802" s="503"/>
    </row>
    <row r="803" spans="23:23">
      <c r="W803" s="503"/>
    </row>
    <row r="804" spans="23:23">
      <c r="W804" s="503"/>
    </row>
    <row r="805" spans="23:23">
      <c r="W805" s="503"/>
    </row>
    <row r="806" spans="23:23">
      <c r="W806" s="503"/>
    </row>
    <row r="807" spans="23:23">
      <c r="W807" s="503"/>
    </row>
    <row r="808" spans="23:23">
      <c r="W808" s="503"/>
    </row>
    <row r="809" spans="23:23">
      <c r="W809" s="503"/>
    </row>
    <row r="810" spans="23:23">
      <c r="W810" s="503"/>
    </row>
    <row r="811" spans="23:23">
      <c r="W811" s="503"/>
    </row>
    <row r="812" spans="23:23">
      <c r="W812" s="503"/>
    </row>
    <row r="813" spans="23:23">
      <c r="W813" s="503"/>
    </row>
    <row r="814" spans="23:23">
      <c r="W814" s="503"/>
    </row>
    <row r="815" spans="23:23">
      <c r="W815" s="503"/>
    </row>
    <row r="816" spans="23:23">
      <c r="W816" s="503"/>
    </row>
    <row r="817" spans="23:23">
      <c r="W817" s="503"/>
    </row>
    <row r="818" spans="23:23">
      <c r="W818" s="503"/>
    </row>
    <row r="819" spans="23:23">
      <c r="W819" s="503"/>
    </row>
    <row r="820" spans="23:23">
      <c r="W820" s="503"/>
    </row>
    <row r="821" spans="23:23">
      <c r="W821" s="503"/>
    </row>
    <row r="822" spans="23:23">
      <c r="W822" s="503"/>
    </row>
    <row r="823" spans="23:23">
      <c r="W823" s="503"/>
    </row>
    <row r="824" spans="23:23">
      <c r="W824" s="503"/>
    </row>
    <row r="825" spans="23:23">
      <c r="W825" s="503"/>
    </row>
    <row r="826" spans="23:23">
      <c r="W826" s="503"/>
    </row>
    <row r="827" spans="23:23">
      <c r="W827" s="503"/>
    </row>
    <row r="828" spans="23:23">
      <c r="W828" s="503"/>
    </row>
    <row r="829" spans="23:23">
      <c r="W829" s="503"/>
    </row>
    <row r="830" spans="23:23">
      <c r="W830" s="503"/>
    </row>
    <row r="831" spans="23:23">
      <c r="W831" s="503"/>
    </row>
    <row r="832" spans="23:23">
      <c r="W832" s="503"/>
    </row>
    <row r="833" spans="23:23">
      <c r="W833" s="503"/>
    </row>
    <row r="834" spans="23:23">
      <c r="W834" s="503"/>
    </row>
    <row r="835" spans="23:23">
      <c r="W835" s="503"/>
    </row>
    <row r="836" spans="23:23">
      <c r="W836" s="503"/>
    </row>
    <row r="837" spans="23:23">
      <c r="W837" s="503"/>
    </row>
    <row r="838" spans="23:23">
      <c r="W838" s="503"/>
    </row>
    <row r="839" spans="23:23">
      <c r="W839" s="503"/>
    </row>
    <row r="840" spans="23:23">
      <c r="W840" s="503"/>
    </row>
    <row r="841" spans="23:23">
      <c r="W841" s="503"/>
    </row>
    <row r="842" spans="23:23">
      <c r="W842" s="503"/>
    </row>
    <row r="843" spans="23:23">
      <c r="W843" s="503"/>
    </row>
    <row r="844" spans="23:23">
      <c r="W844" s="503"/>
    </row>
    <row r="845" spans="23:23">
      <c r="W845" s="503"/>
    </row>
    <row r="846" spans="23:23">
      <c r="W846" s="503"/>
    </row>
    <row r="847" spans="23:23">
      <c r="W847" s="503"/>
    </row>
    <row r="848" spans="23:23">
      <c r="W848" s="503"/>
    </row>
    <row r="849" spans="23:23">
      <c r="W849" s="503"/>
    </row>
    <row r="850" spans="23:23">
      <c r="W850" s="503"/>
    </row>
    <row r="851" spans="23:23">
      <c r="W851" s="503"/>
    </row>
    <row r="852" spans="23:23">
      <c r="W852" s="503"/>
    </row>
    <row r="853" spans="23:23">
      <c r="W853" s="503"/>
    </row>
    <row r="854" spans="23:23">
      <c r="W854" s="503"/>
    </row>
    <row r="855" spans="23:23">
      <c r="W855" s="503"/>
    </row>
    <row r="856" spans="23:23">
      <c r="W856" s="503"/>
    </row>
    <row r="857" spans="23:23">
      <c r="W857" s="503"/>
    </row>
    <row r="858" spans="23:23">
      <c r="W858" s="503"/>
    </row>
    <row r="859" spans="23:23">
      <c r="W859" s="503"/>
    </row>
    <row r="860" spans="23:23">
      <c r="W860" s="503"/>
    </row>
    <row r="861" spans="23:23">
      <c r="W861" s="503"/>
    </row>
    <row r="862" spans="23:23">
      <c r="W862" s="503"/>
    </row>
    <row r="863" spans="23:23">
      <c r="W863" s="503"/>
    </row>
    <row r="864" spans="23:23">
      <c r="W864" s="503"/>
    </row>
    <row r="865" spans="23:23">
      <c r="W865" s="503"/>
    </row>
    <row r="866" spans="23:23">
      <c r="W866" s="503"/>
    </row>
    <row r="867" spans="23:23">
      <c r="W867" s="503"/>
    </row>
    <row r="868" spans="23:23">
      <c r="W868" s="503"/>
    </row>
    <row r="869" spans="23:23">
      <c r="W869" s="503"/>
    </row>
    <row r="870" spans="23:23">
      <c r="W870" s="503"/>
    </row>
    <row r="871" spans="23:23">
      <c r="W871" s="503"/>
    </row>
    <row r="872" spans="23:23">
      <c r="W872" s="503"/>
    </row>
    <row r="873" spans="23:23">
      <c r="W873" s="503"/>
    </row>
    <row r="874" spans="23:23">
      <c r="W874" s="503"/>
    </row>
    <row r="875" spans="23:23">
      <c r="W875" s="503"/>
    </row>
    <row r="876" spans="23:23">
      <c r="W876" s="503"/>
    </row>
    <row r="877" spans="23:23">
      <c r="W877" s="503"/>
    </row>
    <row r="878" spans="23:23">
      <c r="W878" s="503"/>
    </row>
    <row r="879" spans="23:23">
      <c r="W879" s="503"/>
    </row>
    <row r="880" spans="23:23">
      <c r="W880" s="503"/>
    </row>
    <row r="881" spans="23:23">
      <c r="W881" s="503"/>
    </row>
    <row r="882" spans="23:23">
      <c r="W882" s="503"/>
    </row>
    <row r="883" spans="23:23">
      <c r="W883" s="503"/>
    </row>
    <row r="884" spans="23:23">
      <c r="W884" s="503"/>
    </row>
    <row r="885" spans="23:23">
      <c r="W885" s="503"/>
    </row>
    <row r="886" spans="23:23">
      <c r="W886" s="503"/>
    </row>
    <row r="887" spans="23:23">
      <c r="W887" s="503"/>
    </row>
    <row r="888" spans="23:23">
      <c r="W888" s="503"/>
    </row>
    <row r="889" spans="23:23">
      <c r="W889" s="503"/>
    </row>
    <row r="890" spans="23:23">
      <c r="W890" s="503"/>
    </row>
    <row r="891" spans="23:23">
      <c r="W891" s="503"/>
    </row>
    <row r="892" spans="23:23">
      <c r="W892" s="503"/>
    </row>
    <row r="893" spans="23:23">
      <c r="W893" s="503"/>
    </row>
    <row r="894" spans="23:23">
      <c r="W894" s="503"/>
    </row>
    <row r="895" spans="23:23">
      <c r="W895" s="503"/>
    </row>
    <row r="896" spans="23:23">
      <c r="W896" s="503"/>
    </row>
    <row r="897" spans="23:23">
      <c r="W897" s="503"/>
    </row>
    <row r="898" spans="23:23">
      <c r="W898" s="503"/>
    </row>
    <row r="899" spans="23:23">
      <c r="W899" s="503"/>
    </row>
    <row r="900" spans="23:23">
      <c r="W900" s="503"/>
    </row>
    <row r="901" spans="23:23">
      <c r="W901" s="503"/>
    </row>
    <row r="902" spans="23:23">
      <c r="W902" s="503"/>
    </row>
    <row r="903" spans="23:23">
      <c r="W903" s="503"/>
    </row>
    <row r="904" spans="23:23">
      <c r="W904" s="503"/>
    </row>
    <row r="905" spans="23:23">
      <c r="W905" s="503"/>
    </row>
    <row r="906" spans="23:23">
      <c r="W906" s="503"/>
    </row>
    <row r="907" spans="23:23">
      <c r="W907" s="503"/>
    </row>
    <row r="908" spans="23:23">
      <c r="W908" s="503"/>
    </row>
    <row r="909" spans="23:23">
      <c r="W909" s="503"/>
    </row>
    <row r="910" spans="23:23">
      <c r="W910" s="503"/>
    </row>
    <row r="911" spans="23:23">
      <c r="W911" s="503"/>
    </row>
    <row r="912" spans="23:23">
      <c r="W912" s="503"/>
    </row>
    <row r="913" spans="23:23">
      <c r="W913" s="503"/>
    </row>
    <row r="914" spans="23:23">
      <c r="W914" s="503"/>
    </row>
    <row r="915" spans="23:23">
      <c r="W915" s="503"/>
    </row>
    <row r="916" spans="23:23">
      <c r="W916" s="503"/>
    </row>
    <row r="917" spans="23:23">
      <c r="W917" s="503"/>
    </row>
    <row r="918" spans="23:23">
      <c r="W918" s="503"/>
    </row>
    <row r="919" spans="23:23">
      <c r="W919" s="503"/>
    </row>
    <row r="920" spans="23:23">
      <c r="W920" s="503"/>
    </row>
    <row r="921" spans="23:23">
      <c r="W921" s="503"/>
    </row>
    <row r="922" spans="23:23">
      <c r="W922" s="503"/>
    </row>
    <row r="923" spans="23:23">
      <c r="W923" s="503"/>
    </row>
    <row r="924" spans="23:23">
      <c r="W924" s="503"/>
    </row>
    <row r="925" spans="23:23">
      <c r="W925" s="503"/>
    </row>
    <row r="926" spans="23:23">
      <c r="W926" s="503"/>
    </row>
    <row r="927" spans="23:23">
      <c r="W927" s="503"/>
    </row>
    <row r="928" spans="23:23">
      <c r="W928" s="503"/>
    </row>
    <row r="929" spans="23:23">
      <c r="W929" s="503"/>
    </row>
    <row r="930" spans="23:23">
      <c r="W930" s="503"/>
    </row>
    <row r="931" spans="23:23">
      <c r="W931" s="503"/>
    </row>
    <row r="932" spans="23:23">
      <c r="W932" s="503"/>
    </row>
    <row r="933" spans="23:23">
      <c r="W933" s="503"/>
    </row>
    <row r="934" spans="23:23">
      <c r="W934" s="503"/>
    </row>
    <row r="935" spans="23:23">
      <c r="W935" s="503"/>
    </row>
    <row r="936" spans="23:23">
      <c r="W936" s="503"/>
    </row>
    <row r="937" spans="23:23">
      <c r="W937" s="503"/>
    </row>
    <row r="938" spans="23:23">
      <c r="W938" s="503"/>
    </row>
    <row r="939" spans="23:23">
      <c r="W939" s="503"/>
    </row>
    <row r="940" spans="23:23">
      <c r="W940" s="503"/>
    </row>
    <row r="941" spans="23:23">
      <c r="W941" s="503"/>
    </row>
    <row r="942" spans="23:23">
      <c r="W942" s="503"/>
    </row>
    <row r="943" spans="23:23">
      <c r="W943" s="503"/>
    </row>
    <row r="944" spans="23:23">
      <c r="W944" s="503"/>
    </row>
    <row r="945" spans="23:23">
      <c r="W945" s="503"/>
    </row>
    <row r="946" spans="23:23">
      <c r="W946" s="503"/>
    </row>
    <row r="947" spans="23:23">
      <c r="W947" s="503"/>
    </row>
    <row r="948" spans="23:23">
      <c r="W948" s="503"/>
    </row>
    <row r="949" spans="23:23">
      <c r="W949" s="503"/>
    </row>
    <row r="950" spans="23:23">
      <c r="W950" s="503"/>
    </row>
    <row r="951" spans="23:23">
      <c r="W951" s="503"/>
    </row>
    <row r="952" spans="23:23">
      <c r="W952" s="503"/>
    </row>
    <row r="953" spans="23:23">
      <c r="W953" s="503"/>
    </row>
    <row r="954" spans="23:23">
      <c r="W954" s="503"/>
    </row>
    <row r="955" spans="23:23">
      <c r="W955" s="503"/>
    </row>
    <row r="956" spans="23:23">
      <c r="W956" s="503"/>
    </row>
    <row r="957" spans="23:23">
      <c r="W957" s="503"/>
    </row>
    <row r="958" spans="23:23">
      <c r="W958" s="503"/>
    </row>
    <row r="959" spans="23:23">
      <c r="W959" s="503"/>
    </row>
    <row r="960" spans="23:23">
      <c r="W960" s="503"/>
    </row>
    <row r="961" spans="23:23">
      <c r="W961" s="503"/>
    </row>
    <row r="962" spans="23:23">
      <c r="W962" s="503"/>
    </row>
    <row r="963" spans="23:23">
      <c r="W963" s="503"/>
    </row>
    <row r="964" spans="23:23">
      <c r="W964" s="503"/>
    </row>
    <row r="965" spans="23:23">
      <c r="W965" s="503"/>
    </row>
    <row r="966" spans="23:23">
      <c r="W966" s="503"/>
    </row>
    <row r="967" spans="23:23">
      <c r="W967" s="503"/>
    </row>
    <row r="968" spans="23:23">
      <c r="W968" s="503"/>
    </row>
    <row r="969" spans="23:23">
      <c r="W969" s="503"/>
    </row>
    <row r="970" spans="23:23">
      <c r="W970" s="503"/>
    </row>
    <row r="971" spans="23:23">
      <c r="W971" s="503"/>
    </row>
    <row r="972" spans="23:23">
      <c r="W972" s="503"/>
    </row>
    <row r="973" spans="23:23">
      <c r="W973" s="503"/>
    </row>
    <row r="974" spans="23:23">
      <c r="W974" s="503"/>
    </row>
    <row r="975" spans="23:23">
      <c r="W975" s="503"/>
    </row>
    <row r="976" spans="23:23">
      <c r="W976" s="503"/>
    </row>
    <row r="977" spans="23:23">
      <c r="W977" s="503"/>
    </row>
    <row r="978" spans="23:23">
      <c r="W978" s="503"/>
    </row>
    <row r="979" spans="23:23">
      <c r="W979" s="503"/>
    </row>
    <row r="980" spans="23:23">
      <c r="W980" s="503"/>
    </row>
    <row r="981" spans="23:23">
      <c r="W981" s="503"/>
    </row>
    <row r="982" spans="23:23">
      <c r="W982" s="503"/>
    </row>
    <row r="983" spans="23:23">
      <c r="W983" s="503"/>
    </row>
    <row r="984" spans="23:23">
      <c r="W984" s="503"/>
    </row>
    <row r="985" spans="23:23">
      <c r="W985" s="503"/>
    </row>
    <row r="986" spans="23:23">
      <c r="W986" s="503"/>
    </row>
    <row r="987" spans="23:23">
      <c r="W987" s="503"/>
    </row>
    <row r="988" spans="23:23">
      <c r="W988" s="503"/>
    </row>
    <row r="989" spans="23:23">
      <c r="W989" s="503"/>
    </row>
    <row r="990" spans="23:23">
      <c r="W990" s="503"/>
    </row>
    <row r="991" spans="23:23">
      <c r="W991" s="503"/>
    </row>
    <row r="992" spans="23:23">
      <c r="W992" s="503"/>
    </row>
    <row r="993" spans="23:23">
      <c r="W993" s="503"/>
    </row>
    <row r="994" spans="23:23">
      <c r="W994" s="503"/>
    </row>
    <row r="995" spans="23:23">
      <c r="W995" s="503"/>
    </row>
    <row r="996" spans="23:23">
      <c r="W996" s="503"/>
    </row>
    <row r="997" spans="23:23">
      <c r="W997" s="503"/>
    </row>
    <row r="998" spans="23:23">
      <c r="W998" s="503"/>
    </row>
    <row r="999" spans="23:23">
      <c r="W999" s="503"/>
    </row>
    <row r="1000" spans="23:23">
      <c r="W1000" s="503"/>
    </row>
    <row r="1001" spans="23:23">
      <c r="W1001" s="503"/>
    </row>
    <row r="1002" spans="23:23">
      <c r="W1002" s="503"/>
    </row>
    <row r="1003" spans="23:23">
      <c r="W1003" s="503"/>
    </row>
    <row r="1004" spans="23:23">
      <c r="W1004" s="503"/>
    </row>
    <row r="1005" spans="23:23">
      <c r="W1005" s="503"/>
    </row>
    <row r="1006" spans="23:23">
      <c r="W1006" s="503"/>
    </row>
    <row r="1007" spans="23:23">
      <c r="W1007" s="503"/>
    </row>
    <row r="1008" spans="23:23">
      <c r="W1008" s="503"/>
    </row>
    <row r="1009" spans="23:23">
      <c r="W1009" s="503"/>
    </row>
    <row r="1010" spans="23:23">
      <c r="W1010" s="503"/>
    </row>
    <row r="1011" spans="23:23">
      <c r="W1011" s="503"/>
    </row>
    <row r="1012" spans="23:23">
      <c r="W1012" s="503"/>
    </row>
    <row r="1013" spans="23:23">
      <c r="W1013" s="503"/>
    </row>
    <row r="1014" spans="23:23">
      <c r="W1014" s="503"/>
    </row>
    <row r="1015" spans="23:23">
      <c r="W1015" s="503"/>
    </row>
    <row r="1016" spans="23:23">
      <c r="W1016" s="503"/>
    </row>
    <row r="1017" spans="23:23">
      <c r="W1017" s="503"/>
    </row>
    <row r="1018" spans="23:23">
      <c r="W1018" s="503"/>
    </row>
    <row r="1019" spans="23:23">
      <c r="W1019" s="503"/>
    </row>
    <row r="1020" spans="23:23">
      <c r="W1020" s="503"/>
    </row>
    <row r="1021" spans="23:23">
      <c r="W1021" s="503"/>
    </row>
    <row r="1022" spans="23:23">
      <c r="W1022" s="503"/>
    </row>
    <row r="1023" spans="23:23">
      <c r="W1023" s="503"/>
    </row>
    <row r="1024" spans="23:23">
      <c r="W1024" s="503"/>
    </row>
    <row r="1025" spans="23:23">
      <c r="W1025" s="503"/>
    </row>
    <row r="1026" spans="23:23">
      <c r="W1026" s="503"/>
    </row>
    <row r="1027" spans="23:23">
      <c r="W1027" s="503"/>
    </row>
    <row r="1028" spans="23:23">
      <c r="W1028" s="503"/>
    </row>
    <row r="1029" spans="23:23">
      <c r="W1029" s="503"/>
    </row>
    <row r="1030" spans="23:23">
      <c r="W1030" s="503"/>
    </row>
    <row r="1031" spans="23:23">
      <c r="W1031" s="503"/>
    </row>
    <row r="1032" spans="23:23">
      <c r="W1032" s="503"/>
    </row>
    <row r="1033" spans="23:23">
      <c r="W1033" s="503"/>
    </row>
    <row r="1034" spans="23:23">
      <c r="W1034" s="503"/>
    </row>
    <row r="1035" spans="23:23">
      <c r="W1035" s="503"/>
    </row>
    <row r="1036" spans="23:23">
      <c r="W1036" s="503"/>
    </row>
    <row r="1037" spans="23:23">
      <c r="W1037" s="503"/>
    </row>
    <row r="1038" spans="23:23">
      <c r="W1038" s="503"/>
    </row>
    <row r="1039" spans="23:23">
      <c r="W1039" s="503"/>
    </row>
    <row r="1040" spans="23:23">
      <c r="W1040" s="503"/>
    </row>
    <row r="1041" spans="23:23">
      <c r="W1041" s="503"/>
    </row>
    <row r="1042" spans="23:23">
      <c r="W1042" s="503"/>
    </row>
    <row r="1043" spans="23:23">
      <c r="W1043" s="503"/>
    </row>
    <row r="1044" spans="23:23">
      <c r="W1044" s="503"/>
    </row>
    <row r="1045" spans="23:23">
      <c r="W1045" s="503"/>
    </row>
    <row r="1046" spans="23:23">
      <c r="W1046" s="503"/>
    </row>
    <row r="1047" spans="23:23">
      <c r="W1047" s="503"/>
    </row>
    <row r="1048" spans="23:23">
      <c r="W1048" s="503"/>
    </row>
    <row r="1049" spans="23:23">
      <c r="W1049" s="503"/>
    </row>
    <row r="1050" spans="23:23">
      <c r="W1050" s="503"/>
    </row>
    <row r="1051" spans="23:23">
      <c r="W1051" s="503"/>
    </row>
    <row r="1052" spans="23:23">
      <c r="W1052" s="503"/>
    </row>
    <row r="1053" spans="23:23">
      <c r="W1053" s="503"/>
    </row>
    <row r="1054" spans="23:23">
      <c r="W1054" s="503"/>
    </row>
    <row r="1055" spans="23:23">
      <c r="W1055" s="503"/>
    </row>
    <row r="1056" spans="23:23">
      <c r="W1056" s="503"/>
    </row>
    <row r="1057" spans="23:23">
      <c r="W1057" s="503"/>
    </row>
    <row r="1058" spans="23:23">
      <c r="W1058" s="503"/>
    </row>
    <row r="1059" spans="23:23">
      <c r="W1059" s="503"/>
    </row>
    <row r="1060" spans="23:23">
      <c r="W1060" s="503"/>
    </row>
    <row r="1061" spans="23:23">
      <c r="W1061" s="503"/>
    </row>
    <row r="1062" spans="23:23">
      <c r="W1062" s="503"/>
    </row>
    <row r="1063" spans="23:23">
      <c r="W1063" s="503"/>
    </row>
    <row r="1064" spans="23:23">
      <c r="W1064" s="503"/>
    </row>
    <row r="1065" spans="23:23">
      <c r="W1065" s="503"/>
    </row>
    <row r="1066" spans="23:23">
      <c r="W1066" s="503"/>
    </row>
    <row r="1067" spans="23:23">
      <c r="W1067" s="503"/>
    </row>
    <row r="1068" spans="23:23">
      <c r="W1068" s="503"/>
    </row>
    <row r="1069" spans="23:23">
      <c r="W1069" s="503"/>
    </row>
    <row r="1070" spans="23:23">
      <c r="W1070" s="503"/>
    </row>
    <row r="1071" spans="23:23">
      <c r="W1071" s="503"/>
    </row>
    <row r="1072" spans="23:23">
      <c r="W1072" s="503"/>
    </row>
    <row r="1073" spans="23:23">
      <c r="W1073" s="503"/>
    </row>
    <row r="1074" spans="23:23">
      <c r="W1074" s="503"/>
    </row>
    <row r="1075" spans="23:23">
      <c r="W1075" s="503"/>
    </row>
    <row r="1076" spans="23:23">
      <c r="W1076" s="503"/>
    </row>
    <row r="1077" spans="23:23">
      <c r="W1077" s="503"/>
    </row>
    <row r="1078" spans="23:23">
      <c r="W1078" s="503"/>
    </row>
    <row r="1079" spans="23:23">
      <c r="W1079" s="503"/>
    </row>
    <row r="1080" spans="23:23">
      <c r="W1080" s="503"/>
    </row>
    <row r="1081" spans="23:23">
      <c r="W1081" s="503"/>
    </row>
    <row r="1082" spans="23:23">
      <c r="W1082" s="503"/>
    </row>
    <row r="1083" spans="23:23">
      <c r="W1083" s="503"/>
    </row>
    <row r="1084" spans="23:23">
      <c r="W1084" s="503"/>
    </row>
    <row r="1085" spans="23:23">
      <c r="W1085" s="503"/>
    </row>
    <row r="1086" spans="23:23">
      <c r="W1086" s="503"/>
    </row>
    <row r="1087" spans="23:23">
      <c r="W1087" s="503"/>
    </row>
    <row r="1088" spans="23:23">
      <c r="W1088" s="503"/>
    </row>
    <row r="1089" spans="23:23">
      <c r="W1089" s="503"/>
    </row>
    <row r="1090" spans="23:23">
      <c r="W1090" s="503"/>
    </row>
    <row r="1091" spans="23:23">
      <c r="W1091" s="503"/>
    </row>
    <row r="1092" spans="23:23">
      <c r="W1092" s="503"/>
    </row>
    <row r="1093" spans="23:23">
      <c r="W1093" s="503"/>
    </row>
    <row r="1094" spans="23:23">
      <c r="W1094" s="503"/>
    </row>
    <row r="1095" spans="23:23">
      <c r="W1095" s="503"/>
    </row>
    <row r="1096" spans="23:23">
      <c r="W1096" s="503"/>
    </row>
    <row r="1097" spans="23:23">
      <c r="W1097" s="503"/>
    </row>
    <row r="1098" spans="23:23">
      <c r="W1098" s="503"/>
    </row>
    <row r="1099" spans="23:23">
      <c r="W1099" s="503"/>
    </row>
    <row r="1100" spans="23:23">
      <c r="W1100" s="503"/>
    </row>
    <row r="1101" spans="23:23">
      <c r="W1101" s="503"/>
    </row>
    <row r="1102" spans="23:23">
      <c r="W1102" s="503"/>
    </row>
    <row r="1103" spans="23:23">
      <c r="W1103" s="503"/>
    </row>
    <row r="1104" spans="23:23">
      <c r="W1104" s="503"/>
    </row>
    <row r="1105" spans="23:23">
      <c r="W1105" s="503"/>
    </row>
    <row r="1106" spans="23:23">
      <c r="W1106" s="503"/>
    </row>
    <row r="1107" spans="23:23">
      <c r="W1107" s="503"/>
    </row>
    <row r="1108" spans="23:23">
      <c r="W1108" s="503"/>
    </row>
    <row r="1109" spans="23:23">
      <c r="W1109" s="503"/>
    </row>
    <row r="1110" spans="23:23">
      <c r="W1110" s="503"/>
    </row>
    <row r="1111" spans="23:23">
      <c r="W1111" s="503"/>
    </row>
    <row r="1112" spans="23:23">
      <c r="W1112" s="503"/>
    </row>
    <row r="1113" spans="23:23">
      <c r="W1113" s="503"/>
    </row>
    <row r="1114" spans="23:23">
      <c r="W1114" s="503"/>
    </row>
    <row r="1115" spans="23:23">
      <c r="W1115" s="503"/>
    </row>
    <row r="1116" spans="23:23">
      <c r="W1116" s="503"/>
    </row>
    <row r="1117" spans="23:23">
      <c r="W1117" s="503"/>
    </row>
    <row r="1118" spans="23:23">
      <c r="W1118" s="503"/>
    </row>
    <row r="1119" spans="23:23">
      <c r="W1119" s="503"/>
    </row>
    <row r="1120" spans="23:23">
      <c r="W1120" s="503"/>
    </row>
    <row r="1121" spans="23:23">
      <c r="W1121" s="503"/>
    </row>
    <row r="1122" spans="23:23">
      <c r="W1122" s="503"/>
    </row>
    <row r="1123" spans="23:23">
      <c r="W1123" s="503"/>
    </row>
    <row r="1124" spans="23:23">
      <c r="W1124" s="503"/>
    </row>
    <row r="1125" spans="23:23">
      <c r="W1125" s="503"/>
    </row>
    <row r="1126" spans="23:23">
      <c r="W1126" s="503"/>
    </row>
    <row r="1127" spans="23:23">
      <c r="W1127" s="503"/>
    </row>
    <row r="1128" spans="23:23">
      <c r="W1128" s="503"/>
    </row>
    <row r="1129" spans="23:23">
      <c r="W1129" s="503"/>
    </row>
    <row r="1130" spans="23:23">
      <c r="W1130" s="503"/>
    </row>
    <row r="1131" spans="23:23">
      <c r="W1131" s="503"/>
    </row>
    <row r="1132" spans="23:23">
      <c r="W1132" s="503"/>
    </row>
    <row r="1133" spans="23:23">
      <c r="W1133" s="503"/>
    </row>
    <row r="1134" spans="23:23">
      <c r="W1134" s="503"/>
    </row>
    <row r="1135" spans="23:23">
      <c r="W1135" s="503"/>
    </row>
    <row r="1136" spans="23:23">
      <c r="W1136" s="503"/>
    </row>
    <row r="1137" spans="23:23">
      <c r="W1137" s="503"/>
    </row>
    <row r="1138" spans="23:23">
      <c r="W1138" s="503"/>
    </row>
    <row r="1139" spans="23:23">
      <c r="W1139" s="503"/>
    </row>
    <row r="1140" spans="23:23">
      <c r="W1140" s="503"/>
    </row>
    <row r="1141" spans="23:23">
      <c r="W1141" s="503"/>
    </row>
    <row r="1142" spans="23:23">
      <c r="W1142" s="503"/>
    </row>
    <row r="1143" spans="23:23">
      <c r="W1143" s="503"/>
    </row>
    <row r="1144" spans="23:23">
      <c r="W1144" s="503"/>
    </row>
    <row r="1145" spans="23:23">
      <c r="W1145" s="503"/>
    </row>
    <row r="1146" spans="23:23">
      <c r="W1146" s="503"/>
    </row>
    <row r="1147" spans="23:23">
      <c r="W1147" s="503"/>
    </row>
    <row r="1148" spans="23:23">
      <c r="W1148" s="503"/>
    </row>
    <row r="1149" spans="23:23">
      <c r="W1149" s="503"/>
    </row>
    <row r="1150" spans="23:23">
      <c r="W1150" s="503"/>
    </row>
    <row r="1151" spans="23:23">
      <c r="W1151" s="503"/>
    </row>
    <row r="1152" spans="23:23">
      <c r="W1152" s="503"/>
    </row>
    <row r="1153" spans="23:23">
      <c r="W1153" s="503"/>
    </row>
    <row r="1154" spans="23:23">
      <c r="W1154" s="503"/>
    </row>
    <row r="1155" spans="23:23">
      <c r="W1155" s="503"/>
    </row>
    <row r="1156" spans="23:23">
      <c r="W1156" s="503"/>
    </row>
    <row r="1157" spans="23:23">
      <c r="W1157" s="503"/>
    </row>
    <row r="1158" spans="23:23">
      <c r="W1158" s="503"/>
    </row>
    <row r="1159" spans="23:23">
      <c r="W1159" s="503"/>
    </row>
    <row r="1160" spans="23:23">
      <c r="W1160" s="503"/>
    </row>
    <row r="1161" spans="23:23">
      <c r="W1161" s="503"/>
    </row>
    <row r="1162" spans="23:23">
      <c r="W1162" s="503"/>
    </row>
    <row r="1163" spans="23:23">
      <c r="W1163" s="503"/>
    </row>
    <row r="1164" spans="23:23">
      <c r="W1164" s="503"/>
    </row>
    <row r="1165" spans="23:23">
      <c r="W1165" s="503"/>
    </row>
    <row r="1166" spans="23:23">
      <c r="W1166" s="503"/>
    </row>
    <row r="1167" spans="23:23">
      <c r="W1167" s="503"/>
    </row>
    <row r="1168" spans="23:23">
      <c r="W1168" s="503"/>
    </row>
    <row r="1169" spans="23:23">
      <c r="W1169" s="503"/>
    </row>
    <row r="1170" spans="23:23">
      <c r="W1170" s="503"/>
    </row>
    <row r="1171" spans="23:23">
      <c r="W1171" s="503"/>
    </row>
    <row r="1172" spans="23:23">
      <c r="W1172" s="503"/>
    </row>
    <row r="1173" spans="23:23">
      <c r="W1173" s="503"/>
    </row>
    <row r="1174" spans="23:23">
      <c r="W1174" s="503"/>
    </row>
    <row r="1175" spans="23:23">
      <c r="W1175" s="503"/>
    </row>
    <row r="1176" spans="23:23">
      <c r="W1176" s="503"/>
    </row>
    <row r="1177" spans="23:23">
      <c r="W1177" s="503"/>
    </row>
    <row r="1178" spans="23:23">
      <c r="W1178" s="503"/>
    </row>
    <row r="1179" spans="23:23">
      <c r="W1179" s="503"/>
    </row>
    <row r="1180" spans="23:23">
      <c r="W1180" s="503"/>
    </row>
    <row r="1181" spans="23:23">
      <c r="W1181" s="503"/>
    </row>
    <row r="1182" spans="23:23">
      <c r="W1182" s="503"/>
    </row>
    <row r="1183" spans="23:23">
      <c r="W1183" s="503"/>
    </row>
    <row r="1184" spans="23:23">
      <c r="W1184" s="503"/>
    </row>
    <row r="1185" spans="23:23">
      <c r="W1185" s="503"/>
    </row>
    <row r="1186" spans="23:23">
      <c r="W1186" s="503"/>
    </row>
    <row r="1187" spans="23:23">
      <c r="W1187" s="503"/>
    </row>
    <row r="1188" spans="23:23">
      <c r="W1188" s="503"/>
    </row>
    <row r="1189" spans="23:23">
      <c r="W1189" s="503"/>
    </row>
    <row r="1190" spans="23:23">
      <c r="W1190" s="503"/>
    </row>
    <row r="1191" spans="23:23">
      <c r="W1191" s="503"/>
    </row>
    <row r="1192" spans="23:23">
      <c r="W1192" s="503"/>
    </row>
    <row r="1193" spans="23:23">
      <c r="W1193" s="503"/>
    </row>
    <row r="1194" spans="23:23">
      <c r="W1194" s="503"/>
    </row>
    <row r="1195" spans="23:23">
      <c r="W1195" s="503"/>
    </row>
    <row r="1196" spans="23:23">
      <c r="W1196" s="503"/>
    </row>
    <row r="1197" spans="23:23">
      <c r="W1197" s="503"/>
    </row>
    <row r="1198" spans="23:23">
      <c r="W1198" s="503"/>
    </row>
    <row r="1199" spans="23:23">
      <c r="W1199" s="503"/>
    </row>
    <row r="1200" spans="23:23">
      <c r="W1200" s="503"/>
    </row>
    <row r="1201" spans="23:23">
      <c r="W1201" s="503"/>
    </row>
    <row r="1202" spans="23:23">
      <c r="W1202" s="503"/>
    </row>
    <row r="1203" spans="23:23">
      <c r="W1203" s="503"/>
    </row>
    <row r="1204" spans="23:23">
      <c r="W1204" s="503"/>
    </row>
    <row r="1205" spans="23:23">
      <c r="W1205" s="503"/>
    </row>
    <row r="1206" spans="23:23">
      <c r="W1206" s="503"/>
    </row>
    <row r="1207" spans="23:23">
      <c r="W1207" s="503"/>
    </row>
    <row r="1208" spans="23:23">
      <c r="W1208" s="503"/>
    </row>
    <row r="1209" spans="23:23">
      <c r="W1209" s="503"/>
    </row>
    <row r="1210" spans="23:23">
      <c r="W1210" s="503"/>
    </row>
    <row r="1211" spans="23:23">
      <c r="W1211" s="503"/>
    </row>
    <row r="1212" spans="23:23">
      <c r="W1212" s="503"/>
    </row>
    <row r="1213" spans="23:23">
      <c r="W1213" s="503"/>
    </row>
    <row r="1214" spans="23:23">
      <c r="W1214" s="503"/>
    </row>
    <row r="1215" spans="23:23">
      <c r="W1215" s="503"/>
    </row>
    <row r="1216" spans="23:23">
      <c r="W1216" s="503"/>
    </row>
    <row r="1217" spans="23:23">
      <c r="W1217" s="503"/>
    </row>
    <row r="1218" spans="23:23">
      <c r="W1218" s="503"/>
    </row>
    <row r="1219" spans="23:23">
      <c r="W1219" s="503"/>
    </row>
    <row r="1220" spans="23:23">
      <c r="W1220" s="503"/>
    </row>
    <row r="1221" spans="23:23">
      <c r="W1221" s="503"/>
    </row>
    <row r="1222" spans="23:23">
      <c r="W1222" s="503"/>
    </row>
    <row r="1223" spans="23:23">
      <c r="W1223" s="503"/>
    </row>
    <row r="1224" spans="23:23">
      <c r="W1224" s="503"/>
    </row>
    <row r="1225" spans="23:23">
      <c r="W1225" s="503"/>
    </row>
    <row r="1226" spans="23:23">
      <c r="W1226" s="503"/>
    </row>
    <row r="1227" spans="23:23">
      <c r="W1227" s="503"/>
    </row>
    <row r="1228" spans="23:23">
      <c r="W1228" s="503"/>
    </row>
    <row r="1229" spans="23:23">
      <c r="W1229" s="503"/>
    </row>
    <row r="1230" spans="23:23">
      <c r="W1230" s="503"/>
    </row>
    <row r="1231" spans="23:23">
      <c r="W1231" s="503"/>
    </row>
    <row r="1232" spans="23:23">
      <c r="W1232" s="503"/>
    </row>
    <row r="1233" spans="23:23">
      <c r="W1233" s="503"/>
    </row>
    <row r="1234" spans="23:23">
      <c r="W1234" s="503"/>
    </row>
    <row r="1235" spans="23:23">
      <c r="W1235" s="503"/>
    </row>
    <row r="1236" spans="23:23">
      <c r="W1236" s="503"/>
    </row>
    <row r="1237" spans="23:23">
      <c r="W1237" s="503"/>
    </row>
    <row r="1238" spans="23:23">
      <c r="W1238" s="503"/>
    </row>
    <row r="1239" spans="23:23">
      <c r="W1239" s="503"/>
    </row>
    <row r="1240" spans="23:23">
      <c r="W1240" s="503"/>
    </row>
    <row r="1241" spans="23:23">
      <c r="W1241" s="503"/>
    </row>
    <row r="1242" spans="23:23">
      <c r="W1242" s="503"/>
    </row>
    <row r="1243" spans="23:23">
      <c r="W1243" s="503"/>
    </row>
    <row r="1244" spans="23:23">
      <c r="W1244" s="503"/>
    </row>
    <row r="1245" spans="23:23">
      <c r="W1245" s="503"/>
    </row>
    <row r="1246" spans="23:23">
      <c r="W1246" s="503"/>
    </row>
    <row r="1247" spans="23:23">
      <c r="W1247" s="503"/>
    </row>
    <row r="1248" spans="23:23">
      <c r="W1248" s="503"/>
    </row>
    <row r="1249" spans="23:23">
      <c r="W1249" s="503"/>
    </row>
    <row r="1250" spans="23:23">
      <c r="W1250" s="503"/>
    </row>
    <row r="1251" spans="23:23">
      <c r="W1251" s="503"/>
    </row>
    <row r="1252" spans="23:23">
      <c r="W1252" s="503"/>
    </row>
    <row r="1253" spans="23:23">
      <c r="W1253" s="503"/>
    </row>
    <row r="1254" spans="23:23">
      <c r="W1254" s="503"/>
    </row>
    <row r="1255" spans="23:23">
      <c r="W1255" s="503"/>
    </row>
    <row r="1256" spans="23:23">
      <c r="W1256" s="503"/>
    </row>
    <row r="1257" spans="23:23">
      <c r="W1257" s="503"/>
    </row>
    <row r="1258" spans="23:23">
      <c r="W1258" s="503"/>
    </row>
    <row r="1259" spans="23:23">
      <c r="W1259" s="503"/>
    </row>
    <row r="1260" spans="23:23">
      <c r="W1260" s="503"/>
    </row>
    <row r="1261" spans="23:23">
      <c r="W1261" s="503"/>
    </row>
    <row r="1262" spans="23:23">
      <c r="W1262" s="503"/>
    </row>
    <row r="1263" spans="23:23">
      <c r="W1263" s="503"/>
    </row>
    <row r="1264" spans="23:23">
      <c r="W1264" s="503"/>
    </row>
    <row r="1265" spans="23:23">
      <c r="W1265" s="503"/>
    </row>
    <row r="1266" spans="23:23">
      <c r="W1266" s="503"/>
    </row>
    <row r="1267" spans="23:23">
      <c r="W1267" s="503"/>
    </row>
    <row r="1268" spans="23:23">
      <c r="W1268" s="503"/>
    </row>
    <row r="1269" spans="23:23">
      <c r="W1269" s="503"/>
    </row>
    <row r="1270" spans="23:23">
      <c r="W1270" s="503"/>
    </row>
    <row r="1271" spans="23:23">
      <c r="W1271" s="503"/>
    </row>
    <row r="1272" spans="23:23">
      <c r="W1272" s="503"/>
    </row>
    <row r="1273" spans="23:23">
      <c r="W1273" s="503"/>
    </row>
    <row r="1274" spans="23:23">
      <c r="W1274" s="503"/>
    </row>
    <row r="1275" spans="23:23">
      <c r="W1275" s="503"/>
    </row>
    <row r="1276" spans="23:23">
      <c r="W1276" s="503"/>
    </row>
    <row r="1277" spans="23:23">
      <c r="W1277" s="503"/>
    </row>
    <row r="1278" spans="23:23">
      <c r="W1278" s="503"/>
    </row>
    <row r="1279" spans="23:23">
      <c r="W1279" s="503"/>
    </row>
    <row r="1280" spans="23:23">
      <c r="W1280" s="503"/>
    </row>
    <row r="1281" spans="23:23">
      <c r="W1281" s="503"/>
    </row>
    <row r="1282" spans="23:23">
      <c r="W1282" s="503"/>
    </row>
    <row r="1283" spans="23:23">
      <c r="W1283" s="503"/>
    </row>
    <row r="1284" spans="23:23">
      <c r="W1284" s="503"/>
    </row>
    <row r="1285" spans="23:23">
      <c r="W1285" s="503"/>
    </row>
    <row r="1286" spans="23:23">
      <c r="W1286" s="503"/>
    </row>
    <row r="1287" spans="23:23">
      <c r="W1287" s="503"/>
    </row>
    <row r="1288" spans="23:23">
      <c r="W1288" s="503"/>
    </row>
    <row r="1289" spans="23:23">
      <c r="W1289" s="503"/>
    </row>
    <row r="1290" spans="23:23">
      <c r="W1290" s="503"/>
    </row>
    <row r="1291" spans="23:23">
      <c r="W1291" s="503"/>
    </row>
    <row r="1292" spans="23:23">
      <c r="W1292" s="503"/>
    </row>
    <row r="1293" spans="23:23">
      <c r="W1293" s="503"/>
    </row>
    <row r="1294" spans="23:23">
      <c r="W1294" s="503"/>
    </row>
    <row r="1295" spans="23:23">
      <c r="W1295" s="503"/>
    </row>
    <row r="1296" spans="23:23">
      <c r="W1296" s="503"/>
    </row>
    <row r="1297" spans="23:23">
      <c r="W1297" s="503"/>
    </row>
    <row r="1298" spans="23:23">
      <c r="W1298" s="503"/>
    </row>
    <row r="1299" spans="23:23">
      <c r="W1299" s="503"/>
    </row>
    <row r="1300" spans="23:23">
      <c r="W1300" s="503"/>
    </row>
    <row r="1301" spans="23:23">
      <c r="W1301" s="503"/>
    </row>
    <row r="1302" spans="23:23">
      <c r="W1302" s="503"/>
    </row>
    <row r="1303" spans="23:23">
      <c r="W1303" s="503"/>
    </row>
    <row r="1304" spans="23:23">
      <c r="W1304" s="503"/>
    </row>
    <row r="1305" spans="23:23">
      <c r="W1305" s="503"/>
    </row>
    <row r="1306" spans="23:23">
      <c r="W1306" s="503"/>
    </row>
    <row r="1307" spans="23:23">
      <c r="W1307" s="503"/>
    </row>
    <row r="1308" spans="23:23">
      <c r="W1308" s="503"/>
    </row>
    <row r="1309" spans="23:23">
      <c r="W1309" s="503"/>
    </row>
    <row r="1310" spans="23:23">
      <c r="W1310" s="503"/>
    </row>
    <row r="1311" spans="23:23">
      <c r="W1311" s="503"/>
    </row>
    <row r="1312" spans="23:23">
      <c r="W1312" s="503"/>
    </row>
    <row r="1313" spans="23:23">
      <c r="W1313" s="503"/>
    </row>
    <row r="1314" spans="23:23">
      <c r="W1314" s="503"/>
    </row>
    <row r="1315" spans="23:23">
      <c r="W1315" s="503"/>
    </row>
    <row r="1316" spans="23:23">
      <c r="W1316" s="503"/>
    </row>
    <row r="1317" spans="23:23">
      <c r="W1317" s="503"/>
    </row>
    <row r="1318" spans="23:23">
      <c r="W1318" s="503"/>
    </row>
    <row r="1319" spans="23:23">
      <c r="W1319" s="503"/>
    </row>
    <row r="1320" spans="23:23">
      <c r="W1320" s="503"/>
    </row>
    <row r="1321" spans="23:23">
      <c r="W1321" s="503"/>
    </row>
    <row r="1322" spans="23:23">
      <c r="W1322" s="503"/>
    </row>
    <row r="1323" spans="23:23">
      <c r="W1323" s="503"/>
    </row>
    <row r="1324" spans="23:23">
      <c r="W1324" s="503"/>
    </row>
    <row r="1325" spans="23:23">
      <c r="W1325" s="503"/>
    </row>
    <row r="1326" spans="23:23">
      <c r="W1326" s="503"/>
    </row>
    <row r="1327" spans="23:23">
      <c r="W1327" s="503"/>
    </row>
    <row r="1328" spans="23:23">
      <c r="W1328" s="503"/>
    </row>
    <row r="1329" spans="23:23">
      <c r="W1329" s="503"/>
    </row>
    <row r="1330" spans="23:23">
      <c r="W1330" s="503"/>
    </row>
    <row r="1331" spans="23:23">
      <c r="W1331" s="503"/>
    </row>
    <row r="1332" spans="23:23">
      <c r="W1332" s="503"/>
    </row>
    <row r="1333" spans="23:23">
      <c r="W1333" s="503"/>
    </row>
    <row r="1334" spans="23:23">
      <c r="W1334" s="503"/>
    </row>
    <row r="1335" spans="23:23">
      <c r="W1335" s="503"/>
    </row>
    <row r="1336" spans="23:23">
      <c r="W1336" s="503"/>
    </row>
    <row r="1337" spans="23:23">
      <c r="W1337" s="503"/>
    </row>
    <row r="1338" spans="23:23">
      <c r="W1338" s="503"/>
    </row>
    <row r="1339" spans="23:23">
      <c r="W1339" s="503"/>
    </row>
    <row r="1340" spans="23:23">
      <c r="W1340" s="503"/>
    </row>
    <row r="1341" spans="23:23">
      <c r="W1341" s="503"/>
    </row>
    <row r="1342" spans="23:23">
      <c r="W1342" s="503"/>
    </row>
    <row r="1343" spans="23:23">
      <c r="W1343" s="503"/>
    </row>
    <row r="1344" spans="23:23">
      <c r="W1344" s="503"/>
    </row>
    <row r="1345" spans="23:23">
      <c r="W1345" s="503"/>
    </row>
    <row r="1346" spans="23:23">
      <c r="W1346" s="503"/>
    </row>
    <row r="1347" spans="23:23">
      <c r="W1347" s="503"/>
    </row>
    <row r="1348" spans="23:23">
      <c r="W1348" s="503"/>
    </row>
    <row r="1349" spans="23:23">
      <c r="W1349" s="503"/>
    </row>
    <row r="1350" spans="23:23">
      <c r="W1350" s="503"/>
    </row>
    <row r="1351" spans="23:23">
      <c r="W1351" s="503"/>
    </row>
    <row r="1352" spans="23:23">
      <c r="W1352" s="503"/>
    </row>
    <row r="1353" spans="23:23">
      <c r="W1353" s="503"/>
    </row>
    <row r="1354" spans="23:23">
      <c r="W1354" s="503"/>
    </row>
    <row r="1355" spans="23:23">
      <c r="W1355" s="503"/>
    </row>
    <row r="1356" spans="23:23">
      <c r="W1356" s="503"/>
    </row>
    <row r="1357" spans="23:23">
      <c r="W1357" s="503"/>
    </row>
    <row r="1358" spans="23:23">
      <c r="W1358" s="503"/>
    </row>
    <row r="1359" spans="23:23">
      <c r="W1359" s="503"/>
    </row>
    <row r="1360" spans="23:23">
      <c r="W1360" s="503"/>
    </row>
    <row r="1361" spans="23:23">
      <c r="W1361" s="503"/>
    </row>
    <row r="1362" spans="23:23">
      <c r="W1362" s="503"/>
    </row>
    <row r="1363" spans="23:23">
      <c r="W1363" s="503"/>
    </row>
    <row r="1364" spans="23:23">
      <c r="W1364" s="503"/>
    </row>
    <row r="1365" spans="23:23">
      <c r="W1365" s="503"/>
    </row>
    <row r="1366" spans="23:23">
      <c r="W1366" s="503"/>
    </row>
    <row r="1367" spans="23:23">
      <c r="W1367" s="503"/>
    </row>
    <row r="1368" spans="23:23">
      <c r="W1368" s="503"/>
    </row>
    <row r="1369" spans="23:23">
      <c r="W1369" s="503"/>
    </row>
    <row r="1370" spans="23:23">
      <c r="W1370" s="503"/>
    </row>
    <row r="1371" spans="23:23">
      <c r="W1371" s="503"/>
    </row>
    <row r="1372" spans="23:23">
      <c r="W1372" s="503"/>
    </row>
    <row r="1373" spans="23:23">
      <c r="W1373" s="503"/>
    </row>
    <row r="1374" spans="23:23">
      <c r="W1374" s="503"/>
    </row>
    <row r="1375" spans="23:23">
      <c r="W1375" s="503"/>
    </row>
    <row r="1376" spans="23:23">
      <c r="W1376" s="503"/>
    </row>
    <row r="1377" spans="23:23">
      <c r="W1377" s="503"/>
    </row>
    <row r="1378" spans="23:23">
      <c r="W1378" s="503"/>
    </row>
    <row r="1379" spans="23:23">
      <c r="W1379" s="503"/>
    </row>
    <row r="1380" spans="23:23">
      <c r="W1380" s="503"/>
    </row>
    <row r="1381" spans="23:23">
      <c r="W1381" s="503"/>
    </row>
    <row r="1382" spans="23:23">
      <c r="W1382" s="503"/>
    </row>
    <row r="1383" spans="23:23">
      <c r="W1383" s="503"/>
    </row>
    <row r="1384" spans="23:23">
      <c r="W1384" s="503"/>
    </row>
    <row r="1385" spans="23:23">
      <c r="W1385" s="503"/>
    </row>
    <row r="1386" spans="23:23">
      <c r="W1386" s="503"/>
    </row>
    <row r="1387" spans="23:23">
      <c r="W1387" s="503"/>
    </row>
    <row r="1388" spans="23:23">
      <c r="W1388" s="503"/>
    </row>
    <row r="1389" spans="23:23">
      <c r="W1389" s="503"/>
    </row>
    <row r="1390" spans="23:23">
      <c r="W1390" s="503"/>
    </row>
    <row r="1391" spans="23:23">
      <c r="W1391" s="503"/>
    </row>
    <row r="1392" spans="23:23">
      <c r="W1392" s="503"/>
    </row>
    <row r="1393" spans="23:23">
      <c r="W1393" s="503"/>
    </row>
    <row r="1394" spans="23:23">
      <c r="W1394" s="503"/>
    </row>
    <row r="1395" spans="23:23">
      <c r="W1395" s="503"/>
    </row>
    <row r="1396" spans="23:23">
      <c r="W1396" s="503"/>
    </row>
    <row r="1397" spans="23:23">
      <c r="W1397" s="503"/>
    </row>
    <row r="1398" spans="23:23">
      <c r="W1398" s="503"/>
    </row>
    <row r="1399" spans="23:23">
      <c r="W1399" s="503"/>
    </row>
    <row r="1400" spans="23:23">
      <c r="W1400" s="503"/>
    </row>
    <row r="1401" spans="23:23">
      <c r="W1401" s="503"/>
    </row>
    <row r="1402" spans="23:23">
      <c r="W1402" s="503"/>
    </row>
    <row r="1403" spans="23:23">
      <c r="W1403" s="503"/>
    </row>
    <row r="1404" spans="23:23">
      <c r="W1404" s="503"/>
    </row>
    <row r="1405" spans="23:23">
      <c r="W1405" s="503"/>
    </row>
    <row r="1406" spans="23:23">
      <c r="W1406" s="503"/>
    </row>
    <row r="1407" spans="23:23">
      <c r="W1407" s="503"/>
    </row>
    <row r="1408" spans="23:23">
      <c r="W1408" s="503"/>
    </row>
    <row r="1409" spans="23:23">
      <c r="W1409" s="503"/>
    </row>
    <row r="1410" spans="23:23">
      <c r="W1410" s="503"/>
    </row>
    <row r="1411" spans="23:23">
      <c r="W1411" s="503"/>
    </row>
    <row r="1412" spans="23:23">
      <c r="W1412" s="503"/>
    </row>
    <row r="1413" spans="23:23">
      <c r="W1413" s="503"/>
    </row>
    <row r="1414" spans="23:23">
      <c r="W1414" s="503"/>
    </row>
    <row r="1415" spans="23:23">
      <c r="W1415" s="503"/>
    </row>
    <row r="1416" spans="23:23">
      <c r="W1416" s="503"/>
    </row>
    <row r="1417" spans="23:23">
      <c r="W1417" s="503"/>
    </row>
    <row r="1418" spans="23:23">
      <c r="W1418" s="503"/>
    </row>
    <row r="1419" spans="23:23">
      <c r="W1419" s="503"/>
    </row>
    <row r="1420" spans="23:23">
      <c r="W1420" s="503"/>
    </row>
    <row r="1421" spans="23:23">
      <c r="W1421" s="503"/>
    </row>
    <row r="1422" spans="23:23">
      <c r="W1422" s="503"/>
    </row>
    <row r="1423" spans="23:23">
      <c r="W1423" s="503"/>
    </row>
    <row r="1424" spans="23:23">
      <c r="W1424" s="503"/>
    </row>
    <row r="1425" spans="23:23">
      <c r="W1425" s="503"/>
    </row>
    <row r="1426" spans="23:23">
      <c r="W1426" s="503"/>
    </row>
    <row r="1427" spans="23:23">
      <c r="W1427" s="503"/>
    </row>
    <row r="1428" spans="23:23">
      <c r="W1428" s="503"/>
    </row>
    <row r="1429" spans="23:23">
      <c r="W1429" s="503"/>
    </row>
    <row r="1430" spans="23:23">
      <c r="W1430" s="503"/>
    </row>
    <row r="1431" spans="23:23">
      <c r="W1431" s="503"/>
    </row>
    <row r="1432" spans="23:23">
      <c r="W1432" s="503"/>
    </row>
    <row r="1433" spans="23:23">
      <c r="W1433" s="503"/>
    </row>
    <row r="1434" spans="23:23">
      <c r="W1434" s="503"/>
    </row>
    <row r="1435" spans="23:23">
      <c r="W1435" s="503"/>
    </row>
    <row r="1436" spans="23:23">
      <c r="W1436" s="503"/>
    </row>
    <row r="1437" spans="23:23">
      <c r="W1437" s="503"/>
    </row>
    <row r="1438" spans="23:23">
      <c r="W1438" s="503"/>
    </row>
    <row r="1439" spans="23:23">
      <c r="W1439" s="503"/>
    </row>
    <row r="1440" spans="23:23">
      <c r="W1440" s="503"/>
    </row>
    <row r="1441" spans="23:23">
      <c r="W1441" s="503"/>
    </row>
    <row r="1442" spans="23:23">
      <c r="W1442" s="503"/>
    </row>
    <row r="1443" spans="23:23">
      <c r="W1443" s="503"/>
    </row>
    <row r="1444" spans="23:23">
      <c r="W1444" s="503"/>
    </row>
    <row r="1445" spans="23:23">
      <c r="W1445" s="503"/>
    </row>
    <row r="1446" spans="23:23">
      <c r="W1446" s="503"/>
    </row>
    <row r="1447" spans="23:23">
      <c r="W1447" s="503"/>
    </row>
    <row r="1448" spans="23:23">
      <c r="W1448" s="503"/>
    </row>
    <row r="1449" spans="23:23">
      <c r="W1449" s="503"/>
    </row>
    <row r="1450" spans="23:23">
      <c r="W1450" s="503"/>
    </row>
    <row r="1451" spans="23:23">
      <c r="W1451" s="503"/>
    </row>
    <row r="1452" spans="23:23">
      <c r="W1452" s="503"/>
    </row>
    <row r="1453" spans="23:23">
      <c r="W1453" s="503"/>
    </row>
    <row r="1454" spans="23:23">
      <c r="W1454" s="503"/>
    </row>
    <row r="1455" spans="23:23">
      <c r="W1455" s="503"/>
    </row>
    <row r="1456" spans="23:23">
      <c r="W1456" s="503"/>
    </row>
    <row r="1457" spans="23:23">
      <c r="W1457" s="503"/>
    </row>
    <row r="1458" spans="23:23">
      <c r="W1458" s="503"/>
    </row>
    <row r="1459" spans="23:23">
      <c r="W1459" s="503"/>
    </row>
    <row r="1460" spans="23:23">
      <c r="W1460" s="503"/>
    </row>
    <row r="1461" spans="23:23">
      <c r="W1461" s="503"/>
    </row>
    <row r="1462" spans="23:23">
      <c r="W1462" s="503"/>
    </row>
    <row r="1463" spans="23:23">
      <c r="W1463" s="503"/>
    </row>
    <row r="1464" spans="23:23">
      <c r="W1464" s="503"/>
    </row>
    <row r="1465" spans="23:23">
      <c r="W1465" s="503"/>
    </row>
    <row r="1466" spans="23:23">
      <c r="W1466" s="503"/>
    </row>
    <row r="1467" spans="23:23">
      <c r="W1467" s="503"/>
    </row>
    <row r="1468" spans="23:23">
      <c r="W1468" s="503"/>
    </row>
    <row r="1469" spans="23:23">
      <c r="W1469" s="503"/>
    </row>
    <row r="1470" spans="23:23">
      <c r="W1470" s="503"/>
    </row>
    <row r="1471" spans="23:23">
      <c r="W1471" s="503"/>
    </row>
    <row r="1472" spans="23:23">
      <c r="W1472" s="503"/>
    </row>
    <row r="1473" spans="23:23">
      <c r="W1473" s="503"/>
    </row>
    <row r="1474" spans="23:23">
      <c r="W1474" s="503"/>
    </row>
    <row r="1475" spans="23:23">
      <c r="W1475" s="503"/>
    </row>
    <row r="1476" spans="23:23">
      <c r="W1476" s="503"/>
    </row>
    <row r="1477" spans="23:23">
      <c r="W1477" s="503"/>
    </row>
    <row r="1478" spans="23:23">
      <c r="W1478" s="503"/>
    </row>
    <row r="1479" spans="23:23">
      <c r="W1479" s="503"/>
    </row>
    <row r="1480" spans="23:23">
      <c r="W1480" s="503"/>
    </row>
    <row r="1481" spans="23:23">
      <c r="W1481" s="503"/>
    </row>
    <row r="1482" spans="23:23">
      <c r="W1482" s="503"/>
    </row>
    <row r="1483" spans="23:23">
      <c r="W1483" s="503"/>
    </row>
    <row r="1484" spans="23:23">
      <c r="W1484" s="503"/>
    </row>
    <row r="1485" spans="23:23">
      <c r="W1485" s="503"/>
    </row>
    <row r="1486" spans="23:23">
      <c r="W1486" s="503"/>
    </row>
    <row r="1487" spans="23:23">
      <c r="W1487" s="503"/>
    </row>
    <row r="1488" spans="23:23">
      <c r="W1488" s="503"/>
    </row>
    <row r="1489" spans="23:23">
      <c r="W1489" s="503"/>
    </row>
    <row r="1490" spans="23:23">
      <c r="W1490" s="503"/>
    </row>
    <row r="1491" spans="23:23">
      <c r="W1491" s="503"/>
    </row>
    <row r="1492" spans="23:23">
      <c r="W1492" s="503"/>
    </row>
    <row r="1493" spans="23:23">
      <c r="W1493" s="503"/>
    </row>
    <row r="1494" spans="23:23">
      <c r="W1494" s="503"/>
    </row>
    <row r="1495" spans="23:23">
      <c r="W1495" s="503"/>
    </row>
    <row r="1496" spans="23:23">
      <c r="W1496" s="503"/>
    </row>
    <row r="1497" spans="23:23">
      <c r="W1497" s="503"/>
    </row>
    <row r="1498" spans="23:23">
      <c r="W1498" s="503"/>
    </row>
    <row r="1499" spans="23:23">
      <c r="W1499" s="503"/>
    </row>
    <row r="1500" spans="23:23">
      <c r="W1500" s="503"/>
    </row>
    <row r="1501" spans="23:23">
      <c r="W1501" s="503"/>
    </row>
    <row r="1502" spans="23:23">
      <c r="W1502" s="503"/>
    </row>
    <row r="1503" spans="23:23">
      <c r="W1503" s="503"/>
    </row>
    <row r="1504" spans="23:23">
      <c r="W1504" s="503"/>
    </row>
    <row r="1505" spans="23:23">
      <c r="W1505" s="503"/>
    </row>
    <row r="1506" spans="23:23">
      <c r="W1506" s="503"/>
    </row>
    <row r="1507" spans="23:23">
      <c r="W1507" s="503"/>
    </row>
    <row r="1508" spans="23:23">
      <c r="W1508" s="503"/>
    </row>
    <row r="1509" spans="23:23">
      <c r="W1509" s="503"/>
    </row>
    <row r="1510" spans="23:23">
      <c r="W1510" s="503"/>
    </row>
    <row r="1511" spans="23:23">
      <c r="W1511" s="503"/>
    </row>
    <row r="1512" spans="23:23">
      <c r="W1512" s="503"/>
    </row>
    <row r="1513" spans="23:23">
      <c r="W1513" s="503"/>
    </row>
    <row r="1514" spans="23:23">
      <c r="W1514" s="503"/>
    </row>
    <row r="1515" spans="23:23">
      <c r="W1515" s="503"/>
    </row>
    <row r="1516" spans="23:23">
      <c r="W1516" s="503"/>
    </row>
    <row r="1517" spans="23:23">
      <c r="W1517" s="503"/>
    </row>
    <row r="1518" spans="23:23">
      <c r="W1518" s="503"/>
    </row>
    <row r="1519" spans="23:23">
      <c r="W1519" s="503"/>
    </row>
    <row r="1520" spans="23:23">
      <c r="W1520" s="503"/>
    </row>
    <row r="1521" spans="23:23">
      <c r="W1521" s="503"/>
    </row>
    <row r="1522" spans="23:23">
      <c r="W1522" s="503"/>
    </row>
    <row r="1523" spans="23:23">
      <c r="W1523" s="503"/>
    </row>
    <row r="1524" spans="23:23">
      <c r="W1524" s="503"/>
    </row>
    <row r="1525" spans="23:23">
      <c r="W1525" s="503"/>
    </row>
    <row r="1526" spans="23:23">
      <c r="W1526" s="503"/>
    </row>
    <row r="1527" spans="23:23">
      <c r="W1527" s="503"/>
    </row>
    <row r="1528" spans="23:23">
      <c r="W1528" s="503"/>
    </row>
    <row r="1529" spans="23:23">
      <c r="W1529" s="503"/>
    </row>
    <row r="1530" spans="23:23">
      <c r="W1530" s="503"/>
    </row>
    <row r="1531" spans="23:23">
      <c r="W1531" s="503"/>
    </row>
    <row r="1532" spans="23:23">
      <c r="W1532" s="503"/>
    </row>
    <row r="1533" spans="23:23">
      <c r="W1533" s="503"/>
    </row>
    <row r="1534" spans="23:23">
      <c r="W1534" s="503"/>
    </row>
    <row r="1535" spans="23:23">
      <c r="W1535" s="503"/>
    </row>
    <row r="1536" spans="23:23">
      <c r="W1536" s="503"/>
    </row>
    <row r="1537" spans="23:23">
      <c r="W1537" s="503"/>
    </row>
    <row r="1538" spans="23:23">
      <c r="W1538" s="503"/>
    </row>
    <row r="1539" spans="23:23">
      <c r="W1539" s="503"/>
    </row>
    <row r="1540" spans="23:23">
      <c r="W1540" s="503"/>
    </row>
    <row r="1541" spans="23:23">
      <c r="W1541" s="503"/>
    </row>
    <row r="1542" spans="23:23">
      <c r="W1542" s="503"/>
    </row>
    <row r="1543" spans="23:23">
      <c r="W1543" s="503"/>
    </row>
    <row r="1544" spans="23:23">
      <c r="W1544" s="503"/>
    </row>
    <row r="1545" spans="23:23">
      <c r="W1545" s="503"/>
    </row>
    <row r="1546" spans="23:23">
      <c r="W1546" s="503"/>
    </row>
    <row r="1547" spans="23:23">
      <c r="W1547" s="503"/>
    </row>
    <row r="1548" spans="23:23">
      <c r="W1548" s="503"/>
    </row>
    <row r="1549" spans="23:23">
      <c r="W1549" s="503"/>
    </row>
    <row r="1550" spans="23:23">
      <c r="W1550" s="503"/>
    </row>
    <row r="1551" spans="23:23">
      <c r="W1551" s="503"/>
    </row>
    <row r="1552" spans="23:23">
      <c r="W1552" s="503"/>
    </row>
    <row r="1553" spans="23:23">
      <c r="W1553" s="503"/>
    </row>
    <row r="1554" spans="23:23">
      <c r="W1554" s="503"/>
    </row>
    <row r="1555" spans="23:23">
      <c r="W1555" s="503"/>
    </row>
    <row r="1556" spans="23:23">
      <c r="W1556" s="503"/>
    </row>
    <row r="1557" spans="23:23">
      <c r="W1557" s="503"/>
    </row>
    <row r="1558" spans="23:23">
      <c r="W1558" s="503"/>
    </row>
    <row r="1559" spans="23:23">
      <c r="W1559" s="503"/>
    </row>
    <row r="1560" spans="23:23">
      <c r="W1560" s="503"/>
    </row>
    <row r="1561" spans="23:23">
      <c r="W1561" s="503"/>
    </row>
    <row r="1562" spans="23:23">
      <c r="W1562" s="503"/>
    </row>
    <row r="1563" spans="23:23">
      <c r="W1563" s="503"/>
    </row>
    <row r="1564" spans="23:23">
      <c r="W1564" s="503"/>
    </row>
    <row r="1565" spans="23:23">
      <c r="W1565" s="503"/>
    </row>
    <row r="1566" spans="23:23">
      <c r="W1566" s="503"/>
    </row>
    <row r="1567" spans="23:23">
      <c r="W1567" s="503"/>
    </row>
    <row r="1568" spans="23:23">
      <c r="W1568" s="503"/>
    </row>
    <row r="1569" spans="23:23">
      <c r="W1569" s="503"/>
    </row>
    <row r="1570" spans="23:23">
      <c r="W1570" s="503"/>
    </row>
    <row r="1571" spans="23:23">
      <c r="W1571" s="503"/>
    </row>
    <row r="1572" spans="23:23">
      <c r="W1572" s="503"/>
    </row>
    <row r="1573" spans="23:23">
      <c r="W1573" s="503"/>
    </row>
    <row r="1574" spans="23:23">
      <c r="W1574" s="503"/>
    </row>
    <row r="1575" spans="23:23">
      <c r="W1575" s="503"/>
    </row>
    <row r="1576" spans="23:23">
      <c r="W1576" s="503"/>
    </row>
    <row r="1577" spans="23:23">
      <c r="W1577" s="503"/>
    </row>
    <row r="1578" spans="23:23">
      <c r="W1578" s="503"/>
    </row>
    <row r="1579" spans="23:23">
      <c r="W1579" s="503"/>
    </row>
    <row r="1580" spans="23:23">
      <c r="W1580" s="503"/>
    </row>
    <row r="1581" spans="23:23">
      <c r="W1581" s="503"/>
    </row>
    <row r="1582" spans="23:23">
      <c r="W1582" s="503"/>
    </row>
    <row r="1583" spans="23:23">
      <c r="W1583" s="503"/>
    </row>
    <row r="1584" spans="23:23">
      <c r="W1584" s="503"/>
    </row>
    <row r="1585" spans="23:23">
      <c r="W1585" s="503"/>
    </row>
    <row r="1586" spans="23:23">
      <c r="W1586" s="503"/>
    </row>
    <row r="1587" spans="23:23">
      <c r="W1587" s="503"/>
    </row>
    <row r="1588" spans="23:23">
      <c r="W1588" s="503"/>
    </row>
    <row r="1589" spans="23:23">
      <c r="W1589" s="503"/>
    </row>
    <row r="1590" spans="23:23">
      <c r="W1590" s="503"/>
    </row>
    <row r="1591" spans="23:23">
      <c r="W1591" s="503"/>
    </row>
    <row r="1592" spans="23:23">
      <c r="W1592" s="503"/>
    </row>
    <row r="1593" spans="23:23">
      <c r="W1593" s="503"/>
    </row>
    <row r="1594" spans="23:23">
      <c r="W1594" s="503"/>
    </row>
    <row r="1595" spans="23:23">
      <c r="W1595" s="503"/>
    </row>
    <row r="1596" spans="23:23">
      <c r="W1596" s="503"/>
    </row>
    <row r="1597" spans="23:23">
      <c r="W1597" s="503"/>
    </row>
    <row r="1598" spans="23:23">
      <c r="W1598" s="503"/>
    </row>
    <row r="1599" spans="23:23">
      <c r="W1599" s="503"/>
    </row>
    <row r="1600" spans="23:23">
      <c r="W1600" s="503"/>
    </row>
    <row r="1601" spans="23:23">
      <c r="W1601" s="503"/>
    </row>
    <row r="1602" spans="23:23">
      <c r="W1602" s="503"/>
    </row>
    <row r="1603" spans="23:23">
      <c r="W1603" s="503"/>
    </row>
    <row r="1604" spans="23:23">
      <c r="W1604" s="503"/>
    </row>
    <row r="1605" spans="23:23">
      <c r="W1605" s="503"/>
    </row>
    <row r="1606" spans="23:23">
      <c r="W1606" s="503"/>
    </row>
    <row r="1607" spans="23:23">
      <c r="W1607" s="503"/>
    </row>
    <row r="1608" spans="23:23">
      <c r="W1608" s="503"/>
    </row>
    <row r="1609" spans="23:23">
      <c r="W1609" s="503"/>
    </row>
    <row r="1610" spans="23:23">
      <c r="W1610" s="503"/>
    </row>
    <row r="1611" spans="23:23">
      <c r="W1611" s="503"/>
    </row>
    <row r="1612" spans="23:23">
      <c r="W1612" s="503"/>
    </row>
    <row r="1613" spans="23:23">
      <c r="W1613" s="503"/>
    </row>
    <row r="1614" spans="23:23">
      <c r="W1614" s="503"/>
    </row>
    <row r="1615" spans="23:23">
      <c r="W1615" s="503"/>
    </row>
    <row r="1616" spans="23:23">
      <c r="W1616" s="503"/>
    </row>
    <row r="1617" spans="23:23">
      <c r="W1617" s="503"/>
    </row>
    <row r="1618" spans="23:23">
      <c r="W1618" s="503"/>
    </row>
    <row r="1619" spans="23:23">
      <c r="W1619" s="503"/>
    </row>
    <row r="1620" spans="23:23">
      <c r="W1620" s="503"/>
    </row>
    <row r="1621" spans="23:23">
      <c r="W1621" s="503"/>
    </row>
    <row r="1622" spans="23:23">
      <c r="W1622" s="503"/>
    </row>
    <row r="1623" spans="23:23">
      <c r="W1623" s="503"/>
    </row>
    <row r="1624" spans="23:23">
      <c r="W1624" s="503"/>
    </row>
    <row r="1625" spans="23:23">
      <c r="W1625" s="503"/>
    </row>
    <row r="1626" spans="23:23">
      <c r="W1626" s="503"/>
    </row>
    <row r="1627" spans="23:23">
      <c r="W1627" s="503"/>
    </row>
    <row r="1628" spans="23:23">
      <c r="W1628" s="503"/>
    </row>
    <row r="1629" spans="23:23">
      <c r="W1629" s="503"/>
    </row>
    <row r="1630" spans="23:23">
      <c r="W1630" s="503"/>
    </row>
    <row r="1631" spans="23:23">
      <c r="W1631" s="503"/>
    </row>
    <row r="1632" spans="23:23">
      <c r="W1632" s="503"/>
    </row>
    <row r="1633" spans="23:23">
      <c r="W1633" s="503"/>
    </row>
    <row r="1634" spans="23:23">
      <c r="W1634" s="503"/>
    </row>
    <row r="1635" spans="23:23">
      <c r="W1635" s="503"/>
    </row>
    <row r="1636" spans="23:23">
      <c r="W1636" s="503"/>
    </row>
    <row r="1637" spans="23:23">
      <c r="W1637" s="503"/>
    </row>
    <row r="1638" spans="23:23">
      <c r="W1638" s="503"/>
    </row>
    <row r="1639" spans="23:23">
      <c r="W1639" s="503"/>
    </row>
    <row r="1640" spans="23:23">
      <c r="W1640" s="503"/>
    </row>
    <row r="1641" spans="23:23">
      <c r="W1641" s="503"/>
    </row>
    <row r="1642" spans="23:23">
      <c r="W1642" s="503"/>
    </row>
    <row r="1643" spans="23:23">
      <c r="W1643" s="503"/>
    </row>
    <row r="1644" spans="23:23">
      <c r="W1644" s="503"/>
    </row>
    <row r="1645" spans="23:23">
      <c r="W1645" s="503"/>
    </row>
    <row r="1646" spans="23:23">
      <c r="W1646" s="503"/>
    </row>
    <row r="1647" spans="23:23">
      <c r="W1647" s="503"/>
    </row>
    <row r="1648" spans="23:23">
      <c r="W1648" s="503"/>
    </row>
    <row r="1649" spans="23:23">
      <c r="W1649" s="503"/>
    </row>
    <row r="1650" spans="23:23">
      <c r="W1650" s="503"/>
    </row>
    <row r="1651" spans="23:23">
      <c r="W1651" s="503"/>
    </row>
    <row r="1652" spans="23:23">
      <c r="W1652" s="503"/>
    </row>
    <row r="1653" spans="23:23">
      <c r="W1653" s="503"/>
    </row>
    <row r="1654" spans="23:23">
      <c r="W1654" s="503"/>
    </row>
    <row r="1655" spans="23:23">
      <c r="W1655" s="503"/>
    </row>
    <row r="1656" spans="23:23">
      <c r="W1656" s="503"/>
    </row>
    <row r="1657" spans="23:23">
      <c r="W1657" s="503"/>
    </row>
    <row r="1658" spans="23:23">
      <c r="W1658" s="503"/>
    </row>
    <row r="1659" spans="23:23">
      <c r="W1659" s="503"/>
    </row>
    <row r="1660" spans="23:23">
      <c r="W1660" s="503"/>
    </row>
    <row r="1661" spans="23:23">
      <c r="W1661" s="503"/>
    </row>
    <row r="1662" spans="23:23">
      <c r="W1662" s="503"/>
    </row>
    <row r="1663" spans="23:23">
      <c r="W1663" s="503"/>
    </row>
    <row r="1664" spans="23:23">
      <c r="W1664" s="503"/>
    </row>
    <row r="1665" spans="23:23">
      <c r="W1665" s="503"/>
    </row>
    <row r="1666" spans="23:23">
      <c r="W1666" s="503"/>
    </row>
    <row r="1667" spans="23:23">
      <c r="W1667" s="503"/>
    </row>
    <row r="1668" spans="23:23">
      <c r="W1668" s="503"/>
    </row>
    <row r="1669" spans="23:23">
      <c r="W1669" s="503"/>
    </row>
    <row r="1670" spans="23:23">
      <c r="W1670" s="503"/>
    </row>
    <row r="1671" spans="23:23">
      <c r="W1671" s="503"/>
    </row>
    <row r="1672" spans="23:23">
      <c r="W1672" s="503"/>
    </row>
    <row r="1673" spans="23:23">
      <c r="W1673" s="503"/>
    </row>
    <row r="1674" spans="23:23">
      <c r="W1674" s="503"/>
    </row>
    <row r="1675" spans="23:23">
      <c r="W1675" s="503"/>
    </row>
    <row r="1676" spans="23:23">
      <c r="W1676" s="503"/>
    </row>
    <row r="1677" spans="23:23">
      <c r="W1677" s="503"/>
    </row>
    <row r="1678" spans="23:23">
      <c r="W1678" s="503"/>
    </row>
    <row r="1679" spans="23:23">
      <c r="W1679" s="503"/>
    </row>
    <row r="1680" spans="23:23">
      <c r="W1680" s="503"/>
    </row>
    <row r="1681" spans="23:23">
      <c r="W1681" s="503"/>
    </row>
    <row r="1682" spans="23:23">
      <c r="W1682" s="503"/>
    </row>
    <row r="1683" spans="23:23">
      <c r="W1683" s="503"/>
    </row>
    <row r="1684" spans="23:23">
      <c r="W1684" s="503"/>
    </row>
    <row r="1685" spans="23:23">
      <c r="W1685" s="503"/>
    </row>
    <row r="1686" spans="23:23">
      <c r="W1686" s="503"/>
    </row>
    <row r="1687" spans="23:23">
      <c r="W1687" s="503"/>
    </row>
    <row r="1688" spans="23:23">
      <c r="W1688" s="503"/>
    </row>
    <row r="1689" spans="23:23">
      <c r="W1689" s="503"/>
    </row>
    <row r="1690" spans="23:23">
      <c r="W1690" s="503"/>
    </row>
    <row r="1691" spans="23:23">
      <c r="W1691" s="503"/>
    </row>
    <row r="1692" spans="23:23">
      <c r="W1692" s="503"/>
    </row>
    <row r="1693" spans="23:23">
      <c r="W1693" s="503"/>
    </row>
    <row r="1694" spans="23:23">
      <c r="W1694" s="503"/>
    </row>
    <row r="1695" spans="23:23">
      <c r="W1695" s="503"/>
    </row>
    <row r="1696" spans="23:23">
      <c r="W1696" s="503"/>
    </row>
    <row r="1697" spans="23:23">
      <c r="W1697" s="503"/>
    </row>
    <row r="1698" spans="23:23">
      <c r="W1698" s="503"/>
    </row>
    <row r="1699" spans="23:23">
      <c r="W1699" s="503"/>
    </row>
    <row r="1700" spans="23:23">
      <c r="W1700" s="503"/>
    </row>
    <row r="1701" spans="23:23">
      <c r="W1701" s="503"/>
    </row>
    <row r="1702" spans="23:23">
      <c r="W1702" s="503"/>
    </row>
    <row r="1703" spans="23:23">
      <c r="W1703" s="503"/>
    </row>
    <row r="1704" spans="23:23">
      <c r="W1704" s="503"/>
    </row>
    <row r="1705" spans="23:23">
      <c r="W1705" s="503"/>
    </row>
    <row r="1706" spans="23:23">
      <c r="W1706" s="503"/>
    </row>
    <row r="1707" spans="23:23">
      <c r="W1707" s="503"/>
    </row>
    <row r="1708" spans="23:23">
      <c r="W1708" s="503"/>
    </row>
    <row r="1709" spans="23:23">
      <c r="W1709" s="503"/>
    </row>
    <row r="1710" spans="23:23">
      <c r="W1710" s="503"/>
    </row>
    <row r="1711" spans="23:23">
      <c r="W1711" s="503"/>
    </row>
    <row r="1712" spans="23:23">
      <c r="W1712" s="503"/>
    </row>
    <row r="1713" spans="23:23">
      <c r="W1713" s="503"/>
    </row>
    <row r="1714" spans="23:23">
      <c r="W1714" s="503"/>
    </row>
    <row r="1715" spans="23:23">
      <c r="W1715" s="503"/>
    </row>
    <row r="1716" spans="23:23">
      <c r="W1716" s="503"/>
    </row>
    <row r="1717" spans="23:23">
      <c r="W1717" s="503"/>
    </row>
    <row r="1718" spans="23:23">
      <c r="W1718" s="503"/>
    </row>
    <row r="1719" spans="23:23">
      <c r="W1719" s="503"/>
    </row>
    <row r="1720" spans="23:23">
      <c r="W1720" s="503"/>
    </row>
    <row r="1721" spans="23:23">
      <c r="W1721" s="503"/>
    </row>
    <row r="1722" spans="23:23">
      <c r="W1722" s="503"/>
    </row>
    <row r="1723" spans="23:23">
      <c r="W1723" s="503"/>
    </row>
    <row r="1724" spans="23:23">
      <c r="W1724" s="503"/>
    </row>
    <row r="1725" spans="23:23">
      <c r="W1725" s="503"/>
    </row>
    <row r="1726" spans="23:23">
      <c r="W1726" s="503"/>
    </row>
    <row r="1727" spans="23:23">
      <c r="W1727" s="503"/>
    </row>
    <row r="1728" spans="23:23">
      <c r="W1728" s="503"/>
    </row>
    <row r="1729" spans="23:23">
      <c r="W1729" s="503"/>
    </row>
    <row r="1730" spans="23:23">
      <c r="W1730" s="503"/>
    </row>
    <row r="1731" spans="23:23">
      <c r="W1731" s="503"/>
    </row>
    <row r="1732" spans="23:23">
      <c r="W1732" s="503"/>
    </row>
    <row r="1733" spans="23:23">
      <c r="W1733" s="503"/>
    </row>
    <row r="1734" spans="23:23">
      <c r="W1734" s="503"/>
    </row>
    <row r="1735" spans="23:23">
      <c r="W1735" s="503"/>
    </row>
    <row r="1736" spans="23:23">
      <c r="W1736" s="503"/>
    </row>
    <row r="1737" spans="23:23">
      <c r="W1737" s="503"/>
    </row>
    <row r="1738" spans="23:23">
      <c r="W1738" s="503"/>
    </row>
    <row r="1739" spans="23:23">
      <c r="W1739" s="503"/>
    </row>
    <row r="1740" spans="23:23">
      <c r="W1740" s="503"/>
    </row>
    <row r="1741" spans="23:23">
      <c r="W1741" s="503"/>
    </row>
    <row r="1742" spans="23:23">
      <c r="W1742" s="503"/>
    </row>
    <row r="1743" spans="23:23">
      <c r="W1743" s="503"/>
    </row>
    <row r="1744" spans="23:23">
      <c r="W1744" s="503"/>
    </row>
    <row r="1745" spans="23:23">
      <c r="W1745" s="503"/>
    </row>
    <row r="1746" spans="23:23">
      <c r="W1746" s="503"/>
    </row>
    <row r="1747" spans="23:23">
      <c r="W1747" s="503"/>
    </row>
    <row r="1748" spans="23:23">
      <c r="W1748" s="503"/>
    </row>
    <row r="1749" spans="23:23">
      <c r="W1749" s="503"/>
    </row>
    <row r="1750" spans="23:23">
      <c r="W1750" s="503"/>
    </row>
    <row r="1751" spans="23:23">
      <c r="W1751" s="503"/>
    </row>
    <row r="1752" spans="23:23">
      <c r="W1752" s="503"/>
    </row>
    <row r="1753" spans="23:23">
      <c r="W1753" s="503"/>
    </row>
    <row r="1754" spans="23:23">
      <c r="W1754" s="503"/>
    </row>
    <row r="1755" spans="23:23">
      <c r="W1755" s="503"/>
    </row>
    <row r="1756" spans="23:23">
      <c r="W1756" s="503"/>
    </row>
    <row r="1757" spans="23:23">
      <c r="W1757" s="503"/>
    </row>
    <row r="1758" spans="23:23">
      <c r="W1758" s="503"/>
    </row>
    <row r="1759" spans="23:23">
      <c r="W1759" s="503"/>
    </row>
    <row r="1760" spans="23:23">
      <c r="W1760" s="503"/>
    </row>
    <row r="1761" spans="23:23">
      <c r="W1761" s="503"/>
    </row>
    <row r="1762" spans="23:23">
      <c r="W1762" s="503"/>
    </row>
    <row r="1763" spans="23:23">
      <c r="W1763" s="503"/>
    </row>
    <row r="1764" spans="23:23">
      <c r="W1764" s="503"/>
    </row>
    <row r="1765" spans="23:23">
      <c r="W1765" s="503"/>
    </row>
    <row r="1766" spans="23:23">
      <c r="W1766" s="503"/>
    </row>
    <row r="1767" spans="23:23">
      <c r="W1767" s="503"/>
    </row>
    <row r="1768" spans="23:23">
      <c r="W1768" s="503"/>
    </row>
    <row r="1769" spans="23:23">
      <c r="W1769" s="503"/>
    </row>
    <row r="1770" spans="23:23">
      <c r="W1770" s="503"/>
    </row>
    <row r="1771" spans="23:23">
      <c r="W1771" s="503"/>
    </row>
    <row r="1772" spans="23:23">
      <c r="W1772" s="503"/>
    </row>
    <row r="1773" spans="23:23">
      <c r="W1773" s="503"/>
    </row>
    <row r="1774" spans="23:23">
      <c r="W1774" s="503"/>
    </row>
    <row r="1775" spans="23:23">
      <c r="W1775" s="503"/>
    </row>
    <row r="1776" spans="23:23">
      <c r="W1776" s="503"/>
    </row>
    <row r="1777" spans="23:23">
      <c r="W1777" s="503"/>
    </row>
    <row r="1778" spans="23:23">
      <c r="W1778" s="503"/>
    </row>
    <row r="1779" spans="23:23">
      <c r="W1779" s="503"/>
    </row>
    <row r="1780" spans="23:23">
      <c r="W1780" s="503"/>
    </row>
    <row r="1781" spans="23:23">
      <c r="W1781" s="503"/>
    </row>
    <row r="1782" spans="23:23">
      <c r="W1782" s="503"/>
    </row>
    <row r="1783" spans="23:23">
      <c r="W1783" s="503"/>
    </row>
    <row r="1784" spans="23:23">
      <c r="W1784" s="503"/>
    </row>
    <row r="1785" spans="23:23">
      <c r="W1785" s="503"/>
    </row>
    <row r="1786" spans="23:23">
      <c r="W1786" s="503"/>
    </row>
    <row r="1787" spans="23:23">
      <c r="W1787" s="503"/>
    </row>
    <row r="1788" spans="23:23">
      <c r="W1788" s="503"/>
    </row>
    <row r="1789" spans="23:23">
      <c r="W1789" s="503"/>
    </row>
    <row r="1790" spans="23:23">
      <c r="W1790" s="503"/>
    </row>
    <row r="1791" spans="23:23">
      <c r="W1791" s="503"/>
    </row>
    <row r="1792" spans="23:23">
      <c r="W1792" s="503"/>
    </row>
    <row r="1793" spans="23:23">
      <c r="W1793" s="503"/>
    </row>
    <row r="1794" spans="23:23">
      <c r="W1794" s="503"/>
    </row>
    <row r="1795" spans="23:23">
      <c r="W1795" s="503"/>
    </row>
    <row r="1796" spans="23:23">
      <c r="W1796" s="503"/>
    </row>
    <row r="1797" spans="23:23">
      <c r="W1797" s="503"/>
    </row>
    <row r="1798" spans="23:23">
      <c r="W1798" s="503"/>
    </row>
    <row r="1799" spans="23:23">
      <c r="W1799" s="503"/>
    </row>
    <row r="1800" spans="23:23">
      <c r="W1800" s="503"/>
    </row>
    <row r="1801" spans="23:23">
      <c r="W1801" s="503"/>
    </row>
    <row r="1802" spans="23:23">
      <c r="W1802" s="503"/>
    </row>
    <row r="1803" spans="23:23">
      <c r="W1803" s="503"/>
    </row>
    <row r="1804" spans="23:23">
      <c r="W1804" s="503"/>
    </row>
    <row r="1805" spans="23:23">
      <c r="W1805" s="503"/>
    </row>
    <row r="1806" spans="23:23">
      <c r="W1806" s="503"/>
    </row>
    <row r="1807" spans="23:23">
      <c r="W1807" s="503"/>
    </row>
    <row r="1808" spans="23:23">
      <c r="W1808" s="503"/>
    </row>
    <row r="1809" spans="23:23">
      <c r="W1809" s="503"/>
    </row>
    <row r="1810" spans="23:23">
      <c r="W1810" s="503"/>
    </row>
    <row r="1811" spans="23:23">
      <c r="W1811" s="503"/>
    </row>
    <row r="1812" spans="23:23">
      <c r="W1812" s="503"/>
    </row>
    <row r="1813" spans="23:23">
      <c r="W1813" s="503"/>
    </row>
    <row r="1814" spans="23:23">
      <c r="W1814" s="503"/>
    </row>
    <row r="1815" spans="23:23">
      <c r="W1815" s="503"/>
    </row>
    <row r="1816" spans="23:23">
      <c r="W1816" s="503"/>
    </row>
    <row r="1817" spans="23:23">
      <c r="W1817" s="503"/>
    </row>
    <row r="1818" spans="23:23">
      <c r="W1818" s="503"/>
    </row>
    <row r="1819" spans="23:23">
      <c r="W1819" s="503"/>
    </row>
    <row r="1820" spans="23:23">
      <c r="W1820" s="503"/>
    </row>
    <row r="1821" spans="23:23">
      <c r="W1821" s="503"/>
    </row>
    <row r="1822" spans="23:23">
      <c r="W1822" s="503"/>
    </row>
    <row r="1823" spans="23:23">
      <c r="W1823" s="503"/>
    </row>
    <row r="1824" spans="23:23">
      <c r="W1824" s="503"/>
    </row>
    <row r="1825" spans="23:23">
      <c r="W1825" s="503"/>
    </row>
    <row r="1826" spans="23:23">
      <c r="W1826" s="503"/>
    </row>
    <row r="1827" spans="23:23">
      <c r="W1827" s="503"/>
    </row>
    <row r="1828" spans="23:23">
      <c r="W1828" s="503"/>
    </row>
    <row r="1829" spans="23:23">
      <c r="W1829" s="503"/>
    </row>
    <row r="1830" spans="23:23">
      <c r="W1830" s="503"/>
    </row>
    <row r="1831" spans="23:23">
      <c r="W1831" s="503"/>
    </row>
    <row r="1832" spans="23:23">
      <c r="W1832" s="503"/>
    </row>
    <row r="1833" spans="23:23">
      <c r="W1833" s="503"/>
    </row>
    <row r="1834" spans="23:23">
      <c r="W1834" s="503"/>
    </row>
    <row r="1835" spans="23:23">
      <c r="W1835" s="503"/>
    </row>
    <row r="1836" spans="23:23">
      <c r="W1836" s="503"/>
    </row>
    <row r="1837" spans="23:23">
      <c r="W1837" s="503"/>
    </row>
    <row r="1838" spans="23:23">
      <c r="W1838" s="503"/>
    </row>
    <row r="1839" spans="23:23">
      <c r="W1839" s="503"/>
    </row>
    <row r="1840" spans="23:23">
      <c r="W1840" s="503"/>
    </row>
    <row r="1841" spans="23:23">
      <c r="W1841" s="503"/>
    </row>
    <row r="1842" spans="23:23">
      <c r="W1842" s="503"/>
    </row>
    <row r="1843" spans="23:23">
      <c r="W1843" s="503"/>
    </row>
    <row r="1844" spans="23:23">
      <c r="W1844" s="503"/>
    </row>
    <row r="1845" spans="23:23">
      <c r="W1845" s="503"/>
    </row>
    <row r="1846" spans="23:23">
      <c r="W1846" s="503"/>
    </row>
    <row r="1847" spans="23:23">
      <c r="W1847" s="503"/>
    </row>
    <row r="1848" spans="23:23">
      <c r="W1848" s="503"/>
    </row>
    <row r="1849" spans="23:23">
      <c r="W1849" s="503"/>
    </row>
    <row r="1850" spans="23:23">
      <c r="W1850" s="503"/>
    </row>
    <row r="1851" spans="23:23">
      <c r="W1851" s="503"/>
    </row>
    <row r="1852" spans="23:23">
      <c r="W1852" s="503"/>
    </row>
    <row r="1853" spans="23:23">
      <c r="W1853" s="503"/>
    </row>
    <row r="1854" spans="23:23">
      <c r="W1854" s="503"/>
    </row>
    <row r="1855" spans="23:23">
      <c r="W1855" s="503"/>
    </row>
    <row r="1856" spans="23:23">
      <c r="W1856" s="503"/>
    </row>
    <row r="1857" spans="23:23">
      <c r="W1857" s="503"/>
    </row>
    <row r="1858" spans="23:23">
      <c r="W1858" s="503"/>
    </row>
    <row r="1859" spans="23:23">
      <c r="W1859" s="503"/>
    </row>
    <row r="1860" spans="23:23">
      <c r="W1860" s="503"/>
    </row>
    <row r="1861" spans="23:23">
      <c r="W1861" s="503"/>
    </row>
    <row r="1862" spans="23:23">
      <c r="W1862" s="503"/>
    </row>
    <row r="1863" spans="23:23">
      <c r="W1863" s="503"/>
    </row>
    <row r="1864" spans="23:23">
      <c r="W1864" s="503"/>
    </row>
    <row r="1865" spans="23:23">
      <c r="W1865" s="503"/>
    </row>
    <row r="1866" spans="23:23">
      <c r="W1866" s="503"/>
    </row>
    <row r="1867" spans="23:23">
      <c r="W1867" s="503"/>
    </row>
    <row r="1868" spans="23:23">
      <c r="W1868" s="503"/>
    </row>
    <row r="1869" spans="23:23">
      <c r="W1869" s="503"/>
    </row>
    <row r="1870" spans="23:23">
      <c r="W1870" s="503"/>
    </row>
    <row r="1871" spans="23:23">
      <c r="W1871" s="503"/>
    </row>
    <row r="1872" spans="23:23">
      <c r="W1872" s="503"/>
    </row>
    <row r="1873" spans="23:23">
      <c r="W1873" s="503"/>
    </row>
    <row r="1874" spans="23:23">
      <c r="W1874" s="503"/>
    </row>
    <row r="1875" spans="23:23">
      <c r="W1875" s="503"/>
    </row>
    <row r="1876" spans="23:23">
      <c r="W1876" s="503"/>
    </row>
    <row r="1877" spans="23:23">
      <c r="W1877" s="503"/>
    </row>
    <row r="1878" spans="23:23">
      <c r="W1878" s="503"/>
    </row>
    <row r="1879" spans="23:23">
      <c r="W1879" s="503"/>
    </row>
    <row r="1880" spans="23:23">
      <c r="W1880" s="503"/>
    </row>
    <row r="1881" spans="23:23">
      <c r="W1881" s="503"/>
    </row>
    <row r="1882" spans="23:23">
      <c r="W1882" s="503"/>
    </row>
    <row r="1883" spans="23:23">
      <c r="W1883" s="503"/>
    </row>
    <row r="1884" spans="23:23">
      <c r="W1884" s="503"/>
    </row>
    <row r="1885" spans="23:23">
      <c r="W1885" s="503"/>
    </row>
    <row r="1886" spans="23:23">
      <c r="W1886" s="503"/>
    </row>
    <row r="1887" spans="23:23">
      <c r="W1887" s="503"/>
    </row>
    <row r="1888" spans="23:23">
      <c r="W1888" s="503"/>
    </row>
    <row r="1889" spans="23:23">
      <c r="W1889" s="503"/>
    </row>
    <row r="1890" spans="23:23">
      <c r="W1890" s="503"/>
    </row>
    <row r="1891" spans="23:23">
      <c r="W1891" s="503"/>
    </row>
    <row r="1892" spans="23:23">
      <c r="W1892" s="503"/>
    </row>
    <row r="1893" spans="23:23">
      <c r="W1893" s="503"/>
    </row>
    <row r="1894" spans="23:23">
      <c r="W1894" s="503"/>
    </row>
    <row r="1895" spans="23:23">
      <c r="W1895" s="503"/>
    </row>
    <row r="1896" spans="23:23">
      <c r="W1896" s="503"/>
    </row>
    <row r="1897" spans="23:23">
      <c r="W1897" s="503"/>
    </row>
    <row r="1898" spans="23:23">
      <c r="W1898" s="503"/>
    </row>
    <row r="1899" spans="23:23">
      <c r="W1899" s="503"/>
    </row>
    <row r="1900" spans="23:23">
      <c r="W1900" s="503"/>
    </row>
    <row r="1901" spans="23:23">
      <c r="W1901" s="503"/>
    </row>
    <row r="1902" spans="23:23">
      <c r="W1902" s="503"/>
    </row>
    <row r="1903" spans="23:23">
      <c r="W1903" s="503"/>
    </row>
    <row r="1904" spans="23:23">
      <c r="W1904" s="503"/>
    </row>
    <row r="1905" spans="23:23">
      <c r="W1905" s="503"/>
    </row>
    <row r="1906" spans="23:23">
      <c r="W1906" s="503"/>
    </row>
    <row r="1907" spans="23:23">
      <c r="W1907" s="503"/>
    </row>
    <row r="1908" spans="23:23">
      <c r="W1908" s="503"/>
    </row>
    <row r="1909" spans="23:23">
      <c r="W1909" s="503"/>
    </row>
    <row r="1910" spans="23:23">
      <c r="W1910" s="503"/>
    </row>
    <row r="1911" spans="23:23">
      <c r="W1911" s="503"/>
    </row>
    <row r="1912" spans="23:23">
      <c r="W1912" s="503"/>
    </row>
    <row r="1913" spans="23:23">
      <c r="W1913" s="503"/>
    </row>
    <row r="1914" spans="23:23">
      <c r="W1914" s="503"/>
    </row>
    <row r="1915" spans="23:23">
      <c r="W1915" s="503"/>
    </row>
    <row r="1916" spans="23:23">
      <c r="W1916" s="503"/>
    </row>
    <row r="1917" spans="23:23">
      <c r="W1917" s="503"/>
    </row>
    <row r="1918" spans="23:23">
      <c r="W1918" s="503"/>
    </row>
    <row r="1919" spans="23:23">
      <c r="W1919" s="503"/>
    </row>
    <row r="1920" spans="23:23">
      <c r="W1920" s="503"/>
    </row>
    <row r="1921" spans="23:23">
      <c r="W1921" s="503"/>
    </row>
    <row r="1922" spans="23:23">
      <c r="W1922" s="503"/>
    </row>
    <row r="1923" spans="23:23">
      <c r="W1923" s="503"/>
    </row>
    <row r="1924" spans="23:23">
      <c r="W1924" s="503"/>
    </row>
    <row r="1925" spans="23:23">
      <c r="W1925" s="503"/>
    </row>
    <row r="1926" spans="23:23">
      <c r="W1926" s="503"/>
    </row>
    <row r="1927" spans="23:23">
      <c r="W1927" s="503"/>
    </row>
    <row r="1928" spans="23:23">
      <c r="W1928" s="503"/>
    </row>
    <row r="1929" spans="23:23">
      <c r="W1929" s="503"/>
    </row>
    <row r="1930" spans="23:23">
      <c r="W1930" s="503"/>
    </row>
    <row r="1931" spans="23:23">
      <c r="W1931" s="503"/>
    </row>
    <row r="1932" spans="23:23">
      <c r="W1932" s="503"/>
    </row>
    <row r="1933" spans="23:23">
      <c r="W1933" s="503"/>
    </row>
    <row r="1934" spans="23:23">
      <c r="W1934" s="503"/>
    </row>
    <row r="1935" spans="23:23">
      <c r="W1935" s="503"/>
    </row>
    <row r="1936" spans="23:23">
      <c r="W1936" s="503"/>
    </row>
    <row r="1937" spans="23:23">
      <c r="W1937" s="503"/>
    </row>
    <row r="1938" spans="23:23">
      <c r="W1938" s="503"/>
    </row>
    <row r="1939" spans="23:23">
      <c r="W1939" s="503"/>
    </row>
    <row r="1940" spans="23:23">
      <c r="W1940" s="503"/>
    </row>
    <row r="1941" spans="23:23">
      <c r="W1941" s="503"/>
    </row>
    <row r="1942" spans="23:23">
      <c r="W1942" s="503"/>
    </row>
    <row r="1943" spans="23:23">
      <c r="W1943" s="503"/>
    </row>
    <row r="1944" spans="23:23">
      <c r="W1944" s="503"/>
    </row>
    <row r="1945" spans="23:23">
      <c r="W1945" s="503"/>
    </row>
    <row r="1946" spans="23:23">
      <c r="W1946" s="503"/>
    </row>
    <row r="1947" spans="23:23">
      <c r="W1947" s="503"/>
    </row>
    <row r="1948" spans="23:23">
      <c r="W1948" s="503"/>
    </row>
    <row r="1949" spans="23:23">
      <c r="W1949" s="503"/>
    </row>
    <row r="1950" spans="23:23">
      <c r="W1950" s="503"/>
    </row>
    <row r="1951" spans="23:23">
      <c r="W1951" s="503"/>
    </row>
    <row r="1952" spans="23:23">
      <c r="W1952" s="503"/>
    </row>
    <row r="1953" spans="23:23">
      <c r="W1953" s="503"/>
    </row>
    <row r="1954" spans="23:23">
      <c r="W1954" s="503"/>
    </row>
    <row r="1955" spans="23:23">
      <c r="W1955" s="503"/>
    </row>
    <row r="1956" spans="23:23">
      <c r="W1956" s="503"/>
    </row>
    <row r="1957" spans="23:23">
      <c r="W1957" s="503"/>
    </row>
    <row r="1958" spans="23:23">
      <c r="W1958" s="503"/>
    </row>
    <row r="1959" spans="23:23">
      <c r="W1959" s="503"/>
    </row>
    <row r="1960" spans="23:23">
      <c r="W1960" s="503"/>
    </row>
    <row r="1961" spans="23:23">
      <c r="W1961" s="503"/>
    </row>
    <row r="1962" spans="23:23">
      <c r="W1962" s="503"/>
    </row>
    <row r="1963" spans="23:23">
      <c r="W1963" s="503"/>
    </row>
    <row r="1964" spans="23:23">
      <c r="W1964" s="503"/>
    </row>
    <row r="1965" spans="23:23">
      <c r="W1965" s="503"/>
    </row>
    <row r="1966" spans="23:23">
      <c r="W1966" s="503"/>
    </row>
    <row r="1967" spans="23:23">
      <c r="W1967" s="503"/>
    </row>
    <row r="1968" spans="23:23">
      <c r="W1968" s="503"/>
    </row>
    <row r="1969" spans="23:23">
      <c r="W1969" s="503"/>
    </row>
    <row r="1970" spans="23:23">
      <c r="W1970" s="503"/>
    </row>
    <row r="1971" spans="23:23">
      <c r="W1971" s="503"/>
    </row>
    <row r="1972" spans="23:23">
      <c r="W1972" s="503"/>
    </row>
    <row r="1973" spans="23:23">
      <c r="W1973" s="503"/>
    </row>
    <row r="1974" spans="23:23">
      <c r="W1974" s="503"/>
    </row>
    <row r="1975" spans="23:23">
      <c r="W1975" s="503"/>
    </row>
    <row r="1976" spans="23:23">
      <c r="W1976" s="503"/>
    </row>
    <row r="1977" spans="23:23">
      <c r="W1977" s="503"/>
    </row>
    <row r="1978" spans="23:23">
      <c r="W1978" s="503"/>
    </row>
    <row r="1979" spans="23:23">
      <c r="W1979" s="503"/>
    </row>
    <row r="1980" spans="23:23">
      <c r="W1980" s="503"/>
    </row>
    <row r="1981" spans="23:23">
      <c r="W1981" s="503"/>
    </row>
    <row r="1982" spans="23:23">
      <c r="W1982" s="503"/>
    </row>
    <row r="1983" spans="23:23">
      <c r="W1983" s="503"/>
    </row>
    <row r="1984" spans="23:23">
      <c r="W1984" s="503"/>
    </row>
    <row r="1985" spans="23:23">
      <c r="W1985" s="503"/>
    </row>
    <row r="1986" spans="23:23">
      <c r="W1986" s="503"/>
    </row>
    <row r="1987" spans="23:23">
      <c r="W1987" s="503"/>
    </row>
    <row r="1988" spans="23:23">
      <c r="W1988" s="503"/>
    </row>
    <row r="1989" spans="23:23">
      <c r="W1989" s="503"/>
    </row>
    <row r="1990" spans="23:23">
      <c r="W1990" s="503"/>
    </row>
    <row r="1991" spans="23:23">
      <c r="W1991" s="503"/>
    </row>
    <row r="1992" spans="23:23">
      <c r="W1992" s="503"/>
    </row>
    <row r="1993" spans="23:23">
      <c r="W1993" s="503"/>
    </row>
    <row r="1994" spans="23:23">
      <c r="W1994" s="503"/>
    </row>
    <row r="1995" spans="23:23">
      <c r="W1995" s="503"/>
    </row>
    <row r="1996" spans="23:23">
      <c r="W1996" s="503"/>
    </row>
    <row r="1997" spans="23:23">
      <c r="W1997" s="503"/>
    </row>
    <row r="1998" spans="23:23">
      <c r="W1998" s="503"/>
    </row>
    <row r="1999" spans="23:23">
      <c r="W1999" s="503"/>
    </row>
    <row r="2000" spans="23:23">
      <c r="W2000" s="503"/>
    </row>
    <row r="2001" spans="23:23">
      <c r="W2001" s="503"/>
    </row>
    <row r="2002" spans="23:23">
      <c r="W2002" s="503"/>
    </row>
    <row r="2003" spans="23:23">
      <c r="W2003" s="503"/>
    </row>
    <row r="2004" spans="23:23">
      <c r="W2004" s="503"/>
    </row>
    <row r="2005" spans="23:23">
      <c r="W2005" s="503"/>
    </row>
    <row r="2006" spans="23:23">
      <c r="W2006" s="503"/>
    </row>
    <row r="2007" spans="23:23">
      <c r="W2007" s="503"/>
    </row>
    <row r="2008" spans="23:23">
      <c r="W2008" s="503"/>
    </row>
    <row r="2009" spans="23:23">
      <c r="W2009" s="503"/>
    </row>
    <row r="2010" spans="23:23">
      <c r="W2010" s="503"/>
    </row>
    <row r="2011" spans="23:23">
      <c r="W2011" s="503"/>
    </row>
    <row r="2012" spans="23:23">
      <c r="W2012" s="503"/>
    </row>
    <row r="2013" spans="23:23">
      <c r="W2013" s="503"/>
    </row>
    <row r="2014" spans="23:23">
      <c r="W2014" s="503"/>
    </row>
    <row r="2015" spans="23:23">
      <c r="W2015" s="503"/>
    </row>
    <row r="2016" spans="23:23">
      <c r="W2016" s="503"/>
    </row>
    <row r="2017" spans="23:23">
      <c r="W2017" s="503"/>
    </row>
    <row r="2018" spans="23:23">
      <c r="W2018" s="503"/>
    </row>
    <row r="2019" spans="23:23">
      <c r="W2019" s="503"/>
    </row>
    <row r="2020" spans="23:23">
      <c r="W2020" s="503"/>
    </row>
    <row r="2021" spans="23:23">
      <c r="W2021" s="503"/>
    </row>
    <row r="2022" spans="23:23">
      <c r="W2022" s="503"/>
    </row>
    <row r="2023" spans="23:23">
      <c r="W2023" s="503"/>
    </row>
    <row r="2024" spans="23:23">
      <c r="W2024" s="503"/>
    </row>
    <row r="2025" spans="23:23">
      <c r="W2025" s="503"/>
    </row>
    <row r="2026" spans="23:23">
      <c r="W2026" s="503"/>
    </row>
    <row r="2027" spans="23:23">
      <c r="W2027" s="503"/>
    </row>
    <row r="2028" spans="23:23">
      <c r="W2028" s="503"/>
    </row>
    <row r="2029" spans="23:23">
      <c r="W2029" s="503"/>
    </row>
    <row r="2030" spans="23:23">
      <c r="W2030" s="503"/>
    </row>
    <row r="2031" spans="23:23">
      <c r="W2031" s="503"/>
    </row>
    <row r="2032" spans="23:23">
      <c r="W2032" s="503"/>
    </row>
    <row r="2033" spans="23:23">
      <c r="W2033" s="503"/>
    </row>
    <row r="2034" spans="23:23">
      <c r="W2034" s="503"/>
    </row>
    <row r="2035" spans="23:23">
      <c r="W2035" s="503"/>
    </row>
    <row r="2036" spans="23:23">
      <c r="W2036" s="503"/>
    </row>
    <row r="2037" spans="23:23">
      <c r="W2037" s="503"/>
    </row>
    <row r="2038" spans="23:23">
      <c r="W2038" s="503"/>
    </row>
    <row r="2039" spans="23:23">
      <c r="W2039" s="503"/>
    </row>
    <row r="2040" spans="23:23">
      <c r="W2040" s="503"/>
    </row>
    <row r="2041" spans="23:23">
      <c r="W2041" s="503"/>
    </row>
    <row r="2042" spans="23:23">
      <c r="W2042" s="503"/>
    </row>
    <row r="2043" spans="23:23">
      <c r="W2043" s="503"/>
    </row>
    <row r="2044" spans="23:23">
      <c r="W2044" s="503"/>
    </row>
    <row r="2045" spans="23:23">
      <c r="W2045" s="503"/>
    </row>
    <row r="2046" spans="23:23">
      <c r="W2046" s="503"/>
    </row>
    <row r="2047" spans="23:23">
      <c r="W2047" s="503"/>
    </row>
    <row r="2048" spans="23:23">
      <c r="W2048" s="503"/>
    </row>
    <row r="2049" spans="23:23">
      <c r="W2049" s="503"/>
    </row>
    <row r="2050" spans="23:23">
      <c r="W2050" s="503"/>
    </row>
    <row r="2051" spans="23:23">
      <c r="W2051" s="503"/>
    </row>
    <row r="2052" spans="23:23">
      <c r="W2052" s="503"/>
    </row>
    <row r="2053" spans="23:23">
      <c r="W2053" s="503"/>
    </row>
    <row r="2054" spans="23:23">
      <c r="W2054" s="503"/>
    </row>
    <row r="2055" spans="23:23">
      <c r="W2055" s="503"/>
    </row>
    <row r="2056" spans="23:23">
      <c r="W2056" s="503"/>
    </row>
    <row r="2057" spans="23:23">
      <c r="W2057" s="503"/>
    </row>
    <row r="2058" spans="23:23">
      <c r="W2058" s="503"/>
    </row>
    <row r="2059" spans="23:23">
      <c r="W2059" s="503"/>
    </row>
    <row r="2060" spans="23:23">
      <c r="W2060" s="503"/>
    </row>
    <row r="2061" spans="23:23">
      <c r="W2061" s="503"/>
    </row>
    <row r="2062" spans="23:23">
      <c r="W2062" s="503"/>
    </row>
    <row r="2063" spans="23:23">
      <c r="W2063" s="503"/>
    </row>
    <row r="2064" spans="23:23">
      <c r="W2064" s="503"/>
    </row>
    <row r="2065" spans="23:23">
      <c r="W2065" s="503"/>
    </row>
    <row r="2066" spans="23:23">
      <c r="W2066" s="503"/>
    </row>
    <row r="2067" spans="23:23">
      <c r="W2067" s="503"/>
    </row>
    <row r="2068" spans="23:23">
      <c r="W2068" s="503"/>
    </row>
    <row r="2069" spans="23:23">
      <c r="W2069" s="503"/>
    </row>
    <row r="2070" spans="23:23">
      <c r="W2070" s="503"/>
    </row>
    <row r="2071" spans="23:23">
      <c r="W2071" s="503"/>
    </row>
    <row r="2072" spans="23:23">
      <c r="W2072" s="503"/>
    </row>
    <row r="2073" spans="23:23">
      <c r="W2073" s="503"/>
    </row>
    <row r="2074" spans="23:23">
      <c r="W2074" s="503"/>
    </row>
    <row r="2075" spans="23:23">
      <c r="W2075" s="503"/>
    </row>
    <row r="2076" spans="23:23">
      <c r="W2076" s="503"/>
    </row>
    <row r="2077" spans="23:23">
      <c r="W2077" s="503"/>
    </row>
    <row r="2078" spans="23:23">
      <c r="W2078" s="503"/>
    </row>
    <row r="2079" spans="23:23">
      <c r="W2079" s="503"/>
    </row>
    <row r="2080" spans="23:23">
      <c r="W2080" s="503"/>
    </row>
    <row r="2081" spans="23:23">
      <c r="W2081" s="503"/>
    </row>
    <row r="2082" spans="23:23">
      <c r="W2082" s="503"/>
    </row>
    <row r="2083" spans="23:23">
      <c r="W2083" s="503"/>
    </row>
    <row r="2084" spans="23:23">
      <c r="W2084" s="503"/>
    </row>
    <row r="2085" spans="23:23">
      <c r="W2085" s="503"/>
    </row>
    <row r="2086" spans="23:23">
      <c r="W2086" s="503"/>
    </row>
    <row r="2087" spans="23:23">
      <c r="W2087" s="503"/>
    </row>
    <row r="2088" spans="23:23">
      <c r="W2088" s="503"/>
    </row>
    <row r="2089" spans="23:23">
      <c r="W2089" s="503"/>
    </row>
    <row r="2090" spans="23:23">
      <c r="W2090" s="503"/>
    </row>
    <row r="2091" spans="23:23">
      <c r="W2091" s="503"/>
    </row>
    <row r="2092" spans="23:23">
      <c r="W2092" s="503"/>
    </row>
    <row r="2093" spans="23:23">
      <c r="W2093" s="503"/>
    </row>
    <row r="2094" spans="23:23">
      <c r="W2094" s="503"/>
    </row>
    <row r="2095" spans="23:23">
      <c r="W2095" s="503"/>
    </row>
    <row r="2096" spans="23:23">
      <c r="W2096" s="503"/>
    </row>
    <row r="2097" spans="23:23">
      <c r="W2097" s="503"/>
    </row>
    <row r="2098" spans="23:23">
      <c r="W2098" s="503"/>
    </row>
    <row r="2099" spans="23:23">
      <c r="W2099" s="503"/>
    </row>
    <row r="2100" spans="23:23">
      <c r="W2100" s="503"/>
    </row>
    <row r="2101" spans="23:23">
      <c r="W2101" s="503"/>
    </row>
    <row r="2102" spans="23:23">
      <c r="W2102" s="503"/>
    </row>
    <row r="2103" spans="23:23">
      <c r="W2103" s="503"/>
    </row>
    <row r="2104" spans="23:23">
      <c r="W2104" s="503"/>
    </row>
    <row r="2105" spans="23:23">
      <c r="W2105" s="503"/>
    </row>
    <row r="2106" spans="23:23">
      <c r="W2106" s="503"/>
    </row>
    <row r="2107" spans="23:23">
      <c r="W2107" s="503"/>
    </row>
    <row r="2108" spans="23:23">
      <c r="W2108" s="503"/>
    </row>
    <row r="2109" spans="23:23">
      <c r="W2109" s="503"/>
    </row>
    <row r="2110" spans="23:23">
      <c r="W2110" s="503"/>
    </row>
    <row r="2111" spans="23:23">
      <c r="W2111" s="503"/>
    </row>
    <row r="2112" spans="23:23">
      <c r="W2112" s="503"/>
    </row>
    <row r="2113" spans="23:23">
      <c r="W2113" s="503"/>
    </row>
    <row r="2114" spans="23:23">
      <c r="W2114" s="503"/>
    </row>
    <row r="2115" spans="23:23">
      <c r="W2115" s="503"/>
    </row>
    <row r="2116" spans="23:23">
      <c r="W2116" s="503"/>
    </row>
    <row r="2117" spans="23:23">
      <c r="W2117" s="503"/>
    </row>
    <row r="2118" spans="23:23">
      <c r="W2118" s="503"/>
    </row>
    <row r="2119" spans="23:23">
      <c r="W2119" s="503"/>
    </row>
    <row r="2120" spans="23:23">
      <c r="W2120" s="503"/>
    </row>
    <row r="2121" spans="23:23">
      <c r="W2121" s="503"/>
    </row>
    <row r="2122" spans="23:23">
      <c r="W2122" s="503"/>
    </row>
    <row r="2123" spans="23:23">
      <c r="W2123" s="503"/>
    </row>
    <row r="2124" spans="23:23">
      <c r="W2124" s="503"/>
    </row>
    <row r="2125" spans="23:23">
      <c r="W2125" s="503"/>
    </row>
    <row r="2126" spans="23:23">
      <c r="W2126" s="503"/>
    </row>
    <row r="2127" spans="23:23">
      <c r="W2127" s="503"/>
    </row>
    <row r="2128" spans="23:23">
      <c r="W2128" s="503"/>
    </row>
    <row r="2129" spans="23:23">
      <c r="W2129" s="503"/>
    </row>
    <row r="2130" spans="23:23">
      <c r="W2130" s="503"/>
    </row>
    <row r="2131" spans="23:23">
      <c r="W2131" s="503"/>
    </row>
    <row r="2132" spans="23:23">
      <c r="W2132" s="503"/>
    </row>
    <row r="2133" spans="23:23">
      <c r="W2133" s="503"/>
    </row>
    <row r="2134" spans="23:23">
      <c r="W2134" s="503"/>
    </row>
    <row r="2135" spans="23:23">
      <c r="W2135" s="503"/>
    </row>
    <row r="2136" spans="23:23">
      <c r="W2136" s="503"/>
    </row>
    <row r="2137" spans="23:23">
      <c r="W2137" s="503"/>
    </row>
    <row r="2138" spans="23:23">
      <c r="W2138" s="503"/>
    </row>
    <row r="2139" spans="23:23">
      <c r="W2139" s="503"/>
    </row>
    <row r="2140" spans="23:23">
      <c r="W2140" s="503"/>
    </row>
    <row r="2141" spans="23:23">
      <c r="W2141" s="503"/>
    </row>
    <row r="2142" spans="23:23">
      <c r="W2142" s="503"/>
    </row>
    <row r="2143" spans="23:23">
      <c r="W2143" s="503"/>
    </row>
    <row r="2144" spans="23:23">
      <c r="W2144" s="503"/>
    </row>
    <row r="2145" spans="23:23">
      <c r="W2145" s="503"/>
    </row>
    <row r="2146" spans="23:23">
      <c r="W2146" s="503"/>
    </row>
    <row r="2147" spans="23:23">
      <c r="W2147" s="503"/>
    </row>
    <row r="2148" spans="23:23">
      <c r="W2148" s="503"/>
    </row>
    <row r="2149" spans="23:23">
      <c r="W2149" s="503"/>
    </row>
    <row r="2150" spans="23:23">
      <c r="W2150" s="503"/>
    </row>
    <row r="2151" spans="23:23">
      <c r="W2151" s="503"/>
    </row>
    <row r="2152" spans="23:23">
      <c r="W2152" s="503"/>
    </row>
    <row r="2153" spans="23:23">
      <c r="W2153" s="503"/>
    </row>
    <row r="2154" spans="23:23">
      <c r="W2154" s="503"/>
    </row>
    <row r="2155" spans="23:23">
      <c r="W2155" s="503"/>
    </row>
    <row r="2156" spans="23:23">
      <c r="W2156" s="503"/>
    </row>
    <row r="2157" spans="23:23">
      <c r="W2157" s="503"/>
    </row>
    <row r="2158" spans="23:23">
      <c r="W2158" s="503"/>
    </row>
    <row r="2159" spans="23:23">
      <c r="W2159" s="503"/>
    </row>
    <row r="2160" spans="23:23">
      <c r="W2160" s="503"/>
    </row>
    <row r="2161" spans="23:23">
      <c r="W2161" s="503"/>
    </row>
    <row r="2162" spans="23:23">
      <c r="W2162" s="503"/>
    </row>
    <row r="2163" spans="23:23">
      <c r="W2163" s="503"/>
    </row>
    <row r="2164" spans="23:23">
      <c r="W2164" s="503"/>
    </row>
    <row r="2165" spans="23:23">
      <c r="W2165" s="503"/>
    </row>
    <row r="2166" spans="23:23">
      <c r="W2166" s="503"/>
    </row>
    <row r="2167" spans="23:23">
      <c r="W2167" s="503"/>
    </row>
    <row r="2168" spans="23:23">
      <c r="W2168" s="503"/>
    </row>
    <row r="2169" spans="23:23">
      <c r="W2169" s="503"/>
    </row>
    <row r="2170" spans="23:23">
      <c r="W2170" s="503"/>
    </row>
    <row r="2171" spans="23:23">
      <c r="W2171" s="503"/>
    </row>
    <row r="2172" spans="23:23">
      <c r="W2172" s="503"/>
    </row>
    <row r="2173" spans="23:23">
      <c r="W2173" s="503"/>
    </row>
    <row r="2174" spans="23:23">
      <c r="W2174" s="503"/>
    </row>
    <row r="2175" spans="23:23">
      <c r="W2175" s="503"/>
    </row>
    <row r="2176" spans="23:23">
      <c r="W2176" s="503"/>
    </row>
    <row r="2177" spans="23:23">
      <c r="W2177" s="503"/>
    </row>
    <row r="2178" spans="23:23">
      <c r="W2178" s="503"/>
    </row>
    <row r="2179" spans="23:23">
      <c r="W2179" s="503"/>
    </row>
    <row r="2180" spans="23:23">
      <c r="W2180" s="503"/>
    </row>
    <row r="2181" spans="23:23">
      <c r="W2181" s="503"/>
    </row>
    <row r="2182" spans="23:23">
      <c r="W2182" s="503"/>
    </row>
    <row r="2183" spans="23:23">
      <c r="W2183" s="503"/>
    </row>
    <row r="2184" spans="23:23">
      <c r="W2184" s="503"/>
    </row>
    <row r="2185" spans="23:23">
      <c r="W2185" s="503"/>
    </row>
    <row r="2186" spans="23:23">
      <c r="W2186" s="503"/>
    </row>
    <row r="2187" spans="23:23">
      <c r="W2187" s="503"/>
    </row>
    <row r="2188" spans="23:23">
      <c r="W2188" s="503"/>
    </row>
    <row r="2189" spans="23:23">
      <c r="W2189" s="503"/>
    </row>
    <row r="2190" spans="23:23">
      <c r="W2190" s="503"/>
    </row>
    <row r="2191" spans="23:23">
      <c r="W2191" s="503"/>
    </row>
    <row r="2192" spans="23:23">
      <c r="W2192" s="503"/>
    </row>
    <row r="2193" spans="23:23">
      <c r="W2193" s="503"/>
    </row>
    <row r="2194" spans="23:23">
      <c r="W2194" s="503"/>
    </row>
    <row r="2195" spans="23:23">
      <c r="W2195" s="503"/>
    </row>
    <row r="2196" spans="23:23">
      <c r="W2196" s="503"/>
    </row>
    <row r="2197" spans="23:23">
      <c r="W2197" s="503"/>
    </row>
    <row r="2198" spans="23:23">
      <c r="W2198" s="503"/>
    </row>
    <row r="2199" spans="23:23">
      <c r="W2199" s="503"/>
    </row>
    <row r="2200" spans="23:23">
      <c r="W2200" s="503"/>
    </row>
    <row r="2201" spans="23:23">
      <c r="W2201" s="503"/>
    </row>
    <row r="2202" spans="23:23">
      <c r="W2202" s="503"/>
    </row>
    <row r="2203" spans="23:23">
      <c r="W2203" s="503"/>
    </row>
    <row r="2204" spans="23:23">
      <c r="W2204" s="503"/>
    </row>
    <row r="2205" spans="23:23">
      <c r="W2205" s="503"/>
    </row>
    <row r="2206" spans="23:23">
      <c r="W2206" s="503"/>
    </row>
    <row r="2207" spans="23:23">
      <c r="W2207" s="503"/>
    </row>
    <row r="2208" spans="23:23">
      <c r="W2208" s="503"/>
    </row>
    <row r="2209" spans="23:23">
      <c r="W2209" s="503"/>
    </row>
    <row r="2210" spans="23:23">
      <c r="W2210" s="503"/>
    </row>
    <row r="2211" spans="23:23">
      <c r="W2211" s="503"/>
    </row>
    <row r="2212" spans="23:23">
      <c r="W2212" s="503"/>
    </row>
    <row r="2213" spans="23:23">
      <c r="W2213" s="503"/>
    </row>
    <row r="2214" spans="23:23">
      <c r="W2214" s="503"/>
    </row>
    <row r="2215" spans="23:23">
      <c r="W2215" s="503"/>
    </row>
    <row r="2216" spans="23:23">
      <c r="W2216" s="503"/>
    </row>
    <row r="2217" spans="23:23">
      <c r="W2217" s="503"/>
    </row>
    <row r="2218" spans="23:23">
      <c r="W2218" s="503"/>
    </row>
    <row r="2219" spans="23:23">
      <c r="W2219" s="503"/>
    </row>
    <row r="2220" spans="23:23">
      <c r="W2220" s="503"/>
    </row>
    <row r="2221" spans="23:23">
      <c r="W2221" s="503"/>
    </row>
    <row r="2222" spans="23:23">
      <c r="W2222" s="503"/>
    </row>
    <row r="2223" spans="23:23">
      <c r="W2223" s="503"/>
    </row>
    <row r="2224" spans="23:23">
      <c r="W2224" s="503"/>
    </row>
    <row r="2225" spans="23:23">
      <c r="W2225" s="503"/>
    </row>
    <row r="2226" spans="23:23">
      <c r="W2226" s="503"/>
    </row>
    <row r="2227" spans="23:23">
      <c r="W2227" s="503"/>
    </row>
    <row r="2228" spans="23:23">
      <c r="W2228" s="503"/>
    </row>
    <row r="2229" spans="23:23">
      <c r="W2229" s="503"/>
    </row>
    <row r="2230" spans="23:23">
      <c r="W2230" s="503"/>
    </row>
    <row r="2231" spans="23:23">
      <c r="W2231" s="503"/>
    </row>
    <row r="2232" spans="23:23">
      <c r="W2232" s="503"/>
    </row>
    <row r="2233" spans="23:23">
      <c r="W2233" s="503"/>
    </row>
    <row r="2234" spans="23:23">
      <c r="W2234" s="503"/>
    </row>
    <row r="2235" spans="23:23">
      <c r="W2235" s="503"/>
    </row>
    <row r="2236" spans="23:23">
      <c r="W2236" s="503"/>
    </row>
    <row r="2237" spans="23:23">
      <c r="W2237" s="503"/>
    </row>
    <row r="2238" spans="23:23">
      <c r="W2238" s="503"/>
    </row>
    <row r="2239" spans="23:23">
      <c r="W2239" s="503"/>
    </row>
    <row r="2240" spans="23:23">
      <c r="W2240" s="503"/>
    </row>
    <row r="2241" spans="23:23">
      <c r="W2241" s="503"/>
    </row>
    <row r="2242" spans="23:23">
      <c r="W2242" s="503"/>
    </row>
    <row r="2243" spans="23:23">
      <c r="W2243" s="503"/>
    </row>
    <row r="2244" spans="23:23">
      <c r="W2244" s="503"/>
    </row>
    <row r="2245" spans="23:23">
      <c r="W2245" s="503"/>
    </row>
    <row r="2246" spans="23:23">
      <c r="W2246" s="503"/>
    </row>
    <row r="2247" spans="23:23">
      <c r="W2247" s="503"/>
    </row>
    <row r="2248" spans="23:23">
      <c r="W2248" s="503"/>
    </row>
    <row r="2249" spans="23:23">
      <c r="W2249" s="503"/>
    </row>
    <row r="2250" spans="23:23">
      <c r="W2250" s="503"/>
    </row>
    <row r="2251" spans="23:23">
      <c r="W2251" s="503"/>
    </row>
    <row r="2252" spans="23:23">
      <c r="W2252" s="503"/>
    </row>
    <row r="2253" spans="23:23">
      <c r="W2253" s="503"/>
    </row>
    <row r="2254" spans="23:23">
      <c r="W2254" s="503"/>
    </row>
    <row r="2255" spans="23:23">
      <c r="W2255" s="503"/>
    </row>
    <row r="2256" spans="23:23">
      <c r="W2256" s="503"/>
    </row>
    <row r="2257" spans="23:23">
      <c r="W2257" s="503"/>
    </row>
    <row r="2258" spans="23:23">
      <c r="W2258" s="503"/>
    </row>
    <row r="2259" spans="23:23">
      <c r="W2259" s="503"/>
    </row>
    <row r="2260" spans="23:23">
      <c r="W2260" s="503"/>
    </row>
    <row r="2261" spans="23:23">
      <c r="W2261" s="503"/>
    </row>
    <row r="2262" spans="23:23">
      <c r="W2262" s="503"/>
    </row>
    <row r="2263" spans="23:23">
      <c r="W2263" s="503"/>
    </row>
    <row r="2264" spans="23:23">
      <c r="W2264" s="503"/>
    </row>
    <row r="2265" spans="23:23">
      <c r="W2265" s="503"/>
    </row>
    <row r="2266" spans="23:23">
      <c r="W2266" s="503"/>
    </row>
    <row r="2267" spans="23:23">
      <c r="W2267" s="503"/>
    </row>
    <row r="2268" spans="23:23">
      <c r="W2268" s="503"/>
    </row>
    <row r="2269" spans="23:23">
      <c r="W2269" s="503"/>
    </row>
    <row r="2270" spans="23:23">
      <c r="W2270" s="503"/>
    </row>
    <row r="2271" spans="23:23">
      <c r="W2271" s="503"/>
    </row>
    <row r="2272" spans="23:23">
      <c r="W2272" s="503"/>
    </row>
    <row r="2273" spans="23:23">
      <c r="W2273" s="503"/>
    </row>
    <row r="2274" spans="23:23">
      <c r="W2274" s="503"/>
    </row>
    <row r="2275" spans="23:23">
      <c r="W2275" s="503"/>
    </row>
    <row r="2276" spans="23:23">
      <c r="W2276" s="503"/>
    </row>
    <row r="2277" spans="23:23">
      <c r="W2277" s="503"/>
    </row>
    <row r="2278" spans="23:23">
      <c r="W2278" s="503"/>
    </row>
    <row r="2279" spans="23:23">
      <c r="W2279" s="503"/>
    </row>
    <row r="2280" spans="23:23">
      <c r="W2280" s="503"/>
    </row>
    <row r="2281" spans="23:23">
      <c r="W2281" s="503"/>
    </row>
    <row r="2282" spans="23:23">
      <c r="W2282" s="503"/>
    </row>
    <row r="2283" spans="23:23">
      <c r="W2283" s="503"/>
    </row>
    <row r="2284" spans="23:23">
      <c r="W2284" s="503"/>
    </row>
    <row r="2285" spans="23:23">
      <c r="W2285" s="503"/>
    </row>
    <row r="2286" spans="23:23">
      <c r="W2286" s="503"/>
    </row>
    <row r="2287" spans="23:23">
      <c r="W2287" s="503"/>
    </row>
    <row r="2288" spans="23:23">
      <c r="W2288" s="503"/>
    </row>
    <row r="2289" spans="23:23">
      <c r="W2289" s="503"/>
    </row>
    <row r="2290" spans="23:23">
      <c r="W2290" s="503"/>
    </row>
    <row r="2291" spans="23:23">
      <c r="W2291" s="503"/>
    </row>
    <row r="2292" spans="23:23">
      <c r="W2292" s="503"/>
    </row>
    <row r="2293" spans="23:23">
      <c r="W2293" s="503"/>
    </row>
    <row r="2294" spans="23:23">
      <c r="W2294" s="503"/>
    </row>
    <row r="2295" spans="23:23">
      <c r="W2295" s="503"/>
    </row>
    <row r="2296" spans="23:23">
      <c r="W2296" s="503"/>
    </row>
    <row r="2297" spans="23:23">
      <c r="W2297" s="503"/>
    </row>
    <row r="2298" spans="23:23">
      <c r="W2298" s="503"/>
    </row>
    <row r="2299" spans="23:23">
      <c r="W2299" s="503"/>
    </row>
    <row r="2300" spans="23:23">
      <c r="W2300" s="503"/>
    </row>
    <row r="2301" spans="23:23">
      <c r="W2301" s="503"/>
    </row>
    <row r="2302" spans="23:23">
      <c r="W2302" s="503"/>
    </row>
    <row r="2303" spans="23:23">
      <c r="W2303" s="503"/>
    </row>
    <row r="2304" spans="23:23">
      <c r="W2304" s="503"/>
    </row>
    <row r="2305" spans="23:23">
      <c r="W2305" s="503"/>
    </row>
    <row r="2306" spans="23:23">
      <c r="W2306" s="503"/>
    </row>
    <row r="2307" spans="23:23">
      <c r="W2307" s="503"/>
    </row>
    <row r="2308" spans="23:23">
      <c r="W2308" s="503"/>
    </row>
    <row r="2309" spans="23:23">
      <c r="W2309" s="503"/>
    </row>
    <row r="2310" spans="23:23">
      <c r="W2310" s="503"/>
    </row>
    <row r="2311" spans="23:23">
      <c r="W2311" s="503"/>
    </row>
    <row r="2312" spans="23:23">
      <c r="W2312" s="503"/>
    </row>
    <row r="2313" spans="23:23">
      <c r="W2313" s="503"/>
    </row>
    <row r="2314" spans="23:23">
      <c r="W2314" s="503"/>
    </row>
    <row r="2315" spans="23:23">
      <c r="W2315" s="503"/>
    </row>
    <row r="2316" spans="23:23">
      <c r="W2316" s="503"/>
    </row>
    <row r="2317" spans="23:23">
      <c r="W2317" s="503"/>
    </row>
    <row r="2318" spans="23:23">
      <c r="W2318" s="503"/>
    </row>
    <row r="2319" spans="23:23">
      <c r="W2319" s="503"/>
    </row>
    <row r="2320" spans="23:23">
      <c r="W2320" s="503"/>
    </row>
    <row r="2321" spans="23:23">
      <c r="W2321" s="503"/>
    </row>
    <row r="2322" spans="23:23">
      <c r="W2322" s="503"/>
    </row>
    <row r="2323" spans="23:23">
      <c r="W2323" s="503"/>
    </row>
    <row r="2324" spans="23:23">
      <c r="W2324" s="503"/>
    </row>
    <row r="2325" spans="23:23">
      <c r="W2325" s="503"/>
    </row>
    <row r="2326" spans="23:23">
      <c r="W2326" s="503"/>
    </row>
    <row r="2327" spans="23:23">
      <c r="W2327" s="503"/>
    </row>
    <row r="2328" spans="23:23">
      <c r="W2328" s="503"/>
    </row>
    <row r="2329" spans="23:23">
      <c r="W2329" s="503"/>
    </row>
    <row r="2330" spans="23:23">
      <c r="W2330" s="503"/>
    </row>
    <row r="2331" spans="23:23">
      <c r="W2331" s="503"/>
    </row>
    <row r="2332" spans="23:23">
      <c r="W2332" s="503"/>
    </row>
    <row r="2333" spans="23:23">
      <c r="W2333" s="503"/>
    </row>
    <row r="2334" spans="23:23">
      <c r="W2334" s="503"/>
    </row>
    <row r="2335" spans="23:23">
      <c r="W2335" s="503"/>
    </row>
    <row r="2336" spans="23:23">
      <c r="W2336" s="503"/>
    </row>
    <row r="2337" spans="23:23">
      <c r="W2337" s="503"/>
    </row>
    <row r="2338" spans="23:23">
      <c r="W2338" s="503"/>
    </row>
    <row r="2339" spans="23:23">
      <c r="W2339" s="503"/>
    </row>
    <row r="2340" spans="23:23">
      <c r="W2340" s="503"/>
    </row>
    <row r="2341" spans="23:23">
      <c r="W2341" s="503"/>
    </row>
    <row r="2342" spans="23:23">
      <c r="W2342" s="503"/>
    </row>
    <row r="2343" spans="23:23">
      <c r="W2343" s="503"/>
    </row>
    <row r="2344" spans="23:23">
      <c r="W2344" s="503"/>
    </row>
    <row r="2345" spans="23:23">
      <c r="W2345" s="503"/>
    </row>
    <row r="2346" spans="23:23">
      <c r="W2346" s="503"/>
    </row>
    <row r="2347" spans="23:23">
      <c r="W2347" s="503"/>
    </row>
    <row r="2348" spans="23:23">
      <c r="W2348" s="503"/>
    </row>
    <row r="2349" spans="23:23">
      <c r="W2349" s="503"/>
    </row>
    <row r="2350" spans="23:23">
      <c r="W2350" s="503"/>
    </row>
    <row r="2351" spans="23:23">
      <c r="W2351" s="503"/>
    </row>
    <row r="2352" spans="23:23">
      <c r="W2352" s="503"/>
    </row>
    <row r="2353" spans="23:23">
      <c r="W2353" s="503"/>
    </row>
    <row r="2354" spans="23:23">
      <c r="W2354" s="503"/>
    </row>
    <row r="2355" spans="23:23">
      <c r="W2355" s="503"/>
    </row>
    <row r="2356" spans="23:23">
      <c r="W2356" s="503"/>
    </row>
    <row r="2357" spans="23:23">
      <c r="W2357" s="503"/>
    </row>
    <row r="2358" spans="23:23">
      <c r="W2358" s="503"/>
    </row>
    <row r="2359" spans="23:23">
      <c r="W2359" s="503"/>
    </row>
    <row r="2360" spans="23:23">
      <c r="W2360" s="503"/>
    </row>
    <row r="2361" spans="23:23">
      <c r="W2361" s="503"/>
    </row>
    <row r="2362" spans="23:23">
      <c r="W2362" s="503"/>
    </row>
    <row r="2363" spans="23:23">
      <c r="W2363" s="503"/>
    </row>
    <row r="2364" spans="23:23">
      <c r="W2364" s="503"/>
    </row>
    <row r="2365" spans="23:23">
      <c r="W2365" s="503"/>
    </row>
    <row r="2366" spans="23:23">
      <c r="W2366" s="503"/>
    </row>
    <row r="2367" spans="23:23">
      <c r="W2367" s="503"/>
    </row>
    <row r="2368" spans="23:23">
      <c r="W2368" s="503"/>
    </row>
    <row r="2369" spans="23:23">
      <c r="W2369" s="503"/>
    </row>
    <row r="2370" spans="23:23">
      <c r="W2370" s="503"/>
    </row>
    <row r="2371" spans="23:23">
      <c r="W2371" s="503"/>
    </row>
    <row r="2372" spans="23:23">
      <c r="W2372" s="503"/>
    </row>
    <row r="2373" spans="23:23">
      <c r="W2373" s="503"/>
    </row>
    <row r="2374" spans="23:23">
      <c r="W2374" s="503"/>
    </row>
    <row r="2375" spans="23:23">
      <c r="W2375" s="503"/>
    </row>
    <row r="2376" spans="23:23">
      <c r="W2376" s="503"/>
    </row>
    <row r="2377" spans="23:23">
      <c r="W2377" s="503"/>
    </row>
    <row r="2378" spans="23:23">
      <c r="W2378" s="503"/>
    </row>
    <row r="2379" spans="23:23">
      <c r="W2379" s="503"/>
    </row>
    <row r="2380" spans="23:23">
      <c r="W2380" s="503"/>
    </row>
    <row r="2381" spans="23:23">
      <c r="W2381" s="503"/>
    </row>
    <row r="2382" spans="23:23">
      <c r="W2382" s="503"/>
    </row>
    <row r="2383" spans="23:23">
      <c r="W2383" s="503"/>
    </row>
    <row r="2384" spans="23:23">
      <c r="W2384" s="503"/>
    </row>
    <row r="2385" spans="23:23">
      <c r="W2385" s="503"/>
    </row>
    <row r="2386" spans="23:23">
      <c r="W2386" s="503"/>
    </row>
    <row r="2387" spans="23:23">
      <c r="W2387" s="503"/>
    </row>
    <row r="2388" spans="23:23">
      <c r="W2388" s="503"/>
    </row>
    <row r="2389" spans="23:23">
      <c r="W2389" s="503"/>
    </row>
    <row r="2390" spans="23:23">
      <c r="W2390" s="503"/>
    </row>
    <row r="2391" spans="23:23">
      <c r="W2391" s="503"/>
    </row>
    <row r="2392" spans="23:23">
      <c r="W2392" s="503"/>
    </row>
    <row r="2393" spans="23:23">
      <c r="W2393" s="503"/>
    </row>
    <row r="2394" spans="23:23">
      <c r="W2394" s="503"/>
    </row>
    <row r="2395" spans="23:23">
      <c r="W2395" s="503"/>
    </row>
    <row r="2396" spans="23:23">
      <c r="W2396" s="503"/>
    </row>
    <row r="2397" spans="23:23">
      <c r="W2397" s="503"/>
    </row>
    <row r="2398" spans="23:23">
      <c r="W2398" s="503"/>
    </row>
    <row r="2399" spans="23:23">
      <c r="W2399" s="503"/>
    </row>
    <row r="2400" spans="23:23">
      <c r="W2400" s="503"/>
    </row>
    <row r="2401" spans="23:23">
      <c r="W2401" s="503"/>
    </row>
    <row r="2402" spans="23:23">
      <c r="W2402" s="503"/>
    </row>
    <row r="2403" spans="23:23">
      <c r="W2403" s="503"/>
    </row>
    <row r="2404" spans="23:23">
      <c r="W2404" s="503"/>
    </row>
    <row r="2405" spans="23:23">
      <c r="W2405" s="503"/>
    </row>
    <row r="2406" spans="23:23">
      <c r="W2406" s="503"/>
    </row>
    <row r="2407" spans="23:23">
      <c r="W2407" s="503"/>
    </row>
    <row r="2408" spans="23:23">
      <c r="W2408" s="503"/>
    </row>
    <row r="2409" spans="23:23">
      <c r="W2409" s="503"/>
    </row>
    <row r="2410" spans="23:23">
      <c r="W2410" s="503"/>
    </row>
    <row r="2411" spans="23:23">
      <c r="W2411" s="503"/>
    </row>
    <row r="2412" spans="23:23">
      <c r="W2412" s="503"/>
    </row>
    <row r="2413" spans="23:23">
      <c r="W2413" s="503"/>
    </row>
    <row r="2414" spans="23:23">
      <c r="W2414" s="503"/>
    </row>
    <row r="2415" spans="23:23">
      <c r="W2415" s="503"/>
    </row>
    <row r="2416" spans="23:23">
      <c r="W2416" s="503"/>
    </row>
    <row r="2417" spans="23:23">
      <c r="W2417" s="503"/>
    </row>
    <row r="2418" spans="23:23">
      <c r="W2418" s="503"/>
    </row>
    <row r="2419" spans="23:23">
      <c r="W2419" s="503"/>
    </row>
    <row r="2420" spans="23:23">
      <c r="W2420" s="503"/>
    </row>
    <row r="2421" spans="23:23">
      <c r="W2421" s="503"/>
    </row>
    <row r="2422" spans="23:23">
      <c r="W2422" s="503"/>
    </row>
    <row r="2423" spans="23:23">
      <c r="W2423" s="503"/>
    </row>
    <row r="2424" spans="23:23">
      <c r="W2424" s="503"/>
    </row>
    <row r="2425" spans="23:23">
      <c r="W2425" s="503"/>
    </row>
    <row r="2426" spans="23:23">
      <c r="W2426" s="503"/>
    </row>
    <row r="2427" spans="23:23">
      <c r="W2427" s="503"/>
    </row>
    <row r="2428" spans="23:23">
      <c r="W2428" s="503"/>
    </row>
    <row r="2429" spans="23:23">
      <c r="W2429" s="503"/>
    </row>
    <row r="2430" spans="23:23">
      <c r="W2430" s="503"/>
    </row>
    <row r="2431" spans="23:23">
      <c r="W2431" s="503"/>
    </row>
    <row r="2432" spans="23:23">
      <c r="W2432" s="503"/>
    </row>
    <row r="2433" spans="23:23">
      <c r="W2433" s="503"/>
    </row>
    <row r="2434" spans="23:23">
      <c r="W2434" s="503"/>
    </row>
    <row r="2435" spans="23:23">
      <c r="W2435" s="503"/>
    </row>
    <row r="2436" spans="23:23">
      <c r="W2436" s="503"/>
    </row>
    <row r="2437" spans="23:23">
      <c r="W2437" s="503"/>
    </row>
    <row r="2438" spans="23:23">
      <c r="W2438" s="503"/>
    </row>
    <row r="2439" spans="23:23">
      <c r="W2439" s="503"/>
    </row>
    <row r="2440" spans="23:23">
      <c r="W2440" s="503"/>
    </row>
    <row r="2441" spans="23:23">
      <c r="W2441" s="503"/>
    </row>
    <row r="2442" spans="23:23">
      <c r="W2442" s="503"/>
    </row>
    <row r="2443" spans="23:23">
      <c r="W2443" s="503"/>
    </row>
    <row r="2444" spans="23:23">
      <c r="W2444" s="503"/>
    </row>
    <row r="2445" spans="23:23">
      <c r="W2445" s="503"/>
    </row>
    <row r="2446" spans="23:23">
      <c r="W2446" s="503"/>
    </row>
    <row r="2447" spans="23:23">
      <c r="W2447" s="503"/>
    </row>
    <row r="2448" spans="23:23">
      <c r="W2448" s="503"/>
    </row>
    <row r="2449" spans="23:23">
      <c r="W2449" s="503"/>
    </row>
    <row r="2450" spans="23:23">
      <c r="W2450" s="503"/>
    </row>
    <row r="2451" spans="23:23">
      <c r="W2451" s="503"/>
    </row>
    <row r="2452" spans="23:23">
      <c r="W2452" s="503"/>
    </row>
    <row r="2453" spans="23:23">
      <c r="W2453" s="503"/>
    </row>
    <row r="2454" spans="23:23">
      <c r="W2454" s="503"/>
    </row>
    <row r="2455" spans="23:23">
      <c r="W2455" s="503"/>
    </row>
    <row r="2456" spans="23:23">
      <c r="W2456" s="503"/>
    </row>
    <row r="2457" spans="23:23">
      <c r="W2457" s="503"/>
    </row>
    <row r="2458" spans="23:23">
      <c r="W2458" s="503"/>
    </row>
    <row r="2459" spans="23:23">
      <c r="W2459" s="503"/>
    </row>
    <row r="2460" spans="23:23">
      <c r="W2460" s="503"/>
    </row>
    <row r="2461" spans="23:23">
      <c r="W2461" s="503"/>
    </row>
    <row r="2462" spans="23:23">
      <c r="W2462" s="503"/>
    </row>
    <row r="2463" spans="23:23">
      <c r="W2463" s="503"/>
    </row>
    <row r="2464" spans="23:23">
      <c r="W2464" s="503"/>
    </row>
    <row r="2465" spans="23:23">
      <c r="W2465" s="503"/>
    </row>
    <row r="2466" spans="23:23">
      <c r="W2466" s="503"/>
    </row>
    <row r="2467" spans="23:23">
      <c r="W2467" s="503"/>
    </row>
    <row r="2468" spans="23:23">
      <c r="W2468" s="503"/>
    </row>
    <row r="2469" spans="23:23">
      <c r="W2469" s="503"/>
    </row>
    <row r="2470" spans="23:23">
      <c r="W2470" s="503"/>
    </row>
    <row r="2471" spans="23:23">
      <c r="W2471" s="503"/>
    </row>
    <row r="2472" spans="23:23">
      <c r="W2472" s="503"/>
    </row>
    <row r="2473" spans="23:23">
      <c r="W2473" s="503"/>
    </row>
    <row r="2474" spans="23:23">
      <c r="W2474" s="503"/>
    </row>
    <row r="2475" spans="23:23">
      <c r="W2475" s="503"/>
    </row>
    <row r="2476" spans="23:23">
      <c r="W2476" s="503"/>
    </row>
    <row r="2477" spans="23:23">
      <c r="W2477" s="503"/>
    </row>
    <row r="2478" spans="23:23">
      <c r="W2478" s="503"/>
    </row>
    <row r="2479" spans="23:23">
      <c r="W2479" s="503"/>
    </row>
    <row r="2480" spans="23:23">
      <c r="W2480" s="503"/>
    </row>
    <row r="2481" spans="23:23">
      <c r="W2481" s="503"/>
    </row>
    <row r="2482" spans="23:23">
      <c r="W2482" s="503"/>
    </row>
    <row r="2483" spans="23:23">
      <c r="W2483" s="503"/>
    </row>
    <row r="2484" spans="23:23">
      <c r="W2484" s="503"/>
    </row>
    <row r="2485" spans="23:23">
      <c r="W2485" s="503"/>
    </row>
    <row r="2486" spans="23:23">
      <c r="W2486" s="503"/>
    </row>
    <row r="2487" spans="23:23">
      <c r="W2487" s="503"/>
    </row>
    <row r="2488" spans="23:23">
      <c r="W2488" s="503"/>
    </row>
    <row r="2489" spans="23:23">
      <c r="W2489" s="503"/>
    </row>
    <row r="2490" spans="23:23">
      <c r="W2490" s="503"/>
    </row>
    <row r="2491" spans="23:23">
      <c r="W2491" s="503"/>
    </row>
    <row r="2492" spans="23:23">
      <c r="W2492" s="503"/>
    </row>
    <row r="2493" spans="23:23">
      <c r="W2493" s="503"/>
    </row>
    <row r="2494" spans="23:23">
      <c r="W2494" s="503"/>
    </row>
    <row r="2495" spans="23:23">
      <c r="W2495" s="503"/>
    </row>
    <row r="2496" spans="23:23">
      <c r="W2496" s="503"/>
    </row>
    <row r="2497" spans="23:23">
      <c r="W2497" s="503"/>
    </row>
    <row r="2498" spans="23:23">
      <c r="W2498" s="503"/>
    </row>
    <row r="2499" spans="23:23">
      <c r="W2499" s="503"/>
    </row>
    <row r="2500" spans="23:23">
      <c r="W2500" s="503"/>
    </row>
    <row r="2501" spans="23:23">
      <c r="W2501" s="503"/>
    </row>
    <row r="2502" spans="23:23">
      <c r="W2502" s="503"/>
    </row>
    <row r="2503" spans="23:23">
      <c r="W2503" s="503"/>
    </row>
    <row r="2504" spans="23:23">
      <c r="W2504" s="503"/>
    </row>
    <row r="2505" spans="23:23">
      <c r="W2505" s="503"/>
    </row>
    <row r="2506" spans="23:23">
      <c r="W2506" s="503"/>
    </row>
    <row r="2507" spans="23:23">
      <c r="W2507" s="503"/>
    </row>
    <row r="2508" spans="23:23">
      <c r="W2508" s="503"/>
    </row>
    <row r="2509" spans="23:23">
      <c r="W2509" s="503"/>
    </row>
    <row r="2510" spans="23:23">
      <c r="W2510" s="503"/>
    </row>
    <row r="2511" spans="23:23">
      <c r="W2511" s="503"/>
    </row>
    <row r="2512" spans="23:23">
      <c r="W2512" s="503"/>
    </row>
    <row r="2513" spans="23:23">
      <c r="W2513" s="503"/>
    </row>
    <row r="2514" spans="23:23">
      <c r="W2514" s="503"/>
    </row>
    <row r="2515" spans="23:23">
      <c r="W2515" s="503"/>
    </row>
    <row r="2516" spans="23:23">
      <c r="W2516" s="503"/>
    </row>
    <row r="2517" spans="23:23">
      <c r="W2517" s="503"/>
    </row>
    <row r="2518" spans="23:23">
      <c r="W2518" s="503"/>
    </row>
    <row r="2519" spans="23:23">
      <c r="W2519" s="503"/>
    </row>
    <row r="2520" spans="23:23">
      <c r="W2520" s="503"/>
    </row>
    <row r="2521" spans="23:23">
      <c r="W2521" s="503"/>
    </row>
    <row r="2522" spans="23:23">
      <c r="W2522" s="503"/>
    </row>
    <row r="2523" spans="23:23">
      <c r="W2523" s="503"/>
    </row>
    <row r="2524" spans="23:23">
      <c r="W2524" s="503"/>
    </row>
    <row r="2525" spans="23:23">
      <c r="W2525" s="503"/>
    </row>
    <row r="2526" spans="23:23">
      <c r="W2526" s="503"/>
    </row>
    <row r="2527" spans="23:23">
      <c r="W2527" s="503"/>
    </row>
    <row r="2528" spans="23:23">
      <c r="W2528" s="503"/>
    </row>
    <row r="2529" spans="23:23">
      <c r="W2529" s="503"/>
    </row>
    <row r="2530" spans="23:23">
      <c r="W2530" s="503"/>
    </row>
    <row r="2531" spans="23:23">
      <c r="W2531" s="503"/>
    </row>
    <row r="2532" spans="23:23">
      <c r="W2532" s="503"/>
    </row>
    <row r="2533" spans="23:23">
      <c r="W2533" s="503"/>
    </row>
    <row r="2534" spans="23:23">
      <c r="W2534" s="503"/>
    </row>
    <row r="2535" spans="23:23">
      <c r="W2535" s="503"/>
    </row>
    <row r="2536" spans="23:23">
      <c r="W2536" s="503"/>
    </row>
    <row r="2537" spans="23:23">
      <c r="W2537" s="503"/>
    </row>
    <row r="2538" spans="23:23">
      <c r="W2538" s="503"/>
    </row>
    <row r="2539" spans="23:23">
      <c r="W2539" s="503"/>
    </row>
    <row r="2540" spans="23:23">
      <c r="W2540" s="503"/>
    </row>
    <row r="2541" spans="23:23">
      <c r="W2541" s="503"/>
    </row>
    <row r="2542" spans="23:23">
      <c r="W2542" s="503"/>
    </row>
    <row r="2543" spans="23:23">
      <c r="W2543" s="503"/>
    </row>
    <row r="2544" spans="23:23">
      <c r="W2544" s="503"/>
    </row>
    <row r="2545" spans="23:23">
      <c r="W2545" s="503"/>
    </row>
    <row r="2546" spans="23:23">
      <c r="W2546" s="503"/>
    </row>
    <row r="2547" spans="23:23">
      <c r="W2547" s="503"/>
    </row>
    <row r="2548" spans="23:23">
      <c r="W2548" s="503"/>
    </row>
    <row r="2549" spans="23:23">
      <c r="W2549" s="503"/>
    </row>
    <row r="2550" spans="23:23">
      <c r="W2550" s="503"/>
    </row>
    <row r="2551" spans="23:23">
      <c r="W2551" s="503"/>
    </row>
    <row r="2552" spans="23:23">
      <c r="W2552" s="503"/>
    </row>
    <row r="2553" spans="23:23">
      <c r="W2553" s="503"/>
    </row>
    <row r="2554" spans="23:23">
      <c r="W2554" s="503"/>
    </row>
    <row r="2555" spans="23:23">
      <c r="W2555" s="503"/>
    </row>
    <row r="2556" spans="23:23">
      <c r="W2556" s="503"/>
    </row>
    <row r="2557" spans="23:23">
      <c r="W2557" s="503"/>
    </row>
    <row r="2558" spans="23:23">
      <c r="W2558" s="503"/>
    </row>
    <row r="2559" spans="23:23">
      <c r="W2559" s="503"/>
    </row>
    <row r="2560" spans="23:23">
      <c r="W2560" s="503"/>
    </row>
    <row r="2561" spans="23:23">
      <c r="W2561" s="503"/>
    </row>
    <row r="2562" spans="23:23">
      <c r="W2562" s="503"/>
    </row>
    <row r="2563" spans="23:23">
      <c r="W2563" s="503"/>
    </row>
    <row r="2564" spans="23:23">
      <c r="W2564" s="503"/>
    </row>
    <row r="2565" spans="23:23">
      <c r="W2565" s="503"/>
    </row>
    <row r="2566" spans="23:23">
      <c r="W2566" s="503"/>
    </row>
    <row r="2567" spans="23:23">
      <c r="W2567" s="503"/>
    </row>
    <row r="2568" spans="23:23">
      <c r="W2568" s="503"/>
    </row>
    <row r="2569" spans="23:23">
      <c r="W2569" s="503"/>
    </row>
    <row r="2570" spans="23:23">
      <c r="W2570" s="503"/>
    </row>
    <row r="2571" spans="23:23">
      <c r="W2571" s="503"/>
    </row>
    <row r="2572" spans="23:23">
      <c r="W2572" s="503"/>
    </row>
    <row r="2573" spans="23:23">
      <c r="W2573" s="503"/>
    </row>
    <row r="2574" spans="23:23">
      <c r="W2574" s="503"/>
    </row>
    <row r="2575" spans="23:23">
      <c r="W2575" s="503"/>
    </row>
    <row r="2576" spans="23:23">
      <c r="W2576" s="503"/>
    </row>
    <row r="2577" spans="23:23">
      <c r="W2577" s="503"/>
    </row>
    <row r="2578" spans="23:23">
      <c r="W2578" s="503"/>
    </row>
    <row r="2579" spans="23:23">
      <c r="W2579" s="503"/>
    </row>
    <row r="2580" spans="23:23">
      <c r="W2580" s="503"/>
    </row>
    <row r="2581" spans="23:23">
      <c r="W2581" s="503"/>
    </row>
    <row r="2582" spans="23:23">
      <c r="W2582" s="503"/>
    </row>
    <row r="2583" spans="23:23">
      <c r="W2583" s="503"/>
    </row>
    <row r="2584" spans="23:23">
      <c r="W2584" s="503"/>
    </row>
    <row r="2585" spans="23:23">
      <c r="W2585" s="503"/>
    </row>
    <row r="2586" spans="23:23">
      <c r="W2586" s="503"/>
    </row>
    <row r="2587" spans="23:23">
      <c r="W2587" s="503"/>
    </row>
    <row r="2588" spans="23:23">
      <c r="W2588" s="503"/>
    </row>
    <row r="2589" spans="23:23">
      <c r="W2589" s="503"/>
    </row>
    <row r="2590" spans="23:23">
      <c r="W2590" s="503"/>
    </row>
    <row r="2591" spans="23:23">
      <c r="W2591" s="503"/>
    </row>
    <row r="2592" spans="23:23">
      <c r="W2592" s="503"/>
    </row>
    <row r="2593" spans="23:23">
      <c r="W2593" s="503"/>
    </row>
    <row r="2594" spans="23:23">
      <c r="W2594" s="503"/>
    </row>
    <row r="2595" spans="23:23">
      <c r="W2595" s="503"/>
    </row>
    <row r="2596" spans="23:23">
      <c r="W2596" s="503"/>
    </row>
    <row r="2597" spans="23:23">
      <c r="W2597" s="503"/>
    </row>
    <row r="2598" spans="23:23">
      <c r="W2598" s="503"/>
    </row>
    <row r="2599" spans="23:23">
      <c r="W2599" s="503"/>
    </row>
    <row r="2600" spans="23:23">
      <c r="W2600" s="503"/>
    </row>
    <row r="2601" spans="23:23">
      <c r="W2601" s="503"/>
    </row>
    <row r="2602" spans="23:23">
      <c r="W2602" s="503"/>
    </row>
    <row r="2603" spans="23:23">
      <c r="W2603" s="503"/>
    </row>
    <row r="2604" spans="23:23">
      <c r="W2604" s="503"/>
    </row>
    <row r="2605" spans="23:23">
      <c r="W2605" s="503"/>
    </row>
    <row r="2606" spans="23:23">
      <c r="W2606" s="503"/>
    </row>
    <row r="2607" spans="23:23">
      <c r="W2607" s="503"/>
    </row>
    <row r="2608" spans="23:23">
      <c r="W2608" s="503"/>
    </row>
    <row r="2609" spans="23:23">
      <c r="W2609" s="503"/>
    </row>
    <row r="2610" spans="23:23">
      <c r="W2610" s="503"/>
    </row>
    <row r="2611" spans="23:23">
      <c r="W2611" s="503"/>
    </row>
    <row r="2612" spans="23:23">
      <c r="W2612" s="503"/>
    </row>
    <row r="2613" spans="23:23">
      <c r="W2613" s="503"/>
    </row>
    <row r="2614" spans="23:23">
      <c r="W2614" s="503"/>
    </row>
    <row r="2615" spans="23:23">
      <c r="W2615" s="503"/>
    </row>
    <row r="2616" spans="23:23">
      <c r="W2616" s="503"/>
    </row>
    <row r="2617" spans="23:23">
      <c r="W2617" s="503"/>
    </row>
    <row r="2618" spans="23:23">
      <c r="W2618" s="503"/>
    </row>
    <row r="2619" spans="23:23">
      <c r="W2619" s="503"/>
    </row>
    <row r="2620" spans="23:23">
      <c r="W2620" s="503"/>
    </row>
    <row r="2621" spans="23:23">
      <c r="W2621" s="503"/>
    </row>
    <row r="2622" spans="23:23">
      <c r="W2622" s="503"/>
    </row>
    <row r="2623" spans="23:23">
      <c r="W2623" s="503"/>
    </row>
    <row r="2624" spans="23:23">
      <c r="W2624" s="503"/>
    </row>
    <row r="2625" spans="23:23">
      <c r="W2625" s="503"/>
    </row>
    <row r="2626" spans="23:23">
      <c r="W2626" s="503"/>
    </row>
    <row r="2627" spans="23:23">
      <c r="W2627" s="503"/>
    </row>
    <row r="2628" spans="23:23">
      <c r="W2628" s="503"/>
    </row>
    <row r="2629" spans="23:23">
      <c r="W2629" s="503"/>
    </row>
    <row r="2630" spans="23:23">
      <c r="W2630" s="503"/>
    </row>
    <row r="2631" spans="23:23">
      <c r="W2631" s="503"/>
    </row>
    <row r="2632" spans="23:23">
      <c r="W2632" s="503"/>
    </row>
    <row r="2633" spans="23:23">
      <c r="W2633" s="503"/>
    </row>
    <row r="2634" spans="23:23">
      <c r="W2634" s="503"/>
    </row>
    <row r="2635" spans="23:23">
      <c r="W2635" s="503"/>
    </row>
    <row r="2636" spans="23:23">
      <c r="W2636" s="503"/>
    </row>
    <row r="2637" spans="23:23">
      <c r="W2637" s="503"/>
    </row>
    <row r="2638" spans="23:23">
      <c r="W2638" s="503"/>
    </row>
    <row r="2639" spans="23:23">
      <c r="W2639" s="503"/>
    </row>
    <row r="2640" spans="23:23">
      <c r="W2640" s="503"/>
    </row>
    <row r="2641" spans="23:23">
      <c r="W2641" s="503"/>
    </row>
    <row r="2642" spans="23:23">
      <c r="W2642" s="503"/>
    </row>
    <row r="2643" spans="23:23">
      <c r="W2643" s="503"/>
    </row>
    <row r="2644" spans="23:23">
      <c r="W2644" s="503"/>
    </row>
    <row r="2645" spans="23:23">
      <c r="W2645" s="503"/>
    </row>
    <row r="2646" spans="23:23">
      <c r="W2646" s="503"/>
    </row>
    <row r="2647" spans="23:23">
      <c r="W2647" s="503"/>
    </row>
    <row r="2648" spans="23:23">
      <c r="W2648" s="503"/>
    </row>
    <row r="2649" spans="23:23">
      <c r="W2649" s="503"/>
    </row>
    <row r="2650" spans="23:23">
      <c r="W2650" s="503"/>
    </row>
    <row r="2651" spans="23:23">
      <c r="W2651" s="503"/>
    </row>
    <row r="2652" spans="23:23">
      <c r="W2652" s="503"/>
    </row>
    <row r="2653" spans="23:23">
      <c r="W2653" s="503"/>
    </row>
    <row r="2654" spans="23:23">
      <c r="W2654" s="503"/>
    </row>
    <row r="2655" spans="23:23">
      <c r="W2655" s="503"/>
    </row>
    <row r="2656" spans="23:23">
      <c r="W2656" s="503"/>
    </row>
    <row r="2657" spans="23:23">
      <c r="W2657" s="503"/>
    </row>
    <row r="2658" spans="23:23">
      <c r="W2658" s="503"/>
    </row>
    <row r="2659" spans="23:23">
      <c r="W2659" s="503"/>
    </row>
    <row r="2660" spans="23:23">
      <c r="W2660" s="503"/>
    </row>
    <row r="2661" spans="23:23">
      <c r="W2661" s="503"/>
    </row>
    <row r="2662" spans="23:23">
      <c r="W2662" s="503"/>
    </row>
    <row r="2663" spans="23:23">
      <c r="W2663" s="503"/>
    </row>
    <row r="2664" spans="23:23">
      <c r="W2664" s="503"/>
    </row>
    <row r="2665" spans="23:23">
      <c r="W2665" s="503"/>
    </row>
    <row r="2666" spans="23:23">
      <c r="W2666" s="503"/>
    </row>
    <row r="2667" spans="23:23">
      <c r="W2667" s="503"/>
    </row>
    <row r="2668" spans="23:23">
      <c r="W2668" s="503"/>
    </row>
    <row r="2669" spans="23:23">
      <c r="W2669" s="503"/>
    </row>
    <row r="2670" spans="23:23">
      <c r="W2670" s="503"/>
    </row>
    <row r="2671" spans="23:23">
      <c r="W2671" s="503"/>
    </row>
    <row r="2672" spans="23:23">
      <c r="W2672" s="503"/>
    </row>
    <row r="2673" spans="23:23">
      <c r="W2673" s="503"/>
    </row>
    <row r="2674" spans="23:23">
      <c r="W2674" s="503"/>
    </row>
    <row r="2675" spans="23:23">
      <c r="W2675" s="503"/>
    </row>
    <row r="2676" spans="23:23">
      <c r="W2676" s="503"/>
    </row>
    <row r="2677" spans="23:23">
      <c r="W2677" s="503"/>
    </row>
    <row r="2678" spans="23:23">
      <c r="W2678" s="503"/>
    </row>
    <row r="2679" spans="23:23">
      <c r="W2679" s="503"/>
    </row>
    <row r="2680" spans="23:23">
      <c r="W2680" s="503"/>
    </row>
    <row r="2681" spans="23:23">
      <c r="W2681" s="503"/>
    </row>
    <row r="2682" spans="23:23">
      <c r="W2682" s="503"/>
    </row>
    <row r="2683" spans="23:23">
      <c r="W2683" s="503"/>
    </row>
    <row r="2684" spans="23:23">
      <c r="W2684" s="503"/>
    </row>
    <row r="2685" spans="23:23">
      <c r="W2685" s="503"/>
    </row>
    <row r="2686" spans="23:23">
      <c r="W2686" s="503"/>
    </row>
    <row r="2687" spans="23:23">
      <c r="W2687" s="503"/>
    </row>
    <row r="2688" spans="23:23">
      <c r="W2688" s="503"/>
    </row>
    <row r="2689" spans="23:23">
      <c r="W2689" s="503"/>
    </row>
    <row r="2690" spans="23:23">
      <c r="W2690" s="503"/>
    </row>
    <row r="2691" spans="23:23">
      <c r="W2691" s="503"/>
    </row>
    <row r="2692" spans="23:23">
      <c r="W2692" s="503"/>
    </row>
    <row r="2693" spans="23:23">
      <c r="W2693" s="503"/>
    </row>
    <row r="2694" spans="23:23">
      <c r="W2694" s="503"/>
    </row>
    <row r="2695" spans="23:23">
      <c r="W2695" s="503"/>
    </row>
    <row r="2696" spans="23:23">
      <c r="W2696" s="503"/>
    </row>
    <row r="2697" spans="23:23">
      <c r="W2697" s="503"/>
    </row>
    <row r="2698" spans="23:23">
      <c r="W2698" s="503"/>
    </row>
    <row r="2699" spans="23:23">
      <c r="W2699" s="503"/>
    </row>
    <row r="2700" spans="23:23">
      <c r="W2700" s="503"/>
    </row>
    <row r="2701" spans="23:23">
      <c r="W2701" s="503"/>
    </row>
    <row r="2702" spans="23:23">
      <c r="W2702" s="503"/>
    </row>
    <row r="2703" spans="23:23">
      <c r="W2703" s="503"/>
    </row>
    <row r="2704" spans="23:23">
      <c r="W2704" s="503"/>
    </row>
    <row r="2705" spans="23:23">
      <c r="W2705" s="503"/>
    </row>
    <row r="2706" spans="23:23">
      <c r="W2706" s="503"/>
    </row>
    <row r="2707" spans="23:23">
      <c r="W2707" s="503"/>
    </row>
    <row r="2708" spans="23:23">
      <c r="W2708" s="503"/>
    </row>
    <row r="2709" spans="23:23">
      <c r="W2709" s="503"/>
    </row>
    <row r="2710" spans="23:23">
      <c r="W2710" s="503"/>
    </row>
    <row r="2711" spans="23:23">
      <c r="W2711" s="503"/>
    </row>
    <row r="2712" spans="23:23">
      <c r="W2712" s="503"/>
    </row>
    <row r="2713" spans="23:23">
      <c r="W2713" s="503"/>
    </row>
    <row r="2714" spans="23:23">
      <c r="W2714" s="503"/>
    </row>
    <row r="2715" spans="23:23">
      <c r="W2715" s="503"/>
    </row>
    <row r="2716" spans="23:23">
      <c r="W2716" s="503"/>
    </row>
    <row r="2717" spans="23:23">
      <c r="W2717" s="503"/>
    </row>
    <row r="2718" spans="23:23">
      <c r="W2718" s="503"/>
    </row>
    <row r="2719" spans="23:23">
      <c r="W2719" s="503"/>
    </row>
    <row r="2720" spans="23:23">
      <c r="W2720" s="503"/>
    </row>
    <row r="2721" spans="23:23">
      <c r="W2721" s="503"/>
    </row>
    <row r="2722" spans="23:23">
      <c r="W2722" s="503"/>
    </row>
    <row r="2723" spans="23:23">
      <c r="W2723" s="503"/>
    </row>
    <row r="2724" spans="23:23">
      <c r="W2724" s="503"/>
    </row>
    <row r="2725" spans="23:23">
      <c r="W2725" s="503"/>
    </row>
    <row r="2726" spans="23:23">
      <c r="W2726" s="503"/>
    </row>
    <row r="2727" spans="23:23">
      <c r="W2727" s="503"/>
    </row>
    <row r="2728" spans="23:23">
      <c r="W2728" s="503"/>
    </row>
    <row r="2729" spans="23:23">
      <c r="W2729" s="503"/>
    </row>
    <row r="2730" spans="23:23">
      <c r="W2730" s="503"/>
    </row>
    <row r="2731" spans="23:23">
      <c r="W2731" s="503"/>
    </row>
    <row r="2732" spans="23:23">
      <c r="W2732" s="503"/>
    </row>
    <row r="2733" spans="23:23">
      <c r="W2733" s="503"/>
    </row>
    <row r="2734" spans="23:23">
      <c r="W2734" s="503"/>
    </row>
    <row r="2735" spans="23:23">
      <c r="W2735" s="503"/>
    </row>
    <row r="2736" spans="23:23">
      <c r="W2736" s="503"/>
    </row>
    <row r="2737" spans="23:23">
      <c r="W2737" s="503"/>
    </row>
    <row r="2738" spans="23:23">
      <c r="W2738" s="503"/>
    </row>
    <row r="2739" spans="23:23">
      <c r="W2739" s="503"/>
    </row>
    <row r="2740" spans="23:23">
      <c r="W2740" s="503"/>
    </row>
    <row r="2741" spans="23:23">
      <c r="W2741" s="503"/>
    </row>
    <row r="2742" spans="23:23">
      <c r="W2742" s="503"/>
    </row>
    <row r="2743" spans="23:23">
      <c r="W2743" s="503"/>
    </row>
    <row r="2744" spans="23:23">
      <c r="W2744" s="503"/>
    </row>
    <row r="2745" spans="23:23">
      <c r="W2745" s="503"/>
    </row>
    <row r="2746" spans="23:23">
      <c r="W2746" s="503"/>
    </row>
    <row r="2747" spans="23:23">
      <c r="W2747" s="503"/>
    </row>
    <row r="2748" spans="23:23">
      <c r="W2748" s="503"/>
    </row>
    <row r="2749" spans="23:23">
      <c r="W2749" s="503"/>
    </row>
    <row r="2750" spans="23:23">
      <c r="W2750" s="503"/>
    </row>
    <row r="2751" spans="23:23">
      <c r="W2751" s="503"/>
    </row>
    <row r="2752" spans="23:23">
      <c r="W2752" s="503"/>
    </row>
    <row r="2753" spans="23:23">
      <c r="W2753" s="503"/>
    </row>
    <row r="2754" spans="23:23">
      <c r="W2754" s="503"/>
    </row>
    <row r="2755" spans="23:23">
      <c r="W2755" s="503"/>
    </row>
    <row r="2756" spans="23:23">
      <c r="W2756" s="503"/>
    </row>
    <row r="2757" spans="23:23">
      <c r="W2757" s="503"/>
    </row>
    <row r="2758" spans="23:23">
      <c r="W2758" s="503"/>
    </row>
    <row r="2759" spans="23:23">
      <c r="W2759" s="503"/>
    </row>
    <row r="2760" spans="23:23">
      <c r="W2760" s="503"/>
    </row>
    <row r="2761" spans="23:23">
      <c r="W2761" s="503"/>
    </row>
    <row r="2762" spans="23:23">
      <c r="W2762" s="503"/>
    </row>
    <row r="2763" spans="23:23">
      <c r="W2763" s="503"/>
    </row>
    <row r="2764" spans="23:23">
      <c r="W2764" s="503"/>
    </row>
    <row r="2765" spans="23:23">
      <c r="W2765" s="503"/>
    </row>
    <row r="2766" spans="23:23">
      <c r="W2766" s="503"/>
    </row>
    <row r="2767" spans="23:23">
      <c r="W2767" s="503"/>
    </row>
    <row r="2768" spans="23:23">
      <c r="W2768" s="503"/>
    </row>
    <row r="2769" spans="23:23">
      <c r="W2769" s="503"/>
    </row>
    <row r="2770" spans="23:23">
      <c r="W2770" s="503"/>
    </row>
    <row r="2771" spans="23:23">
      <c r="W2771" s="503"/>
    </row>
    <row r="2772" spans="23:23">
      <c r="W2772" s="503"/>
    </row>
    <row r="2773" spans="23:23">
      <c r="W2773" s="503"/>
    </row>
    <row r="2774" spans="23:23">
      <c r="W2774" s="503"/>
    </row>
    <row r="2775" spans="23:23">
      <c r="W2775" s="503"/>
    </row>
    <row r="2776" spans="23:23">
      <c r="W2776" s="503"/>
    </row>
    <row r="2777" spans="23:23">
      <c r="W2777" s="503"/>
    </row>
    <row r="2778" spans="23:23">
      <c r="W2778" s="503"/>
    </row>
    <row r="2779" spans="23:23">
      <c r="W2779" s="503"/>
    </row>
    <row r="2780" spans="23:23">
      <c r="W2780" s="503"/>
    </row>
    <row r="2781" spans="23:23">
      <c r="W2781" s="503"/>
    </row>
    <row r="2782" spans="23:23">
      <c r="W2782" s="503"/>
    </row>
    <row r="2783" spans="23:23">
      <c r="W2783" s="503"/>
    </row>
    <row r="2784" spans="23:23">
      <c r="W2784" s="503"/>
    </row>
    <row r="2785" spans="23:23">
      <c r="W2785" s="503"/>
    </row>
    <row r="2786" spans="23:23">
      <c r="W2786" s="503"/>
    </row>
    <row r="2787" spans="23:23">
      <c r="W2787" s="503"/>
    </row>
    <row r="2788" spans="23:23">
      <c r="W2788" s="503"/>
    </row>
    <row r="2789" spans="23:23">
      <c r="W2789" s="503"/>
    </row>
    <row r="2790" spans="23:23">
      <c r="W2790" s="503"/>
    </row>
    <row r="2791" spans="23:23">
      <c r="W2791" s="503"/>
    </row>
    <row r="2792" spans="23:23">
      <c r="W2792" s="503"/>
    </row>
    <row r="2793" spans="23:23">
      <c r="W2793" s="503"/>
    </row>
    <row r="2794" spans="23:23">
      <c r="W2794" s="503"/>
    </row>
    <row r="2795" spans="23:23">
      <c r="W2795" s="503"/>
    </row>
    <row r="2796" spans="23:23">
      <c r="W2796" s="503"/>
    </row>
    <row r="2797" spans="23:23">
      <c r="W2797" s="503"/>
    </row>
    <row r="2798" spans="23:23">
      <c r="W2798" s="503"/>
    </row>
    <row r="2799" spans="23:23">
      <c r="W2799" s="503"/>
    </row>
    <row r="2800" spans="23:23">
      <c r="W2800" s="503"/>
    </row>
    <row r="2801" spans="23:23">
      <c r="W2801" s="503"/>
    </row>
    <row r="2802" spans="23:23">
      <c r="W2802" s="503"/>
    </row>
    <row r="2803" spans="23:23">
      <c r="W2803" s="503"/>
    </row>
    <row r="2804" spans="23:23">
      <c r="W2804" s="503"/>
    </row>
    <row r="2805" spans="23:23">
      <c r="W2805" s="503"/>
    </row>
    <row r="2806" spans="23:23">
      <c r="W2806" s="503"/>
    </row>
    <row r="2807" spans="23:23">
      <c r="W2807" s="503"/>
    </row>
    <row r="2808" spans="23:23">
      <c r="W2808" s="503"/>
    </row>
    <row r="2809" spans="23:23">
      <c r="W2809" s="503"/>
    </row>
    <row r="2810" spans="23:23">
      <c r="W2810" s="503"/>
    </row>
    <row r="2811" spans="23:23">
      <c r="W2811" s="503"/>
    </row>
    <row r="2812" spans="23:23">
      <c r="W2812" s="503"/>
    </row>
    <row r="2813" spans="23:23">
      <c r="W2813" s="503"/>
    </row>
    <row r="2814" spans="23:23">
      <c r="W2814" s="503"/>
    </row>
    <row r="2815" spans="23:23">
      <c r="W2815" s="503"/>
    </row>
    <row r="2816" spans="23:23">
      <c r="W2816" s="503"/>
    </row>
    <row r="2817" spans="23:23">
      <c r="W2817" s="503"/>
    </row>
    <row r="2818" spans="23:23">
      <c r="W2818" s="503"/>
    </row>
    <row r="2819" spans="23:23">
      <c r="W2819" s="503"/>
    </row>
    <row r="2820" spans="23:23">
      <c r="W2820" s="503"/>
    </row>
    <row r="2821" spans="23:23">
      <c r="W2821" s="503"/>
    </row>
    <row r="2822" spans="23:23">
      <c r="W2822" s="503"/>
    </row>
    <row r="2823" spans="23:23">
      <c r="W2823" s="503"/>
    </row>
    <row r="2824" spans="23:23">
      <c r="W2824" s="503"/>
    </row>
    <row r="2825" spans="23:23">
      <c r="W2825" s="503"/>
    </row>
    <row r="2826" spans="23:23">
      <c r="W2826" s="503"/>
    </row>
    <row r="2827" spans="23:23">
      <c r="W2827" s="503"/>
    </row>
    <row r="2828" spans="23:23">
      <c r="W2828" s="503"/>
    </row>
    <row r="2829" spans="23:23">
      <c r="W2829" s="503"/>
    </row>
    <row r="2830" spans="23:23">
      <c r="W2830" s="503"/>
    </row>
    <row r="2831" spans="23:23">
      <c r="W2831" s="503"/>
    </row>
    <row r="2832" spans="23:23">
      <c r="W2832" s="503"/>
    </row>
    <row r="2833" spans="23:23">
      <c r="W2833" s="503"/>
    </row>
    <row r="2834" spans="23:23">
      <c r="W2834" s="503"/>
    </row>
    <row r="2835" spans="23:23">
      <c r="W2835" s="503"/>
    </row>
    <row r="2836" spans="23:23">
      <c r="W2836" s="503"/>
    </row>
    <row r="2837" spans="23:23">
      <c r="W2837" s="503"/>
    </row>
    <row r="2838" spans="23:23">
      <c r="W2838" s="503"/>
    </row>
    <row r="2839" spans="23:23">
      <c r="W2839" s="503"/>
    </row>
    <row r="2840" spans="23:23">
      <c r="W2840" s="503"/>
    </row>
    <row r="2841" spans="23:23">
      <c r="W2841" s="503"/>
    </row>
    <row r="2842" spans="23:23">
      <c r="W2842" s="503"/>
    </row>
    <row r="2843" spans="23:23">
      <c r="W2843" s="503"/>
    </row>
    <row r="2844" spans="23:23">
      <c r="W2844" s="503"/>
    </row>
    <row r="2845" spans="23:23">
      <c r="W2845" s="503"/>
    </row>
    <row r="2846" spans="23:23">
      <c r="W2846" s="503"/>
    </row>
    <row r="2847" spans="23:23">
      <c r="W2847" s="503"/>
    </row>
    <row r="2848" spans="23:23">
      <c r="W2848" s="503"/>
    </row>
    <row r="2849" spans="23:23">
      <c r="W2849" s="503"/>
    </row>
    <row r="2850" spans="23:23">
      <c r="W2850" s="503"/>
    </row>
    <row r="2851" spans="23:23">
      <c r="W2851" s="503"/>
    </row>
    <row r="2852" spans="23:23">
      <c r="W2852" s="503"/>
    </row>
    <row r="2853" spans="23:23">
      <c r="W2853" s="503"/>
    </row>
    <row r="2854" spans="23:23">
      <c r="W2854" s="503"/>
    </row>
    <row r="2855" spans="23:23">
      <c r="W2855" s="503"/>
    </row>
    <row r="2856" spans="23:23">
      <c r="W2856" s="503"/>
    </row>
    <row r="2857" spans="23:23">
      <c r="W2857" s="503"/>
    </row>
    <row r="2858" spans="23:23">
      <c r="W2858" s="503"/>
    </row>
    <row r="2859" spans="23:23">
      <c r="W2859" s="503"/>
    </row>
    <row r="2860" spans="23:23">
      <c r="W2860" s="503"/>
    </row>
    <row r="2861" spans="23:23">
      <c r="W2861" s="503"/>
    </row>
    <row r="2862" spans="23:23">
      <c r="W2862" s="503"/>
    </row>
    <row r="2863" spans="23:23">
      <c r="W2863" s="503"/>
    </row>
    <row r="2864" spans="23:23">
      <c r="W2864" s="503"/>
    </row>
    <row r="2865" spans="23:23">
      <c r="W2865" s="503"/>
    </row>
    <row r="2866" spans="23:23">
      <c r="W2866" s="503"/>
    </row>
    <row r="2867" spans="23:23">
      <c r="W2867" s="503"/>
    </row>
    <row r="2868" spans="23:23">
      <c r="W2868" s="503"/>
    </row>
    <row r="2869" spans="23:23">
      <c r="W2869" s="503"/>
    </row>
    <row r="2870" spans="23:23">
      <c r="W2870" s="503"/>
    </row>
    <row r="2871" spans="23:23">
      <c r="W2871" s="503"/>
    </row>
    <row r="2872" spans="23:23">
      <c r="W2872" s="503"/>
    </row>
    <row r="2873" spans="23:23">
      <c r="W2873" s="503"/>
    </row>
    <row r="2874" spans="23:23">
      <c r="W2874" s="503"/>
    </row>
    <row r="2875" spans="23:23">
      <c r="W2875" s="503"/>
    </row>
    <row r="2876" spans="23:23">
      <c r="W2876" s="503"/>
    </row>
    <row r="2877" spans="23:23">
      <c r="W2877" s="503"/>
    </row>
    <row r="2878" spans="23:23">
      <c r="W2878" s="503"/>
    </row>
    <row r="2879" spans="23:23">
      <c r="W2879" s="503"/>
    </row>
    <row r="2880" spans="23:23">
      <c r="W2880" s="503"/>
    </row>
    <row r="2881" spans="23:23">
      <c r="W2881" s="503"/>
    </row>
    <row r="2882" spans="23:23">
      <c r="W2882" s="503"/>
    </row>
    <row r="2883" spans="23:23">
      <c r="W2883" s="503"/>
    </row>
    <row r="2884" spans="23:23">
      <c r="W2884" s="503"/>
    </row>
    <row r="2885" spans="23:23">
      <c r="W2885" s="503"/>
    </row>
    <row r="2886" spans="23:23">
      <c r="W2886" s="503"/>
    </row>
    <row r="2887" spans="23:23">
      <c r="W2887" s="503"/>
    </row>
    <row r="2888" spans="23:23">
      <c r="W2888" s="503"/>
    </row>
    <row r="2889" spans="23:23">
      <c r="W2889" s="503"/>
    </row>
    <row r="2890" spans="23:23">
      <c r="W2890" s="503"/>
    </row>
    <row r="2891" spans="23:23">
      <c r="W2891" s="503"/>
    </row>
    <row r="2892" spans="23:23">
      <c r="W2892" s="503"/>
    </row>
    <row r="2893" spans="23:23">
      <c r="W2893" s="503"/>
    </row>
    <row r="2894" spans="23:23">
      <c r="W2894" s="503"/>
    </row>
    <row r="2895" spans="23:23">
      <c r="W2895" s="503"/>
    </row>
    <row r="2896" spans="23:23">
      <c r="W2896" s="503"/>
    </row>
    <row r="2897" spans="23:23">
      <c r="W2897" s="503"/>
    </row>
    <row r="2898" spans="23:23">
      <c r="W2898" s="503"/>
    </row>
    <row r="2899" spans="23:23">
      <c r="W2899" s="503"/>
    </row>
    <row r="2900" spans="23:23">
      <c r="W2900" s="503"/>
    </row>
    <row r="2901" spans="23:23">
      <c r="W2901" s="503"/>
    </row>
    <row r="2902" spans="23:23">
      <c r="W2902" s="503"/>
    </row>
    <row r="2903" spans="23:23">
      <c r="W2903" s="503"/>
    </row>
    <row r="2904" spans="23:23">
      <c r="W2904" s="503"/>
    </row>
    <row r="2905" spans="23:23">
      <c r="W2905" s="503"/>
    </row>
    <row r="2906" spans="23:23">
      <c r="W2906" s="503"/>
    </row>
    <row r="2907" spans="23:23">
      <c r="W2907" s="503"/>
    </row>
    <row r="2908" spans="23:23">
      <c r="W2908" s="503"/>
    </row>
    <row r="2909" spans="23:23">
      <c r="W2909" s="503"/>
    </row>
    <row r="2910" spans="23:23">
      <c r="W2910" s="503"/>
    </row>
    <row r="2911" spans="23:23">
      <c r="W2911" s="503"/>
    </row>
    <row r="2912" spans="23:23">
      <c r="W2912" s="503"/>
    </row>
    <row r="2913" spans="23:23">
      <c r="W2913" s="503"/>
    </row>
    <row r="2914" spans="23:23">
      <c r="W2914" s="503"/>
    </row>
    <row r="2915" spans="23:23">
      <c r="W2915" s="503"/>
    </row>
    <row r="2916" spans="23:23">
      <c r="W2916" s="503"/>
    </row>
    <row r="2917" spans="23:23">
      <c r="W2917" s="503"/>
    </row>
    <row r="2918" spans="23:23">
      <c r="W2918" s="503"/>
    </row>
    <row r="2919" spans="23:23">
      <c r="W2919" s="503"/>
    </row>
    <row r="2920" spans="23:23">
      <c r="W2920" s="503"/>
    </row>
    <row r="2921" spans="23:23">
      <c r="W2921" s="503"/>
    </row>
    <row r="2922" spans="23:23">
      <c r="W2922" s="503"/>
    </row>
    <row r="2923" spans="23:23">
      <c r="W2923" s="503"/>
    </row>
    <row r="2924" spans="23:23">
      <c r="W2924" s="503"/>
    </row>
    <row r="2925" spans="23:23">
      <c r="W2925" s="503"/>
    </row>
    <row r="2926" spans="23:23">
      <c r="W2926" s="503"/>
    </row>
    <row r="2927" spans="23:23">
      <c r="W2927" s="503"/>
    </row>
    <row r="2928" spans="23:23">
      <c r="W2928" s="503"/>
    </row>
    <row r="2929" spans="23:23">
      <c r="W2929" s="503"/>
    </row>
    <row r="2930" spans="23:23">
      <c r="W2930" s="503"/>
    </row>
    <row r="2931" spans="23:23">
      <c r="W2931" s="503"/>
    </row>
    <row r="2932" spans="23:23">
      <c r="W2932" s="503"/>
    </row>
    <row r="2933" spans="23:23">
      <c r="W2933" s="503"/>
    </row>
    <row r="2934" spans="23:23">
      <c r="W2934" s="503"/>
    </row>
    <row r="2935" spans="23:23">
      <c r="W2935" s="503"/>
    </row>
    <row r="2936" spans="23:23">
      <c r="W2936" s="503"/>
    </row>
    <row r="2937" spans="23:23">
      <c r="W2937" s="503"/>
    </row>
    <row r="2938" spans="23:23">
      <c r="W2938" s="503"/>
    </row>
    <row r="2939" spans="23:23">
      <c r="W2939" s="503"/>
    </row>
    <row r="2940" spans="23:23">
      <c r="W2940" s="503"/>
    </row>
    <row r="2941" spans="23:23">
      <c r="W2941" s="503"/>
    </row>
    <row r="2942" spans="23:23">
      <c r="W2942" s="503"/>
    </row>
    <row r="2943" spans="23:23">
      <c r="W2943" s="503"/>
    </row>
    <row r="2944" spans="23:23">
      <c r="W2944" s="503"/>
    </row>
    <row r="2945" spans="23:23">
      <c r="W2945" s="503"/>
    </row>
    <row r="2946" spans="23:23">
      <c r="W2946" s="503"/>
    </row>
    <row r="2947" spans="23:23">
      <c r="W2947" s="503"/>
    </row>
    <row r="2948" spans="23:23">
      <c r="W2948" s="503"/>
    </row>
    <row r="2949" spans="23:23">
      <c r="W2949" s="503"/>
    </row>
    <row r="2950" spans="23:23">
      <c r="W2950" s="503"/>
    </row>
    <row r="2951" spans="23:23">
      <c r="W2951" s="503"/>
    </row>
    <row r="2952" spans="23:23">
      <c r="W2952" s="503"/>
    </row>
    <row r="2953" spans="23:23">
      <c r="W2953" s="503"/>
    </row>
    <row r="2954" spans="23:23">
      <c r="W2954" s="503"/>
    </row>
    <row r="2955" spans="23:23">
      <c r="W2955" s="503"/>
    </row>
    <row r="2956" spans="23:23">
      <c r="W2956" s="503"/>
    </row>
    <row r="2957" spans="23:23">
      <c r="W2957" s="503"/>
    </row>
    <row r="2958" spans="23:23">
      <c r="W2958" s="503"/>
    </row>
    <row r="2959" spans="23:23">
      <c r="W2959" s="503"/>
    </row>
    <row r="2960" spans="23:23">
      <c r="W2960" s="503"/>
    </row>
    <row r="2961" spans="23:23">
      <c r="W2961" s="503"/>
    </row>
    <row r="2962" spans="23:23">
      <c r="W2962" s="503"/>
    </row>
    <row r="2963" spans="23:23">
      <c r="W2963" s="503"/>
    </row>
    <row r="2964" spans="23:23">
      <c r="W2964" s="503"/>
    </row>
    <row r="2965" spans="23:23">
      <c r="W2965" s="503"/>
    </row>
    <row r="2966" spans="23:23">
      <c r="W2966" s="503"/>
    </row>
    <row r="2967" spans="23:23">
      <c r="W2967" s="503"/>
    </row>
    <row r="2968" spans="23:23">
      <c r="W2968" s="503"/>
    </row>
    <row r="2969" spans="23:23">
      <c r="W2969" s="503"/>
    </row>
    <row r="2970" spans="23:23">
      <c r="W2970" s="503"/>
    </row>
    <row r="2971" spans="23:23">
      <c r="W2971" s="503"/>
    </row>
    <row r="2972" spans="23:23">
      <c r="W2972" s="503"/>
    </row>
    <row r="2973" spans="23:23">
      <c r="W2973" s="503"/>
    </row>
    <row r="2974" spans="23:23">
      <c r="W2974" s="503"/>
    </row>
    <row r="2975" spans="23:23">
      <c r="W2975" s="503"/>
    </row>
    <row r="2976" spans="23:23">
      <c r="W2976" s="503"/>
    </row>
    <row r="2977" spans="23:23">
      <c r="W2977" s="503"/>
    </row>
    <row r="2978" spans="23:23">
      <c r="W2978" s="503"/>
    </row>
    <row r="2979" spans="23:23">
      <c r="W2979" s="503"/>
    </row>
    <row r="2980" spans="23:23">
      <c r="W2980" s="503"/>
    </row>
    <row r="2981" spans="23:23">
      <c r="W2981" s="503"/>
    </row>
    <row r="2982" spans="23:23">
      <c r="W2982" s="503"/>
    </row>
    <row r="2983" spans="23:23">
      <c r="W2983" s="503"/>
    </row>
    <row r="2984" spans="23:23">
      <c r="W2984" s="503"/>
    </row>
    <row r="2985" spans="23:23">
      <c r="W2985" s="503"/>
    </row>
    <row r="2986" spans="23:23">
      <c r="W2986" s="503"/>
    </row>
    <row r="2987" spans="23:23">
      <c r="W2987" s="503"/>
    </row>
    <row r="2988" spans="23:23">
      <c r="W2988" s="503"/>
    </row>
    <row r="2989" spans="23:23">
      <c r="W2989" s="503"/>
    </row>
    <row r="2990" spans="23:23">
      <c r="W2990" s="503"/>
    </row>
    <row r="2991" spans="23:23">
      <c r="W2991" s="503"/>
    </row>
    <row r="2992" spans="23:23">
      <c r="W2992" s="503"/>
    </row>
    <row r="2993" spans="23:23">
      <c r="W2993" s="503"/>
    </row>
    <row r="2994" spans="23:23">
      <c r="W2994" s="503"/>
    </row>
    <row r="2995" spans="23:23">
      <c r="W2995" s="503"/>
    </row>
    <row r="2996" spans="23:23">
      <c r="W2996" s="503"/>
    </row>
    <row r="2997" spans="23:23">
      <c r="W2997" s="503"/>
    </row>
    <row r="2998" spans="23:23">
      <c r="W2998" s="503"/>
    </row>
    <row r="2999" spans="23:23">
      <c r="W2999" s="503"/>
    </row>
    <row r="3000" spans="23:23">
      <c r="W3000" s="503"/>
    </row>
    <row r="3001" spans="23:23">
      <c r="W3001" s="503"/>
    </row>
    <row r="3002" spans="23:23">
      <c r="W3002" s="503"/>
    </row>
    <row r="3003" spans="23:23">
      <c r="W3003" s="503"/>
    </row>
    <row r="3004" spans="23:23">
      <c r="W3004" s="503"/>
    </row>
    <row r="3005" spans="23:23">
      <c r="W3005" s="503"/>
    </row>
    <row r="3006" spans="23:23">
      <c r="W3006" s="503"/>
    </row>
    <row r="3007" spans="23:23">
      <c r="W3007" s="503"/>
    </row>
    <row r="3008" spans="23:23">
      <c r="W3008" s="503"/>
    </row>
    <row r="3009" spans="23:23">
      <c r="W3009" s="503"/>
    </row>
    <row r="3010" spans="23:23">
      <c r="W3010" s="503"/>
    </row>
    <row r="3011" spans="23:23">
      <c r="W3011" s="503"/>
    </row>
    <row r="3012" spans="23:23">
      <c r="W3012" s="503"/>
    </row>
    <row r="3013" spans="23:23">
      <c r="W3013" s="503"/>
    </row>
    <row r="3014" spans="23:23">
      <c r="W3014" s="503"/>
    </row>
    <row r="3015" spans="23:23">
      <c r="W3015" s="503"/>
    </row>
    <row r="3016" spans="23:23">
      <c r="W3016" s="503"/>
    </row>
    <row r="3017" spans="23:23">
      <c r="W3017" s="503"/>
    </row>
    <row r="3018" spans="23:23">
      <c r="W3018" s="503"/>
    </row>
    <row r="3019" spans="23:23">
      <c r="W3019" s="503"/>
    </row>
    <row r="3020" spans="23:23">
      <c r="W3020" s="503"/>
    </row>
    <row r="3021" spans="23:23">
      <c r="W3021" s="503"/>
    </row>
    <row r="3022" spans="23:23">
      <c r="W3022" s="503"/>
    </row>
    <row r="3023" spans="23:23">
      <c r="W3023" s="503"/>
    </row>
    <row r="3024" spans="23:23">
      <c r="W3024" s="503"/>
    </row>
    <row r="3025" spans="23:23">
      <c r="W3025" s="503"/>
    </row>
    <row r="3026" spans="23:23">
      <c r="W3026" s="503"/>
    </row>
    <row r="3027" spans="23:23">
      <c r="W3027" s="503"/>
    </row>
    <row r="3028" spans="23:23">
      <c r="W3028" s="503"/>
    </row>
    <row r="3029" spans="23:23">
      <c r="W3029" s="503"/>
    </row>
    <row r="3030" spans="23:23">
      <c r="W3030" s="503"/>
    </row>
    <row r="3031" spans="23:23">
      <c r="W3031" s="503"/>
    </row>
    <row r="3032" spans="23:23">
      <c r="W3032" s="503"/>
    </row>
    <row r="3033" spans="23:23">
      <c r="W3033" s="503"/>
    </row>
    <row r="3034" spans="23:23">
      <c r="W3034" s="503"/>
    </row>
    <row r="3035" spans="23:23">
      <c r="W3035" s="503"/>
    </row>
    <row r="3036" spans="23:23">
      <c r="W3036" s="503"/>
    </row>
    <row r="3037" spans="23:23">
      <c r="W3037" s="503"/>
    </row>
    <row r="3038" spans="23:23">
      <c r="W3038" s="503"/>
    </row>
    <row r="3039" spans="23:23">
      <c r="W3039" s="503"/>
    </row>
    <row r="3040" spans="23:23">
      <c r="W3040" s="503"/>
    </row>
    <row r="3041" spans="23:23">
      <c r="W3041" s="503"/>
    </row>
    <row r="3042" spans="23:23">
      <c r="W3042" s="503"/>
    </row>
    <row r="3043" spans="23:23">
      <c r="W3043" s="503"/>
    </row>
    <row r="3044" spans="23:23">
      <c r="W3044" s="503"/>
    </row>
    <row r="3045" spans="23:23">
      <c r="W3045" s="503"/>
    </row>
    <row r="3046" spans="23:23">
      <c r="W3046" s="503"/>
    </row>
    <row r="3047" spans="23:23">
      <c r="W3047" s="503"/>
    </row>
    <row r="3048" spans="23:23">
      <c r="W3048" s="503"/>
    </row>
    <row r="3049" spans="23:23">
      <c r="W3049" s="503"/>
    </row>
    <row r="3050" spans="23:23">
      <c r="W3050" s="503"/>
    </row>
    <row r="3051" spans="23:23">
      <c r="W3051" s="503"/>
    </row>
    <row r="3052" spans="23:23">
      <c r="W3052" s="503"/>
    </row>
    <row r="3053" spans="23:23">
      <c r="W3053" s="503"/>
    </row>
    <row r="3054" spans="23:23">
      <c r="W3054" s="503"/>
    </row>
    <row r="3055" spans="23:23">
      <c r="W3055" s="503"/>
    </row>
    <row r="3056" spans="23:23">
      <c r="W3056" s="503"/>
    </row>
    <row r="3057" spans="23:23">
      <c r="W3057" s="503"/>
    </row>
    <row r="3058" spans="23:23">
      <c r="W3058" s="503"/>
    </row>
    <row r="3059" spans="23:23">
      <c r="W3059" s="503"/>
    </row>
    <row r="3060" spans="23:23">
      <c r="W3060" s="503"/>
    </row>
    <row r="3061" spans="23:23">
      <c r="W3061" s="503"/>
    </row>
    <row r="3062" spans="23:23">
      <c r="W3062" s="503"/>
    </row>
    <row r="3063" spans="23:23">
      <c r="W3063" s="503"/>
    </row>
    <row r="3064" spans="23:23">
      <c r="W3064" s="503"/>
    </row>
    <row r="3065" spans="23:23">
      <c r="W3065" s="503"/>
    </row>
    <row r="3066" spans="23:23">
      <c r="W3066" s="503"/>
    </row>
    <row r="3067" spans="23:23">
      <c r="W3067" s="503"/>
    </row>
    <row r="3068" spans="23:23">
      <c r="W3068" s="503"/>
    </row>
    <row r="3069" spans="23:23">
      <c r="W3069" s="503"/>
    </row>
    <row r="3070" spans="23:23">
      <c r="W3070" s="503"/>
    </row>
    <row r="3071" spans="23:23">
      <c r="W3071" s="503"/>
    </row>
    <row r="3072" spans="23:23">
      <c r="W3072" s="503"/>
    </row>
    <row r="3073" spans="23:23">
      <c r="W3073" s="503"/>
    </row>
    <row r="3074" spans="23:23">
      <c r="W3074" s="503"/>
    </row>
    <row r="3075" spans="23:23">
      <c r="W3075" s="503"/>
    </row>
    <row r="3076" spans="23:23">
      <c r="W3076" s="503"/>
    </row>
    <row r="3077" spans="23:23">
      <c r="W3077" s="503"/>
    </row>
    <row r="3078" spans="23:23">
      <c r="W3078" s="503"/>
    </row>
    <row r="3079" spans="23:23">
      <c r="W3079" s="503"/>
    </row>
    <row r="3080" spans="23:23">
      <c r="W3080" s="503"/>
    </row>
    <row r="3081" spans="23:23">
      <c r="W3081" s="503"/>
    </row>
    <row r="3082" spans="23:23">
      <c r="W3082" s="503"/>
    </row>
    <row r="3083" spans="23:23">
      <c r="W3083" s="503"/>
    </row>
    <row r="3084" spans="23:23">
      <c r="W3084" s="503"/>
    </row>
    <row r="3085" spans="23:23">
      <c r="W3085" s="503"/>
    </row>
    <row r="3086" spans="23:23">
      <c r="W3086" s="503"/>
    </row>
    <row r="3087" spans="23:23">
      <c r="W3087" s="503"/>
    </row>
    <row r="3088" spans="23:23">
      <c r="W3088" s="503"/>
    </row>
    <row r="3089" spans="23:23">
      <c r="W3089" s="503"/>
    </row>
    <row r="3090" spans="23:23">
      <c r="W3090" s="503"/>
    </row>
    <row r="3091" spans="23:23">
      <c r="W3091" s="503"/>
    </row>
    <row r="3092" spans="23:23">
      <c r="W3092" s="503"/>
    </row>
    <row r="3093" spans="23:23">
      <c r="W3093" s="503"/>
    </row>
    <row r="3094" spans="23:23">
      <c r="W3094" s="503"/>
    </row>
    <row r="3095" spans="23:23">
      <c r="W3095" s="503"/>
    </row>
    <row r="3096" spans="23:23">
      <c r="W3096" s="503"/>
    </row>
    <row r="3097" spans="23:23">
      <c r="W3097" s="503"/>
    </row>
    <row r="3098" spans="23:23">
      <c r="W3098" s="503"/>
    </row>
    <row r="3099" spans="23:23">
      <c r="W3099" s="503"/>
    </row>
    <row r="3100" spans="23:23">
      <c r="W3100" s="503"/>
    </row>
    <row r="3101" spans="23:23">
      <c r="W3101" s="503"/>
    </row>
    <row r="3102" spans="23:23">
      <c r="W3102" s="503"/>
    </row>
    <row r="3103" spans="23:23">
      <c r="W3103" s="503"/>
    </row>
    <row r="3104" spans="23:23">
      <c r="W3104" s="503"/>
    </row>
    <row r="3105" spans="23:23">
      <c r="W3105" s="503"/>
    </row>
    <row r="3106" spans="23:23">
      <c r="W3106" s="503"/>
    </row>
    <row r="3107" spans="23:23">
      <c r="W3107" s="503"/>
    </row>
    <row r="3108" spans="23:23">
      <c r="W3108" s="503"/>
    </row>
    <row r="3109" spans="23:23">
      <c r="W3109" s="503"/>
    </row>
    <row r="3110" spans="23:23">
      <c r="W3110" s="503"/>
    </row>
    <row r="3111" spans="23:23">
      <c r="W3111" s="503"/>
    </row>
    <row r="3112" spans="23:23">
      <c r="W3112" s="503"/>
    </row>
    <row r="3113" spans="23:23">
      <c r="W3113" s="503"/>
    </row>
    <row r="3114" spans="23:23">
      <c r="W3114" s="503"/>
    </row>
    <row r="3115" spans="23:23">
      <c r="W3115" s="503"/>
    </row>
    <row r="3116" spans="23:23">
      <c r="W3116" s="503"/>
    </row>
    <row r="3117" spans="23:23">
      <c r="W3117" s="503"/>
    </row>
    <row r="3118" spans="23:23">
      <c r="W3118" s="503"/>
    </row>
    <row r="3119" spans="23:23">
      <c r="W3119" s="503"/>
    </row>
    <row r="3120" spans="23:23">
      <c r="W3120" s="503"/>
    </row>
    <row r="3121" spans="23:23">
      <c r="W3121" s="503"/>
    </row>
    <row r="3122" spans="23:23">
      <c r="W3122" s="503"/>
    </row>
    <row r="3123" spans="23:23">
      <c r="W3123" s="503"/>
    </row>
    <row r="3124" spans="23:23">
      <c r="W3124" s="503"/>
    </row>
    <row r="3125" spans="23:23">
      <c r="W3125" s="503"/>
    </row>
    <row r="3126" spans="23:23">
      <c r="W3126" s="503"/>
    </row>
    <row r="3127" spans="23:23">
      <c r="W3127" s="503"/>
    </row>
    <row r="3128" spans="23:23">
      <c r="W3128" s="503"/>
    </row>
    <row r="3129" spans="23:23">
      <c r="W3129" s="503"/>
    </row>
    <row r="3130" spans="23:23">
      <c r="W3130" s="503"/>
    </row>
    <row r="3131" spans="23:23">
      <c r="W3131" s="503"/>
    </row>
    <row r="3132" spans="23:23">
      <c r="W3132" s="503"/>
    </row>
    <row r="3133" spans="23:23">
      <c r="W3133" s="503"/>
    </row>
    <row r="3134" spans="23:23">
      <c r="W3134" s="503"/>
    </row>
    <row r="3135" spans="23:23">
      <c r="W3135" s="503"/>
    </row>
    <row r="3136" spans="23:23">
      <c r="W3136" s="503"/>
    </row>
    <row r="3137" spans="23:23">
      <c r="W3137" s="503"/>
    </row>
    <row r="3138" spans="23:23">
      <c r="W3138" s="503"/>
    </row>
    <row r="3139" spans="23:23">
      <c r="W3139" s="503"/>
    </row>
    <row r="3140" spans="23:23">
      <c r="W3140" s="503"/>
    </row>
    <row r="3141" spans="23:23">
      <c r="W3141" s="503"/>
    </row>
    <row r="3142" spans="23:23">
      <c r="W3142" s="503"/>
    </row>
    <row r="3143" spans="23:23">
      <c r="W3143" s="503"/>
    </row>
    <row r="3144" spans="23:23">
      <c r="W3144" s="503"/>
    </row>
    <row r="3145" spans="23:23">
      <c r="W3145" s="503"/>
    </row>
    <row r="3146" spans="23:23">
      <c r="W3146" s="503"/>
    </row>
    <row r="3147" spans="23:23">
      <c r="W3147" s="503"/>
    </row>
    <row r="3148" spans="23:23">
      <c r="W3148" s="503"/>
    </row>
    <row r="3149" spans="23:23">
      <c r="W3149" s="503"/>
    </row>
    <row r="3150" spans="23:23">
      <c r="W3150" s="503"/>
    </row>
    <row r="3151" spans="23:23">
      <c r="W3151" s="503"/>
    </row>
    <row r="3152" spans="23:23">
      <c r="W3152" s="503"/>
    </row>
    <row r="3153" spans="23:23">
      <c r="W3153" s="503"/>
    </row>
    <row r="3154" spans="23:23">
      <c r="W3154" s="503"/>
    </row>
    <row r="3155" spans="23:23">
      <c r="W3155" s="503"/>
    </row>
    <row r="3156" spans="23:23">
      <c r="W3156" s="503"/>
    </row>
    <row r="3157" spans="23:23">
      <c r="W3157" s="503"/>
    </row>
    <row r="3158" spans="23:23">
      <c r="W3158" s="503"/>
    </row>
    <row r="3159" spans="23:23">
      <c r="W3159" s="503"/>
    </row>
    <row r="3160" spans="23:23">
      <c r="W3160" s="503"/>
    </row>
    <row r="3161" spans="23:23">
      <c r="W3161" s="503"/>
    </row>
    <row r="3162" spans="23:23">
      <c r="W3162" s="503"/>
    </row>
    <row r="3163" spans="23:23">
      <c r="W3163" s="503"/>
    </row>
    <row r="3164" spans="23:23">
      <c r="W3164" s="503"/>
    </row>
    <row r="3165" spans="23:23">
      <c r="W3165" s="503"/>
    </row>
    <row r="3166" spans="23:23">
      <c r="W3166" s="503"/>
    </row>
    <row r="3167" spans="23:23">
      <c r="W3167" s="503"/>
    </row>
    <row r="3168" spans="23:23">
      <c r="W3168" s="503"/>
    </row>
    <row r="3169" spans="23:23">
      <c r="W3169" s="503"/>
    </row>
    <row r="3170" spans="23:23">
      <c r="W3170" s="503"/>
    </row>
    <row r="3171" spans="23:23">
      <c r="W3171" s="503"/>
    </row>
    <row r="3172" spans="23:23">
      <c r="W3172" s="503"/>
    </row>
    <row r="3173" spans="23:23">
      <c r="W3173" s="503"/>
    </row>
    <row r="3174" spans="23:23">
      <c r="W3174" s="503"/>
    </row>
    <row r="3175" spans="23:23">
      <c r="W3175" s="503"/>
    </row>
    <row r="3176" spans="23:23">
      <c r="W3176" s="503"/>
    </row>
    <row r="3177" spans="23:23">
      <c r="W3177" s="503"/>
    </row>
    <row r="3178" spans="23:23">
      <c r="W3178" s="503"/>
    </row>
    <row r="3179" spans="23:23">
      <c r="W3179" s="503"/>
    </row>
    <row r="3180" spans="23:23">
      <c r="W3180" s="503"/>
    </row>
    <row r="3181" spans="23:23">
      <c r="W3181" s="503"/>
    </row>
    <row r="3182" spans="23:23">
      <c r="W3182" s="503"/>
    </row>
    <row r="3183" spans="23:23">
      <c r="W3183" s="503"/>
    </row>
    <row r="3184" spans="23:23">
      <c r="W3184" s="503"/>
    </row>
    <row r="3185" spans="23:23">
      <c r="W3185" s="503"/>
    </row>
    <row r="3186" spans="23:23">
      <c r="W3186" s="503"/>
    </row>
    <row r="3187" spans="23:23">
      <c r="W3187" s="503"/>
    </row>
    <row r="3188" spans="23:23">
      <c r="W3188" s="503"/>
    </row>
    <row r="3189" spans="23:23">
      <c r="W3189" s="503"/>
    </row>
    <row r="3190" spans="23:23">
      <c r="W3190" s="503"/>
    </row>
    <row r="3191" spans="23:23">
      <c r="W3191" s="503"/>
    </row>
    <row r="3192" spans="23:23">
      <c r="W3192" s="503"/>
    </row>
    <row r="3193" spans="23:23">
      <c r="W3193" s="503"/>
    </row>
    <row r="3194" spans="23:23">
      <c r="W3194" s="503"/>
    </row>
    <row r="3195" spans="23:23">
      <c r="W3195" s="503"/>
    </row>
    <row r="3196" spans="23:23">
      <c r="W3196" s="503"/>
    </row>
    <row r="3197" spans="23:23">
      <c r="W3197" s="503"/>
    </row>
    <row r="3198" spans="23:23">
      <c r="W3198" s="503"/>
    </row>
    <row r="3199" spans="23:23">
      <c r="W3199" s="503"/>
    </row>
    <row r="3200" spans="23:23">
      <c r="W3200" s="503"/>
    </row>
    <row r="3201" spans="23:23">
      <c r="W3201" s="503"/>
    </row>
    <row r="3202" spans="23:23">
      <c r="W3202" s="503"/>
    </row>
    <row r="3203" spans="23:23">
      <c r="W3203" s="503"/>
    </row>
    <row r="3204" spans="23:23">
      <c r="W3204" s="503"/>
    </row>
    <row r="3205" spans="23:23">
      <c r="W3205" s="503"/>
    </row>
    <row r="3206" spans="23:23">
      <c r="W3206" s="503"/>
    </row>
    <row r="3207" spans="23:23">
      <c r="W3207" s="503"/>
    </row>
    <row r="3208" spans="23:23">
      <c r="W3208" s="503"/>
    </row>
    <row r="3209" spans="23:23">
      <c r="W3209" s="503"/>
    </row>
    <row r="3210" spans="23:23">
      <c r="W3210" s="503"/>
    </row>
    <row r="3211" spans="23:23">
      <c r="W3211" s="503"/>
    </row>
    <row r="3212" spans="23:23">
      <c r="W3212" s="503"/>
    </row>
    <row r="3213" spans="23:23">
      <c r="W3213" s="503"/>
    </row>
    <row r="3214" spans="23:23">
      <c r="W3214" s="503"/>
    </row>
    <row r="3215" spans="23:23">
      <c r="W3215" s="503"/>
    </row>
    <row r="3216" spans="23:23">
      <c r="W3216" s="503"/>
    </row>
    <row r="3217" spans="23:23">
      <c r="W3217" s="503"/>
    </row>
    <row r="3218" spans="23:23">
      <c r="W3218" s="503"/>
    </row>
    <row r="3219" spans="23:23">
      <c r="W3219" s="503"/>
    </row>
    <row r="3220" spans="23:23">
      <c r="W3220" s="503"/>
    </row>
    <row r="3221" spans="23:23">
      <c r="W3221" s="503"/>
    </row>
    <row r="3222" spans="23:23">
      <c r="W3222" s="503"/>
    </row>
    <row r="3223" spans="23:23">
      <c r="W3223" s="503"/>
    </row>
    <row r="3224" spans="23:23">
      <c r="W3224" s="503"/>
    </row>
    <row r="3225" spans="23:23">
      <c r="W3225" s="503"/>
    </row>
    <row r="3226" spans="23:23">
      <c r="W3226" s="503"/>
    </row>
    <row r="3227" spans="23:23">
      <c r="W3227" s="503"/>
    </row>
    <row r="3228" spans="23:23">
      <c r="W3228" s="503"/>
    </row>
    <row r="3229" spans="23:23">
      <c r="W3229" s="503"/>
    </row>
    <row r="3230" spans="23:23">
      <c r="W3230" s="503"/>
    </row>
    <row r="3231" spans="23:23">
      <c r="W3231" s="503"/>
    </row>
    <row r="3232" spans="23:23">
      <c r="W3232" s="503"/>
    </row>
    <row r="3233" spans="23:23">
      <c r="W3233" s="503"/>
    </row>
    <row r="3234" spans="23:23">
      <c r="W3234" s="503"/>
    </row>
    <row r="3235" spans="23:23">
      <c r="W3235" s="503"/>
    </row>
    <row r="3236" spans="23:23">
      <c r="W3236" s="503"/>
    </row>
    <row r="3237" spans="23:23">
      <c r="W3237" s="503"/>
    </row>
    <row r="3238" spans="23:23">
      <c r="W3238" s="503"/>
    </row>
    <row r="3239" spans="23:23">
      <c r="W3239" s="503"/>
    </row>
    <row r="3240" spans="23:23">
      <c r="W3240" s="503"/>
    </row>
    <row r="3241" spans="23:23">
      <c r="W3241" s="503"/>
    </row>
    <row r="3242" spans="23:23">
      <c r="W3242" s="503"/>
    </row>
    <row r="3243" spans="23:23">
      <c r="W3243" s="503"/>
    </row>
    <row r="3244" spans="23:23">
      <c r="W3244" s="503"/>
    </row>
    <row r="3245" spans="23:23">
      <c r="W3245" s="503"/>
    </row>
    <row r="3246" spans="23:23">
      <c r="W3246" s="503"/>
    </row>
    <row r="3247" spans="23:23">
      <c r="W3247" s="503"/>
    </row>
    <row r="3248" spans="23:23">
      <c r="W3248" s="503"/>
    </row>
    <row r="3249" spans="23:23">
      <c r="W3249" s="503"/>
    </row>
    <row r="3250" spans="23:23">
      <c r="W3250" s="503"/>
    </row>
    <row r="3251" spans="23:23">
      <c r="W3251" s="503"/>
    </row>
    <row r="3252" spans="23:23">
      <c r="W3252" s="503"/>
    </row>
    <row r="3253" spans="23:23">
      <c r="W3253" s="503"/>
    </row>
    <row r="3254" spans="23:23">
      <c r="W3254" s="503"/>
    </row>
    <row r="3255" spans="23:23">
      <c r="W3255" s="503"/>
    </row>
    <row r="3256" spans="23:23">
      <c r="W3256" s="503"/>
    </row>
    <row r="3257" spans="23:23">
      <c r="W3257" s="503"/>
    </row>
    <row r="3258" spans="23:23">
      <c r="W3258" s="503"/>
    </row>
    <row r="3259" spans="23:23">
      <c r="W3259" s="503"/>
    </row>
    <row r="3260" spans="23:23">
      <c r="W3260" s="503"/>
    </row>
    <row r="3261" spans="23:23">
      <c r="W3261" s="503"/>
    </row>
    <row r="3262" spans="23:23">
      <c r="W3262" s="503"/>
    </row>
    <row r="3263" spans="23:23">
      <c r="W3263" s="503"/>
    </row>
    <row r="3264" spans="23:23">
      <c r="W3264" s="503"/>
    </row>
    <row r="3265" spans="23:23">
      <c r="W3265" s="503"/>
    </row>
    <row r="3266" spans="23:23">
      <c r="W3266" s="503"/>
    </row>
    <row r="3267" spans="23:23">
      <c r="W3267" s="503"/>
    </row>
    <row r="3268" spans="23:23">
      <c r="W3268" s="503"/>
    </row>
    <row r="3269" spans="23:23">
      <c r="W3269" s="503"/>
    </row>
    <row r="3270" spans="23:23">
      <c r="W3270" s="503"/>
    </row>
    <row r="3271" spans="23:23">
      <c r="W3271" s="503"/>
    </row>
    <row r="3272" spans="23:23">
      <c r="W3272" s="503"/>
    </row>
    <row r="3273" spans="23:23">
      <c r="W3273" s="503"/>
    </row>
    <row r="3274" spans="23:23">
      <c r="W3274" s="503"/>
    </row>
    <row r="3275" spans="23:23">
      <c r="W3275" s="503"/>
    </row>
    <row r="3276" spans="23:23">
      <c r="W3276" s="503"/>
    </row>
    <row r="3277" spans="23:23">
      <c r="W3277" s="503"/>
    </row>
    <row r="3278" spans="23:23">
      <c r="W3278" s="503"/>
    </row>
    <row r="3279" spans="23:23">
      <c r="W3279" s="503"/>
    </row>
    <row r="3280" spans="23:23">
      <c r="W3280" s="503"/>
    </row>
    <row r="3281" spans="23:23">
      <c r="W3281" s="503"/>
    </row>
    <row r="3282" spans="23:23">
      <c r="W3282" s="503"/>
    </row>
    <row r="3283" spans="23:23">
      <c r="W3283" s="503"/>
    </row>
    <row r="3284" spans="23:23">
      <c r="W3284" s="503"/>
    </row>
    <row r="3285" spans="23:23">
      <c r="W3285" s="503"/>
    </row>
    <row r="3286" spans="23:23">
      <c r="W3286" s="503"/>
    </row>
    <row r="3287" spans="23:23">
      <c r="W3287" s="503"/>
    </row>
    <row r="3288" spans="23:23">
      <c r="W3288" s="503"/>
    </row>
    <row r="3289" spans="23:23">
      <c r="W3289" s="503"/>
    </row>
    <row r="3290" spans="23:23">
      <c r="W3290" s="503"/>
    </row>
    <row r="3291" spans="23:23">
      <c r="W3291" s="503"/>
    </row>
    <row r="3292" spans="23:23">
      <c r="W3292" s="503"/>
    </row>
    <row r="3293" spans="23:23">
      <c r="W3293" s="503"/>
    </row>
    <row r="3294" spans="23:23">
      <c r="W3294" s="503"/>
    </row>
    <row r="3295" spans="23:23">
      <c r="W3295" s="503"/>
    </row>
    <row r="3296" spans="23:23">
      <c r="W3296" s="503"/>
    </row>
    <row r="3297" spans="23:23">
      <c r="W3297" s="503"/>
    </row>
    <row r="3298" spans="23:23">
      <c r="W3298" s="503"/>
    </row>
    <row r="3299" spans="23:23">
      <c r="W3299" s="503"/>
    </row>
    <row r="3300" spans="23:23">
      <c r="W3300" s="503"/>
    </row>
    <row r="3301" spans="23:23">
      <c r="W3301" s="503"/>
    </row>
    <row r="3302" spans="23:23">
      <c r="W3302" s="503"/>
    </row>
    <row r="3303" spans="23:23">
      <c r="W3303" s="503"/>
    </row>
    <row r="3304" spans="23:23">
      <c r="W3304" s="503"/>
    </row>
    <row r="3305" spans="23:23">
      <c r="W3305" s="503"/>
    </row>
    <row r="3306" spans="23:23">
      <c r="W3306" s="503"/>
    </row>
    <row r="3307" spans="23:23">
      <c r="W3307" s="503"/>
    </row>
    <row r="3308" spans="23:23">
      <c r="W3308" s="503"/>
    </row>
    <row r="3309" spans="23:23">
      <c r="W3309" s="503"/>
    </row>
    <row r="3310" spans="23:23">
      <c r="W3310" s="503"/>
    </row>
    <row r="3311" spans="23:23">
      <c r="W3311" s="503"/>
    </row>
    <row r="3312" spans="23:23">
      <c r="W3312" s="503"/>
    </row>
    <row r="3313" spans="23:23">
      <c r="W3313" s="503"/>
    </row>
    <row r="3314" spans="23:23">
      <c r="W3314" s="503"/>
    </row>
    <row r="3315" spans="23:23">
      <c r="W3315" s="503"/>
    </row>
    <row r="3316" spans="23:23">
      <c r="W3316" s="503"/>
    </row>
    <row r="3317" spans="23:23">
      <c r="W3317" s="503"/>
    </row>
    <row r="3318" spans="23:23">
      <c r="W3318" s="503"/>
    </row>
    <row r="3319" spans="23:23">
      <c r="W3319" s="503"/>
    </row>
    <row r="3320" spans="23:23">
      <c r="W3320" s="503"/>
    </row>
    <row r="3321" spans="23:23">
      <c r="W3321" s="503"/>
    </row>
    <row r="3322" spans="23:23">
      <c r="W3322" s="503"/>
    </row>
    <row r="3323" spans="23:23">
      <c r="W3323" s="503"/>
    </row>
    <row r="3324" spans="23:23">
      <c r="W3324" s="503"/>
    </row>
    <row r="3325" spans="23:23">
      <c r="W3325" s="503"/>
    </row>
    <row r="3326" spans="23:23">
      <c r="W3326" s="503"/>
    </row>
    <row r="3327" spans="23:23">
      <c r="W3327" s="503"/>
    </row>
    <row r="3328" spans="23:23">
      <c r="W3328" s="503"/>
    </row>
    <row r="3329" spans="23:23">
      <c r="W3329" s="503"/>
    </row>
    <row r="3330" spans="23:23">
      <c r="W3330" s="503"/>
    </row>
    <row r="3331" spans="23:23">
      <c r="W3331" s="503"/>
    </row>
    <row r="3332" spans="23:23">
      <c r="W3332" s="503"/>
    </row>
    <row r="3333" spans="23:23">
      <c r="W3333" s="503"/>
    </row>
    <row r="3334" spans="23:23">
      <c r="W3334" s="503"/>
    </row>
    <row r="3335" spans="23:23">
      <c r="W3335" s="503"/>
    </row>
    <row r="3336" spans="23:23">
      <c r="W3336" s="503"/>
    </row>
    <row r="3337" spans="23:23">
      <c r="W3337" s="503"/>
    </row>
    <row r="3338" spans="23:23">
      <c r="W3338" s="503"/>
    </row>
    <row r="3339" spans="23:23">
      <c r="W3339" s="503"/>
    </row>
    <row r="3340" spans="23:23">
      <c r="W3340" s="503"/>
    </row>
    <row r="3341" spans="23:23">
      <c r="W3341" s="503"/>
    </row>
    <row r="3342" spans="23:23">
      <c r="W3342" s="503"/>
    </row>
    <row r="3343" spans="23:23">
      <c r="W3343" s="503"/>
    </row>
    <row r="3344" spans="23:23">
      <c r="W3344" s="503"/>
    </row>
    <row r="3345" spans="23:23">
      <c r="W3345" s="503"/>
    </row>
    <row r="3346" spans="23:23">
      <c r="W3346" s="503"/>
    </row>
    <row r="3347" spans="23:23">
      <c r="W3347" s="503"/>
    </row>
    <row r="3348" spans="23:23">
      <c r="W3348" s="503"/>
    </row>
    <row r="3349" spans="23:23">
      <c r="W3349" s="503"/>
    </row>
    <row r="3350" spans="23:23">
      <c r="W3350" s="503"/>
    </row>
    <row r="3351" spans="23:23">
      <c r="W3351" s="503"/>
    </row>
    <row r="3352" spans="23:23">
      <c r="W3352" s="503"/>
    </row>
    <row r="3353" spans="23:23">
      <c r="W3353" s="503"/>
    </row>
    <row r="3354" spans="23:23">
      <c r="W3354" s="503"/>
    </row>
    <row r="3355" spans="23:23">
      <c r="W3355" s="503"/>
    </row>
    <row r="3356" spans="23:23">
      <c r="W3356" s="503"/>
    </row>
    <row r="3357" spans="23:23">
      <c r="W3357" s="503"/>
    </row>
    <row r="3358" spans="23:23">
      <c r="W3358" s="503"/>
    </row>
    <row r="3359" spans="23:23">
      <c r="W3359" s="503"/>
    </row>
    <row r="3360" spans="23:23">
      <c r="W3360" s="503"/>
    </row>
    <row r="3361" spans="23:23">
      <c r="W3361" s="503"/>
    </row>
    <row r="3362" spans="23:23">
      <c r="W3362" s="503"/>
    </row>
    <row r="3363" spans="23:23">
      <c r="W3363" s="503"/>
    </row>
    <row r="3364" spans="23:23">
      <c r="W3364" s="503"/>
    </row>
    <row r="3365" spans="23:23">
      <c r="W3365" s="503"/>
    </row>
    <row r="3366" spans="23:23">
      <c r="W3366" s="503"/>
    </row>
    <row r="3367" spans="23:23">
      <c r="W3367" s="503"/>
    </row>
    <row r="3368" spans="23:23">
      <c r="W3368" s="503"/>
    </row>
    <row r="3369" spans="23:23">
      <c r="W3369" s="503"/>
    </row>
    <row r="3370" spans="23:23">
      <c r="W3370" s="503"/>
    </row>
    <row r="3371" spans="23:23">
      <c r="W3371" s="503"/>
    </row>
    <row r="3372" spans="23:23">
      <c r="W3372" s="503"/>
    </row>
    <row r="3373" spans="23:23">
      <c r="W3373" s="503"/>
    </row>
    <row r="3374" spans="23:23">
      <c r="W3374" s="503"/>
    </row>
    <row r="3375" spans="23:23">
      <c r="W3375" s="503"/>
    </row>
    <row r="3376" spans="23:23">
      <c r="W3376" s="503"/>
    </row>
    <row r="3377" spans="23:23">
      <c r="W3377" s="503"/>
    </row>
    <row r="3378" spans="23:23">
      <c r="W3378" s="503"/>
    </row>
    <row r="3379" spans="23:23">
      <c r="W3379" s="503"/>
    </row>
    <row r="3380" spans="23:23">
      <c r="W3380" s="503"/>
    </row>
    <row r="3381" spans="23:23">
      <c r="W3381" s="503"/>
    </row>
    <row r="3382" spans="23:23">
      <c r="W3382" s="503"/>
    </row>
    <row r="3383" spans="23:23">
      <c r="W3383" s="503"/>
    </row>
    <row r="3384" spans="23:23">
      <c r="W3384" s="503"/>
    </row>
    <row r="3385" spans="23:23">
      <c r="W3385" s="503"/>
    </row>
    <row r="3386" spans="23:23">
      <c r="W3386" s="503"/>
    </row>
    <row r="3387" spans="23:23">
      <c r="W3387" s="503"/>
    </row>
    <row r="3388" spans="23:23">
      <c r="W3388" s="503"/>
    </row>
    <row r="3389" spans="23:23">
      <c r="W3389" s="503"/>
    </row>
    <row r="3390" spans="23:23">
      <c r="W3390" s="503"/>
    </row>
    <row r="3391" spans="23:23">
      <c r="W3391" s="503"/>
    </row>
    <row r="3392" spans="23:23">
      <c r="W3392" s="503"/>
    </row>
    <row r="3393" spans="23:23">
      <c r="W3393" s="503"/>
    </row>
    <row r="3394" spans="23:23">
      <c r="W3394" s="503"/>
    </row>
    <row r="3395" spans="23:23">
      <c r="W3395" s="503"/>
    </row>
    <row r="3396" spans="23:23">
      <c r="W3396" s="503"/>
    </row>
    <row r="3397" spans="23:23">
      <c r="W3397" s="503"/>
    </row>
    <row r="3398" spans="23:23">
      <c r="W3398" s="503"/>
    </row>
    <row r="3399" spans="23:23">
      <c r="W3399" s="503"/>
    </row>
    <row r="3400" spans="23:23">
      <c r="W3400" s="503"/>
    </row>
    <row r="3401" spans="23:23">
      <c r="W3401" s="503"/>
    </row>
    <row r="3402" spans="23:23">
      <c r="W3402" s="503"/>
    </row>
    <row r="3403" spans="23:23">
      <c r="W3403" s="503"/>
    </row>
    <row r="3404" spans="23:23">
      <c r="W3404" s="503"/>
    </row>
    <row r="3405" spans="23:23">
      <c r="W3405" s="503"/>
    </row>
    <row r="3406" spans="23:23">
      <c r="W3406" s="503"/>
    </row>
    <row r="3407" spans="23:23">
      <c r="W3407" s="503"/>
    </row>
    <row r="3408" spans="23:23">
      <c r="W3408" s="503"/>
    </row>
    <row r="3409" spans="23:23">
      <c r="W3409" s="503"/>
    </row>
    <row r="3410" spans="23:23">
      <c r="W3410" s="503"/>
    </row>
    <row r="3411" spans="23:23">
      <c r="W3411" s="503"/>
    </row>
    <row r="3412" spans="23:23">
      <c r="W3412" s="503"/>
    </row>
    <row r="3413" spans="23:23">
      <c r="W3413" s="503"/>
    </row>
    <row r="3414" spans="23:23">
      <c r="W3414" s="503"/>
    </row>
    <row r="3415" spans="23:23">
      <c r="W3415" s="503"/>
    </row>
    <row r="3416" spans="23:23">
      <c r="W3416" s="503"/>
    </row>
    <row r="3417" spans="23:23">
      <c r="W3417" s="503"/>
    </row>
    <row r="3418" spans="23:23">
      <c r="W3418" s="503"/>
    </row>
    <row r="3419" spans="23:23">
      <c r="W3419" s="503"/>
    </row>
    <row r="3420" spans="23:23">
      <c r="W3420" s="503"/>
    </row>
    <row r="3421" spans="23:23">
      <c r="W3421" s="503"/>
    </row>
    <row r="3422" spans="23:23">
      <c r="W3422" s="503"/>
    </row>
    <row r="3423" spans="23:23">
      <c r="W3423" s="503"/>
    </row>
    <row r="3424" spans="23:23">
      <c r="W3424" s="503"/>
    </row>
    <row r="3425" spans="23:23">
      <c r="W3425" s="503"/>
    </row>
    <row r="3426" spans="23:23">
      <c r="W3426" s="503"/>
    </row>
    <row r="3427" spans="23:23">
      <c r="W3427" s="503"/>
    </row>
    <row r="3428" spans="23:23">
      <c r="W3428" s="503"/>
    </row>
    <row r="3429" spans="23:23">
      <c r="W3429" s="503"/>
    </row>
    <row r="3430" spans="23:23">
      <c r="W3430" s="503"/>
    </row>
    <row r="3431" spans="23:23">
      <c r="W3431" s="503"/>
    </row>
    <row r="3432" spans="23:23">
      <c r="W3432" s="503"/>
    </row>
    <row r="3433" spans="23:23">
      <c r="W3433" s="503"/>
    </row>
    <row r="3434" spans="23:23">
      <c r="W3434" s="503"/>
    </row>
    <row r="3435" spans="23:23">
      <c r="W3435" s="503"/>
    </row>
    <row r="3436" spans="23:23">
      <c r="W3436" s="503"/>
    </row>
    <row r="3437" spans="23:23">
      <c r="W3437" s="503"/>
    </row>
    <row r="3438" spans="23:23">
      <c r="W3438" s="503"/>
    </row>
    <row r="3439" spans="23:23">
      <c r="W3439" s="503"/>
    </row>
    <row r="3440" spans="23:23">
      <c r="W3440" s="503"/>
    </row>
    <row r="3441" spans="23:23">
      <c r="W3441" s="503"/>
    </row>
    <row r="3442" spans="23:23">
      <c r="W3442" s="503"/>
    </row>
    <row r="3443" spans="23:23">
      <c r="W3443" s="503"/>
    </row>
    <row r="3444" spans="23:23">
      <c r="W3444" s="503"/>
    </row>
    <row r="3445" spans="23:23">
      <c r="W3445" s="503"/>
    </row>
    <row r="3446" spans="23:23">
      <c r="W3446" s="503"/>
    </row>
    <row r="3447" spans="23:23">
      <c r="W3447" s="503"/>
    </row>
    <row r="3448" spans="23:23">
      <c r="W3448" s="503"/>
    </row>
    <row r="3449" spans="23:23">
      <c r="W3449" s="503"/>
    </row>
    <row r="3450" spans="23:23">
      <c r="W3450" s="503"/>
    </row>
    <row r="3451" spans="23:23">
      <c r="W3451" s="503"/>
    </row>
    <row r="3452" spans="23:23">
      <c r="W3452" s="503"/>
    </row>
    <row r="3453" spans="23:23">
      <c r="W3453" s="503"/>
    </row>
    <row r="3454" spans="23:23">
      <c r="W3454" s="503"/>
    </row>
    <row r="3455" spans="23:23">
      <c r="W3455" s="503"/>
    </row>
    <row r="3456" spans="23:23">
      <c r="W3456" s="503"/>
    </row>
    <row r="3457" spans="23:23">
      <c r="W3457" s="503"/>
    </row>
    <row r="3458" spans="23:23">
      <c r="W3458" s="503"/>
    </row>
    <row r="3459" spans="23:23">
      <c r="W3459" s="503"/>
    </row>
    <row r="3460" spans="23:23">
      <c r="W3460" s="503"/>
    </row>
    <row r="3461" spans="23:23">
      <c r="W3461" s="503"/>
    </row>
    <row r="3462" spans="23:23">
      <c r="W3462" s="503"/>
    </row>
    <row r="3463" spans="23:23">
      <c r="W3463" s="503"/>
    </row>
    <row r="3464" spans="23:23">
      <c r="W3464" s="503"/>
    </row>
    <row r="3465" spans="23:23">
      <c r="W3465" s="503"/>
    </row>
    <row r="3466" spans="23:23">
      <c r="W3466" s="503"/>
    </row>
    <row r="3467" spans="23:23">
      <c r="W3467" s="503"/>
    </row>
    <row r="3468" spans="23:23">
      <c r="W3468" s="503"/>
    </row>
    <row r="3469" spans="23:23">
      <c r="W3469" s="503"/>
    </row>
    <row r="3470" spans="23:23">
      <c r="W3470" s="503"/>
    </row>
    <row r="3471" spans="23:23">
      <c r="W3471" s="503"/>
    </row>
    <row r="3472" spans="23:23">
      <c r="W3472" s="503"/>
    </row>
    <row r="3473" spans="23:23">
      <c r="W3473" s="503"/>
    </row>
    <row r="3474" spans="23:23">
      <c r="W3474" s="503"/>
    </row>
    <row r="3475" spans="23:23">
      <c r="W3475" s="503"/>
    </row>
    <row r="3476" spans="23:23">
      <c r="W3476" s="503"/>
    </row>
    <row r="3477" spans="23:23">
      <c r="W3477" s="503"/>
    </row>
    <row r="3478" spans="23:23">
      <c r="W3478" s="503"/>
    </row>
    <row r="3479" spans="23:23">
      <c r="W3479" s="503"/>
    </row>
    <row r="3480" spans="23:23">
      <c r="W3480" s="503"/>
    </row>
    <row r="3481" spans="23:23">
      <c r="W3481" s="503"/>
    </row>
    <row r="3482" spans="23:23">
      <c r="W3482" s="503"/>
    </row>
    <row r="3483" spans="23:23">
      <c r="W3483" s="503"/>
    </row>
    <row r="3484" spans="23:23">
      <c r="W3484" s="503"/>
    </row>
    <row r="3485" spans="23:23">
      <c r="W3485" s="503"/>
    </row>
    <row r="3486" spans="23:23">
      <c r="W3486" s="503"/>
    </row>
    <row r="3487" spans="23:23">
      <c r="W3487" s="503"/>
    </row>
    <row r="3488" spans="23:23">
      <c r="W3488" s="503"/>
    </row>
    <row r="3489" spans="23:23">
      <c r="W3489" s="503"/>
    </row>
    <row r="3490" spans="23:23">
      <c r="W3490" s="503"/>
    </row>
    <row r="3491" spans="23:23">
      <c r="W3491" s="503"/>
    </row>
    <row r="3492" spans="23:23">
      <c r="W3492" s="503"/>
    </row>
    <row r="3493" spans="23:23">
      <c r="W3493" s="503"/>
    </row>
    <row r="3494" spans="23:23">
      <c r="W3494" s="503"/>
    </row>
    <row r="3495" spans="23:23">
      <c r="W3495" s="503"/>
    </row>
    <row r="3496" spans="23:23">
      <c r="W3496" s="503"/>
    </row>
    <row r="3497" spans="23:23">
      <c r="W3497" s="503"/>
    </row>
    <row r="3498" spans="23:23">
      <c r="W3498" s="503"/>
    </row>
    <row r="3499" spans="23:23">
      <c r="W3499" s="503"/>
    </row>
    <row r="3500" spans="23:23">
      <c r="W3500" s="503"/>
    </row>
    <row r="3501" spans="23:23">
      <c r="W3501" s="503"/>
    </row>
    <row r="3502" spans="23:23">
      <c r="W3502" s="503"/>
    </row>
    <row r="3503" spans="23:23">
      <c r="W3503" s="503"/>
    </row>
    <row r="3504" spans="23:23">
      <c r="W3504" s="503"/>
    </row>
    <row r="3505" spans="23:23">
      <c r="W3505" s="503"/>
    </row>
    <row r="3506" spans="23:23">
      <c r="W3506" s="503"/>
    </row>
    <row r="3507" spans="23:23">
      <c r="W3507" s="503"/>
    </row>
    <row r="3508" spans="23:23">
      <c r="W3508" s="503"/>
    </row>
    <row r="3509" spans="23:23">
      <c r="W3509" s="503"/>
    </row>
    <row r="3510" spans="23:23">
      <c r="W3510" s="503"/>
    </row>
    <row r="3511" spans="23:23">
      <c r="W3511" s="503"/>
    </row>
    <row r="3512" spans="23:23">
      <c r="W3512" s="503"/>
    </row>
    <row r="3513" spans="23:23">
      <c r="W3513" s="503"/>
    </row>
    <row r="3514" spans="23:23">
      <c r="W3514" s="503"/>
    </row>
    <row r="3515" spans="23:23">
      <c r="W3515" s="503"/>
    </row>
    <row r="3516" spans="23:23">
      <c r="W3516" s="503"/>
    </row>
    <row r="3517" spans="23:23">
      <c r="W3517" s="503"/>
    </row>
    <row r="3518" spans="23:23">
      <c r="W3518" s="503"/>
    </row>
    <row r="3519" spans="23:23">
      <c r="W3519" s="503"/>
    </row>
    <row r="3520" spans="23:23">
      <c r="W3520" s="503"/>
    </row>
    <row r="3521" spans="23:23">
      <c r="W3521" s="503"/>
    </row>
    <row r="3522" spans="23:23">
      <c r="W3522" s="503"/>
    </row>
    <row r="3523" spans="23:23">
      <c r="W3523" s="503"/>
    </row>
    <row r="3524" spans="23:23">
      <c r="W3524" s="503"/>
    </row>
    <row r="3525" spans="23:23">
      <c r="W3525" s="503"/>
    </row>
    <row r="3526" spans="23:23">
      <c r="W3526" s="503"/>
    </row>
    <row r="3527" spans="23:23">
      <c r="W3527" s="503"/>
    </row>
    <row r="3528" spans="23:23">
      <c r="W3528" s="503"/>
    </row>
    <row r="3529" spans="23:23">
      <c r="W3529" s="503"/>
    </row>
    <row r="3530" spans="23:23">
      <c r="W3530" s="503"/>
    </row>
    <row r="3531" spans="23:23">
      <c r="W3531" s="503"/>
    </row>
    <row r="3532" spans="23:23">
      <c r="W3532" s="503"/>
    </row>
    <row r="3533" spans="23:23">
      <c r="W3533" s="503"/>
    </row>
    <row r="3534" spans="23:23">
      <c r="W3534" s="503"/>
    </row>
    <row r="3535" spans="23:23">
      <c r="W3535" s="503"/>
    </row>
    <row r="3536" spans="23:23">
      <c r="W3536" s="503"/>
    </row>
    <row r="3537" spans="23:23">
      <c r="W3537" s="503"/>
    </row>
    <row r="3538" spans="23:23">
      <c r="W3538" s="503"/>
    </row>
    <row r="3539" spans="23:23">
      <c r="W3539" s="503"/>
    </row>
    <row r="3540" spans="23:23">
      <c r="W3540" s="503"/>
    </row>
    <row r="3541" spans="23:23">
      <c r="W3541" s="503"/>
    </row>
    <row r="3542" spans="23:23">
      <c r="W3542" s="503"/>
    </row>
    <row r="3543" spans="23:23">
      <c r="W3543" s="503"/>
    </row>
    <row r="3544" spans="23:23">
      <c r="W3544" s="503"/>
    </row>
    <row r="3545" spans="23:23">
      <c r="W3545" s="503"/>
    </row>
    <row r="3546" spans="23:23">
      <c r="W3546" s="503"/>
    </row>
    <row r="3547" spans="23:23">
      <c r="W3547" s="503"/>
    </row>
    <row r="3548" spans="23:23">
      <c r="W3548" s="503"/>
    </row>
    <row r="3549" spans="23:23">
      <c r="W3549" s="503"/>
    </row>
    <row r="3550" spans="23:23">
      <c r="W3550" s="503"/>
    </row>
    <row r="3551" spans="23:23">
      <c r="W3551" s="503"/>
    </row>
    <row r="3552" spans="23:23">
      <c r="W3552" s="503"/>
    </row>
    <row r="3553" spans="23:23">
      <c r="W3553" s="503"/>
    </row>
    <row r="3554" spans="23:23">
      <c r="W3554" s="503"/>
    </row>
    <row r="3555" spans="23:23">
      <c r="W3555" s="503"/>
    </row>
    <row r="3556" spans="23:23">
      <c r="W3556" s="503"/>
    </row>
    <row r="3557" spans="23:23">
      <c r="W3557" s="503"/>
    </row>
    <row r="3558" spans="23:23">
      <c r="W3558" s="503"/>
    </row>
    <row r="3559" spans="23:23">
      <c r="W3559" s="503"/>
    </row>
    <row r="3560" spans="23:23">
      <c r="W3560" s="503"/>
    </row>
    <row r="3561" spans="23:23">
      <c r="W3561" s="503"/>
    </row>
    <row r="3562" spans="23:23">
      <c r="W3562" s="503"/>
    </row>
    <row r="3563" spans="23:23">
      <c r="W3563" s="503"/>
    </row>
    <row r="3564" spans="23:23">
      <c r="W3564" s="503"/>
    </row>
    <row r="3565" spans="23:23">
      <c r="W3565" s="503"/>
    </row>
    <row r="3566" spans="23:23">
      <c r="W3566" s="503"/>
    </row>
    <row r="3567" spans="23:23">
      <c r="W3567" s="503"/>
    </row>
    <row r="3568" spans="23:23">
      <c r="W3568" s="503"/>
    </row>
    <row r="3569" spans="23:23">
      <c r="W3569" s="503"/>
    </row>
    <row r="3570" spans="23:23">
      <c r="W3570" s="503"/>
    </row>
    <row r="3571" spans="23:23">
      <c r="W3571" s="503"/>
    </row>
    <row r="3572" spans="23:23">
      <c r="W3572" s="503"/>
    </row>
    <row r="3573" spans="23:23">
      <c r="W3573" s="503"/>
    </row>
    <row r="3574" spans="23:23">
      <c r="W3574" s="503"/>
    </row>
    <row r="3575" spans="23:23">
      <c r="W3575" s="503"/>
    </row>
    <row r="3576" spans="23:23">
      <c r="W3576" s="503"/>
    </row>
    <row r="3577" spans="23:23">
      <c r="W3577" s="503"/>
    </row>
    <row r="3578" spans="23:23">
      <c r="W3578" s="503"/>
    </row>
    <row r="3579" spans="23:23">
      <c r="W3579" s="503"/>
    </row>
    <row r="3580" spans="23:23">
      <c r="W3580" s="503"/>
    </row>
    <row r="3581" spans="23:23">
      <c r="W3581" s="503"/>
    </row>
    <row r="3582" spans="23:23">
      <c r="W3582" s="503"/>
    </row>
    <row r="3583" spans="23:23">
      <c r="W3583" s="503"/>
    </row>
    <row r="3584" spans="23:23">
      <c r="W3584" s="503"/>
    </row>
    <row r="3585" spans="23:23">
      <c r="W3585" s="503"/>
    </row>
    <row r="3586" spans="23:23">
      <c r="W3586" s="503"/>
    </row>
    <row r="3587" spans="23:23">
      <c r="W3587" s="503"/>
    </row>
    <row r="3588" spans="23:23">
      <c r="W3588" s="503"/>
    </row>
    <row r="3589" spans="23:23">
      <c r="W3589" s="503"/>
    </row>
    <row r="3590" spans="23:23">
      <c r="W3590" s="503"/>
    </row>
    <row r="3591" spans="23:23">
      <c r="W3591" s="503"/>
    </row>
    <row r="3592" spans="23:23">
      <c r="W3592" s="503"/>
    </row>
    <row r="3593" spans="23:23">
      <c r="W3593" s="503"/>
    </row>
    <row r="3594" spans="23:23">
      <c r="W3594" s="503"/>
    </row>
    <row r="3595" spans="23:23">
      <c r="W3595" s="503"/>
    </row>
    <row r="3596" spans="23:23">
      <c r="W3596" s="503"/>
    </row>
    <row r="3597" spans="23:23">
      <c r="W3597" s="503"/>
    </row>
    <row r="3598" spans="23:23">
      <c r="W3598" s="503"/>
    </row>
    <row r="3599" spans="23:23">
      <c r="W3599" s="503"/>
    </row>
    <row r="3600" spans="23:23">
      <c r="W3600" s="503"/>
    </row>
    <row r="3601" spans="23:23">
      <c r="W3601" s="503"/>
    </row>
    <row r="3602" spans="23:23">
      <c r="W3602" s="503"/>
    </row>
    <row r="3603" spans="23:23">
      <c r="W3603" s="503"/>
    </row>
    <row r="3604" spans="23:23">
      <c r="W3604" s="503"/>
    </row>
    <row r="3605" spans="23:23">
      <c r="W3605" s="503"/>
    </row>
    <row r="3606" spans="23:23">
      <c r="W3606" s="503"/>
    </row>
    <row r="3607" spans="23:23">
      <c r="W3607" s="503"/>
    </row>
    <row r="3608" spans="23:23">
      <c r="W3608" s="503"/>
    </row>
    <row r="3609" spans="23:23">
      <c r="W3609" s="503"/>
    </row>
    <row r="3610" spans="23:23">
      <c r="W3610" s="503"/>
    </row>
    <row r="3611" spans="23:23">
      <c r="W3611" s="503"/>
    </row>
    <row r="3612" spans="23:23">
      <c r="W3612" s="503"/>
    </row>
    <row r="3613" spans="23:23">
      <c r="W3613" s="503"/>
    </row>
    <row r="3614" spans="23:23">
      <c r="W3614" s="503"/>
    </row>
    <row r="3615" spans="23:23">
      <c r="W3615" s="503"/>
    </row>
    <row r="3616" spans="23:23">
      <c r="W3616" s="503"/>
    </row>
    <row r="3617" spans="23:23">
      <c r="W3617" s="503"/>
    </row>
    <row r="3618" spans="23:23">
      <c r="W3618" s="503"/>
    </row>
    <row r="3619" spans="23:23">
      <c r="W3619" s="503"/>
    </row>
    <row r="3620" spans="23:23">
      <c r="W3620" s="503"/>
    </row>
    <row r="3621" spans="23:23">
      <c r="W3621" s="503"/>
    </row>
    <row r="3622" spans="23:23">
      <c r="W3622" s="503"/>
    </row>
    <row r="3623" spans="23:23">
      <c r="W3623" s="503"/>
    </row>
    <row r="3624" spans="23:23">
      <c r="W3624" s="503"/>
    </row>
    <row r="3625" spans="23:23">
      <c r="W3625" s="503"/>
    </row>
    <row r="3626" spans="23:23">
      <c r="W3626" s="503"/>
    </row>
    <row r="3627" spans="23:23">
      <c r="W3627" s="503"/>
    </row>
    <row r="3628" spans="23:23">
      <c r="W3628" s="503"/>
    </row>
    <row r="3629" spans="23:23">
      <c r="W3629" s="503"/>
    </row>
    <row r="3630" spans="23:23">
      <c r="W3630" s="503"/>
    </row>
    <row r="3631" spans="23:23">
      <c r="W3631" s="503"/>
    </row>
    <row r="3632" spans="23:23">
      <c r="W3632" s="503"/>
    </row>
    <row r="3633" spans="23:23">
      <c r="W3633" s="503"/>
    </row>
    <row r="3634" spans="23:23">
      <c r="W3634" s="503"/>
    </row>
    <row r="3635" spans="23:23">
      <c r="W3635" s="503"/>
    </row>
    <row r="3636" spans="23:23">
      <c r="W3636" s="503"/>
    </row>
    <row r="3637" spans="23:23">
      <c r="W3637" s="503"/>
    </row>
    <row r="3638" spans="23:23">
      <c r="W3638" s="503"/>
    </row>
    <row r="3639" spans="23:23">
      <c r="W3639" s="503"/>
    </row>
    <row r="3640" spans="23:23">
      <c r="W3640" s="503"/>
    </row>
    <row r="3641" spans="23:23">
      <c r="W3641" s="503"/>
    </row>
    <row r="3642" spans="23:23">
      <c r="W3642" s="503"/>
    </row>
    <row r="3643" spans="23:23">
      <c r="W3643" s="503"/>
    </row>
    <row r="3644" spans="23:23">
      <c r="W3644" s="503"/>
    </row>
    <row r="3645" spans="23:23">
      <c r="W3645" s="503"/>
    </row>
    <row r="3646" spans="23:23">
      <c r="W3646" s="503"/>
    </row>
    <row r="3647" spans="23:23">
      <c r="W3647" s="503"/>
    </row>
    <row r="3648" spans="23:23">
      <c r="W3648" s="503"/>
    </row>
    <row r="3649" spans="23:23">
      <c r="W3649" s="503"/>
    </row>
    <row r="3650" spans="23:23">
      <c r="W3650" s="503"/>
    </row>
    <row r="3651" spans="23:23">
      <c r="W3651" s="503"/>
    </row>
    <row r="3652" spans="23:23">
      <c r="W3652" s="503"/>
    </row>
    <row r="3653" spans="23:23">
      <c r="W3653" s="503"/>
    </row>
    <row r="3654" spans="23:23">
      <c r="W3654" s="503"/>
    </row>
    <row r="3655" spans="23:23">
      <c r="W3655" s="503"/>
    </row>
    <row r="3656" spans="23:23">
      <c r="W3656" s="503"/>
    </row>
    <row r="3657" spans="23:23">
      <c r="W3657" s="503"/>
    </row>
    <row r="3658" spans="23:23">
      <c r="W3658" s="503"/>
    </row>
    <row r="3659" spans="23:23">
      <c r="W3659" s="503"/>
    </row>
    <row r="3660" spans="23:23">
      <c r="W3660" s="503"/>
    </row>
    <row r="3661" spans="23:23">
      <c r="W3661" s="503"/>
    </row>
    <row r="3662" spans="23:23">
      <c r="W3662" s="503"/>
    </row>
    <row r="3663" spans="23:23">
      <c r="W3663" s="503"/>
    </row>
    <row r="3664" spans="23:23">
      <c r="W3664" s="503"/>
    </row>
    <row r="3665" spans="23:23">
      <c r="W3665" s="503"/>
    </row>
    <row r="3666" spans="23:23">
      <c r="W3666" s="503"/>
    </row>
    <row r="3667" spans="23:23">
      <c r="W3667" s="503"/>
    </row>
    <row r="3668" spans="23:23">
      <c r="W3668" s="503"/>
    </row>
    <row r="3669" spans="23:23">
      <c r="W3669" s="503"/>
    </row>
    <row r="3670" spans="23:23">
      <c r="W3670" s="503"/>
    </row>
    <row r="3671" spans="23:23">
      <c r="W3671" s="503"/>
    </row>
    <row r="3672" spans="23:23">
      <c r="W3672" s="503"/>
    </row>
    <row r="3673" spans="23:23">
      <c r="W3673" s="503"/>
    </row>
    <row r="3674" spans="23:23">
      <c r="W3674" s="503"/>
    </row>
    <row r="3675" spans="23:23">
      <c r="W3675" s="503"/>
    </row>
    <row r="3676" spans="23:23">
      <c r="W3676" s="503"/>
    </row>
    <row r="3677" spans="23:23">
      <c r="W3677" s="503"/>
    </row>
    <row r="3678" spans="23:23">
      <c r="W3678" s="503"/>
    </row>
    <row r="3679" spans="23:23">
      <c r="W3679" s="503"/>
    </row>
    <row r="3680" spans="23:23">
      <c r="W3680" s="503"/>
    </row>
    <row r="3681" spans="23:23">
      <c r="W3681" s="503"/>
    </row>
    <row r="3682" spans="23:23">
      <c r="W3682" s="503"/>
    </row>
    <row r="3683" spans="23:23">
      <c r="W3683" s="503"/>
    </row>
    <row r="3684" spans="23:23">
      <c r="W3684" s="503"/>
    </row>
    <row r="3685" spans="23:23">
      <c r="W3685" s="503"/>
    </row>
    <row r="3686" spans="23:23">
      <c r="W3686" s="503"/>
    </row>
    <row r="3687" spans="23:23">
      <c r="W3687" s="503"/>
    </row>
    <row r="3688" spans="23:23">
      <c r="W3688" s="503"/>
    </row>
    <row r="3689" spans="23:23">
      <c r="W3689" s="503"/>
    </row>
    <row r="3690" spans="23:23">
      <c r="W3690" s="503"/>
    </row>
    <row r="3691" spans="23:23">
      <c r="W3691" s="503"/>
    </row>
    <row r="3692" spans="23:23">
      <c r="W3692" s="503"/>
    </row>
    <row r="3693" spans="23:23">
      <c r="W3693" s="503"/>
    </row>
    <row r="3694" spans="23:23">
      <c r="W3694" s="503"/>
    </row>
    <row r="3695" spans="23:23">
      <c r="W3695" s="503"/>
    </row>
    <row r="3696" spans="23:23">
      <c r="W3696" s="503"/>
    </row>
    <row r="3697" spans="23:23">
      <c r="W3697" s="503"/>
    </row>
    <row r="3698" spans="23:23">
      <c r="W3698" s="503"/>
    </row>
    <row r="3699" spans="23:23">
      <c r="W3699" s="503"/>
    </row>
    <row r="3700" spans="23:23">
      <c r="W3700" s="503"/>
    </row>
    <row r="3701" spans="23:23">
      <c r="W3701" s="503"/>
    </row>
    <row r="3702" spans="23:23">
      <c r="W3702" s="503"/>
    </row>
    <row r="3703" spans="23:23">
      <c r="W3703" s="503"/>
    </row>
    <row r="3704" spans="23:23">
      <c r="W3704" s="503"/>
    </row>
    <row r="3705" spans="23:23">
      <c r="W3705" s="503"/>
    </row>
    <row r="3706" spans="23:23">
      <c r="W3706" s="503"/>
    </row>
    <row r="3707" spans="23:23">
      <c r="W3707" s="503"/>
    </row>
    <row r="3708" spans="23:23">
      <c r="W3708" s="503"/>
    </row>
    <row r="3709" spans="23:23">
      <c r="W3709" s="503"/>
    </row>
    <row r="3710" spans="23:23">
      <c r="W3710" s="503"/>
    </row>
    <row r="3711" spans="23:23">
      <c r="W3711" s="503"/>
    </row>
    <row r="3712" spans="23:23">
      <c r="W3712" s="503"/>
    </row>
    <row r="3713" spans="23:23">
      <c r="W3713" s="503"/>
    </row>
    <row r="3714" spans="23:23">
      <c r="W3714" s="503"/>
    </row>
    <row r="3715" spans="23:23">
      <c r="W3715" s="503"/>
    </row>
    <row r="3716" spans="23:23">
      <c r="W3716" s="503"/>
    </row>
    <row r="3717" spans="23:23">
      <c r="W3717" s="503"/>
    </row>
    <row r="3718" spans="23:23">
      <c r="W3718" s="503"/>
    </row>
    <row r="3719" spans="23:23">
      <c r="W3719" s="503"/>
    </row>
    <row r="3720" spans="23:23">
      <c r="W3720" s="503"/>
    </row>
    <row r="3721" spans="23:23">
      <c r="W3721" s="503"/>
    </row>
    <row r="3722" spans="23:23">
      <c r="W3722" s="503"/>
    </row>
    <row r="3723" spans="23:23">
      <c r="W3723" s="503"/>
    </row>
    <row r="3724" spans="23:23">
      <c r="W3724" s="503"/>
    </row>
    <row r="3725" spans="23:23">
      <c r="W3725" s="503"/>
    </row>
    <row r="3726" spans="23:23">
      <c r="W3726" s="503"/>
    </row>
    <row r="3727" spans="23:23">
      <c r="W3727" s="503"/>
    </row>
    <row r="3728" spans="23:23">
      <c r="W3728" s="503"/>
    </row>
    <row r="3729" spans="23:23">
      <c r="W3729" s="503"/>
    </row>
    <row r="3730" spans="23:23">
      <c r="W3730" s="503"/>
    </row>
    <row r="3731" spans="23:23">
      <c r="W3731" s="503"/>
    </row>
    <row r="3732" spans="23:23">
      <c r="W3732" s="503"/>
    </row>
    <row r="3733" spans="23:23">
      <c r="W3733" s="503"/>
    </row>
    <row r="3734" spans="23:23">
      <c r="W3734" s="503"/>
    </row>
    <row r="3735" spans="23:23">
      <c r="W3735" s="503"/>
    </row>
    <row r="3736" spans="23:23">
      <c r="W3736" s="503"/>
    </row>
    <row r="3737" spans="23:23">
      <c r="W3737" s="503"/>
    </row>
    <row r="3738" spans="23:23">
      <c r="W3738" s="503"/>
    </row>
    <row r="3739" spans="23:23">
      <c r="W3739" s="503"/>
    </row>
    <row r="3740" spans="23:23">
      <c r="W3740" s="503"/>
    </row>
    <row r="3741" spans="23:23">
      <c r="W3741" s="503"/>
    </row>
    <row r="3742" spans="23:23">
      <c r="W3742" s="503"/>
    </row>
    <row r="3743" spans="23:23">
      <c r="W3743" s="503"/>
    </row>
    <row r="3744" spans="23:23">
      <c r="W3744" s="503"/>
    </row>
    <row r="3745" spans="23:23">
      <c r="W3745" s="503"/>
    </row>
    <row r="3746" spans="23:23">
      <c r="W3746" s="503"/>
    </row>
    <row r="3747" spans="23:23">
      <c r="W3747" s="503"/>
    </row>
    <row r="3748" spans="23:23">
      <c r="W3748" s="503"/>
    </row>
    <row r="3749" spans="23:23">
      <c r="W3749" s="503"/>
    </row>
    <row r="3750" spans="23:23">
      <c r="W3750" s="503"/>
    </row>
    <row r="3751" spans="23:23">
      <c r="W3751" s="503"/>
    </row>
    <row r="3752" spans="23:23">
      <c r="W3752" s="503"/>
    </row>
    <row r="3753" spans="23:23">
      <c r="W3753" s="503"/>
    </row>
    <row r="3754" spans="23:23">
      <c r="W3754" s="503"/>
    </row>
    <row r="3755" spans="23:23">
      <c r="W3755" s="503"/>
    </row>
    <row r="3756" spans="23:23">
      <c r="W3756" s="503"/>
    </row>
    <row r="3757" spans="23:23">
      <c r="W3757" s="503"/>
    </row>
    <row r="3758" spans="23:23">
      <c r="W3758" s="503"/>
    </row>
    <row r="3759" spans="23:23">
      <c r="W3759" s="503"/>
    </row>
    <row r="3760" spans="23:23">
      <c r="W3760" s="503"/>
    </row>
    <row r="3761" spans="23:23">
      <c r="W3761" s="503"/>
    </row>
    <row r="3762" spans="23:23">
      <c r="W3762" s="503"/>
    </row>
    <row r="3763" spans="23:23">
      <c r="W3763" s="503"/>
    </row>
    <row r="3764" spans="23:23">
      <c r="W3764" s="503"/>
    </row>
    <row r="3765" spans="23:23">
      <c r="W3765" s="503"/>
    </row>
    <row r="3766" spans="23:23">
      <c r="W3766" s="503"/>
    </row>
    <row r="3767" spans="23:23">
      <c r="W3767" s="503"/>
    </row>
    <row r="3768" spans="23:23">
      <c r="W3768" s="503"/>
    </row>
    <row r="3769" spans="23:23">
      <c r="W3769" s="503"/>
    </row>
    <row r="3770" spans="23:23">
      <c r="W3770" s="503"/>
    </row>
    <row r="3771" spans="23:23">
      <c r="W3771" s="503"/>
    </row>
    <row r="3772" spans="23:23">
      <c r="W3772" s="503"/>
    </row>
    <row r="3773" spans="23:23">
      <c r="W3773" s="503"/>
    </row>
    <row r="3774" spans="23:23">
      <c r="W3774" s="503"/>
    </row>
    <row r="3775" spans="23:23">
      <c r="W3775" s="503"/>
    </row>
    <row r="3776" spans="23:23">
      <c r="W3776" s="503"/>
    </row>
    <row r="3777" spans="23:23">
      <c r="W3777" s="503"/>
    </row>
    <row r="3778" spans="23:23">
      <c r="W3778" s="503"/>
    </row>
    <row r="3779" spans="23:23">
      <c r="W3779" s="503"/>
    </row>
    <row r="3780" spans="23:23">
      <c r="W3780" s="503"/>
    </row>
    <row r="3781" spans="23:23">
      <c r="W3781" s="503"/>
    </row>
    <row r="3782" spans="23:23">
      <c r="W3782" s="503"/>
    </row>
    <row r="3783" spans="23:23">
      <c r="W3783" s="503"/>
    </row>
    <row r="3784" spans="23:23">
      <c r="W3784" s="503"/>
    </row>
    <row r="3785" spans="23:23">
      <c r="W3785" s="503"/>
    </row>
    <row r="3786" spans="23:23">
      <c r="W3786" s="503"/>
    </row>
    <row r="3787" spans="23:23">
      <c r="W3787" s="503"/>
    </row>
    <row r="3788" spans="23:23">
      <c r="W3788" s="503"/>
    </row>
    <row r="3789" spans="23:23">
      <c r="W3789" s="503"/>
    </row>
    <row r="3790" spans="23:23">
      <c r="W3790" s="503"/>
    </row>
    <row r="3791" spans="23:23">
      <c r="W3791" s="503"/>
    </row>
    <row r="3792" spans="23:23">
      <c r="W3792" s="503"/>
    </row>
    <row r="3793" spans="23:23">
      <c r="W3793" s="503"/>
    </row>
    <row r="3794" spans="23:23">
      <c r="W3794" s="503"/>
    </row>
    <row r="3795" spans="23:23">
      <c r="W3795" s="503"/>
    </row>
    <row r="3796" spans="23:23">
      <c r="W3796" s="503"/>
    </row>
    <row r="3797" spans="23:23">
      <c r="W3797" s="503"/>
    </row>
    <row r="3798" spans="23:23">
      <c r="W3798" s="503"/>
    </row>
    <row r="3799" spans="23:23">
      <c r="W3799" s="503"/>
    </row>
    <row r="3800" spans="23:23">
      <c r="W3800" s="503"/>
    </row>
    <row r="3801" spans="23:23">
      <c r="W3801" s="503"/>
    </row>
    <row r="3802" spans="23:23">
      <c r="W3802" s="503"/>
    </row>
    <row r="3803" spans="23:23">
      <c r="W3803" s="503"/>
    </row>
    <row r="3804" spans="23:23">
      <c r="W3804" s="503"/>
    </row>
    <row r="3805" spans="23:23">
      <c r="W3805" s="503"/>
    </row>
    <row r="3806" spans="23:23">
      <c r="W3806" s="503"/>
    </row>
    <row r="3807" spans="23:23">
      <c r="W3807" s="503"/>
    </row>
    <row r="3808" spans="23:23">
      <c r="W3808" s="503"/>
    </row>
    <row r="3809" spans="23:23">
      <c r="W3809" s="503"/>
    </row>
    <row r="3810" spans="23:23">
      <c r="W3810" s="503"/>
    </row>
    <row r="3811" spans="23:23">
      <c r="W3811" s="503"/>
    </row>
    <row r="3812" spans="23:23">
      <c r="W3812" s="503"/>
    </row>
    <row r="3813" spans="23:23">
      <c r="W3813" s="503"/>
    </row>
    <row r="3814" spans="23:23">
      <c r="W3814" s="503"/>
    </row>
    <row r="3815" spans="23:23">
      <c r="W3815" s="503"/>
    </row>
    <row r="3816" spans="23:23">
      <c r="W3816" s="503"/>
    </row>
    <row r="3817" spans="23:23">
      <c r="W3817" s="503"/>
    </row>
    <row r="3818" spans="23:23">
      <c r="W3818" s="503"/>
    </row>
    <row r="3819" spans="23:23">
      <c r="W3819" s="503"/>
    </row>
    <row r="3820" spans="23:23">
      <c r="W3820" s="503"/>
    </row>
    <row r="3821" spans="23:23">
      <c r="W3821" s="503"/>
    </row>
    <row r="3822" spans="23:23">
      <c r="W3822" s="503"/>
    </row>
    <row r="3823" spans="23:23">
      <c r="W3823" s="503"/>
    </row>
    <row r="3824" spans="23:23">
      <c r="W3824" s="503"/>
    </row>
    <row r="3825" spans="23:23">
      <c r="W3825" s="503"/>
    </row>
    <row r="3826" spans="23:23">
      <c r="W3826" s="503"/>
    </row>
    <row r="3827" spans="23:23">
      <c r="W3827" s="503"/>
    </row>
    <row r="3828" spans="23:23">
      <c r="W3828" s="503"/>
    </row>
    <row r="3829" spans="23:23">
      <c r="W3829" s="503"/>
    </row>
    <row r="3830" spans="23:23">
      <c r="W3830" s="503"/>
    </row>
    <row r="3831" spans="23:23">
      <c r="W3831" s="503"/>
    </row>
    <row r="3832" spans="23:23">
      <c r="W3832" s="503"/>
    </row>
    <row r="3833" spans="23:23">
      <c r="W3833" s="503"/>
    </row>
    <row r="3834" spans="23:23">
      <c r="W3834" s="503"/>
    </row>
    <row r="3835" spans="23:23">
      <c r="W3835" s="503"/>
    </row>
    <row r="3836" spans="23:23">
      <c r="W3836" s="503"/>
    </row>
    <row r="3837" spans="23:23">
      <c r="W3837" s="503"/>
    </row>
    <row r="3838" spans="23:23">
      <c r="W3838" s="503"/>
    </row>
    <row r="3839" spans="23:23">
      <c r="W3839" s="503"/>
    </row>
    <row r="3840" spans="23:23">
      <c r="W3840" s="503"/>
    </row>
    <row r="3841" spans="23:23">
      <c r="W3841" s="503"/>
    </row>
    <row r="3842" spans="23:23">
      <c r="W3842" s="503"/>
    </row>
    <row r="3843" spans="23:23">
      <c r="W3843" s="503"/>
    </row>
    <row r="3844" spans="23:23">
      <c r="W3844" s="503"/>
    </row>
    <row r="3845" spans="23:23">
      <c r="W3845" s="503"/>
    </row>
    <row r="3846" spans="23:23">
      <c r="W3846" s="503"/>
    </row>
    <row r="3847" spans="23:23">
      <c r="W3847" s="503"/>
    </row>
    <row r="3848" spans="23:23">
      <c r="W3848" s="503"/>
    </row>
    <row r="3849" spans="23:23">
      <c r="W3849" s="503"/>
    </row>
    <row r="3850" spans="23:23">
      <c r="W3850" s="503"/>
    </row>
    <row r="3851" spans="23:23">
      <c r="W3851" s="503"/>
    </row>
    <row r="3852" spans="23:23">
      <c r="W3852" s="503"/>
    </row>
    <row r="3853" spans="23:23">
      <c r="W3853" s="503"/>
    </row>
    <row r="3854" spans="23:23">
      <c r="W3854" s="503"/>
    </row>
    <row r="3855" spans="23:23">
      <c r="W3855" s="503"/>
    </row>
    <row r="3856" spans="23:23">
      <c r="W3856" s="503"/>
    </row>
    <row r="3857" spans="23:23">
      <c r="W3857" s="503"/>
    </row>
    <row r="3858" spans="23:23">
      <c r="W3858" s="503"/>
    </row>
    <row r="3859" spans="23:23">
      <c r="W3859" s="503"/>
    </row>
    <row r="3860" spans="23:23">
      <c r="W3860" s="503"/>
    </row>
    <row r="3861" spans="23:23">
      <c r="W3861" s="503"/>
    </row>
    <row r="3862" spans="23:23">
      <c r="W3862" s="503"/>
    </row>
    <row r="3863" spans="23:23">
      <c r="W3863" s="503"/>
    </row>
    <row r="3864" spans="23:23">
      <c r="W3864" s="503"/>
    </row>
    <row r="3865" spans="23:23">
      <c r="W3865" s="503"/>
    </row>
    <row r="3866" spans="23:23">
      <c r="W3866" s="503"/>
    </row>
    <row r="3867" spans="23:23">
      <c r="W3867" s="503"/>
    </row>
    <row r="3868" spans="23:23">
      <c r="W3868" s="503"/>
    </row>
    <row r="3869" spans="23:23">
      <c r="W3869" s="503"/>
    </row>
    <row r="3870" spans="23:23">
      <c r="W3870" s="503"/>
    </row>
    <row r="3871" spans="23:23">
      <c r="W3871" s="503"/>
    </row>
    <row r="3872" spans="23:23">
      <c r="W3872" s="503"/>
    </row>
    <row r="3873" spans="23:23">
      <c r="W3873" s="503"/>
    </row>
    <row r="3874" spans="23:23">
      <c r="W3874" s="503"/>
    </row>
    <row r="3875" spans="23:23">
      <c r="W3875" s="503"/>
    </row>
    <row r="3876" spans="23:23">
      <c r="W3876" s="503"/>
    </row>
    <row r="3877" spans="23:23">
      <c r="W3877" s="503"/>
    </row>
    <row r="3878" spans="23:23">
      <c r="W3878" s="503"/>
    </row>
    <row r="3879" spans="23:23">
      <c r="W3879" s="503"/>
    </row>
    <row r="3880" spans="23:23">
      <c r="W3880" s="503"/>
    </row>
    <row r="3881" spans="23:23">
      <c r="W3881" s="503"/>
    </row>
    <row r="3882" spans="23:23">
      <c r="W3882" s="503"/>
    </row>
    <row r="3883" spans="23:23">
      <c r="W3883" s="503"/>
    </row>
    <row r="3884" spans="23:23">
      <c r="W3884" s="503"/>
    </row>
    <row r="3885" spans="23:23">
      <c r="W3885" s="503"/>
    </row>
    <row r="3886" spans="23:23">
      <c r="W3886" s="503"/>
    </row>
    <row r="3887" spans="23:23">
      <c r="W3887" s="503"/>
    </row>
    <row r="3888" spans="23:23">
      <c r="W3888" s="503"/>
    </row>
    <row r="3889" spans="23:23">
      <c r="W3889" s="503"/>
    </row>
    <row r="3890" spans="23:23">
      <c r="W3890" s="503"/>
    </row>
    <row r="3891" spans="23:23">
      <c r="W3891" s="503"/>
    </row>
    <row r="3892" spans="23:23">
      <c r="W3892" s="503"/>
    </row>
    <row r="3893" spans="23:23">
      <c r="W3893" s="503"/>
    </row>
    <row r="3894" spans="23:23">
      <c r="W3894" s="503"/>
    </row>
    <row r="3895" spans="23:23">
      <c r="W3895" s="503"/>
    </row>
    <row r="3896" spans="23:23">
      <c r="W3896" s="503"/>
    </row>
    <row r="3897" spans="23:23">
      <c r="W3897" s="503"/>
    </row>
    <row r="3898" spans="23:23">
      <c r="W3898" s="503"/>
    </row>
    <row r="3899" spans="23:23">
      <c r="W3899" s="503"/>
    </row>
    <row r="3900" spans="23:23">
      <c r="W3900" s="503"/>
    </row>
    <row r="3901" spans="23:23">
      <c r="W3901" s="503"/>
    </row>
    <row r="3902" spans="23:23">
      <c r="W3902" s="503"/>
    </row>
    <row r="3903" spans="23:23">
      <c r="W3903" s="503"/>
    </row>
    <row r="3904" spans="23:23">
      <c r="W3904" s="503"/>
    </row>
    <row r="3905" spans="23:23">
      <c r="W3905" s="503"/>
    </row>
    <row r="3906" spans="23:23">
      <c r="W3906" s="503"/>
    </row>
    <row r="3907" spans="23:23">
      <c r="W3907" s="503"/>
    </row>
    <row r="3908" spans="23:23">
      <c r="W3908" s="503"/>
    </row>
    <row r="3909" spans="23:23">
      <c r="W3909" s="503"/>
    </row>
    <row r="3910" spans="23:23">
      <c r="W3910" s="503"/>
    </row>
    <row r="3911" spans="23:23">
      <c r="W3911" s="503"/>
    </row>
    <row r="3912" spans="23:23">
      <c r="W3912" s="503"/>
    </row>
    <row r="3913" spans="23:23">
      <c r="W3913" s="503"/>
    </row>
    <row r="3914" spans="23:23">
      <c r="W3914" s="503"/>
    </row>
    <row r="3915" spans="23:23">
      <c r="W3915" s="503"/>
    </row>
    <row r="3916" spans="23:23">
      <c r="W3916" s="503"/>
    </row>
    <row r="3917" spans="23:23">
      <c r="W3917" s="503"/>
    </row>
    <row r="3918" spans="23:23">
      <c r="W3918" s="503"/>
    </row>
    <row r="3919" spans="23:23">
      <c r="W3919" s="503"/>
    </row>
    <row r="3920" spans="23:23">
      <c r="W3920" s="503"/>
    </row>
    <row r="3921" spans="23:23">
      <c r="W3921" s="503"/>
    </row>
    <row r="3922" spans="23:23">
      <c r="W3922" s="503"/>
    </row>
    <row r="3923" spans="23:23">
      <c r="W3923" s="503"/>
    </row>
    <row r="3924" spans="23:23">
      <c r="W3924" s="503"/>
    </row>
    <row r="3925" spans="23:23">
      <c r="W3925" s="503"/>
    </row>
    <row r="3926" spans="23:23">
      <c r="W3926" s="503"/>
    </row>
    <row r="3927" spans="23:23">
      <c r="W3927" s="503"/>
    </row>
    <row r="3928" spans="23:23">
      <c r="W3928" s="503"/>
    </row>
    <row r="3929" spans="23:23">
      <c r="W3929" s="503"/>
    </row>
    <row r="3930" spans="23:23">
      <c r="W3930" s="503"/>
    </row>
    <row r="3931" spans="23:23">
      <c r="W3931" s="503"/>
    </row>
    <row r="3932" spans="23:23">
      <c r="W3932" s="503"/>
    </row>
    <row r="3933" spans="23:23">
      <c r="W3933" s="503"/>
    </row>
    <row r="3934" spans="23:23">
      <c r="W3934" s="503"/>
    </row>
    <row r="3935" spans="23:23">
      <c r="W3935" s="503"/>
    </row>
    <row r="3936" spans="23:23">
      <c r="W3936" s="503"/>
    </row>
    <row r="3937" spans="23:23">
      <c r="W3937" s="503"/>
    </row>
    <row r="3938" spans="23:23">
      <c r="W3938" s="503"/>
    </row>
    <row r="3939" spans="23:23">
      <c r="W3939" s="503"/>
    </row>
    <row r="3940" spans="23:23">
      <c r="W3940" s="503"/>
    </row>
    <row r="3941" spans="23:23">
      <c r="W3941" s="503"/>
    </row>
    <row r="3942" spans="23:23">
      <c r="W3942" s="503"/>
    </row>
    <row r="3943" spans="23:23">
      <c r="W3943" s="503"/>
    </row>
    <row r="3944" spans="23:23">
      <c r="W3944" s="503"/>
    </row>
    <row r="3945" spans="23:23">
      <c r="W3945" s="503"/>
    </row>
    <row r="3946" spans="23:23">
      <c r="W3946" s="503"/>
    </row>
    <row r="3947" spans="23:23">
      <c r="W3947" s="503"/>
    </row>
    <row r="3948" spans="23:23">
      <c r="W3948" s="503"/>
    </row>
    <row r="3949" spans="23:23">
      <c r="W3949" s="503"/>
    </row>
    <row r="3950" spans="23:23">
      <c r="W3950" s="503"/>
    </row>
    <row r="3951" spans="23:23">
      <c r="W3951" s="503"/>
    </row>
    <row r="3952" spans="23:23">
      <c r="W3952" s="503"/>
    </row>
    <row r="3953" spans="23:23">
      <c r="W3953" s="503"/>
    </row>
    <row r="3954" spans="23:23">
      <c r="W3954" s="503"/>
    </row>
    <row r="3955" spans="23:23">
      <c r="W3955" s="503"/>
    </row>
    <row r="3956" spans="23:23">
      <c r="W3956" s="503"/>
    </row>
    <row r="3957" spans="23:23">
      <c r="W3957" s="503"/>
    </row>
    <row r="3958" spans="23:23">
      <c r="W3958" s="503"/>
    </row>
    <row r="3959" spans="23:23">
      <c r="W3959" s="503"/>
    </row>
    <row r="3960" spans="23:23">
      <c r="W3960" s="503"/>
    </row>
    <row r="3961" spans="23:23">
      <c r="W3961" s="503"/>
    </row>
    <row r="3962" spans="23:23">
      <c r="W3962" s="503"/>
    </row>
    <row r="3963" spans="23:23">
      <c r="W3963" s="503"/>
    </row>
    <row r="3964" spans="23:23">
      <c r="W3964" s="503"/>
    </row>
    <row r="3965" spans="23:23">
      <c r="W3965" s="503"/>
    </row>
    <row r="3966" spans="23:23">
      <c r="W3966" s="503"/>
    </row>
    <row r="3967" spans="23:23">
      <c r="W3967" s="503"/>
    </row>
    <row r="3968" spans="23:23">
      <c r="W3968" s="503"/>
    </row>
    <row r="3969" spans="23:23">
      <c r="W3969" s="503"/>
    </row>
    <row r="3970" spans="23:23">
      <c r="W3970" s="503"/>
    </row>
    <row r="3971" spans="23:23">
      <c r="W3971" s="503"/>
    </row>
    <row r="3972" spans="23:23">
      <c r="W3972" s="503"/>
    </row>
    <row r="3973" spans="23:23">
      <c r="W3973" s="503"/>
    </row>
    <row r="3974" spans="23:23">
      <c r="W3974" s="503"/>
    </row>
    <row r="3975" spans="23:23">
      <c r="W3975" s="503"/>
    </row>
    <row r="3976" spans="23:23">
      <c r="W3976" s="503"/>
    </row>
    <row r="3977" spans="23:23">
      <c r="W3977" s="503"/>
    </row>
    <row r="3978" spans="23:23">
      <c r="W3978" s="503"/>
    </row>
    <row r="3979" spans="23:23">
      <c r="W3979" s="503"/>
    </row>
    <row r="3980" spans="23:23">
      <c r="W3980" s="503"/>
    </row>
    <row r="3981" spans="23:23">
      <c r="W3981" s="503"/>
    </row>
    <row r="3982" spans="23:23">
      <c r="W3982" s="503"/>
    </row>
    <row r="3983" spans="23:23">
      <c r="W3983" s="503"/>
    </row>
    <row r="3984" spans="23:23">
      <c r="W3984" s="503"/>
    </row>
    <row r="3985" spans="23:23">
      <c r="W3985" s="503"/>
    </row>
    <row r="3986" spans="23:23">
      <c r="W3986" s="503"/>
    </row>
    <row r="3987" spans="23:23">
      <c r="W3987" s="503"/>
    </row>
    <row r="3988" spans="23:23">
      <c r="W3988" s="503"/>
    </row>
    <row r="3989" spans="23:23">
      <c r="W3989" s="503"/>
    </row>
    <row r="3990" spans="23:23">
      <c r="W3990" s="503"/>
    </row>
    <row r="3991" spans="23:23">
      <c r="W3991" s="503"/>
    </row>
    <row r="3992" spans="23:23">
      <c r="W3992" s="503"/>
    </row>
    <row r="3993" spans="23:23">
      <c r="W3993" s="503"/>
    </row>
    <row r="3994" spans="23:23">
      <c r="W3994" s="503"/>
    </row>
    <row r="3995" spans="23:23">
      <c r="W3995" s="503"/>
    </row>
    <row r="3996" spans="23:23">
      <c r="W3996" s="503"/>
    </row>
    <row r="3997" spans="23:23">
      <c r="W3997" s="503"/>
    </row>
    <row r="3998" spans="23:23">
      <c r="W3998" s="503"/>
    </row>
    <row r="3999" spans="23:23">
      <c r="W3999" s="503"/>
    </row>
    <row r="4000" spans="23:23">
      <c r="W4000" s="503"/>
    </row>
    <row r="4001" spans="23:23">
      <c r="W4001" s="503"/>
    </row>
    <row r="4002" spans="23:23">
      <c r="W4002" s="503"/>
    </row>
    <row r="4003" spans="23:23">
      <c r="W4003" s="503"/>
    </row>
    <row r="4004" spans="23:23">
      <c r="W4004" s="503"/>
    </row>
    <row r="4005" spans="23:23">
      <c r="W4005" s="503"/>
    </row>
    <row r="4006" spans="23:23">
      <c r="W4006" s="503"/>
    </row>
    <row r="4007" spans="23:23">
      <c r="W4007" s="503"/>
    </row>
    <row r="4008" spans="23:23">
      <c r="W4008" s="503"/>
    </row>
    <row r="4009" spans="23:23">
      <c r="W4009" s="503"/>
    </row>
    <row r="4010" spans="23:23">
      <c r="W4010" s="503"/>
    </row>
    <row r="4011" spans="23:23">
      <c r="W4011" s="503"/>
    </row>
    <row r="4012" spans="23:23">
      <c r="W4012" s="503"/>
    </row>
    <row r="4013" spans="23:23">
      <c r="W4013" s="503"/>
    </row>
    <row r="4014" spans="23:23">
      <c r="W4014" s="503"/>
    </row>
    <row r="4015" spans="23:23">
      <c r="W4015" s="503"/>
    </row>
    <row r="4016" spans="23:23">
      <c r="W4016" s="503"/>
    </row>
    <row r="4017" spans="23:23">
      <c r="W4017" s="503"/>
    </row>
    <row r="4018" spans="23:23">
      <c r="W4018" s="503"/>
    </row>
    <row r="4019" spans="23:23">
      <c r="W4019" s="503"/>
    </row>
    <row r="4020" spans="23:23">
      <c r="W4020" s="503"/>
    </row>
    <row r="4021" spans="23:23">
      <c r="W4021" s="503"/>
    </row>
    <row r="4022" spans="23:23">
      <c r="W4022" s="503"/>
    </row>
    <row r="4023" spans="23:23">
      <c r="W4023" s="503"/>
    </row>
    <row r="4024" spans="23:23">
      <c r="W4024" s="503"/>
    </row>
    <row r="4025" spans="23:23">
      <c r="W4025" s="503"/>
    </row>
    <row r="4026" spans="23:23">
      <c r="W4026" s="503"/>
    </row>
    <row r="4027" spans="23:23">
      <c r="W4027" s="503"/>
    </row>
    <row r="4028" spans="23:23">
      <c r="W4028" s="503"/>
    </row>
    <row r="4029" spans="23:23">
      <c r="W4029" s="503"/>
    </row>
    <row r="4030" spans="23:23">
      <c r="W4030" s="503"/>
    </row>
    <row r="4031" spans="23:23">
      <c r="W4031" s="503"/>
    </row>
    <row r="4032" spans="23:23">
      <c r="W4032" s="503"/>
    </row>
    <row r="4033" spans="23:23">
      <c r="W4033" s="503"/>
    </row>
    <row r="4034" spans="23:23">
      <c r="W4034" s="503"/>
    </row>
    <row r="4035" spans="23:23">
      <c r="W4035" s="503"/>
    </row>
    <row r="4036" spans="23:23">
      <c r="W4036" s="503"/>
    </row>
    <row r="4037" spans="23:23">
      <c r="W4037" s="503"/>
    </row>
    <row r="4038" spans="23:23">
      <c r="W4038" s="503"/>
    </row>
    <row r="4039" spans="23:23">
      <c r="W4039" s="503"/>
    </row>
    <row r="4040" spans="23:23">
      <c r="W4040" s="503"/>
    </row>
    <row r="4041" spans="23:23">
      <c r="W4041" s="503"/>
    </row>
    <row r="4042" spans="23:23">
      <c r="W4042" s="503"/>
    </row>
    <row r="4043" spans="23:23">
      <c r="W4043" s="503"/>
    </row>
    <row r="4044" spans="23:23">
      <c r="W4044" s="503"/>
    </row>
    <row r="4045" spans="23:23">
      <c r="W4045" s="503"/>
    </row>
    <row r="4046" spans="23:23">
      <c r="W4046" s="503"/>
    </row>
    <row r="4047" spans="23:23">
      <c r="W4047" s="503"/>
    </row>
    <row r="4048" spans="23:23">
      <c r="W4048" s="503"/>
    </row>
    <row r="4049" spans="23:23">
      <c r="W4049" s="503"/>
    </row>
    <row r="4050" spans="23:23">
      <c r="W4050" s="503"/>
    </row>
    <row r="4051" spans="23:23">
      <c r="W4051" s="503"/>
    </row>
    <row r="4052" spans="23:23">
      <c r="W4052" s="503"/>
    </row>
    <row r="4053" spans="23:23">
      <c r="W4053" s="503"/>
    </row>
    <row r="4054" spans="23:23">
      <c r="W4054" s="503"/>
    </row>
    <row r="4055" spans="23:23">
      <c r="W4055" s="503"/>
    </row>
    <row r="4056" spans="23:23">
      <c r="W4056" s="503"/>
    </row>
    <row r="4057" spans="23:23">
      <c r="W4057" s="503"/>
    </row>
    <row r="4058" spans="23:23">
      <c r="W4058" s="503"/>
    </row>
    <row r="4059" spans="23:23">
      <c r="W4059" s="503"/>
    </row>
    <row r="4060" spans="23:23">
      <c r="W4060" s="503"/>
    </row>
    <row r="4061" spans="23:23">
      <c r="W4061" s="503"/>
    </row>
    <row r="4062" spans="23:23">
      <c r="W4062" s="503"/>
    </row>
    <row r="4063" spans="23:23">
      <c r="W4063" s="503"/>
    </row>
    <row r="4064" spans="23:23">
      <c r="W4064" s="503"/>
    </row>
    <row r="4065" spans="23:23">
      <c r="W4065" s="503"/>
    </row>
    <row r="4066" spans="23:23">
      <c r="W4066" s="503"/>
    </row>
    <row r="4067" spans="23:23">
      <c r="W4067" s="503"/>
    </row>
    <row r="4068" spans="23:23">
      <c r="W4068" s="503"/>
    </row>
    <row r="4069" spans="23:23">
      <c r="W4069" s="503"/>
    </row>
    <row r="4070" spans="23:23">
      <c r="W4070" s="503"/>
    </row>
    <row r="4071" spans="23:23">
      <c r="W4071" s="503"/>
    </row>
    <row r="4072" spans="23:23">
      <c r="W4072" s="503"/>
    </row>
    <row r="4073" spans="23:23">
      <c r="W4073" s="503"/>
    </row>
    <row r="4074" spans="23:23">
      <c r="W4074" s="503"/>
    </row>
    <row r="4075" spans="23:23">
      <c r="W4075" s="503"/>
    </row>
    <row r="4076" spans="23:23">
      <c r="W4076" s="503"/>
    </row>
    <row r="4077" spans="23:23">
      <c r="W4077" s="503"/>
    </row>
    <row r="4078" spans="23:23">
      <c r="W4078" s="503"/>
    </row>
    <row r="4079" spans="23:23">
      <c r="W4079" s="503"/>
    </row>
    <row r="4080" spans="23:23">
      <c r="W4080" s="503"/>
    </row>
    <row r="4081" spans="23:23">
      <c r="W4081" s="503"/>
    </row>
    <row r="4082" spans="23:23">
      <c r="W4082" s="503"/>
    </row>
    <row r="4083" spans="23:23">
      <c r="W4083" s="503"/>
    </row>
    <row r="4084" spans="23:23">
      <c r="W4084" s="503"/>
    </row>
    <row r="4085" spans="23:23">
      <c r="W4085" s="503"/>
    </row>
    <row r="4086" spans="23:23">
      <c r="W4086" s="503"/>
    </row>
    <row r="4087" spans="23:23">
      <c r="W4087" s="503"/>
    </row>
    <row r="4088" spans="23:23">
      <c r="W4088" s="503"/>
    </row>
    <row r="4089" spans="23:23">
      <c r="W4089" s="503"/>
    </row>
    <row r="4090" spans="23:23">
      <c r="W4090" s="503"/>
    </row>
    <row r="4091" spans="23:23">
      <c r="W4091" s="503"/>
    </row>
    <row r="4092" spans="23:23">
      <c r="W4092" s="503"/>
    </row>
    <row r="4093" spans="23:23">
      <c r="W4093" s="503"/>
    </row>
    <row r="4094" spans="23:23">
      <c r="W4094" s="503"/>
    </row>
    <row r="4095" spans="23:23">
      <c r="W4095" s="503"/>
    </row>
    <row r="4096" spans="23:23">
      <c r="W4096" s="503"/>
    </row>
    <row r="4097" spans="23:23">
      <c r="W4097" s="503"/>
    </row>
    <row r="4098" spans="23:23">
      <c r="W4098" s="503"/>
    </row>
    <row r="4099" spans="23:23">
      <c r="W4099" s="503"/>
    </row>
    <row r="4100" spans="23:23">
      <c r="W4100" s="503"/>
    </row>
    <row r="4101" spans="23:23">
      <c r="W4101" s="503"/>
    </row>
    <row r="4102" spans="23:23">
      <c r="W4102" s="503"/>
    </row>
    <row r="4103" spans="23:23">
      <c r="W4103" s="503"/>
    </row>
    <row r="4104" spans="23:23">
      <c r="W4104" s="503"/>
    </row>
    <row r="4105" spans="23:23">
      <c r="W4105" s="503"/>
    </row>
    <row r="4106" spans="23:23">
      <c r="W4106" s="503"/>
    </row>
    <row r="4107" spans="23:23">
      <c r="W4107" s="503"/>
    </row>
    <row r="4108" spans="23:23">
      <c r="W4108" s="503"/>
    </row>
    <row r="4109" spans="23:23">
      <c r="W4109" s="503"/>
    </row>
    <row r="4110" spans="23:23">
      <c r="W4110" s="503"/>
    </row>
    <row r="4111" spans="23:23">
      <c r="W4111" s="503"/>
    </row>
    <row r="4112" spans="23:23">
      <c r="W4112" s="503"/>
    </row>
    <row r="4113" spans="23:23">
      <c r="W4113" s="503"/>
    </row>
    <row r="4114" spans="23:23">
      <c r="W4114" s="503"/>
    </row>
    <row r="4115" spans="23:23">
      <c r="W4115" s="503"/>
    </row>
    <row r="4116" spans="23:23">
      <c r="W4116" s="503"/>
    </row>
    <row r="4117" spans="23:23">
      <c r="W4117" s="503"/>
    </row>
    <row r="4118" spans="23:23">
      <c r="W4118" s="503"/>
    </row>
    <row r="4119" spans="23:23">
      <c r="W4119" s="503"/>
    </row>
    <row r="4120" spans="23:23">
      <c r="W4120" s="503"/>
    </row>
    <row r="4121" spans="23:23">
      <c r="W4121" s="503"/>
    </row>
    <row r="4122" spans="23:23">
      <c r="W4122" s="503"/>
    </row>
    <row r="4123" spans="23:23">
      <c r="W4123" s="503"/>
    </row>
    <row r="4124" spans="23:23">
      <c r="W4124" s="503"/>
    </row>
    <row r="4125" spans="23:23">
      <c r="W4125" s="503"/>
    </row>
    <row r="4126" spans="23:23">
      <c r="W4126" s="503"/>
    </row>
    <row r="4127" spans="23:23">
      <c r="W4127" s="503"/>
    </row>
    <row r="4128" spans="23:23">
      <c r="W4128" s="503"/>
    </row>
    <row r="4129" spans="23:23">
      <c r="W4129" s="503"/>
    </row>
    <row r="4130" spans="23:23">
      <c r="W4130" s="503"/>
    </row>
    <row r="4131" spans="23:23">
      <c r="W4131" s="503"/>
    </row>
    <row r="4132" spans="23:23">
      <c r="W4132" s="503"/>
    </row>
    <row r="4133" spans="23:23">
      <c r="W4133" s="503"/>
    </row>
    <row r="4134" spans="23:23">
      <c r="W4134" s="503"/>
    </row>
    <row r="4135" spans="23:23">
      <c r="W4135" s="503"/>
    </row>
    <row r="4136" spans="23:23">
      <c r="W4136" s="503"/>
    </row>
    <row r="4137" spans="23:23">
      <c r="W4137" s="503"/>
    </row>
    <row r="4138" spans="23:23">
      <c r="W4138" s="503"/>
    </row>
    <row r="4139" spans="23:23">
      <c r="W4139" s="503"/>
    </row>
    <row r="4140" spans="23:23">
      <c r="W4140" s="503"/>
    </row>
    <row r="4141" spans="23:23">
      <c r="W4141" s="503"/>
    </row>
    <row r="4142" spans="23:23">
      <c r="W4142" s="503"/>
    </row>
    <row r="4143" spans="23:23">
      <c r="W4143" s="503"/>
    </row>
    <row r="4144" spans="23:23">
      <c r="W4144" s="503"/>
    </row>
    <row r="4145" spans="23:23">
      <c r="W4145" s="503"/>
    </row>
    <row r="4146" spans="23:23">
      <c r="W4146" s="503"/>
    </row>
    <row r="4147" spans="23:23">
      <c r="W4147" s="503"/>
    </row>
    <row r="4148" spans="23:23">
      <c r="W4148" s="503"/>
    </row>
    <row r="4149" spans="23:23">
      <c r="W4149" s="503"/>
    </row>
    <row r="4150" spans="23:23">
      <c r="W4150" s="503"/>
    </row>
    <row r="4151" spans="23:23">
      <c r="W4151" s="503"/>
    </row>
    <row r="4152" spans="23:23">
      <c r="W4152" s="503"/>
    </row>
    <row r="4153" spans="23:23">
      <c r="W4153" s="503"/>
    </row>
    <row r="4154" spans="23:23">
      <c r="W4154" s="503"/>
    </row>
    <row r="4155" spans="23:23">
      <c r="W4155" s="503"/>
    </row>
    <row r="4156" spans="23:23">
      <c r="W4156" s="503"/>
    </row>
    <row r="4157" spans="23:23">
      <c r="W4157" s="503"/>
    </row>
    <row r="4158" spans="23:23">
      <c r="W4158" s="503"/>
    </row>
    <row r="4159" spans="23:23">
      <c r="W4159" s="503"/>
    </row>
    <row r="4160" spans="23:23">
      <c r="W4160" s="503"/>
    </row>
    <row r="4161" spans="23:23">
      <c r="W4161" s="503"/>
    </row>
    <row r="4162" spans="23:23">
      <c r="W4162" s="503"/>
    </row>
    <row r="4163" spans="23:23">
      <c r="W4163" s="503"/>
    </row>
    <row r="4164" spans="23:23">
      <c r="W4164" s="503"/>
    </row>
    <row r="4165" spans="23:23">
      <c r="W4165" s="503"/>
    </row>
    <row r="4166" spans="23:23">
      <c r="W4166" s="503"/>
    </row>
    <row r="4167" spans="23:23">
      <c r="W4167" s="503"/>
    </row>
    <row r="4168" spans="23:23">
      <c r="W4168" s="503"/>
    </row>
    <row r="4169" spans="23:23">
      <c r="W4169" s="503"/>
    </row>
    <row r="4170" spans="23:23">
      <c r="W4170" s="503"/>
    </row>
    <row r="4171" spans="23:23">
      <c r="W4171" s="503"/>
    </row>
    <row r="4172" spans="23:23">
      <c r="W4172" s="503"/>
    </row>
    <row r="4173" spans="23:23">
      <c r="W4173" s="503"/>
    </row>
    <row r="4174" spans="23:23">
      <c r="W4174" s="503"/>
    </row>
    <row r="4175" spans="23:23">
      <c r="W4175" s="503"/>
    </row>
    <row r="4176" spans="23:23">
      <c r="W4176" s="503"/>
    </row>
    <row r="4177" spans="23:23">
      <c r="W4177" s="503"/>
    </row>
    <row r="4178" spans="23:23">
      <c r="W4178" s="503"/>
    </row>
    <row r="4179" spans="23:23">
      <c r="W4179" s="503"/>
    </row>
    <row r="4180" spans="23:23">
      <c r="W4180" s="503"/>
    </row>
    <row r="4181" spans="23:23">
      <c r="W4181" s="503"/>
    </row>
    <row r="4182" spans="23:23">
      <c r="W4182" s="503"/>
    </row>
    <row r="4183" spans="23:23">
      <c r="W4183" s="503"/>
    </row>
    <row r="4184" spans="23:23">
      <c r="W4184" s="503"/>
    </row>
    <row r="4185" spans="23:23">
      <c r="W4185" s="503"/>
    </row>
    <row r="4186" spans="23:23">
      <c r="W4186" s="503"/>
    </row>
    <row r="4187" spans="23:23">
      <c r="W4187" s="503"/>
    </row>
    <row r="4188" spans="23:23">
      <c r="W4188" s="503"/>
    </row>
    <row r="4189" spans="23:23">
      <c r="W4189" s="503"/>
    </row>
    <row r="4190" spans="23:23">
      <c r="W4190" s="503"/>
    </row>
    <row r="4191" spans="23:23">
      <c r="W4191" s="503"/>
    </row>
    <row r="4192" spans="23:23">
      <c r="W4192" s="503"/>
    </row>
    <row r="4193" spans="23:23">
      <c r="W4193" s="503"/>
    </row>
    <row r="4194" spans="23:23">
      <c r="W4194" s="503"/>
    </row>
    <row r="4195" spans="23:23">
      <c r="W4195" s="503"/>
    </row>
    <row r="4196" spans="23:23">
      <c r="W4196" s="503"/>
    </row>
    <row r="4197" spans="23:23">
      <c r="W4197" s="503"/>
    </row>
    <row r="4198" spans="23:23">
      <c r="W4198" s="503"/>
    </row>
    <row r="4199" spans="23:23">
      <c r="W4199" s="503"/>
    </row>
    <row r="4200" spans="23:23">
      <c r="W4200" s="503"/>
    </row>
    <row r="4201" spans="23:23">
      <c r="W4201" s="503"/>
    </row>
    <row r="4202" spans="23:23">
      <c r="W4202" s="503"/>
    </row>
    <row r="4203" spans="23:23">
      <c r="W4203" s="503"/>
    </row>
    <row r="4204" spans="23:23">
      <c r="W4204" s="503"/>
    </row>
    <row r="4205" spans="23:23">
      <c r="W4205" s="503"/>
    </row>
    <row r="4206" spans="23:23">
      <c r="W4206" s="503"/>
    </row>
    <row r="4207" spans="23:23">
      <c r="W4207" s="503"/>
    </row>
    <row r="4208" spans="23:23">
      <c r="W4208" s="503"/>
    </row>
    <row r="4209" spans="23:23">
      <c r="W4209" s="503"/>
    </row>
    <row r="4210" spans="23:23">
      <c r="W4210" s="503"/>
    </row>
    <row r="4211" spans="23:23">
      <c r="W4211" s="503"/>
    </row>
    <row r="4212" spans="23:23">
      <c r="W4212" s="503"/>
    </row>
    <row r="4213" spans="23:23">
      <c r="W4213" s="503"/>
    </row>
    <row r="4214" spans="23:23">
      <c r="W4214" s="503"/>
    </row>
    <row r="4215" spans="23:23">
      <c r="W4215" s="503"/>
    </row>
    <row r="4216" spans="23:23">
      <c r="W4216" s="503"/>
    </row>
    <row r="4217" spans="23:23">
      <c r="W4217" s="503"/>
    </row>
    <row r="4218" spans="23:23">
      <c r="W4218" s="503"/>
    </row>
    <row r="4219" spans="23:23">
      <c r="W4219" s="503"/>
    </row>
    <row r="4220" spans="23:23">
      <c r="W4220" s="503"/>
    </row>
    <row r="4221" spans="23:23">
      <c r="W4221" s="503"/>
    </row>
    <row r="4222" spans="23:23">
      <c r="W4222" s="503"/>
    </row>
    <row r="4223" spans="23:23">
      <c r="W4223" s="503"/>
    </row>
    <row r="4224" spans="23:23">
      <c r="W4224" s="503"/>
    </row>
    <row r="4225" spans="23:23">
      <c r="W4225" s="503"/>
    </row>
    <row r="4226" spans="23:23">
      <c r="W4226" s="503"/>
    </row>
    <row r="4227" spans="23:23">
      <c r="W4227" s="503"/>
    </row>
    <row r="4228" spans="23:23">
      <c r="W4228" s="503"/>
    </row>
    <row r="4229" spans="23:23">
      <c r="W4229" s="503"/>
    </row>
    <row r="4230" spans="23:23">
      <c r="W4230" s="503"/>
    </row>
    <row r="4231" spans="23:23">
      <c r="W4231" s="503"/>
    </row>
    <row r="4232" spans="23:23">
      <c r="W4232" s="503"/>
    </row>
    <row r="4233" spans="23:23">
      <c r="W4233" s="503"/>
    </row>
    <row r="4234" spans="23:23">
      <c r="W4234" s="503"/>
    </row>
    <row r="4235" spans="23:23">
      <c r="W4235" s="503"/>
    </row>
    <row r="4236" spans="23:23">
      <c r="W4236" s="503"/>
    </row>
    <row r="4237" spans="23:23">
      <c r="W4237" s="503"/>
    </row>
    <row r="4238" spans="23:23">
      <c r="W4238" s="503"/>
    </row>
    <row r="4239" spans="23:23">
      <c r="W4239" s="503"/>
    </row>
    <row r="4240" spans="23:23">
      <c r="W4240" s="503"/>
    </row>
    <row r="4241" spans="23:23">
      <c r="W4241" s="503"/>
    </row>
    <row r="4242" spans="23:23">
      <c r="W4242" s="503"/>
    </row>
    <row r="4243" spans="23:23">
      <c r="W4243" s="503"/>
    </row>
    <row r="4244" spans="23:23">
      <c r="W4244" s="503"/>
    </row>
    <row r="4245" spans="23:23">
      <c r="W4245" s="503"/>
    </row>
    <row r="4246" spans="23:23">
      <c r="W4246" s="503"/>
    </row>
    <row r="4247" spans="23:23">
      <c r="W4247" s="503"/>
    </row>
    <row r="4248" spans="23:23">
      <c r="W4248" s="503"/>
    </row>
    <row r="4249" spans="23:23">
      <c r="W4249" s="503"/>
    </row>
    <row r="4250" spans="23:23">
      <c r="W4250" s="503"/>
    </row>
    <row r="4251" spans="23:23">
      <c r="W4251" s="503"/>
    </row>
    <row r="4252" spans="23:23">
      <c r="W4252" s="503"/>
    </row>
    <row r="4253" spans="23:23">
      <c r="W4253" s="503"/>
    </row>
    <row r="4254" spans="23:23">
      <c r="W4254" s="503"/>
    </row>
    <row r="4255" spans="23:23">
      <c r="W4255" s="503"/>
    </row>
    <row r="4256" spans="23:23">
      <c r="W4256" s="503"/>
    </row>
    <row r="4257" spans="23:23">
      <c r="W4257" s="503"/>
    </row>
    <row r="4258" spans="23:23">
      <c r="W4258" s="503"/>
    </row>
    <row r="4259" spans="23:23">
      <c r="W4259" s="503"/>
    </row>
    <row r="4260" spans="23:23">
      <c r="W4260" s="503"/>
    </row>
    <row r="4261" spans="23:23">
      <c r="W4261" s="503"/>
    </row>
    <row r="4262" spans="23:23">
      <c r="W4262" s="503"/>
    </row>
    <row r="4263" spans="23:23">
      <c r="W4263" s="503"/>
    </row>
    <row r="4264" spans="23:23">
      <c r="W4264" s="503"/>
    </row>
    <row r="4265" spans="23:23">
      <c r="W4265" s="503"/>
    </row>
    <row r="4266" spans="23:23">
      <c r="W4266" s="503"/>
    </row>
    <row r="4267" spans="23:23">
      <c r="W4267" s="503"/>
    </row>
    <row r="4268" spans="23:23">
      <c r="W4268" s="503"/>
    </row>
    <row r="4269" spans="23:23">
      <c r="W4269" s="503"/>
    </row>
    <row r="4270" spans="23:23">
      <c r="W4270" s="503"/>
    </row>
    <row r="4271" spans="23:23">
      <c r="W4271" s="503"/>
    </row>
    <row r="4272" spans="23:23">
      <c r="W4272" s="503"/>
    </row>
    <row r="4273" spans="23:23">
      <c r="W4273" s="503"/>
    </row>
    <row r="4274" spans="23:23">
      <c r="W4274" s="503"/>
    </row>
    <row r="4275" spans="23:23">
      <c r="W4275" s="503"/>
    </row>
    <row r="4276" spans="23:23">
      <c r="W4276" s="503"/>
    </row>
    <row r="4277" spans="23:23">
      <c r="W4277" s="503"/>
    </row>
    <row r="4278" spans="23:23">
      <c r="W4278" s="503"/>
    </row>
    <row r="4279" spans="23:23">
      <c r="W4279" s="503"/>
    </row>
    <row r="4280" spans="23:23">
      <c r="W4280" s="503"/>
    </row>
    <row r="4281" spans="23:23">
      <c r="W4281" s="503"/>
    </row>
    <row r="4282" spans="23:23">
      <c r="W4282" s="503"/>
    </row>
    <row r="4283" spans="23:23">
      <c r="W4283" s="503"/>
    </row>
    <row r="4284" spans="23:23">
      <c r="W4284" s="503"/>
    </row>
    <row r="4285" spans="23:23">
      <c r="W4285" s="503"/>
    </row>
    <row r="4286" spans="23:23">
      <c r="W4286" s="503"/>
    </row>
    <row r="4287" spans="23:23">
      <c r="W4287" s="503"/>
    </row>
    <row r="4288" spans="23:23">
      <c r="W4288" s="503"/>
    </row>
    <row r="4289" spans="23:23">
      <c r="W4289" s="503"/>
    </row>
    <row r="4290" spans="23:23">
      <c r="W4290" s="503"/>
    </row>
    <row r="4291" spans="23:23">
      <c r="W4291" s="503"/>
    </row>
    <row r="4292" spans="23:23">
      <c r="W4292" s="503"/>
    </row>
    <row r="4293" spans="23:23">
      <c r="W4293" s="503"/>
    </row>
    <row r="4294" spans="23:23">
      <c r="W4294" s="503"/>
    </row>
    <row r="4295" spans="23:23">
      <c r="W4295" s="503"/>
    </row>
    <row r="4296" spans="23:23">
      <c r="W4296" s="503"/>
    </row>
    <row r="4297" spans="23:23">
      <c r="W4297" s="503"/>
    </row>
    <row r="4298" spans="23:23">
      <c r="W4298" s="503"/>
    </row>
    <row r="4299" spans="23:23">
      <c r="W4299" s="503"/>
    </row>
    <row r="4300" spans="23:23">
      <c r="W4300" s="503"/>
    </row>
    <row r="4301" spans="23:23">
      <c r="W4301" s="503"/>
    </row>
    <row r="4302" spans="23:23">
      <c r="W4302" s="503"/>
    </row>
    <row r="4303" spans="23:23">
      <c r="W4303" s="503"/>
    </row>
    <row r="4304" spans="23:23">
      <c r="W4304" s="503"/>
    </row>
    <row r="4305" spans="23:23">
      <c r="W4305" s="503"/>
    </row>
    <row r="4306" spans="23:23">
      <c r="W4306" s="503"/>
    </row>
    <row r="4307" spans="23:23">
      <c r="W4307" s="503"/>
    </row>
    <row r="4308" spans="23:23">
      <c r="W4308" s="503"/>
    </row>
    <row r="4309" spans="23:23">
      <c r="W4309" s="503"/>
    </row>
    <row r="4310" spans="23:23">
      <c r="W4310" s="503"/>
    </row>
    <row r="4311" spans="23:23">
      <c r="W4311" s="503"/>
    </row>
    <row r="4312" spans="23:23">
      <c r="W4312" s="503"/>
    </row>
    <row r="4313" spans="23:23">
      <c r="W4313" s="503"/>
    </row>
    <row r="4314" spans="23:23">
      <c r="W4314" s="503"/>
    </row>
    <row r="4315" spans="23:23">
      <c r="W4315" s="503"/>
    </row>
    <row r="4316" spans="23:23">
      <c r="W4316" s="503"/>
    </row>
    <row r="4317" spans="23:23">
      <c r="W4317" s="503"/>
    </row>
    <row r="4318" spans="23:23">
      <c r="W4318" s="503"/>
    </row>
    <row r="4319" spans="23:23">
      <c r="W4319" s="503"/>
    </row>
    <row r="4320" spans="23:23">
      <c r="W4320" s="503"/>
    </row>
    <row r="4321" spans="23:23">
      <c r="W4321" s="503"/>
    </row>
    <row r="4322" spans="23:23">
      <c r="W4322" s="503"/>
    </row>
    <row r="4323" spans="23:23">
      <c r="W4323" s="503"/>
    </row>
    <row r="4324" spans="23:23">
      <c r="W4324" s="503"/>
    </row>
    <row r="4325" spans="23:23">
      <c r="W4325" s="503"/>
    </row>
    <row r="4326" spans="23:23">
      <c r="W4326" s="503"/>
    </row>
    <row r="4327" spans="23:23">
      <c r="W4327" s="503"/>
    </row>
    <row r="4328" spans="23:23">
      <c r="W4328" s="503"/>
    </row>
    <row r="4329" spans="23:23">
      <c r="W4329" s="503"/>
    </row>
    <row r="4330" spans="23:23">
      <c r="W4330" s="503"/>
    </row>
    <row r="4331" spans="23:23">
      <c r="W4331" s="503"/>
    </row>
    <row r="4332" spans="23:23">
      <c r="W4332" s="503"/>
    </row>
    <row r="4333" spans="23:23">
      <c r="W4333" s="503"/>
    </row>
    <row r="4334" spans="23:23">
      <c r="W4334" s="503"/>
    </row>
    <row r="4335" spans="23:23">
      <c r="W4335" s="503"/>
    </row>
    <row r="4336" spans="23:23">
      <c r="W4336" s="503"/>
    </row>
    <row r="4337" spans="23:23">
      <c r="W4337" s="503"/>
    </row>
    <row r="4338" spans="23:23">
      <c r="W4338" s="503"/>
    </row>
    <row r="4339" spans="23:23">
      <c r="W4339" s="503"/>
    </row>
    <row r="4340" spans="23:23">
      <c r="W4340" s="503"/>
    </row>
    <row r="4341" spans="23:23">
      <c r="W4341" s="503"/>
    </row>
    <row r="4342" spans="23:23">
      <c r="W4342" s="503"/>
    </row>
    <row r="4343" spans="23:23">
      <c r="W4343" s="503"/>
    </row>
    <row r="4344" spans="23:23">
      <c r="W4344" s="503"/>
    </row>
    <row r="4345" spans="23:23">
      <c r="W4345" s="503"/>
    </row>
    <row r="4346" spans="23:23">
      <c r="W4346" s="503"/>
    </row>
    <row r="4347" spans="23:23">
      <c r="W4347" s="503"/>
    </row>
    <row r="4348" spans="23:23">
      <c r="W4348" s="503"/>
    </row>
    <row r="4349" spans="23:23">
      <c r="W4349" s="503"/>
    </row>
    <row r="4350" spans="23:23">
      <c r="W4350" s="503"/>
    </row>
    <row r="4351" spans="23:23">
      <c r="W4351" s="503"/>
    </row>
    <row r="4352" spans="23:23">
      <c r="W4352" s="503"/>
    </row>
    <row r="4353" spans="23:23">
      <c r="W4353" s="503"/>
    </row>
    <row r="4354" spans="23:23">
      <c r="W4354" s="503"/>
    </row>
    <row r="4355" spans="23:23">
      <c r="W4355" s="503"/>
    </row>
    <row r="4356" spans="23:23">
      <c r="W4356" s="503"/>
    </row>
    <row r="4357" spans="23:23">
      <c r="W4357" s="503"/>
    </row>
    <row r="4358" spans="23:23">
      <c r="W4358" s="503"/>
    </row>
    <row r="4359" spans="23:23">
      <c r="W4359" s="503"/>
    </row>
    <row r="4360" spans="23:23">
      <c r="W4360" s="503"/>
    </row>
    <row r="4361" spans="23:23">
      <c r="W4361" s="503"/>
    </row>
    <row r="4362" spans="23:23">
      <c r="W4362" s="503"/>
    </row>
    <row r="4363" spans="23:23">
      <c r="W4363" s="503"/>
    </row>
    <row r="4364" spans="23:23">
      <c r="W4364" s="503"/>
    </row>
    <row r="4365" spans="23:23">
      <c r="W4365" s="503"/>
    </row>
    <row r="4366" spans="23:23">
      <c r="W4366" s="503"/>
    </row>
    <row r="4367" spans="23:23">
      <c r="W4367" s="503"/>
    </row>
    <row r="4368" spans="23:23">
      <c r="W4368" s="503"/>
    </row>
    <row r="4369" spans="23:23">
      <c r="W4369" s="503"/>
    </row>
    <row r="4370" spans="23:23">
      <c r="W4370" s="503"/>
    </row>
    <row r="4371" spans="23:23">
      <c r="W4371" s="503"/>
    </row>
    <row r="4372" spans="23:23">
      <c r="W4372" s="503"/>
    </row>
    <row r="4373" spans="23:23">
      <c r="W4373" s="503"/>
    </row>
    <row r="4374" spans="23:23">
      <c r="W4374" s="503"/>
    </row>
    <row r="4375" spans="23:23">
      <c r="W4375" s="503"/>
    </row>
    <row r="4376" spans="23:23">
      <c r="W4376" s="503"/>
    </row>
    <row r="4377" spans="23:23">
      <c r="W4377" s="503"/>
    </row>
    <row r="4378" spans="23:23">
      <c r="W4378" s="503"/>
    </row>
    <row r="4379" spans="23:23">
      <c r="W4379" s="503"/>
    </row>
    <row r="4380" spans="23:23">
      <c r="W4380" s="503"/>
    </row>
    <row r="4381" spans="23:23">
      <c r="W4381" s="503"/>
    </row>
    <row r="4382" spans="23:23">
      <c r="W4382" s="503"/>
    </row>
    <row r="4383" spans="23:23">
      <c r="W4383" s="503"/>
    </row>
    <row r="4384" spans="23:23">
      <c r="W4384" s="503"/>
    </row>
    <row r="4385" spans="23:23">
      <c r="W4385" s="503"/>
    </row>
    <row r="4386" spans="23:23">
      <c r="W4386" s="503"/>
    </row>
    <row r="4387" spans="23:23">
      <c r="W4387" s="503"/>
    </row>
    <row r="4388" spans="23:23">
      <c r="W4388" s="503"/>
    </row>
    <row r="4389" spans="23:23">
      <c r="W4389" s="503"/>
    </row>
    <row r="4390" spans="23:23">
      <c r="W4390" s="503"/>
    </row>
    <row r="4391" spans="23:23">
      <c r="W4391" s="503"/>
    </row>
    <row r="4392" spans="23:23">
      <c r="W4392" s="503"/>
    </row>
    <row r="4393" spans="23:23">
      <c r="W4393" s="503"/>
    </row>
    <row r="4394" spans="23:23">
      <c r="W4394" s="503"/>
    </row>
    <row r="4395" spans="23:23">
      <c r="W4395" s="503"/>
    </row>
    <row r="4396" spans="23:23">
      <c r="W4396" s="503"/>
    </row>
    <row r="4397" spans="23:23">
      <c r="W4397" s="503"/>
    </row>
    <row r="4398" spans="23:23">
      <c r="W4398" s="503"/>
    </row>
    <row r="4399" spans="23:23">
      <c r="W4399" s="503"/>
    </row>
    <row r="4400" spans="23:23">
      <c r="W4400" s="503"/>
    </row>
    <row r="4401" spans="23:23">
      <c r="W4401" s="503"/>
    </row>
    <row r="4402" spans="23:23">
      <c r="W4402" s="503"/>
    </row>
    <row r="4403" spans="23:23">
      <c r="W4403" s="503"/>
    </row>
    <row r="4404" spans="23:23">
      <c r="W4404" s="503"/>
    </row>
    <row r="4405" spans="23:23">
      <c r="W4405" s="503"/>
    </row>
    <row r="4406" spans="23:23">
      <c r="W4406" s="503"/>
    </row>
    <row r="4407" spans="23:23">
      <c r="W4407" s="503"/>
    </row>
    <row r="4408" spans="23:23">
      <c r="W4408" s="503"/>
    </row>
    <row r="4409" spans="23:23">
      <c r="W4409" s="503"/>
    </row>
    <row r="4410" spans="23:23">
      <c r="W4410" s="503"/>
    </row>
    <row r="4411" spans="23:23">
      <c r="W4411" s="503"/>
    </row>
    <row r="4412" spans="23:23">
      <c r="W4412" s="503"/>
    </row>
    <row r="4413" spans="23:23">
      <c r="W4413" s="503"/>
    </row>
    <row r="4414" spans="23:23">
      <c r="W4414" s="503"/>
    </row>
    <row r="4415" spans="23:23">
      <c r="W4415" s="503"/>
    </row>
    <row r="4416" spans="23:23">
      <c r="W4416" s="503"/>
    </row>
    <row r="4417" spans="23:23">
      <c r="W4417" s="503"/>
    </row>
    <row r="4418" spans="23:23">
      <c r="W4418" s="503"/>
    </row>
    <row r="4419" spans="23:23">
      <c r="W4419" s="503"/>
    </row>
    <row r="4420" spans="23:23">
      <c r="W4420" s="503"/>
    </row>
    <row r="4421" spans="23:23">
      <c r="W4421" s="503"/>
    </row>
    <row r="4422" spans="23:23">
      <c r="W4422" s="503"/>
    </row>
    <row r="4423" spans="23:23">
      <c r="W4423" s="503"/>
    </row>
    <row r="4424" spans="23:23">
      <c r="W4424" s="503"/>
    </row>
    <row r="4425" spans="23:23">
      <c r="W4425" s="503"/>
    </row>
    <row r="4426" spans="23:23">
      <c r="W4426" s="503"/>
    </row>
    <row r="4427" spans="23:23">
      <c r="W4427" s="503"/>
    </row>
    <row r="4428" spans="23:23">
      <c r="W4428" s="503"/>
    </row>
    <row r="4429" spans="23:23">
      <c r="W4429" s="503"/>
    </row>
    <row r="4430" spans="23:23">
      <c r="W4430" s="503"/>
    </row>
    <row r="4431" spans="23:23">
      <c r="W4431" s="503"/>
    </row>
    <row r="4432" spans="23:23">
      <c r="W4432" s="503"/>
    </row>
    <row r="4433" spans="23:23">
      <c r="W4433" s="503"/>
    </row>
    <row r="4434" spans="23:23">
      <c r="W4434" s="503"/>
    </row>
    <row r="4435" spans="23:23">
      <c r="W4435" s="503"/>
    </row>
    <row r="4436" spans="23:23">
      <c r="W4436" s="503"/>
    </row>
    <row r="4437" spans="23:23">
      <c r="W4437" s="503"/>
    </row>
    <row r="4438" spans="23:23">
      <c r="W4438" s="503"/>
    </row>
    <row r="4439" spans="23:23">
      <c r="W4439" s="503"/>
    </row>
    <row r="4440" spans="23:23">
      <c r="W4440" s="503"/>
    </row>
    <row r="4441" spans="23:23">
      <c r="W4441" s="503"/>
    </row>
    <row r="4442" spans="23:23">
      <c r="W4442" s="503"/>
    </row>
    <row r="4443" spans="23:23">
      <c r="W4443" s="503"/>
    </row>
    <row r="4444" spans="23:23">
      <c r="W4444" s="503"/>
    </row>
    <row r="4445" spans="23:23">
      <c r="W4445" s="503"/>
    </row>
    <row r="4446" spans="23:23">
      <c r="W4446" s="503"/>
    </row>
    <row r="4447" spans="23:23">
      <c r="W4447" s="503"/>
    </row>
    <row r="4448" spans="23:23">
      <c r="W4448" s="503"/>
    </row>
    <row r="4449" spans="23:23">
      <c r="W4449" s="503"/>
    </row>
    <row r="4450" spans="23:23">
      <c r="W4450" s="503"/>
    </row>
    <row r="4451" spans="23:23">
      <c r="W4451" s="503"/>
    </row>
    <row r="4452" spans="23:23">
      <c r="W4452" s="503"/>
    </row>
    <row r="4453" spans="23:23">
      <c r="W4453" s="503"/>
    </row>
    <row r="4454" spans="23:23">
      <c r="W4454" s="503"/>
    </row>
    <row r="4455" spans="23:23">
      <c r="W4455" s="503"/>
    </row>
    <row r="4456" spans="23:23">
      <c r="W4456" s="503"/>
    </row>
    <row r="4457" spans="23:23">
      <c r="W4457" s="503"/>
    </row>
    <row r="4458" spans="23:23">
      <c r="W4458" s="503"/>
    </row>
    <row r="4459" spans="23:23">
      <c r="W4459" s="503"/>
    </row>
    <row r="4460" spans="23:23">
      <c r="W4460" s="503"/>
    </row>
    <row r="4461" spans="23:23">
      <c r="W4461" s="503"/>
    </row>
    <row r="4462" spans="23:23">
      <c r="W4462" s="503"/>
    </row>
    <row r="4463" spans="23:23">
      <c r="W4463" s="503"/>
    </row>
    <row r="4464" spans="23:23">
      <c r="W4464" s="503"/>
    </row>
    <row r="4465" spans="23:23">
      <c r="W4465" s="503"/>
    </row>
    <row r="4466" spans="23:23">
      <c r="W4466" s="503"/>
    </row>
    <row r="4467" spans="23:23">
      <c r="W4467" s="503"/>
    </row>
    <row r="4468" spans="23:23">
      <c r="W4468" s="503"/>
    </row>
    <row r="4469" spans="23:23">
      <c r="W4469" s="503"/>
    </row>
    <row r="4470" spans="23:23">
      <c r="W4470" s="503"/>
    </row>
    <row r="4471" spans="23:23">
      <c r="W4471" s="503"/>
    </row>
    <row r="4472" spans="23:23">
      <c r="W4472" s="503"/>
    </row>
    <row r="4473" spans="23:23">
      <c r="W4473" s="503"/>
    </row>
    <row r="4474" spans="23:23">
      <c r="W4474" s="503"/>
    </row>
    <row r="4475" spans="23:23">
      <c r="W4475" s="503"/>
    </row>
    <row r="4476" spans="23:23">
      <c r="W4476" s="503"/>
    </row>
    <row r="4477" spans="23:23">
      <c r="W4477" s="503"/>
    </row>
    <row r="4478" spans="23:23">
      <c r="W4478" s="503"/>
    </row>
    <row r="4479" spans="23:23">
      <c r="W4479" s="503"/>
    </row>
    <row r="4480" spans="23:23">
      <c r="W4480" s="503"/>
    </row>
    <row r="4481" spans="23:23">
      <c r="W4481" s="503"/>
    </row>
    <row r="4482" spans="23:23">
      <c r="W4482" s="503"/>
    </row>
    <row r="4483" spans="23:23">
      <c r="W4483" s="503"/>
    </row>
    <row r="4484" spans="23:23">
      <c r="W4484" s="503"/>
    </row>
    <row r="4485" spans="23:23">
      <c r="W4485" s="503"/>
    </row>
    <row r="4486" spans="23:23">
      <c r="W4486" s="503"/>
    </row>
    <row r="4487" spans="23:23">
      <c r="W4487" s="503"/>
    </row>
    <row r="4488" spans="23:23">
      <c r="W4488" s="503"/>
    </row>
    <row r="4489" spans="23:23">
      <c r="W4489" s="503"/>
    </row>
    <row r="4490" spans="23:23">
      <c r="W4490" s="503"/>
    </row>
    <row r="4491" spans="23:23">
      <c r="W4491" s="503"/>
    </row>
    <row r="4492" spans="23:23">
      <c r="W4492" s="503"/>
    </row>
    <row r="4493" spans="23:23">
      <c r="W4493" s="503"/>
    </row>
    <row r="4494" spans="23:23">
      <c r="W4494" s="503"/>
    </row>
    <row r="4495" spans="23:23">
      <c r="W4495" s="503"/>
    </row>
    <row r="4496" spans="23:23">
      <c r="W4496" s="503"/>
    </row>
    <row r="4497" spans="23:23">
      <c r="W4497" s="503"/>
    </row>
    <row r="4498" spans="23:23">
      <c r="W4498" s="503"/>
    </row>
    <row r="4499" spans="23:23">
      <c r="W4499" s="503"/>
    </row>
    <row r="4500" spans="23:23">
      <c r="W4500" s="503"/>
    </row>
    <row r="4501" spans="23:23">
      <c r="W4501" s="503"/>
    </row>
    <row r="4502" spans="23:23">
      <c r="W4502" s="503"/>
    </row>
    <row r="4503" spans="23:23">
      <c r="W4503" s="503"/>
    </row>
    <row r="4504" spans="23:23">
      <c r="W4504" s="503"/>
    </row>
    <row r="4505" spans="23:23">
      <c r="W4505" s="503"/>
    </row>
    <row r="4506" spans="23:23">
      <c r="W4506" s="503"/>
    </row>
    <row r="4507" spans="23:23">
      <c r="W4507" s="503"/>
    </row>
    <row r="4508" spans="23:23">
      <c r="W4508" s="503"/>
    </row>
    <row r="4509" spans="23:23">
      <c r="W4509" s="503"/>
    </row>
    <row r="4510" spans="23:23">
      <c r="W4510" s="503"/>
    </row>
    <row r="4511" spans="23:23">
      <c r="W4511" s="503"/>
    </row>
    <row r="4512" spans="23:23">
      <c r="W4512" s="503"/>
    </row>
    <row r="4513" spans="23:23">
      <c r="W4513" s="503"/>
    </row>
    <row r="4514" spans="23:23">
      <c r="W4514" s="503"/>
    </row>
    <row r="4515" spans="23:23">
      <c r="W4515" s="503"/>
    </row>
    <row r="4516" spans="23:23">
      <c r="W4516" s="503"/>
    </row>
    <row r="4517" spans="23:23">
      <c r="W4517" s="503"/>
    </row>
    <row r="4518" spans="23:23">
      <c r="W4518" s="503"/>
    </row>
    <row r="4519" spans="23:23">
      <c r="W4519" s="503"/>
    </row>
    <row r="4520" spans="23:23">
      <c r="W4520" s="503"/>
    </row>
    <row r="4521" spans="23:23">
      <c r="W4521" s="503"/>
    </row>
    <row r="4522" spans="23:23">
      <c r="W4522" s="503"/>
    </row>
    <row r="4523" spans="23:23">
      <c r="W4523" s="503"/>
    </row>
    <row r="4524" spans="23:23">
      <c r="W4524" s="503"/>
    </row>
    <row r="4525" spans="23:23">
      <c r="W4525" s="503"/>
    </row>
    <row r="4526" spans="23:23">
      <c r="W4526" s="503"/>
    </row>
    <row r="4527" spans="23:23">
      <c r="W4527" s="503"/>
    </row>
    <row r="4528" spans="23:23">
      <c r="W4528" s="503"/>
    </row>
    <row r="4529" spans="23:23">
      <c r="W4529" s="503"/>
    </row>
    <row r="4530" spans="23:23">
      <c r="W4530" s="503"/>
    </row>
    <row r="4531" spans="23:23">
      <c r="W4531" s="503"/>
    </row>
    <row r="4532" spans="23:23">
      <c r="W4532" s="503"/>
    </row>
    <row r="4533" spans="23:23">
      <c r="W4533" s="503"/>
    </row>
    <row r="4534" spans="23:23">
      <c r="W4534" s="503"/>
    </row>
    <row r="4535" spans="23:23">
      <c r="W4535" s="503"/>
    </row>
    <row r="4536" spans="23:23">
      <c r="W4536" s="503"/>
    </row>
    <row r="4537" spans="23:23">
      <c r="W4537" s="503"/>
    </row>
    <row r="4538" spans="23:23">
      <c r="W4538" s="503"/>
    </row>
    <row r="4539" spans="23:23">
      <c r="W4539" s="503"/>
    </row>
    <row r="4540" spans="23:23">
      <c r="W4540" s="503"/>
    </row>
    <row r="4541" spans="23:23">
      <c r="W4541" s="503"/>
    </row>
    <row r="4542" spans="23:23">
      <c r="W4542" s="503"/>
    </row>
    <row r="4543" spans="23:23">
      <c r="W4543" s="503"/>
    </row>
    <row r="4544" spans="23:23">
      <c r="W4544" s="503"/>
    </row>
    <row r="4545" spans="23:23">
      <c r="W4545" s="503"/>
    </row>
    <row r="4546" spans="23:23">
      <c r="W4546" s="503"/>
    </row>
    <row r="4547" spans="23:23">
      <c r="W4547" s="503"/>
    </row>
    <row r="4548" spans="23:23">
      <c r="W4548" s="503"/>
    </row>
    <row r="4549" spans="23:23">
      <c r="W4549" s="503"/>
    </row>
    <row r="4550" spans="23:23">
      <c r="W4550" s="503"/>
    </row>
    <row r="4551" spans="23:23">
      <c r="W4551" s="503"/>
    </row>
    <row r="4552" spans="23:23">
      <c r="W4552" s="503"/>
    </row>
    <row r="4553" spans="23:23">
      <c r="W4553" s="503"/>
    </row>
    <row r="4554" spans="23:23">
      <c r="W4554" s="503"/>
    </row>
    <row r="4555" spans="23:23">
      <c r="W4555" s="503"/>
    </row>
    <row r="4556" spans="23:23">
      <c r="W4556" s="503"/>
    </row>
    <row r="4557" spans="23:23">
      <c r="W4557" s="503"/>
    </row>
    <row r="4558" spans="23:23">
      <c r="W4558" s="503"/>
    </row>
    <row r="4559" spans="23:23">
      <c r="W4559" s="503"/>
    </row>
    <row r="4560" spans="23:23">
      <c r="W4560" s="503"/>
    </row>
    <row r="4561" spans="23:23">
      <c r="W4561" s="503"/>
    </row>
    <row r="4562" spans="23:23">
      <c r="W4562" s="503"/>
    </row>
    <row r="4563" spans="23:23">
      <c r="W4563" s="503"/>
    </row>
    <row r="4564" spans="23:23">
      <c r="W4564" s="503"/>
    </row>
    <row r="4565" spans="23:23">
      <c r="W4565" s="503"/>
    </row>
    <row r="4566" spans="23:23">
      <c r="W4566" s="503"/>
    </row>
    <row r="4567" spans="23:23">
      <c r="W4567" s="503"/>
    </row>
    <row r="4568" spans="23:23">
      <c r="W4568" s="503"/>
    </row>
    <row r="4569" spans="23:23">
      <c r="W4569" s="503"/>
    </row>
    <row r="4570" spans="23:23">
      <c r="W4570" s="503"/>
    </row>
    <row r="4571" spans="23:23">
      <c r="W4571" s="503"/>
    </row>
    <row r="4572" spans="23:23">
      <c r="W4572" s="503"/>
    </row>
    <row r="4573" spans="23:23">
      <c r="W4573" s="503"/>
    </row>
    <row r="4574" spans="23:23">
      <c r="W4574" s="503"/>
    </row>
    <row r="4575" spans="23:23">
      <c r="W4575" s="503"/>
    </row>
    <row r="4576" spans="23:23">
      <c r="W4576" s="503"/>
    </row>
    <row r="4577" spans="23:23">
      <c r="W4577" s="503"/>
    </row>
    <row r="4578" spans="23:23">
      <c r="W4578" s="503"/>
    </row>
    <row r="4579" spans="23:23">
      <c r="W4579" s="503"/>
    </row>
    <row r="4580" spans="23:23">
      <c r="W4580" s="503"/>
    </row>
    <row r="4581" spans="23:23">
      <c r="W4581" s="503"/>
    </row>
    <row r="4582" spans="23:23">
      <c r="W4582" s="503"/>
    </row>
    <row r="4583" spans="23:23">
      <c r="W4583" s="503"/>
    </row>
    <row r="4584" spans="23:23">
      <c r="W4584" s="503"/>
    </row>
    <row r="4585" spans="23:23">
      <c r="W4585" s="503"/>
    </row>
    <row r="4586" spans="23:23">
      <c r="W4586" s="503"/>
    </row>
    <row r="4587" spans="23:23">
      <c r="W4587" s="503"/>
    </row>
    <row r="4588" spans="23:23">
      <c r="W4588" s="503"/>
    </row>
    <row r="4589" spans="23:23">
      <c r="W4589" s="503"/>
    </row>
    <row r="4590" spans="23:23">
      <c r="W4590" s="503"/>
    </row>
    <row r="4591" spans="23:23">
      <c r="W4591" s="503"/>
    </row>
    <row r="4592" spans="23:23">
      <c r="W4592" s="503"/>
    </row>
    <row r="4593" spans="23:23">
      <c r="W4593" s="503"/>
    </row>
    <row r="4594" spans="23:23">
      <c r="W4594" s="503"/>
    </row>
    <row r="4595" spans="23:23">
      <c r="W4595" s="503"/>
    </row>
    <row r="4596" spans="23:23">
      <c r="W4596" s="503"/>
    </row>
    <row r="4597" spans="23:23">
      <c r="W4597" s="503"/>
    </row>
    <row r="4598" spans="23:23">
      <c r="W4598" s="503"/>
    </row>
    <row r="4599" spans="23:23">
      <c r="W4599" s="503"/>
    </row>
    <row r="4600" spans="23:23">
      <c r="W4600" s="503"/>
    </row>
    <row r="4601" spans="23:23">
      <c r="W4601" s="503"/>
    </row>
    <row r="4602" spans="23:23">
      <c r="W4602" s="503"/>
    </row>
    <row r="4603" spans="23:23">
      <c r="W4603" s="503"/>
    </row>
    <row r="4604" spans="23:23">
      <c r="W4604" s="503"/>
    </row>
    <row r="4605" spans="23:23">
      <c r="W4605" s="503"/>
    </row>
    <row r="4606" spans="23:23">
      <c r="W4606" s="503"/>
    </row>
    <row r="4607" spans="23:23">
      <c r="W4607" s="503"/>
    </row>
    <row r="4608" spans="23:23">
      <c r="W4608" s="503"/>
    </row>
    <row r="4609" spans="23:23">
      <c r="W4609" s="503"/>
    </row>
    <row r="4610" spans="23:23">
      <c r="W4610" s="503"/>
    </row>
    <row r="4611" spans="23:23">
      <c r="W4611" s="503"/>
    </row>
    <row r="4612" spans="23:23">
      <c r="W4612" s="503"/>
    </row>
    <row r="4613" spans="23:23">
      <c r="W4613" s="503"/>
    </row>
    <row r="4614" spans="23:23">
      <c r="W4614" s="503"/>
    </row>
    <row r="4615" spans="23:23">
      <c r="W4615" s="503"/>
    </row>
    <row r="4616" spans="23:23">
      <c r="W4616" s="503"/>
    </row>
    <row r="4617" spans="23:23">
      <c r="W4617" s="503"/>
    </row>
    <row r="4618" spans="23:23">
      <c r="W4618" s="503"/>
    </row>
    <row r="4619" spans="23:23">
      <c r="W4619" s="503"/>
    </row>
    <row r="4620" spans="23:23">
      <c r="W4620" s="503"/>
    </row>
    <row r="4621" spans="23:23">
      <c r="W4621" s="503"/>
    </row>
    <row r="4622" spans="23:23">
      <c r="W4622" s="503"/>
    </row>
    <row r="4623" spans="23:23">
      <c r="W4623" s="503"/>
    </row>
    <row r="4624" spans="23:23">
      <c r="W4624" s="503"/>
    </row>
    <row r="4625" spans="23:23">
      <c r="W4625" s="503"/>
    </row>
    <row r="4626" spans="23:23">
      <c r="W4626" s="503"/>
    </row>
    <row r="4627" spans="23:23">
      <c r="W4627" s="503"/>
    </row>
    <row r="4628" spans="23:23">
      <c r="W4628" s="503"/>
    </row>
    <row r="4629" spans="23:23">
      <c r="W4629" s="503"/>
    </row>
    <row r="4630" spans="23:23">
      <c r="W4630" s="503"/>
    </row>
    <row r="4631" spans="23:23">
      <c r="W4631" s="503"/>
    </row>
    <row r="4632" spans="23:23">
      <c r="W4632" s="503"/>
    </row>
    <row r="4633" spans="23:23">
      <c r="W4633" s="503"/>
    </row>
    <row r="4634" spans="23:23">
      <c r="W4634" s="503"/>
    </row>
    <row r="4635" spans="23:23">
      <c r="W4635" s="503"/>
    </row>
    <row r="4636" spans="23:23">
      <c r="W4636" s="503"/>
    </row>
    <row r="4637" spans="23:23">
      <c r="W4637" s="503"/>
    </row>
    <row r="4638" spans="23:23">
      <c r="W4638" s="503"/>
    </row>
    <row r="4639" spans="23:23">
      <c r="W4639" s="503"/>
    </row>
    <row r="4640" spans="23:23">
      <c r="W4640" s="503"/>
    </row>
    <row r="4641" spans="23:23">
      <c r="W4641" s="503"/>
    </row>
    <row r="4642" spans="23:23">
      <c r="W4642" s="503"/>
    </row>
    <row r="4643" spans="23:23">
      <c r="W4643" s="503"/>
    </row>
    <row r="4644" spans="23:23">
      <c r="W4644" s="503"/>
    </row>
    <row r="4645" spans="23:23">
      <c r="W4645" s="503"/>
    </row>
    <row r="4646" spans="23:23">
      <c r="W4646" s="503"/>
    </row>
    <row r="4647" spans="23:23">
      <c r="W4647" s="503"/>
    </row>
    <row r="4648" spans="23:23">
      <c r="W4648" s="503"/>
    </row>
    <row r="4649" spans="23:23">
      <c r="W4649" s="503"/>
    </row>
    <row r="4650" spans="23:23">
      <c r="W4650" s="503"/>
    </row>
    <row r="4651" spans="23:23">
      <c r="W4651" s="503"/>
    </row>
    <row r="4652" spans="23:23">
      <c r="W4652" s="503"/>
    </row>
    <row r="4653" spans="23:23">
      <c r="W4653" s="503"/>
    </row>
    <row r="4654" spans="23:23">
      <c r="W4654" s="503"/>
    </row>
    <row r="4655" spans="23:23">
      <c r="W4655" s="503"/>
    </row>
    <row r="4656" spans="23:23">
      <c r="W4656" s="503"/>
    </row>
    <row r="4657" spans="23:23">
      <c r="W4657" s="503"/>
    </row>
    <row r="4658" spans="23:23">
      <c r="W4658" s="503"/>
    </row>
    <row r="4659" spans="23:23">
      <c r="W4659" s="503"/>
    </row>
    <row r="4660" spans="23:23">
      <c r="W4660" s="503"/>
    </row>
    <row r="4661" spans="23:23">
      <c r="W4661" s="503"/>
    </row>
    <row r="4662" spans="23:23">
      <c r="W4662" s="503"/>
    </row>
    <row r="4663" spans="23:23">
      <c r="W4663" s="503"/>
    </row>
    <row r="4664" spans="23:23">
      <c r="W4664" s="503"/>
    </row>
    <row r="4665" spans="23:23">
      <c r="W4665" s="503"/>
    </row>
    <row r="4666" spans="23:23">
      <c r="W4666" s="503"/>
    </row>
    <row r="4667" spans="23:23">
      <c r="W4667" s="503"/>
    </row>
    <row r="4668" spans="23:23">
      <c r="W4668" s="503"/>
    </row>
    <row r="4669" spans="23:23">
      <c r="W4669" s="503"/>
    </row>
    <row r="4670" spans="23:23">
      <c r="W4670" s="503"/>
    </row>
    <row r="4671" spans="23:23">
      <c r="W4671" s="503"/>
    </row>
    <row r="4672" spans="23:23">
      <c r="W4672" s="503"/>
    </row>
    <row r="4673" spans="23:23">
      <c r="W4673" s="503"/>
    </row>
    <row r="4674" spans="23:23">
      <c r="W4674" s="503"/>
    </row>
    <row r="4675" spans="23:23">
      <c r="W4675" s="503"/>
    </row>
    <row r="4676" spans="23:23">
      <c r="W4676" s="503"/>
    </row>
    <row r="4677" spans="23:23">
      <c r="W4677" s="503"/>
    </row>
    <row r="4678" spans="23:23">
      <c r="W4678" s="503"/>
    </row>
    <row r="4679" spans="23:23">
      <c r="W4679" s="503"/>
    </row>
    <row r="4680" spans="23:23">
      <c r="W4680" s="503"/>
    </row>
    <row r="4681" spans="23:23">
      <c r="W4681" s="503"/>
    </row>
    <row r="4682" spans="23:23">
      <c r="W4682" s="503"/>
    </row>
    <row r="4683" spans="23:23">
      <c r="W4683" s="503"/>
    </row>
    <row r="4684" spans="23:23">
      <c r="W4684" s="503"/>
    </row>
    <row r="4685" spans="23:23">
      <c r="W4685" s="503"/>
    </row>
    <row r="4686" spans="23:23">
      <c r="W4686" s="503"/>
    </row>
    <row r="4687" spans="23:23">
      <c r="W4687" s="503"/>
    </row>
    <row r="4688" spans="23:23">
      <c r="W4688" s="503"/>
    </row>
    <row r="4689" spans="23:23">
      <c r="W4689" s="503"/>
    </row>
    <row r="4690" spans="23:23">
      <c r="W4690" s="503"/>
    </row>
    <row r="4691" spans="23:23">
      <c r="W4691" s="503"/>
    </row>
    <row r="4692" spans="23:23">
      <c r="W4692" s="503"/>
    </row>
    <row r="4693" spans="23:23">
      <c r="W4693" s="503"/>
    </row>
    <row r="4694" spans="23:23">
      <c r="W4694" s="503"/>
    </row>
    <row r="4695" spans="23:23">
      <c r="W4695" s="503"/>
    </row>
    <row r="4696" spans="23:23">
      <c r="W4696" s="503"/>
    </row>
    <row r="4697" spans="23:23">
      <c r="W4697" s="503"/>
    </row>
    <row r="4698" spans="23:23">
      <c r="W4698" s="503"/>
    </row>
    <row r="4699" spans="23:23">
      <c r="W4699" s="503"/>
    </row>
    <row r="4700" spans="23:23">
      <c r="W4700" s="503"/>
    </row>
    <row r="4701" spans="23:23">
      <c r="W4701" s="503"/>
    </row>
    <row r="4702" spans="23:23">
      <c r="W4702" s="503"/>
    </row>
    <row r="4703" spans="23:23">
      <c r="W4703" s="503"/>
    </row>
    <row r="4704" spans="23:23">
      <c r="W4704" s="503"/>
    </row>
    <row r="4705" spans="23:23">
      <c r="W4705" s="503"/>
    </row>
    <row r="4706" spans="23:23">
      <c r="W4706" s="503"/>
    </row>
    <row r="4707" spans="23:23">
      <c r="W4707" s="503"/>
    </row>
    <row r="4708" spans="23:23">
      <c r="W4708" s="503"/>
    </row>
    <row r="4709" spans="23:23">
      <c r="W4709" s="503"/>
    </row>
    <row r="4710" spans="23:23">
      <c r="W4710" s="503"/>
    </row>
    <row r="4711" spans="23:23">
      <c r="W4711" s="503"/>
    </row>
    <row r="4712" spans="23:23">
      <c r="W4712" s="503"/>
    </row>
    <row r="4713" spans="23:23">
      <c r="W4713" s="503"/>
    </row>
    <row r="4714" spans="23:23">
      <c r="W4714" s="503"/>
    </row>
    <row r="4715" spans="23:23">
      <c r="W4715" s="503"/>
    </row>
    <row r="4716" spans="23:23">
      <c r="W4716" s="503"/>
    </row>
    <row r="4717" spans="23:23">
      <c r="W4717" s="503"/>
    </row>
    <row r="4718" spans="23:23">
      <c r="W4718" s="503"/>
    </row>
    <row r="4719" spans="23:23">
      <c r="W4719" s="503"/>
    </row>
    <row r="4720" spans="23:23">
      <c r="W4720" s="503"/>
    </row>
    <row r="4721" spans="23:23">
      <c r="W4721" s="503"/>
    </row>
    <row r="4722" spans="23:23">
      <c r="W4722" s="503"/>
    </row>
    <row r="4723" spans="23:23">
      <c r="W4723" s="503"/>
    </row>
    <row r="4724" spans="23:23">
      <c r="W4724" s="503"/>
    </row>
    <row r="4725" spans="23:23">
      <c r="W4725" s="503"/>
    </row>
    <row r="4726" spans="23:23">
      <c r="W4726" s="503"/>
    </row>
    <row r="4727" spans="23:23">
      <c r="W4727" s="503"/>
    </row>
    <row r="4728" spans="23:23">
      <c r="W4728" s="503"/>
    </row>
    <row r="4729" spans="23:23">
      <c r="W4729" s="503"/>
    </row>
    <row r="4730" spans="23:23">
      <c r="W4730" s="503"/>
    </row>
    <row r="4731" spans="23:23">
      <c r="W4731" s="503"/>
    </row>
    <row r="4732" spans="23:23">
      <c r="W4732" s="503"/>
    </row>
    <row r="4733" spans="23:23">
      <c r="W4733" s="503"/>
    </row>
    <row r="4734" spans="23:23">
      <c r="W4734" s="503"/>
    </row>
    <row r="4735" spans="23:23">
      <c r="W4735" s="503"/>
    </row>
    <row r="4736" spans="23:23">
      <c r="W4736" s="503"/>
    </row>
    <row r="4737" spans="23:23">
      <c r="W4737" s="503"/>
    </row>
    <row r="4738" spans="23:23">
      <c r="W4738" s="503"/>
    </row>
    <row r="4739" spans="23:23">
      <c r="W4739" s="503"/>
    </row>
    <row r="4740" spans="23:23">
      <c r="W4740" s="503"/>
    </row>
    <row r="4741" spans="23:23">
      <c r="W4741" s="503"/>
    </row>
    <row r="4742" spans="23:23">
      <c r="W4742" s="503"/>
    </row>
    <row r="4743" spans="23:23">
      <c r="W4743" s="503"/>
    </row>
    <row r="4744" spans="23:23">
      <c r="W4744" s="503"/>
    </row>
    <row r="4745" spans="23:23">
      <c r="W4745" s="503"/>
    </row>
    <row r="4746" spans="23:23">
      <c r="W4746" s="503"/>
    </row>
    <row r="4747" spans="23:23">
      <c r="W4747" s="503"/>
    </row>
    <row r="4748" spans="23:23">
      <c r="W4748" s="503"/>
    </row>
    <row r="4749" spans="23:23">
      <c r="W4749" s="503"/>
    </row>
    <row r="4750" spans="23:23">
      <c r="W4750" s="503"/>
    </row>
    <row r="4751" spans="23:23">
      <c r="W4751" s="503"/>
    </row>
    <row r="4752" spans="23:23">
      <c r="W4752" s="503"/>
    </row>
    <row r="4753" spans="23:23">
      <c r="W4753" s="503"/>
    </row>
    <row r="4754" spans="23:23">
      <c r="W4754" s="503"/>
    </row>
    <row r="4755" spans="23:23">
      <c r="W4755" s="503"/>
    </row>
    <row r="4756" spans="23:23">
      <c r="W4756" s="503"/>
    </row>
    <row r="4757" spans="23:23">
      <c r="W4757" s="503"/>
    </row>
    <row r="4758" spans="23:23">
      <c r="W4758" s="503"/>
    </row>
    <row r="4759" spans="23:23">
      <c r="W4759" s="503"/>
    </row>
    <row r="4760" spans="23:23">
      <c r="W4760" s="503"/>
    </row>
    <row r="4761" spans="23:23">
      <c r="W4761" s="503"/>
    </row>
    <row r="4762" spans="23:23">
      <c r="W4762" s="503"/>
    </row>
    <row r="4763" spans="23:23">
      <c r="W4763" s="503"/>
    </row>
    <row r="4764" spans="23:23">
      <c r="W4764" s="503"/>
    </row>
    <row r="4765" spans="23:23">
      <c r="W4765" s="503"/>
    </row>
    <row r="4766" spans="23:23">
      <c r="W4766" s="503"/>
    </row>
    <row r="4767" spans="23:23">
      <c r="W4767" s="503"/>
    </row>
    <row r="4768" spans="23:23">
      <c r="W4768" s="503"/>
    </row>
    <row r="4769" spans="23:23">
      <c r="W4769" s="503"/>
    </row>
    <row r="4770" spans="23:23">
      <c r="W4770" s="503"/>
    </row>
    <row r="4771" spans="23:23">
      <c r="W4771" s="503"/>
    </row>
    <row r="4772" spans="23:23">
      <c r="W4772" s="503"/>
    </row>
    <row r="4773" spans="23:23">
      <c r="W4773" s="503"/>
    </row>
    <row r="4774" spans="23:23">
      <c r="W4774" s="503"/>
    </row>
    <row r="4775" spans="23:23">
      <c r="W4775" s="503"/>
    </row>
    <row r="4776" spans="23:23">
      <c r="W4776" s="503"/>
    </row>
    <row r="4777" spans="23:23">
      <c r="W4777" s="503"/>
    </row>
    <row r="4778" spans="23:23">
      <c r="W4778" s="503"/>
    </row>
    <row r="4779" spans="23:23">
      <c r="W4779" s="503"/>
    </row>
    <row r="4780" spans="23:23">
      <c r="W4780" s="503"/>
    </row>
    <row r="4781" spans="23:23">
      <c r="W4781" s="503"/>
    </row>
    <row r="4782" spans="23:23">
      <c r="W4782" s="503"/>
    </row>
    <row r="4783" spans="23:23">
      <c r="W4783" s="503"/>
    </row>
    <row r="4784" spans="23:23">
      <c r="W4784" s="503"/>
    </row>
    <row r="4785" spans="23:23">
      <c r="W4785" s="503"/>
    </row>
    <row r="4786" spans="23:23">
      <c r="W4786" s="503"/>
    </row>
    <row r="4787" spans="23:23">
      <c r="W4787" s="503"/>
    </row>
    <row r="4788" spans="23:23">
      <c r="W4788" s="503"/>
    </row>
    <row r="4789" spans="23:23">
      <c r="W4789" s="503"/>
    </row>
    <row r="4790" spans="23:23">
      <c r="W4790" s="503"/>
    </row>
    <row r="4791" spans="23:23">
      <c r="W4791" s="503"/>
    </row>
    <row r="4792" spans="23:23">
      <c r="W4792" s="503"/>
    </row>
    <row r="4793" spans="23:23">
      <c r="W4793" s="503"/>
    </row>
    <row r="4794" spans="23:23">
      <c r="W4794" s="503"/>
    </row>
    <row r="4795" spans="23:23">
      <c r="W4795" s="503"/>
    </row>
    <row r="4796" spans="23:23">
      <c r="W4796" s="503"/>
    </row>
    <row r="4797" spans="23:23">
      <c r="W4797" s="503"/>
    </row>
    <row r="4798" spans="23:23">
      <c r="W4798" s="503"/>
    </row>
    <row r="4799" spans="23:23">
      <c r="W4799" s="503"/>
    </row>
    <row r="4800" spans="23:23">
      <c r="W4800" s="503"/>
    </row>
    <row r="4801" spans="23:23">
      <c r="W4801" s="503"/>
    </row>
    <row r="4802" spans="23:23">
      <c r="W4802" s="503"/>
    </row>
    <row r="4803" spans="23:23">
      <c r="W4803" s="503"/>
    </row>
    <row r="4804" spans="23:23">
      <c r="W4804" s="503"/>
    </row>
    <row r="4805" spans="23:23">
      <c r="W4805" s="503"/>
    </row>
    <row r="4806" spans="23:23">
      <c r="W4806" s="503"/>
    </row>
    <row r="4807" spans="23:23">
      <c r="W4807" s="503"/>
    </row>
    <row r="4808" spans="23:23">
      <c r="W4808" s="503"/>
    </row>
    <row r="4809" spans="23:23">
      <c r="W4809" s="503"/>
    </row>
    <row r="4810" spans="23:23">
      <c r="W4810" s="503"/>
    </row>
    <row r="4811" spans="23:23">
      <c r="W4811" s="503"/>
    </row>
    <row r="4812" spans="23:23">
      <c r="W4812" s="503"/>
    </row>
    <row r="4813" spans="23:23">
      <c r="W4813" s="503"/>
    </row>
    <row r="4814" spans="23:23">
      <c r="W4814" s="503"/>
    </row>
    <row r="4815" spans="23:23">
      <c r="W4815" s="503"/>
    </row>
    <row r="4816" spans="23:23">
      <c r="W4816" s="503"/>
    </row>
    <row r="4817" spans="23:23">
      <c r="W4817" s="503"/>
    </row>
    <row r="4818" spans="23:23">
      <c r="W4818" s="503"/>
    </row>
    <row r="4819" spans="23:23">
      <c r="W4819" s="503"/>
    </row>
    <row r="4820" spans="23:23">
      <c r="W4820" s="503"/>
    </row>
    <row r="4821" spans="23:23">
      <c r="W4821" s="503"/>
    </row>
    <row r="4822" spans="23:23">
      <c r="W4822" s="503"/>
    </row>
    <row r="4823" spans="23:23">
      <c r="W4823" s="503"/>
    </row>
    <row r="4824" spans="23:23">
      <c r="W4824" s="503"/>
    </row>
    <row r="4825" spans="23:23">
      <c r="W4825" s="503"/>
    </row>
    <row r="4826" spans="23:23">
      <c r="W4826" s="503"/>
    </row>
    <row r="4827" spans="23:23">
      <c r="W4827" s="503"/>
    </row>
    <row r="4828" spans="23:23">
      <c r="W4828" s="503"/>
    </row>
    <row r="4829" spans="23:23">
      <c r="W4829" s="503"/>
    </row>
    <row r="4830" spans="23:23">
      <c r="W4830" s="503"/>
    </row>
    <row r="4831" spans="23:23">
      <c r="W4831" s="503"/>
    </row>
    <row r="4832" spans="23:23">
      <c r="W4832" s="503"/>
    </row>
    <row r="4833" spans="23:23">
      <c r="W4833" s="503"/>
    </row>
    <row r="4834" spans="23:23">
      <c r="W4834" s="503"/>
    </row>
    <row r="4835" spans="23:23">
      <c r="W4835" s="503"/>
    </row>
    <row r="4836" spans="23:23">
      <c r="W4836" s="503"/>
    </row>
    <row r="4837" spans="23:23">
      <c r="W4837" s="503"/>
    </row>
    <row r="4838" spans="23:23">
      <c r="W4838" s="503"/>
    </row>
    <row r="4839" spans="23:23">
      <c r="W4839" s="503"/>
    </row>
    <row r="4840" spans="23:23">
      <c r="W4840" s="503"/>
    </row>
    <row r="4841" spans="23:23">
      <c r="W4841" s="503"/>
    </row>
    <row r="4842" spans="23:23">
      <c r="W4842" s="503"/>
    </row>
    <row r="4843" spans="23:23">
      <c r="W4843" s="503"/>
    </row>
    <row r="4844" spans="23:23">
      <c r="W4844" s="503"/>
    </row>
    <row r="4845" spans="23:23">
      <c r="W4845" s="503"/>
    </row>
    <row r="4846" spans="23:23">
      <c r="W4846" s="503"/>
    </row>
    <row r="4847" spans="23:23">
      <c r="W4847" s="503"/>
    </row>
    <row r="4848" spans="23:23">
      <c r="W4848" s="503"/>
    </row>
    <row r="4849" spans="23:23">
      <c r="W4849" s="503"/>
    </row>
    <row r="4850" spans="23:23">
      <c r="W4850" s="503"/>
    </row>
    <row r="4851" spans="23:23">
      <c r="W4851" s="503"/>
    </row>
    <row r="4852" spans="23:23">
      <c r="W4852" s="503"/>
    </row>
    <row r="4853" spans="23:23">
      <c r="W4853" s="503"/>
    </row>
    <row r="4854" spans="23:23">
      <c r="W4854" s="503"/>
    </row>
    <row r="4855" spans="23:23">
      <c r="W4855" s="503"/>
    </row>
    <row r="4856" spans="23:23">
      <c r="W4856" s="503"/>
    </row>
    <row r="4857" spans="23:23">
      <c r="W4857" s="503"/>
    </row>
    <row r="4858" spans="23:23">
      <c r="W4858" s="503"/>
    </row>
    <row r="4859" spans="23:23">
      <c r="W4859" s="503"/>
    </row>
    <row r="4860" spans="23:23">
      <c r="W4860" s="503"/>
    </row>
    <row r="4861" spans="23:23">
      <c r="W4861" s="503"/>
    </row>
    <row r="4862" spans="23:23">
      <c r="W4862" s="503"/>
    </row>
    <row r="4863" spans="23:23">
      <c r="W4863" s="503"/>
    </row>
    <row r="4864" spans="23:23">
      <c r="W4864" s="503"/>
    </row>
    <row r="4865" spans="23:23">
      <c r="W4865" s="503"/>
    </row>
    <row r="4866" spans="23:23">
      <c r="W4866" s="503"/>
    </row>
    <row r="4867" spans="23:23">
      <c r="W4867" s="503"/>
    </row>
    <row r="4868" spans="23:23">
      <c r="W4868" s="503"/>
    </row>
    <row r="4869" spans="23:23">
      <c r="W4869" s="503"/>
    </row>
    <row r="4870" spans="23:23">
      <c r="W4870" s="503"/>
    </row>
    <row r="4871" spans="23:23">
      <c r="W4871" s="503"/>
    </row>
    <row r="4872" spans="23:23">
      <c r="W4872" s="503"/>
    </row>
    <row r="4873" spans="23:23">
      <c r="W4873" s="503"/>
    </row>
    <row r="4874" spans="23:23">
      <c r="W4874" s="503"/>
    </row>
    <row r="4875" spans="23:23">
      <c r="W4875" s="503"/>
    </row>
    <row r="4876" spans="23:23">
      <c r="W4876" s="503"/>
    </row>
    <row r="4877" spans="23:23">
      <c r="W4877" s="503"/>
    </row>
    <row r="4878" spans="23:23">
      <c r="W4878" s="503"/>
    </row>
    <row r="4879" spans="23:23">
      <c r="W4879" s="503"/>
    </row>
    <row r="4880" spans="23:23">
      <c r="W4880" s="503"/>
    </row>
    <row r="4881" spans="23:23">
      <c r="W4881" s="503"/>
    </row>
    <row r="4882" spans="23:23">
      <c r="W4882" s="503"/>
    </row>
    <row r="4883" spans="23:23">
      <c r="W4883" s="503"/>
    </row>
    <row r="4884" spans="23:23">
      <c r="W4884" s="503"/>
    </row>
    <row r="4885" spans="23:23">
      <c r="W4885" s="503"/>
    </row>
    <row r="4886" spans="23:23">
      <c r="W4886" s="503"/>
    </row>
    <row r="4887" spans="23:23">
      <c r="W4887" s="503"/>
    </row>
    <row r="4888" spans="23:23">
      <c r="W4888" s="503"/>
    </row>
    <row r="4889" spans="23:23">
      <c r="W4889" s="503"/>
    </row>
    <row r="4890" spans="23:23">
      <c r="W4890" s="503"/>
    </row>
    <row r="4891" spans="23:23">
      <c r="W4891" s="503"/>
    </row>
    <row r="4892" spans="23:23">
      <c r="W4892" s="503"/>
    </row>
    <row r="4893" spans="23:23">
      <c r="W4893" s="503"/>
    </row>
    <row r="4894" spans="23:23">
      <c r="W4894" s="503"/>
    </row>
    <row r="4895" spans="23:23">
      <c r="W4895" s="503"/>
    </row>
    <row r="4896" spans="23:23">
      <c r="W4896" s="503"/>
    </row>
    <row r="4897" spans="23:23">
      <c r="W4897" s="503"/>
    </row>
    <row r="4898" spans="23:23">
      <c r="W4898" s="503"/>
    </row>
    <row r="4899" spans="23:23">
      <c r="W4899" s="503"/>
    </row>
    <row r="4900" spans="23:23">
      <c r="W4900" s="503"/>
    </row>
    <row r="4901" spans="23:23">
      <c r="W4901" s="503"/>
    </row>
    <row r="4902" spans="23:23">
      <c r="W4902" s="503"/>
    </row>
    <row r="4903" spans="23:23">
      <c r="W4903" s="503"/>
    </row>
    <row r="4904" spans="23:23">
      <c r="W4904" s="503"/>
    </row>
    <row r="4905" spans="23:23">
      <c r="W4905" s="503"/>
    </row>
    <row r="4906" spans="23:23">
      <c r="W4906" s="503"/>
    </row>
    <row r="4907" spans="23:23">
      <c r="W4907" s="503"/>
    </row>
    <row r="4908" spans="23:23">
      <c r="W4908" s="503"/>
    </row>
    <row r="4909" spans="23:23">
      <c r="W4909" s="503"/>
    </row>
    <row r="4910" spans="23:23">
      <c r="W4910" s="503"/>
    </row>
    <row r="4911" spans="23:23">
      <c r="W4911" s="503"/>
    </row>
    <row r="4912" spans="23:23">
      <c r="W4912" s="503"/>
    </row>
    <row r="4913" spans="23:23">
      <c r="W4913" s="503"/>
    </row>
    <row r="4914" spans="23:23">
      <c r="W4914" s="503"/>
    </row>
    <row r="4915" spans="23:23">
      <c r="W4915" s="503"/>
    </row>
    <row r="4916" spans="23:23">
      <c r="W4916" s="503"/>
    </row>
    <row r="4917" spans="23:23">
      <c r="W4917" s="503"/>
    </row>
    <row r="4918" spans="23:23">
      <c r="W4918" s="503"/>
    </row>
    <row r="4919" spans="23:23">
      <c r="W4919" s="503"/>
    </row>
    <row r="4920" spans="23:23">
      <c r="W4920" s="503"/>
    </row>
    <row r="4921" spans="23:23">
      <c r="W4921" s="503"/>
    </row>
    <row r="4922" spans="23:23">
      <c r="W4922" s="503"/>
    </row>
    <row r="4923" spans="23:23">
      <c r="W4923" s="503"/>
    </row>
    <row r="4924" spans="23:23">
      <c r="W4924" s="503"/>
    </row>
    <row r="4925" spans="23:23">
      <c r="W4925" s="503"/>
    </row>
    <row r="4926" spans="23:23">
      <c r="W4926" s="503"/>
    </row>
    <row r="4927" spans="23:23">
      <c r="W4927" s="503"/>
    </row>
    <row r="4928" spans="23:23">
      <c r="W4928" s="503"/>
    </row>
    <row r="4929" spans="23:23">
      <c r="W4929" s="503"/>
    </row>
    <row r="4930" spans="23:23">
      <c r="W4930" s="503"/>
    </row>
    <row r="4931" spans="23:23">
      <c r="W4931" s="503"/>
    </row>
    <row r="4932" spans="23:23">
      <c r="W4932" s="503"/>
    </row>
    <row r="4933" spans="23:23">
      <c r="W4933" s="503"/>
    </row>
    <row r="4934" spans="23:23">
      <c r="W4934" s="503"/>
    </row>
    <row r="4935" spans="23:23">
      <c r="W4935" s="503"/>
    </row>
    <row r="4936" spans="23:23">
      <c r="W4936" s="503"/>
    </row>
    <row r="4937" spans="23:23">
      <c r="W4937" s="503"/>
    </row>
    <row r="4938" spans="23:23">
      <c r="W4938" s="503"/>
    </row>
    <row r="4939" spans="23:23">
      <c r="W4939" s="503"/>
    </row>
    <row r="4940" spans="23:23">
      <c r="W4940" s="503"/>
    </row>
    <row r="4941" spans="23:23">
      <c r="W4941" s="503"/>
    </row>
    <row r="4942" spans="23:23">
      <c r="W4942" s="503"/>
    </row>
    <row r="4943" spans="23:23">
      <c r="W4943" s="503"/>
    </row>
    <row r="4944" spans="23:23">
      <c r="W4944" s="503"/>
    </row>
    <row r="4945" spans="23:23">
      <c r="W4945" s="503"/>
    </row>
    <row r="4946" spans="23:23">
      <c r="W4946" s="503"/>
    </row>
    <row r="4947" spans="23:23">
      <c r="W4947" s="503"/>
    </row>
    <row r="4948" spans="23:23">
      <c r="W4948" s="503"/>
    </row>
    <row r="4949" spans="23:23">
      <c r="W4949" s="503"/>
    </row>
    <row r="4950" spans="23:23">
      <c r="W4950" s="503"/>
    </row>
    <row r="4951" spans="23:23">
      <c r="W4951" s="503"/>
    </row>
    <row r="4952" spans="23:23">
      <c r="W4952" s="503"/>
    </row>
    <row r="4953" spans="23:23">
      <c r="W4953" s="503"/>
    </row>
    <row r="4954" spans="23:23">
      <c r="W4954" s="503"/>
    </row>
    <row r="4955" spans="23:23">
      <c r="W4955" s="503"/>
    </row>
    <row r="4956" spans="23:23">
      <c r="W4956" s="503"/>
    </row>
    <row r="4957" spans="23:23">
      <c r="W4957" s="503"/>
    </row>
    <row r="4958" spans="23:23">
      <c r="W4958" s="503"/>
    </row>
    <row r="4959" spans="23:23">
      <c r="W4959" s="503"/>
    </row>
    <row r="4960" spans="23:23">
      <c r="W4960" s="503"/>
    </row>
    <row r="4961" spans="23:23">
      <c r="W4961" s="503"/>
    </row>
    <row r="4962" spans="23:23">
      <c r="W4962" s="503"/>
    </row>
    <row r="4963" spans="23:23">
      <c r="W4963" s="503"/>
    </row>
    <row r="4964" spans="23:23">
      <c r="W4964" s="503"/>
    </row>
    <row r="4965" spans="23:23">
      <c r="W4965" s="503"/>
    </row>
    <row r="4966" spans="23:23">
      <c r="W4966" s="503"/>
    </row>
    <row r="4967" spans="23:23">
      <c r="W4967" s="503"/>
    </row>
    <row r="4968" spans="23:23">
      <c r="W4968" s="503"/>
    </row>
    <row r="4969" spans="23:23">
      <c r="W4969" s="503"/>
    </row>
    <row r="4970" spans="23:23">
      <c r="W4970" s="503"/>
    </row>
    <row r="4971" spans="23:23">
      <c r="W4971" s="503"/>
    </row>
    <row r="4972" spans="23:23">
      <c r="W4972" s="503"/>
    </row>
    <row r="4973" spans="23:23">
      <c r="W4973" s="503"/>
    </row>
    <row r="4974" spans="23:23">
      <c r="W4974" s="503"/>
    </row>
    <row r="4975" spans="23:23">
      <c r="W4975" s="503"/>
    </row>
    <row r="4976" spans="23:23">
      <c r="W4976" s="503"/>
    </row>
    <row r="4977" spans="23:23">
      <c r="W4977" s="503"/>
    </row>
    <row r="4978" spans="23:23">
      <c r="W4978" s="503"/>
    </row>
    <row r="4979" spans="23:23">
      <c r="W4979" s="503"/>
    </row>
    <row r="4980" spans="23:23">
      <c r="W4980" s="503"/>
    </row>
    <row r="4981" spans="23:23">
      <c r="W4981" s="503"/>
    </row>
    <row r="4982" spans="23:23">
      <c r="W4982" s="503"/>
    </row>
    <row r="4983" spans="23:23">
      <c r="W4983" s="503"/>
    </row>
    <row r="4984" spans="23:23">
      <c r="W4984" s="503"/>
    </row>
    <row r="4985" spans="23:23">
      <c r="W4985" s="503"/>
    </row>
    <row r="4986" spans="23:23">
      <c r="W4986" s="503"/>
    </row>
    <row r="4987" spans="23:23">
      <c r="W4987" s="503"/>
    </row>
    <row r="4988" spans="23:23">
      <c r="W4988" s="503"/>
    </row>
    <row r="4989" spans="23:23">
      <c r="W4989" s="503"/>
    </row>
    <row r="4990" spans="23:23">
      <c r="W4990" s="503"/>
    </row>
    <row r="4991" spans="23:23">
      <c r="W4991" s="503"/>
    </row>
    <row r="4992" spans="23:23">
      <c r="W4992" s="503"/>
    </row>
    <row r="4993" spans="23:23">
      <c r="W4993" s="503"/>
    </row>
    <row r="4994" spans="23:23">
      <c r="W4994" s="503"/>
    </row>
    <row r="4995" spans="23:23">
      <c r="W4995" s="503"/>
    </row>
    <row r="4996" spans="23:23">
      <c r="W4996" s="503"/>
    </row>
    <row r="4997" spans="23:23">
      <c r="W4997" s="503"/>
    </row>
    <row r="4998" spans="23:23">
      <c r="W4998" s="503"/>
    </row>
    <row r="4999" spans="23:23">
      <c r="W4999" s="503"/>
    </row>
    <row r="5000" spans="23:23">
      <c r="W5000" s="503"/>
    </row>
    <row r="5001" spans="23:23">
      <c r="W5001" s="503"/>
    </row>
    <row r="5002" spans="23:23">
      <c r="W5002" s="503"/>
    </row>
    <row r="5003" spans="23:23">
      <c r="W5003" s="503"/>
    </row>
    <row r="5004" spans="23:23">
      <c r="W5004" s="503"/>
    </row>
    <row r="5005" spans="23:23">
      <c r="W5005" s="503"/>
    </row>
    <row r="5006" spans="23:23">
      <c r="W5006" s="503"/>
    </row>
    <row r="5007" spans="23:23">
      <c r="W5007" s="503"/>
    </row>
    <row r="5008" spans="23:23">
      <c r="W5008" s="503"/>
    </row>
    <row r="5009" spans="23:23">
      <c r="W5009" s="503"/>
    </row>
    <row r="5010" spans="23:23">
      <c r="W5010" s="503"/>
    </row>
    <row r="5011" spans="23:23">
      <c r="W5011" s="503"/>
    </row>
    <row r="5012" spans="23:23">
      <c r="W5012" s="503"/>
    </row>
    <row r="5013" spans="23:23">
      <c r="W5013" s="503"/>
    </row>
    <row r="5014" spans="23:23">
      <c r="W5014" s="503"/>
    </row>
    <row r="5015" spans="23:23">
      <c r="W5015" s="503"/>
    </row>
    <row r="5016" spans="23:23">
      <c r="W5016" s="503"/>
    </row>
    <row r="5017" spans="23:23">
      <c r="W5017" s="503"/>
    </row>
    <row r="5018" spans="23:23">
      <c r="W5018" s="503"/>
    </row>
    <row r="5019" spans="23:23">
      <c r="W5019" s="503"/>
    </row>
    <row r="5020" spans="23:23">
      <c r="W5020" s="503"/>
    </row>
    <row r="5021" spans="23:23">
      <c r="W5021" s="503"/>
    </row>
    <row r="5022" spans="23:23">
      <c r="W5022" s="503"/>
    </row>
    <row r="5023" spans="23:23">
      <c r="W5023" s="503"/>
    </row>
    <row r="5024" spans="23:23">
      <c r="W5024" s="503"/>
    </row>
    <row r="5025" spans="23:23">
      <c r="W5025" s="503"/>
    </row>
    <row r="5026" spans="23:23">
      <c r="W5026" s="503"/>
    </row>
    <row r="5027" spans="23:23">
      <c r="W5027" s="503"/>
    </row>
    <row r="5028" spans="23:23">
      <c r="W5028" s="503"/>
    </row>
    <row r="5029" spans="23:23">
      <c r="W5029" s="503"/>
    </row>
    <row r="5030" spans="23:23">
      <c r="W5030" s="503"/>
    </row>
    <row r="5031" spans="23:23">
      <c r="W5031" s="503"/>
    </row>
    <row r="5032" spans="23:23">
      <c r="W5032" s="503"/>
    </row>
    <row r="5033" spans="23:23">
      <c r="W5033" s="503"/>
    </row>
    <row r="5034" spans="23:23">
      <c r="W5034" s="503"/>
    </row>
    <row r="5035" spans="23:23">
      <c r="W5035" s="503"/>
    </row>
    <row r="5036" spans="23:23">
      <c r="W5036" s="503"/>
    </row>
    <row r="5037" spans="23:23">
      <c r="W5037" s="503"/>
    </row>
    <row r="5038" spans="23:23">
      <c r="W5038" s="503"/>
    </row>
    <row r="5039" spans="23:23">
      <c r="W5039" s="503"/>
    </row>
    <row r="5040" spans="23:23">
      <c r="W5040" s="503"/>
    </row>
    <row r="5041" spans="23:23">
      <c r="W5041" s="503"/>
    </row>
    <row r="5042" spans="23:23">
      <c r="W5042" s="503"/>
    </row>
    <row r="5043" spans="23:23">
      <c r="W5043" s="503"/>
    </row>
    <row r="5044" spans="23:23">
      <c r="W5044" s="503"/>
    </row>
    <row r="5045" spans="23:23">
      <c r="W5045" s="503"/>
    </row>
    <row r="5046" spans="23:23">
      <c r="W5046" s="503"/>
    </row>
    <row r="5047" spans="23:23">
      <c r="W5047" s="503"/>
    </row>
    <row r="5048" spans="23:23">
      <c r="W5048" s="503"/>
    </row>
    <row r="5049" spans="23:23">
      <c r="W5049" s="503"/>
    </row>
    <row r="5050" spans="23:23">
      <c r="W5050" s="503"/>
    </row>
    <row r="5051" spans="23:23">
      <c r="W5051" s="503"/>
    </row>
    <row r="5052" spans="23:23">
      <c r="W5052" s="503"/>
    </row>
    <row r="5053" spans="23:23">
      <c r="W5053" s="503"/>
    </row>
    <row r="5054" spans="23:23">
      <c r="W5054" s="503"/>
    </row>
    <row r="5055" spans="23:23">
      <c r="W5055" s="503"/>
    </row>
    <row r="5056" spans="23:23">
      <c r="W5056" s="503"/>
    </row>
    <row r="5057" spans="23:23">
      <c r="W5057" s="503"/>
    </row>
    <row r="5058" spans="23:23">
      <c r="W5058" s="503"/>
    </row>
    <row r="5059" spans="23:23">
      <c r="W5059" s="503"/>
    </row>
    <row r="5060" spans="23:23">
      <c r="W5060" s="503"/>
    </row>
    <row r="5061" spans="23:23">
      <c r="W5061" s="503"/>
    </row>
    <row r="5062" spans="23:23">
      <c r="W5062" s="503"/>
    </row>
    <row r="5063" spans="23:23">
      <c r="W5063" s="503"/>
    </row>
    <row r="5064" spans="23:23">
      <c r="W5064" s="503"/>
    </row>
    <row r="5065" spans="23:23">
      <c r="W5065" s="503"/>
    </row>
    <row r="5066" spans="23:23">
      <c r="W5066" s="503"/>
    </row>
    <row r="5067" spans="23:23">
      <c r="W5067" s="503"/>
    </row>
    <row r="5068" spans="23:23">
      <c r="W5068" s="503"/>
    </row>
    <row r="5069" spans="23:23">
      <c r="W5069" s="503"/>
    </row>
    <row r="5070" spans="23:23">
      <c r="W5070" s="503"/>
    </row>
    <row r="5071" spans="23:23">
      <c r="W5071" s="503"/>
    </row>
    <row r="5072" spans="23:23">
      <c r="W5072" s="503"/>
    </row>
    <row r="5073" spans="23:23">
      <c r="W5073" s="503"/>
    </row>
    <row r="5074" spans="23:23">
      <c r="W5074" s="503"/>
    </row>
    <row r="5075" spans="23:23">
      <c r="W5075" s="503"/>
    </row>
    <row r="5076" spans="23:23">
      <c r="W5076" s="503"/>
    </row>
    <row r="5077" spans="23:23">
      <c r="W5077" s="503"/>
    </row>
    <row r="5078" spans="23:23">
      <c r="W5078" s="503"/>
    </row>
    <row r="5079" spans="23:23">
      <c r="W5079" s="503"/>
    </row>
    <row r="5080" spans="23:23">
      <c r="W5080" s="503"/>
    </row>
    <row r="5081" spans="23:23">
      <c r="W5081" s="503"/>
    </row>
    <row r="5082" spans="23:23">
      <c r="W5082" s="503"/>
    </row>
    <row r="5083" spans="23:23">
      <c r="W5083" s="503"/>
    </row>
    <row r="5084" spans="23:23">
      <c r="W5084" s="503"/>
    </row>
    <row r="5085" spans="23:23">
      <c r="W5085" s="503"/>
    </row>
    <row r="5086" spans="23:23">
      <c r="W5086" s="503"/>
    </row>
    <row r="5087" spans="23:23">
      <c r="W5087" s="503"/>
    </row>
    <row r="5088" spans="23:23">
      <c r="W5088" s="503"/>
    </row>
    <row r="5089" spans="23:23">
      <c r="W5089" s="503"/>
    </row>
    <row r="5090" spans="23:23">
      <c r="W5090" s="503"/>
    </row>
    <row r="5091" spans="23:23">
      <c r="W5091" s="503"/>
    </row>
    <row r="5092" spans="23:23">
      <c r="W5092" s="503"/>
    </row>
    <row r="5093" spans="23:23">
      <c r="W5093" s="503"/>
    </row>
    <row r="5094" spans="23:23">
      <c r="W5094" s="503"/>
    </row>
    <row r="5095" spans="23:23">
      <c r="W5095" s="503"/>
    </row>
    <row r="5096" spans="23:23">
      <c r="W5096" s="503"/>
    </row>
    <row r="5097" spans="23:23">
      <c r="W5097" s="503"/>
    </row>
    <row r="5098" spans="23:23">
      <c r="W5098" s="503"/>
    </row>
    <row r="5099" spans="23:23">
      <c r="W5099" s="503"/>
    </row>
    <row r="5100" spans="23:23">
      <c r="W5100" s="503"/>
    </row>
    <row r="5101" spans="23:23">
      <c r="W5101" s="503"/>
    </row>
    <row r="5102" spans="23:23">
      <c r="W5102" s="503"/>
    </row>
    <row r="5103" spans="23:23">
      <c r="W5103" s="503"/>
    </row>
    <row r="5104" spans="23:23">
      <c r="W5104" s="503"/>
    </row>
    <row r="5105" spans="23:23">
      <c r="W5105" s="503"/>
    </row>
    <row r="5106" spans="23:23">
      <c r="W5106" s="503"/>
    </row>
    <row r="5107" spans="23:23">
      <c r="W5107" s="503"/>
    </row>
    <row r="5108" spans="23:23">
      <c r="W5108" s="503"/>
    </row>
    <row r="5109" spans="23:23">
      <c r="W5109" s="503"/>
    </row>
    <row r="5110" spans="23:23">
      <c r="W5110" s="503"/>
    </row>
    <row r="5111" spans="23:23">
      <c r="W5111" s="503"/>
    </row>
    <row r="5112" spans="23:23">
      <c r="W5112" s="503"/>
    </row>
    <row r="5113" spans="23:23">
      <c r="W5113" s="503"/>
    </row>
    <row r="5114" spans="23:23">
      <c r="W5114" s="503"/>
    </row>
    <row r="5115" spans="23:23">
      <c r="W5115" s="503"/>
    </row>
    <row r="5116" spans="23:23">
      <c r="W5116" s="503"/>
    </row>
    <row r="5117" spans="23:23">
      <c r="W5117" s="503"/>
    </row>
    <row r="5118" spans="23:23">
      <c r="W5118" s="503"/>
    </row>
    <row r="5119" spans="23:23">
      <c r="W5119" s="503"/>
    </row>
    <row r="5120" spans="23:23">
      <c r="W5120" s="503"/>
    </row>
    <row r="5121" spans="23:23">
      <c r="W5121" s="503"/>
    </row>
    <row r="5122" spans="23:23">
      <c r="W5122" s="503"/>
    </row>
    <row r="5123" spans="23:23">
      <c r="W5123" s="503"/>
    </row>
    <row r="5124" spans="23:23">
      <c r="W5124" s="503"/>
    </row>
    <row r="5125" spans="23:23">
      <c r="W5125" s="503"/>
    </row>
    <row r="5126" spans="23:23">
      <c r="W5126" s="503"/>
    </row>
    <row r="5127" spans="23:23">
      <c r="W5127" s="503"/>
    </row>
    <row r="5128" spans="23:23">
      <c r="W5128" s="503"/>
    </row>
    <row r="5129" spans="23:23">
      <c r="W5129" s="503"/>
    </row>
    <row r="5130" spans="23:23">
      <c r="W5130" s="503"/>
    </row>
    <row r="5131" spans="23:23">
      <c r="W5131" s="503"/>
    </row>
    <row r="5132" spans="23:23">
      <c r="W5132" s="503"/>
    </row>
    <row r="5133" spans="23:23">
      <c r="W5133" s="503"/>
    </row>
    <row r="5134" spans="23:23">
      <c r="W5134" s="503"/>
    </row>
    <row r="5135" spans="23:23">
      <c r="W5135" s="503"/>
    </row>
    <row r="5136" spans="23:23">
      <c r="W5136" s="503"/>
    </row>
    <row r="5137" spans="23:23">
      <c r="W5137" s="503"/>
    </row>
    <row r="5138" spans="23:23">
      <c r="W5138" s="503"/>
    </row>
    <row r="5139" spans="23:23">
      <c r="W5139" s="503"/>
    </row>
    <row r="5140" spans="23:23">
      <c r="W5140" s="503"/>
    </row>
    <row r="5141" spans="23:23">
      <c r="W5141" s="503"/>
    </row>
    <row r="5142" spans="23:23">
      <c r="W5142" s="503"/>
    </row>
    <row r="5143" spans="23:23">
      <c r="W5143" s="503"/>
    </row>
    <row r="5144" spans="23:23">
      <c r="W5144" s="503"/>
    </row>
    <row r="5145" spans="23:23">
      <c r="W5145" s="503"/>
    </row>
    <row r="5146" spans="23:23">
      <c r="W5146" s="503"/>
    </row>
    <row r="5147" spans="23:23">
      <c r="W5147" s="503"/>
    </row>
    <row r="5148" spans="23:23">
      <c r="W5148" s="503"/>
    </row>
    <row r="5149" spans="23:23">
      <c r="W5149" s="503"/>
    </row>
    <row r="5150" spans="23:23">
      <c r="W5150" s="503"/>
    </row>
    <row r="5151" spans="23:23">
      <c r="W5151" s="503"/>
    </row>
    <row r="5152" spans="23:23">
      <c r="W5152" s="503"/>
    </row>
    <row r="5153" spans="23:23">
      <c r="W5153" s="503"/>
    </row>
    <row r="5154" spans="23:23">
      <c r="W5154" s="503"/>
    </row>
    <row r="5155" spans="23:23">
      <c r="W5155" s="503"/>
    </row>
    <row r="5156" spans="23:23">
      <c r="W5156" s="503"/>
    </row>
    <row r="5157" spans="23:23">
      <c r="W5157" s="503"/>
    </row>
    <row r="5158" spans="23:23">
      <c r="W5158" s="503"/>
    </row>
    <row r="5159" spans="23:23">
      <c r="W5159" s="503"/>
    </row>
    <row r="5160" spans="23:23">
      <c r="W5160" s="503"/>
    </row>
    <row r="5161" spans="23:23">
      <c r="W5161" s="503"/>
    </row>
    <row r="5162" spans="23:23">
      <c r="W5162" s="503"/>
    </row>
    <row r="5163" spans="23:23">
      <c r="W5163" s="503"/>
    </row>
    <row r="5164" spans="23:23">
      <c r="W5164" s="503"/>
    </row>
    <row r="5165" spans="23:23">
      <c r="W5165" s="503"/>
    </row>
    <row r="5166" spans="23:23">
      <c r="W5166" s="503"/>
    </row>
    <row r="5167" spans="23:23">
      <c r="W5167" s="503"/>
    </row>
    <row r="5168" spans="23:23">
      <c r="W5168" s="503"/>
    </row>
    <row r="5169" spans="23:23">
      <c r="W5169" s="503"/>
    </row>
    <row r="5170" spans="23:23">
      <c r="W5170" s="503"/>
    </row>
    <row r="5171" spans="23:23">
      <c r="W5171" s="503"/>
    </row>
    <row r="5172" spans="23:23">
      <c r="W5172" s="503"/>
    </row>
    <row r="5173" spans="23:23">
      <c r="W5173" s="503"/>
    </row>
    <row r="5174" spans="23:23">
      <c r="W5174" s="503"/>
    </row>
    <row r="5175" spans="23:23">
      <c r="W5175" s="503"/>
    </row>
    <row r="5176" spans="23:23">
      <c r="W5176" s="503"/>
    </row>
    <row r="5177" spans="23:23">
      <c r="W5177" s="503"/>
    </row>
    <row r="5178" spans="23:23">
      <c r="W5178" s="503"/>
    </row>
    <row r="5179" spans="23:23">
      <c r="W5179" s="503"/>
    </row>
    <row r="5180" spans="23:23">
      <c r="W5180" s="503"/>
    </row>
    <row r="5181" spans="23:23">
      <c r="W5181" s="503"/>
    </row>
    <row r="5182" spans="23:23">
      <c r="W5182" s="503"/>
    </row>
    <row r="5183" spans="23:23">
      <c r="W5183" s="503"/>
    </row>
    <row r="5184" spans="23:23">
      <c r="W5184" s="503"/>
    </row>
    <row r="5185" spans="23:23">
      <c r="W5185" s="503"/>
    </row>
    <row r="5186" spans="23:23">
      <c r="W5186" s="503"/>
    </row>
    <row r="5187" spans="23:23">
      <c r="W5187" s="503"/>
    </row>
    <row r="5188" spans="23:23">
      <c r="W5188" s="503"/>
    </row>
    <row r="5189" spans="23:23">
      <c r="W5189" s="503"/>
    </row>
    <row r="5190" spans="23:23">
      <c r="W5190" s="503"/>
    </row>
    <row r="5191" spans="23:23">
      <c r="W5191" s="503"/>
    </row>
    <row r="5192" spans="23:23">
      <c r="W5192" s="503"/>
    </row>
    <row r="5193" spans="23:23">
      <c r="W5193" s="503"/>
    </row>
    <row r="5194" spans="23:23">
      <c r="W5194" s="503"/>
    </row>
    <row r="5195" spans="23:23">
      <c r="W5195" s="503"/>
    </row>
    <row r="5196" spans="23:23">
      <c r="W5196" s="503"/>
    </row>
    <row r="5197" spans="23:23">
      <c r="W5197" s="503"/>
    </row>
    <row r="5198" spans="23:23">
      <c r="W5198" s="503"/>
    </row>
    <row r="5199" spans="23:23">
      <c r="W5199" s="503"/>
    </row>
    <row r="5200" spans="23:23">
      <c r="W5200" s="503"/>
    </row>
    <row r="5201" spans="23:23">
      <c r="W5201" s="503"/>
    </row>
    <row r="5202" spans="23:23">
      <c r="W5202" s="503"/>
    </row>
    <row r="5203" spans="23:23">
      <c r="W5203" s="503"/>
    </row>
    <row r="5204" spans="23:23">
      <c r="W5204" s="503"/>
    </row>
    <row r="5205" spans="23:23">
      <c r="W5205" s="503"/>
    </row>
    <row r="5206" spans="23:23">
      <c r="W5206" s="503"/>
    </row>
    <row r="5207" spans="23:23">
      <c r="W5207" s="503"/>
    </row>
    <row r="5208" spans="23:23">
      <c r="W5208" s="503"/>
    </row>
    <row r="5209" spans="23:23">
      <c r="W5209" s="503"/>
    </row>
    <row r="5210" spans="23:23">
      <c r="W5210" s="503"/>
    </row>
    <row r="5211" spans="23:23">
      <c r="W5211" s="503"/>
    </row>
    <row r="5212" spans="23:23">
      <c r="W5212" s="503"/>
    </row>
    <row r="5213" spans="23:23">
      <c r="W5213" s="503"/>
    </row>
    <row r="5214" spans="23:23">
      <c r="W5214" s="503"/>
    </row>
    <row r="5215" spans="23:23">
      <c r="W5215" s="503"/>
    </row>
    <row r="5216" spans="23:23">
      <c r="W5216" s="503"/>
    </row>
    <row r="5217" spans="23:23">
      <c r="W5217" s="503"/>
    </row>
    <row r="5218" spans="23:23">
      <c r="W5218" s="503"/>
    </row>
    <row r="5219" spans="23:23">
      <c r="W5219" s="503"/>
    </row>
    <row r="5220" spans="23:23">
      <c r="W5220" s="503"/>
    </row>
    <row r="5221" spans="23:23">
      <c r="W5221" s="503"/>
    </row>
    <row r="5222" spans="23:23">
      <c r="W5222" s="503"/>
    </row>
    <row r="5223" spans="23:23">
      <c r="W5223" s="503"/>
    </row>
    <row r="5224" spans="23:23">
      <c r="W5224" s="503"/>
    </row>
    <row r="5225" spans="23:23">
      <c r="W5225" s="503"/>
    </row>
    <row r="5226" spans="23:23">
      <c r="W5226" s="503"/>
    </row>
    <row r="5227" spans="23:23">
      <c r="W5227" s="503"/>
    </row>
    <row r="5228" spans="23:23">
      <c r="W5228" s="503"/>
    </row>
    <row r="5229" spans="23:23">
      <c r="W5229" s="503"/>
    </row>
    <row r="5230" spans="23:23">
      <c r="W5230" s="503"/>
    </row>
    <row r="5231" spans="23:23">
      <c r="W5231" s="503"/>
    </row>
    <row r="5232" spans="23:23">
      <c r="W5232" s="503"/>
    </row>
    <row r="5233" spans="23:23">
      <c r="W5233" s="503"/>
    </row>
    <row r="5234" spans="23:23">
      <c r="W5234" s="503"/>
    </row>
    <row r="5235" spans="23:23">
      <c r="W5235" s="503"/>
    </row>
    <row r="5236" spans="23:23">
      <c r="W5236" s="503"/>
    </row>
    <row r="5237" spans="23:23">
      <c r="W5237" s="503"/>
    </row>
    <row r="5238" spans="23:23">
      <c r="W5238" s="503"/>
    </row>
    <row r="5239" spans="23:23">
      <c r="W5239" s="503"/>
    </row>
    <row r="5240" spans="23:23">
      <c r="W5240" s="503"/>
    </row>
    <row r="5241" spans="23:23">
      <c r="W5241" s="503"/>
    </row>
    <row r="5242" spans="23:23">
      <c r="W5242" s="503"/>
    </row>
    <row r="5243" spans="23:23">
      <c r="W5243" s="503"/>
    </row>
    <row r="5244" spans="23:23">
      <c r="W5244" s="503"/>
    </row>
    <row r="5245" spans="23:23">
      <c r="W5245" s="503"/>
    </row>
    <row r="5246" spans="23:23">
      <c r="W5246" s="503"/>
    </row>
    <row r="5247" spans="23:23">
      <c r="W5247" s="503"/>
    </row>
    <row r="5248" spans="23:23">
      <c r="W5248" s="503"/>
    </row>
    <row r="5249" spans="23:23">
      <c r="W5249" s="503"/>
    </row>
    <row r="5250" spans="23:23">
      <c r="W5250" s="503"/>
    </row>
    <row r="5251" spans="23:23">
      <c r="W5251" s="503"/>
    </row>
    <row r="5252" spans="23:23">
      <c r="W5252" s="503"/>
    </row>
    <row r="5253" spans="23:23">
      <c r="W5253" s="503"/>
    </row>
    <row r="5254" spans="23:23">
      <c r="W5254" s="503"/>
    </row>
    <row r="5255" spans="23:23">
      <c r="W5255" s="503"/>
    </row>
    <row r="5256" spans="23:23">
      <c r="W5256" s="503"/>
    </row>
    <row r="5257" spans="23:23">
      <c r="W5257" s="503"/>
    </row>
    <row r="5258" spans="23:23">
      <c r="W5258" s="503"/>
    </row>
    <row r="5259" spans="23:23">
      <c r="W5259" s="503"/>
    </row>
    <row r="5260" spans="23:23">
      <c r="W5260" s="503"/>
    </row>
    <row r="5261" spans="23:23">
      <c r="W5261" s="503"/>
    </row>
    <row r="5262" spans="23:23">
      <c r="W5262" s="503"/>
    </row>
    <row r="5263" spans="23:23">
      <c r="W5263" s="503"/>
    </row>
    <row r="5264" spans="23:23">
      <c r="W5264" s="503"/>
    </row>
    <row r="5265" spans="23:23">
      <c r="W5265" s="503"/>
    </row>
    <row r="5266" spans="23:23">
      <c r="W5266" s="503"/>
    </row>
    <row r="5267" spans="23:23">
      <c r="W5267" s="503"/>
    </row>
    <row r="5268" spans="23:23">
      <c r="W5268" s="503"/>
    </row>
    <row r="5269" spans="23:23">
      <c r="W5269" s="503"/>
    </row>
    <row r="5270" spans="23:23">
      <c r="W5270" s="503"/>
    </row>
    <row r="5271" spans="23:23">
      <c r="W5271" s="503"/>
    </row>
    <row r="5272" spans="23:23">
      <c r="W5272" s="503"/>
    </row>
    <row r="5273" spans="23:23">
      <c r="W5273" s="503"/>
    </row>
    <row r="5274" spans="23:23">
      <c r="W5274" s="503"/>
    </row>
    <row r="5275" spans="23:23">
      <c r="W5275" s="503"/>
    </row>
    <row r="5276" spans="23:23">
      <c r="W5276" s="503"/>
    </row>
    <row r="5277" spans="23:23">
      <c r="W5277" s="503"/>
    </row>
    <row r="5278" spans="23:23">
      <c r="W5278" s="503"/>
    </row>
    <row r="5279" spans="23:23">
      <c r="W5279" s="503"/>
    </row>
    <row r="5280" spans="23:23">
      <c r="W5280" s="503"/>
    </row>
    <row r="5281" spans="23:23">
      <c r="W5281" s="503"/>
    </row>
    <row r="5282" spans="23:23">
      <c r="W5282" s="503"/>
    </row>
    <row r="5283" spans="23:23">
      <c r="W5283" s="503"/>
    </row>
    <row r="5284" spans="23:23">
      <c r="W5284" s="503"/>
    </row>
    <row r="5285" spans="23:23">
      <c r="W5285" s="503"/>
    </row>
    <row r="5286" spans="23:23">
      <c r="W5286" s="503"/>
    </row>
    <row r="5287" spans="23:23">
      <c r="W5287" s="503"/>
    </row>
    <row r="5288" spans="23:23">
      <c r="W5288" s="503"/>
    </row>
    <row r="5289" spans="23:23">
      <c r="W5289" s="503"/>
    </row>
    <row r="5290" spans="23:23">
      <c r="W5290" s="503"/>
    </row>
    <row r="5291" spans="23:23">
      <c r="W5291" s="503"/>
    </row>
    <row r="5292" spans="23:23">
      <c r="W5292" s="503"/>
    </row>
    <row r="5293" spans="23:23">
      <c r="W5293" s="503"/>
    </row>
    <row r="5294" spans="23:23">
      <c r="W5294" s="503"/>
    </row>
    <row r="5295" spans="23:23">
      <c r="W5295" s="503"/>
    </row>
    <row r="5296" spans="23:23">
      <c r="W5296" s="503"/>
    </row>
    <row r="5297" spans="23:23">
      <c r="W5297" s="503"/>
    </row>
    <row r="5298" spans="23:23">
      <c r="W5298" s="503"/>
    </row>
    <row r="5299" spans="23:23">
      <c r="W5299" s="503"/>
    </row>
    <row r="5300" spans="23:23">
      <c r="W5300" s="503"/>
    </row>
    <row r="5301" spans="23:23">
      <c r="W5301" s="503"/>
    </row>
    <row r="5302" spans="23:23">
      <c r="W5302" s="503"/>
    </row>
    <row r="5303" spans="23:23">
      <c r="W5303" s="503"/>
    </row>
    <row r="5304" spans="23:23">
      <c r="W5304" s="503"/>
    </row>
    <row r="5305" spans="23:23">
      <c r="W5305" s="503"/>
    </row>
    <row r="5306" spans="23:23">
      <c r="W5306" s="503"/>
    </row>
    <row r="5307" spans="23:23">
      <c r="W5307" s="503"/>
    </row>
    <row r="5308" spans="23:23">
      <c r="W5308" s="503"/>
    </row>
    <row r="5309" spans="23:23">
      <c r="W5309" s="503"/>
    </row>
    <row r="5310" spans="23:23">
      <c r="W5310" s="503"/>
    </row>
    <row r="5311" spans="23:23">
      <c r="W5311" s="503"/>
    </row>
    <row r="5312" spans="23:23">
      <c r="W5312" s="503"/>
    </row>
    <row r="5313" spans="23:23">
      <c r="W5313" s="503"/>
    </row>
    <row r="5314" spans="23:23">
      <c r="W5314" s="503"/>
    </row>
    <row r="5315" spans="23:23">
      <c r="W5315" s="503"/>
    </row>
    <row r="5316" spans="23:23">
      <c r="W5316" s="503"/>
    </row>
    <row r="5317" spans="23:23">
      <c r="W5317" s="503"/>
    </row>
    <row r="5318" spans="23:23">
      <c r="W5318" s="503"/>
    </row>
    <row r="5319" spans="23:23">
      <c r="W5319" s="503"/>
    </row>
    <row r="5320" spans="23:23">
      <c r="W5320" s="503"/>
    </row>
    <row r="5321" spans="23:23">
      <c r="W5321" s="503"/>
    </row>
    <row r="5322" spans="23:23">
      <c r="W5322" s="503"/>
    </row>
    <row r="5323" spans="23:23">
      <c r="W5323" s="503"/>
    </row>
    <row r="5324" spans="23:23">
      <c r="W5324" s="503"/>
    </row>
    <row r="5325" spans="23:23">
      <c r="W5325" s="503"/>
    </row>
    <row r="5326" spans="23:23">
      <c r="W5326" s="503"/>
    </row>
    <row r="5327" spans="23:23">
      <c r="W5327" s="503"/>
    </row>
    <row r="5328" spans="23:23">
      <c r="W5328" s="503"/>
    </row>
    <row r="5329" spans="23:23">
      <c r="W5329" s="503"/>
    </row>
    <row r="5330" spans="23:23">
      <c r="W5330" s="503"/>
    </row>
    <row r="5331" spans="23:23">
      <c r="W5331" s="503"/>
    </row>
    <row r="5332" spans="23:23">
      <c r="W5332" s="503"/>
    </row>
    <row r="5333" spans="23:23">
      <c r="W5333" s="503"/>
    </row>
    <row r="5334" spans="23:23">
      <c r="W5334" s="503"/>
    </row>
    <row r="5335" spans="23:23">
      <c r="W5335" s="503"/>
    </row>
    <row r="5336" spans="23:23">
      <c r="W5336" s="503"/>
    </row>
    <row r="5337" spans="23:23">
      <c r="W5337" s="503"/>
    </row>
    <row r="5338" spans="23:23">
      <c r="W5338" s="503"/>
    </row>
    <row r="5339" spans="23:23">
      <c r="W5339" s="503"/>
    </row>
    <row r="5340" spans="23:23">
      <c r="W5340" s="503"/>
    </row>
    <row r="5341" spans="23:23">
      <c r="W5341" s="503"/>
    </row>
    <row r="5342" spans="23:23">
      <c r="W5342" s="503"/>
    </row>
    <row r="5343" spans="23:23">
      <c r="W5343" s="503"/>
    </row>
    <row r="5344" spans="23:23">
      <c r="W5344" s="503"/>
    </row>
    <row r="5345" spans="23:23">
      <c r="W5345" s="503"/>
    </row>
    <row r="5346" spans="23:23">
      <c r="W5346" s="503"/>
    </row>
    <row r="5347" spans="23:23">
      <c r="W5347" s="503"/>
    </row>
    <row r="5348" spans="23:23">
      <c r="W5348" s="503"/>
    </row>
    <row r="5349" spans="23:23">
      <c r="W5349" s="503"/>
    </row>
    <row r="5350" spans="23:23">
      <c r="W5350" s="503"/>
    </row>
    <row r="5351" spans="23:23">
      <c r="W5351" s="503"/>
    </row>
    <row r="5352" spans="23:23">
      <c r="W5352" s="503"/>
    </row>
    <row r="5353" spans="23:23">
      <c r="W5353" s="503"/>
    </row>
    <row r="5354" spans="23:23">
      <c r="W5354" s="503"/>
    </row>
    <row r="5355" spans="23:23">
      <c r="W5355" s="503"/>
    </row>
    <row r="5356" spans="23:23">
      <c r="W5356" s="503"/>
    </row>
    <row r="5357" spans="23:23">
      <c r="W5357" s="503"/>
    </row>
    <row r="5358" spans="23:23">
      <c r="W5358" s="503"/>
    </row>
    <row r="5359" spans="23:23">
      <c r="W5359" s="503"/>
    </row>
    <row r="5360" spans="23:23">
      <c r="W5360" s="503"/>
    </row>
    <row r="5361" spans="23:23">
      <c r="W5361" s="503"/>
    </row>
    <row r="5362" spans="23:23">
      <c r="W5362" s="503"/>
    </row>
    <row r="5363" spans="23:23">
      <c r="W5363" s="503"/>
    </row>
    <row r="5364" spans="23:23">
      <c r="W5364" s="503"/>
    </row>
    <row r="5365" spans="23:23">
      <c r="W5365" s="503"/>
    </row>
    <row r="5366" spans="23:23">
      <c r="W5366" s="503"/>
    </row>
    <row r="5367" spans="23:23">
      <c r="W5367" s="503"/>
    </row>
    <row r="5368" spans="23:23">
      <c r="W5368" s="503"/>
    </row>
    <row r="5369" spans="23:23">
      <c r="W5369" s="503"/>
    </row>
    <row r="5370" spans="23:23">
      <c r="W5370" s="503"/>
    </row>
    <row r="5371" spans="23:23">
      <c r="W5371" s="503"/>
    </row>
    <row r="5372" spans="23:23">
      <c r="W5372" s="503"/>
    </row>
    <row r="5373" spans="23:23">
      <c r="W5373" s="503"/>
    </row>
    <row r="5374" spans="23:23">
      <c r="W5374" s="503"/>
    </row>
    <row r="5375" spans="23:23">
      <c r="W5375" s="503"/>
    </row>
    <row r="5376" spans="23:23">
      <c r="W5376" s="503"/>
    </row>
    <row r="5377" spans="23:23">
      <c r="W5377" s="503"/>
    </row>
    <row r="5378" spans="23:23">
      <c r="W5378" s="503"/>
    </row>
    <row r="5379" spans="23:23">
      <c r="W5379" s="503"/>
    </row>
    <row r="5380" spans="23:23">
      <c r="W5380" s="503"/>
    </row>
    <row r="5381" spans="23:23">
      <c r="W5381" s="503"/>
    </row>
    <row r="5382" spans="23:23">
      <c r="W5382" s="503"/>
    </row>
    <row r="5383" spans="23:23">
      <c r="W5383" s="503"/>
    </row>
    <row r="5384" spans="23:23">
      <c r="W5384" s="503"/>
    </row>
    <row r="5385" spans="23:23">
      <c r="W5385" s="503"/>
    </row>
    <row r="5386" spans="23:23">
      <c r="W5386" s="503"/>
    </row>
    <row r="5387" spans="23:23">
      <c r="W5387" s="503"/>
    </row>
    <row r="5388" spans="23:23">
      <c r="W5388" s="503"/>
    </row>
    <row r="5389" spans="23:23">
      <c r="W5389" s="503"/>
    </row>
    <row r="5390" spans="23:23">
      <c r="W5390" s="503"/>
    </row>
    <row r="5391" spans="23:23">
      <c r="W5391" s="503"/>
    </row>
    <row r="5392" spans="23:23">
      <c r="W5392" s="503"/>
    </row>
    <row r="5393" spans="23:23">
      <c r="W5393" s="503"/>
    </row>
    <row r="5394" spans="23:23">
      <c r="W5394" s="503"/>
    </row>
    <row r="5395" spans="23:23">
      <c r="W5395" s="503"/>
    </row>
    <row r="5396" spans="23:23">
      <c r="W5396" s="503"/>
    </row>
    <row r="5397" spans="23:23">
      <c r="W5397" s="503"/>
    </row>
    <row r="5398" spans="23:23">
      <c r="W5398" s="503"/>
    </row>
    <row r="5399" spans="23:23">
      <c r="W5399" s="503"/>
    </row>
    <row r="5400" spans="23:23">
      <c r="W5400" s="503"/>
    </row>
    <row r="5401" spans="23:23">
      <c r="W5401" s="503"/>
    </row>
    <row r="5402" spans="23:23">
      <c r="W5402" s="503"/>
    </row>
    <row r="5403" spans="23:23">
      <c r="W5403" s="503"/>
    </row>
    <row r="5404" spans="23:23">
      <c r="W5404" s="503"/>
    </row>
    <row r="5405" spans="23:23">
      <c r="W5405" s="503"/>
    </row>
    <row r="5406" spans="23:23">
      <c r="W5406" s="503"/>
    </row>
    <row r="5407" spans="23:23">
      <c r="W5407" s="503"/>
    </row>
    <row r="5408" spans="23:23">
      <c r="W5408" s="503"/>
    </row>
    <row r="5409" spans="23:23">
      <c r="W5409" s="503"/>
    </row>
    <row r="5410" spans="23:23">
      <c r="W5410" s="503"/>
    </row>
    <row r="5411" spans="23:23">
      <c r="W5411" s="503"/>
    </row>
    <row r="5412" spans="23:23">
      <c r="W5412" s="503"/>
    </row>
    <row r="5413" spans="23:23">
      <c r="W5413" s="503"/>
    </row>
    <row r="5414" spans="23:23">
      <c r="W5414" s="503"/>
    </row>
    <row r="5415" spans="23:23">
      <c r="W5415" s="503"/>
    </row>
    <row r="5416" spans="23:23">
      <c r="W5416" s="503"/>
    </row>
    <row r="5417" spans="23:23">
      <c r="W5417" s="503"/>
    </row>
    <row r="5418" spans="23:23">
      <c r="W5418" s="503"/>
    </row>
    <row r="5419" spans="23:23">
      <c r="W5419" s="503"/>
    </row>
    <row r="5420" spans="23:23">
      <c r="W5420" s="503"/>
    </row>
    <row r="5421" spans="23:23">
      <c r="W5421" s="503"/>
    </row>
    <row r="5422" spans="23:23">
      <c r="W5422" s="503"/>
    </row>
    <row r="5423" spans="23:23">
      <c r="W5423" s="503"/>
    </row>
    <row r="5424" spans="23:23">
      <c r="W5424" s="503"/>
    </row>
    <row r="5425" spans="23:23">
      <c r="W5425" s="503"/>
    </row>
    <row r="5426" spans="23:23">
      <c r="W5426" s="503"/>
    </row>
    <row r="5427" spans="23:23">
      <c r="W5427" s="503"/>
    </row>
    <row r="5428" spans="23:23">
      <c r="W5428" s="503"/>
    </row>
    <row r="5429" spans="23:23">
      <c r="W5429" s="503"/>
    </row>
    <row r="5430" spans="23:23">
      <c r="W5430" s="503"/>
    </row>
    <row r="5431" spans="23:23">
      <c r="W5431" s="503"/>
    </row>
    <row r="5432" spans="23:23">
      <c r="W5432" s="503"/>
    </row>
    <row r="5433" spans="23:23">
      <c r="W5433" s="503"/>
    </row>
    <row r="5434" spans="23:23">
      <c r="W5434" s="503"/>
    </row>
    <row r="5435" spans="23:23">
      <c r="W5435" s="503"/>
    </row>
    <row r="5436" spans="23:23">
      <c r="W5436" s="503"/>
    </row>
    <row r="5437" spans="23:23">
      <c r="W5437" s="503"/>
    </row>
    <row r="5438" spans="23:23">
      <c r="W5438" s="503"/>
    </row>
    <row r="5439" spans="23:23">
      <c r="W5439" s="503"/>
    </row>
    <row r="5440" spans="23:23">
      <c r="W5440" s="503"/>
    </row>
    <row r="5441" spans="23:23">
      <c r="W5441" s="503"/>
    </row>
    <row r="5442" spans="23:23">
      <c r="W5442" s="503"/>
    </row>
    <row r="5443" spans="23:23">
      <c r="W5443" s="503"/>
    </row>
    <row r="5444" spans="23:23">
      <c r="W5444" s="503"/>
    </row>
    <row r="5445" spans="23:23">
      <c r="W5445" s="503"/>
    </row>
    <row r="5446" spans="23:23">
      <c r="W5446" s="503"/>
    </row>
    <row r="5447" spans="23:23">
      <c r="W5447" s="503"/>
    </row>
    <row r="5448" spans="23:23">
      <c r="W5448" s="503"/>
    </row>
    <row r="5449" spans="23:23">
      <c r="W5449" s="503"/>
    </row>
    <row r="5450" spans="23:23">
      <c r="W5450" s="503"/>
    </row>
    <row r="5451" spans="23:23">
      <c r="W5451" s="503"/>
    </row>
    <row r="5452" spans="23:23">
      <c r="W5452" s="503"/>
    </row>
    <row r="5453" spans="23:23">
      <c r="W5453" s="503"/>
    </row>
    <row r="5454" spans="23:23">
      <c r="W5454" s="503"/>
    </row>
    <row r="5455" spans="23:23">
      <c r="W5455" s="503"/>
    </row>
    <row r="5456" spans="23:23">
      <c r="W5456" s="503"/>
    </row>
    <row r="5457" spans="23:23">
      <c r="W5457" s="503"/>
    </row>
    <row r="5458" spans="23:23">
      <c r="W5458" s="503"/>
    </row>
    <row r="5459" spans="23:23">
      <c r="W5459" s="503"/>
    </row>
    <row r="5460" spans="23:23">
      <c r="W5460" s="503"/>
    </row>
    <row r="5461" spans="23:23">
      <c r="W5461" s="503"/>
    </row>
    <row r="5462" spans="23:23">
      <c r="W5462" s="503"/>
    </row>
    <row r="5463" spans="23:23">
      <c r="W5463" s="503"/>
    </row>
    <row r="5464" spans="23:23">
      <c r="W5464" s="503"/>
    </row>
    <row r="5465" spans="23:23">
      <c r="W5465" s="503"/>
    </row>
    <row r="5466" spans="23:23">
      <c r="W5466" s="503"/>
    </row>
    <row r="5467" spans="23:23">
      <c r="W5467" s="503"/>
    </row>
    <row r="5468" spans="23:23">
      <c r="W5468" s="503"/>
    </row>
    <row r="5469" spans="23:23">
      <c r="W5469" s="503"/>
    </row>
    <row r="5470" spans="23:23">
      <c r="W5470" s="503"/>
    </row>
    <row r="5471" spans="23:23">
      <c r="W5471" s="503"/>
    </row>
    <row r="5472" spans="23:23">
      <c r="W5472" s="503"/>
    </row>
    <row r="5473" spans="23:23">
      <c r="W5473" s="503"/>
    </row>
    <row r="5474" spans="23:23">
      <c r="W5474" s="503"/>
    </row>
    <row r="5475" spans="23:23">
      <c r="W5475" s="503"/>
    </row>
    <row r="5476" spans="23:23">
      <c r="W5476" s="503"/>
    </row>
    <row r="5477" spans="23:23">
      <c r="W5477" s="503"/>
    </row>
    <row r="5478" spans="23:23">
      <c r="W5478" s="503"/>
    </row>
    <row r="5479" spans="23:23">
      <c r="W5479" s="503"/>
    </row>
    <row r="5480" spans="23:23">
      <c r="W5480" s="503"/>
    </row>
    <row r="5481" spans="23:23">
      <c r="W5481" s="503"/>
    </row>
    <row r="5482" spans="23:23">
      <c r="W5482" s="503"/>
    </row>
    <row r="5483" spans="23:23">
      <c r="W5483" s="503"/>
    </row>
    <row r="5484" spans="23:23">
      <c r="W5484" s="503"/>
    </row>
    <row r="5485" spans="23:23">
      <c r="W5485" s="503"/>
    </row>
    <row r="5486" spans="23:23">
      <c r="W5486" s="503"/>
    </row>
    <row r="5487" spans="23:23">
      <c r="W5487" s="503"/>
    </row>
    <row r="5488" spans="23:23">
      <c r="W5488" s="503"/>
    </row>
    <row r="5489" spans="23:23">
      <c r="W5489" s="503"/>
    </row>
    <row r="5490" spans="23:23">
      <c r="W5490" s="503"/>
    </row>
    <row r="5491" spans="23:23">
      <c r="W5491" s="503"/>
    </row>
    <row r="5492" spans="23:23">
      <c r="W5492" s="503"/>
    </row>
    <row r="5493" spans="23:23">
      <c r="W5493" s="503"/>
    </row>
    <row r="5494" spans="23:23">
      <c r="W5494" s="503"/>
    </row>
    <row r="5495" spans="23:23">
      <c r="W5495" s="503"/>
    </row>
    <row r="5496" spans="23:23">
      <c r="W5496" s="503"/>
    </row>
    <row r="5497" spans="23:23">
      <c r="W5497" s="503"/>
    </row>
    <row r="5498" spans="23:23">
      <c r="W5498" s="503"/>
    </row>
    <row r="5499" spans="23:23">
      <c r="W5499" s="503"/>
    </row>
    <row r="5500" spans="23:23">
      <c r="W5500" s="503"/>
    </row>
    <row r="5501" spans="23:23">
      <c r="W5501" s="503"/>
    </row>
    <row r="5502" spans="23:23">
      <c r="W5502" s="503"/>
    </row>
    <row r="5503" spans="23:23">
      <c r="W5503" s="503"/>
    </row>
    <row r="5504" spans="23:23">
      <c r="W5504" s="503"/>
    </row>
    <row r="5505" spans="23:23">
      <c r="W5505" s="503"/>
    </row>
    <row r="5506" spans="23:23">
      <c r="W5506" s="503"/>
    </row>
    <row r="5507" spans="23:23">
      <c r="W5507" s="503"/>
    </row>
    <row r="5508" spans="23:23">
      <c r="W5508" s="503"/>
    </row>
    <row r="5509" spans="23:23">
      <c r="W5509" s="503"/>
    </row>
    <row r="5510" spans="23:23">
      <c r="W5510" s="503"/>
    </row>
    <row r="5511" spans="23:23">
      <c r="W5511" s="503"/>
    </row>
    <row r="5512" spans="23:23">
      <c r="W5512" s="503"/>
    </row>
    <row r="5513" spans="23:23">
      <c r="W5513" s="503"/>
    </row>
    <row r="5514" spans="23:23">
      <c r="W5514" s="503"/>
    </row>
    <row r="5515" spans="23:23">
      <c r="W5515" s="503"/>
    </row>
    <row r="5516" spans="23:23">
      <c r="W5516" s="503"/>
    </row>
    <row r="5517" spans="23:23">
      <c r="W5517" s="503"/>
    </row>
    <row r="5518" spans="23:23">
      <c r="W5518" s="503"/>
    </row>
    <row r="5519" spans="23:23">
      <c r="W5519" s="503"/>
    </row>
    <row r="5520" spans="23:23">
      <c r="W5520" s="503"/>
    </row>
    <row r="5521" spans="23:23">
      <c r="W5521" s="503"/>
    </row>
    <row r="5522" spans="23:23">
      <c r="W5522" s="503"/>
    </row>
    <row r="5523" spans="23:23">
      <c r="W5523" s="503"/>
    </row>
    <row r="5524" spans="23:23">
      <c r="W5524" s="503"/>
    </row>
    <row r="5525" spans="23:23">
      <c r="W5525" s="503"/>
    </row>
    <row r="5526" spans="23:23">
      <c r="W5526" s="503"/>
    </row>
    <row r="5527" spans="23:23">
      <c r="W5527" s="503"/>
    </row>
    <row r="5528" spans="23:23">
      <c r="W5528" s="503"/>
    </row>
    <row r="5529" spans="23:23">
      <c r="W5529" s="503"/>
    </row>
    <row r="5530" spans="23:23">
      <c r="W5530" s="503"/>
    </row>
    <row r="5531" spans="23:23">
      <c r="W5531" s="503"/>
    </row>
    <row r="5532" spans="23:23">
      <c r="W5532" s="503"/>
    </row>
    <row r="5533" spans="23:23">
      <c r="W5533" s="503"/>
    </row>
    <row r="5534" spans="23:23">
      <c r="W5534" s="503"/>
    </row>
    <row r="5535" spans="23:23">
      <c r="W5535" s="503"/>
    </row>
    <row r="5536" spans="23:23">
      <c r="W5536" s="503"/>
    </row>
    <row r="5537" spans="23:23">
      <c r="W5537" s="503"/>
    </row>
    <row r="5538" spans="23:23">
      <c r="W5538" s="503"/>
    </row>
    <row r="5539" spans="23:23">
      <c r="W5539" s="503"/>
    </row>
    <row r="5540" spans="23:23">
      <c r="W5540" s="503"/>
    </row>
    <row r="5541" spans="23:23">
      <c r="W5541" s="503"/>
    </row>
    <row r="5542" spans="23:23">
      <c r="W5542" s="503"/>
    </row>
    <row r="5543" spans="23:23">
      <c r="W5543" s="503"/>
    </row>
    <row r="5544" spans="23:23">
      <c r="W5544" s="503"/>
    </row>
    <row r="5545" spans="23:23">
      <c r="W5545" s="503"/>
    </row>
    <row r="5546" spans="23:23">
      <c r="W5546" s="503"/>
    </row>
    <row r="5547" spans="23:23">
      <c r="W5547" s="503"/>
    </row>
    <row r="5548" spans="23:23">
      <c r="W5548" s="503"/>
    </row>
    <row r="5549" spans="23:23">
      <c r="W5549" s="503"/>
    </row>
    <row r="5550" spans="23:23">
      <c r="W5550" s="503"/>
    </row>
    <row r="5551" spans="23:23">
      <c r="W5551" s="503"/>
    </row>
    <row r="5552" spans="23:23">
      <c r="W5552" s="503"/>
    </row>
    <row r="5553" spans="23:23">
      <c r="W5553" s="503"/>
    </row>
    <row r="5554" spans="23:23">
      <c r="W5554" s="503"/>
    </row>
    <row r="5555" spans="23:23">
      <c r="W5555" s="503"/>
    </row>
    <row r="5556" spans="23:23">
      <c r="W5556" s="503"/>
    </row>
    <row r="5557" spans="23:23">
      <c r="W5557" s="503"/>
    </row>
    <row r="5558" spans="23:23">
      <c r="W5558" s="503"/>
    </row>
    <row r="5559" spans="23:23">
      <c r="W5559" s="503"/>
    </row>
    <row r="5560" spans="23:23">
      <c r="W5560" s="503"/>
    </row>
    <row r="5561" spans="23:23">
      <c r="W5561" s="503"/>
    </row>
    <row r="5562" spans="23:23">
      <c r="W5562" s="503"/>
    </row>
    <row r="5563" spans="23:23">
      <c r="W5563" s="503"/>
    </row>
    <row r="5564" spans="23:23">
      <c r="W5564" s="503"/>
    </row>
    <row r="5565" spans="23:23">
      <c r="W5565" s="503"/>
    </row>
    <row r="5566" spans="23:23">
      <c r="W5566" s="503"/>
    </row>
    <row r="5567" spans="23:23">
      <c r="W5567" s="503"/>
    </row>
    <row r="5568" spans="23:23">
      <c r="W5568" s="503"/>
    </row>
    <row r="5569" spans="23:23">
      <c r="W5569" s="503"/>
    </row>
    <row r="5570" spans="23:23">
      <c r="W5570" s="503"/>
    </row>
    <row r="5571" spans="23:23">
      <c r="W5571" s="503"/>
    </row>
    <row r="5572" spans="23:23">
      <c r="W5572" s="503"/>
    </row>
    <row r="5573" spans="23:23">
      <c r="W5573" s="503"/>
    </row>
    <row r="5574" spans="23:23">
      <c r="W5574" s="503"/>
    </row>
    <row r="5575" spans="23:23">
      <c r="W5575" s="503"/>
    </row>
    <row r="5576" spans="23:23">
      <c r="W5576" s="503"/>
    </row>
    <row r="5577" spans="23:23">
      <c r="W5577" s="503"/>
    </row>
    <row r="5578" spans="23:23">
      <c r="W5578" s="503"/>
    </row>
    <row r="5579" spans="23:23">
      <c r="W5579" s="503"/>
    </row>
    <row r="5580" spans="23:23">
      <c r="W5580" s="503"/>
    </row>
    <row r="5581" spans="23:23">
      <c r="W5581" s="503"/>
    </row>
    <row r="5582" spans="23:23">
      <c r="W5582" s="503"/>
    </row>
    <row r="5583" spans="23:23">
      <c r="W5583" s="503"/>
    </row>
    <row r="5584" spans="23:23">
      <c r="W5584" s="503"/>
    </row>
    <row r="5585" spans="23:23">
      <c r="W5585" s="503"/>
    </row>
    <row r="5586" spans="23:23">
      <c r="W5586" s="503"/>
    </row>
    <row r="5587" spans="23:23">
      <c r="W5587" s="503"/>
    </row>
    <row r="5588" spans="23:23">
      <c r="W5588" s="503"/>
    </row>
    <row r="5589" spans="23:23">
      <c r="W5589" s="503"/>
    </row>
    <row r="5590" spans="23:23">
      <c r="W5590" s="503"/>
    </row>
    <row r="5591" spans="23:23">
      <c r="W5591" s="503"/>
    </row>
    <row r="5592" spans="23:23">
      <c r="W5592" s="503"/>
    </row>
    <row r="5593" spans="23:23">
      <c r="W5593" s="503"/>
    </row>
    <row r="5594" spans="23:23">
      <c r="W5594" s="503"/>
    </row>
    <row r="5595" spans="23:23">
      <c r="W5595" s="503"/>
    </row>
    <row r="5596" spans="23:23">
      <c r="W5596" s="503"/>
    </row>
    <row r="5597" spans="23:23">
      <c r="W5597" s="503"/>
    </row>
    <row r="5598" spans="23:23">
      <c r="W5598" s="503"/>
    </row>
    <row r="5599" spans="23:23">
      <c r="W5599" s="503"/>
    </row>
    <row r="5600" spans="23:23">
      <c r="W5600" s="503"/>
    </row>
    <row r="5601" spans="23:23">
      <c r="W5601" s="503"/>
    </row>
    <row r="5602" spans="23:23">
      <c r="W5602" s="503"/>
    </row>
    <row r="5603" spans="23:23">
      <c r="W5603" s="503"/>
    </row>
    <row r="5604" spans="23:23">
      <c r="W5604" s="503"/>
    </row>
    <row r="5605" spans="23:23">
      <c r="W5605" s="503"/>
    </row>
    <row r="5606" spans="23:23">
      <c r="W5606" s="503"/>
    </row>
    <row r="5607" spans="23:23">
      <c r="W5607" s="503"/>
    </row>
    <row r="5608" spans="23:23">
      <c r="W5608" s="503"/>
    </row>
    <row r="5609" spans="23:23">
      <c r="W5609" s="503"/>
    </row>
    <row r="5610" spans="23:23">
      <c r="W5610" s="503"/>
    </row>
    <row r="5611" spans="23:23">
      <c r="W5611" s="503"/>
    </row>
    <row r="5612" spans="23:23">
      <c r="W5612" s="503"/>
    </row>
    <row r="5613" spans="23:23">
      <c r="W5613" s="503"/>
    </row>
    <row r="5614" spans="23:23">
      <c r="W5614" s="503"/>
    </row>
    <row r="5615" spans="23:23">
      <c r="W5615" s="503"/>
    </row>
    <row r="5616" spans="23:23">
      <c r="W5616" s="503"/>
    </row>
    <row r="5617" spans="23:23">
      <c r="W5617" s="503"/>
    </row>
    <row r="5618" spans="23:23">
      <c r="W5618" s="503"/>
    </row>
    <row r="5619" spans="23:23">
      <c r="W5619" s="503"/>
    </row>
    <row r="5620" spans="23:23">
      <c r="W5620" s="503"/>
    </row>
    <row r="5621" spans="23:23">
      <c r="W5621" s="503"/>
    </row>
    <row r="5622" spans="23:23">
      <c r="W5622" s="503"/>
    </row>
    <row r="5623" spans="23:23">
      <c r="W5623" s="503"/>
    </row>
    <row r="5624" spans="23:23">
      <c r="W5624" s="503"/>
    </row>
    <row r="5625" spans="23:23">
      <c r="W5625" s="503"/>
    </row>
    <row r="5626" spans="23:23">
      <c r="W5626" s="503"/>
    </row>
    <row r="5627" spans="23:23">
      <c r="W5627" s="503"/>
    </row>
    <row r="5628" spans="23:23">
      <c r="W5628" s="503"/>
    </row>
    <row r="5629" spans="23:23">
      <c r="W5629" s="503"/>
    </row>
    <row r="5630" spans="23:23">
      <c r="W5630" s="503"/>
    </row>
    <row r="5631" spans="23:23">
      <c r="W5631" s="503"/>
    </row>
    <row r="5632" spans="23:23">
      <c r="W5632" s="503"/>
    </row>
    <row r="5633" spans="23:23">
      <c r="W5633" s="503"/>
    </row>
    <row r="5634" spans="23:23">
      <c r="W5634" s="503"/>
    </row>
    <row r="5635" spans="23:23">
      <c r="W5635" s="503"/>
    </row>
    <row r="5636" spans="23:23">
      <c r="W5636" s="503"/>
    </row>
    <row r="5637" spans="23:23">
      <c r="W5637" s="503"/>
    </row>
    <row r="5638" spans="23:23">
      <c r="W5638" s="503"/>
    </row>
    <row r="5639" spans="23:23">
      <c r="W5639" s="503"/>
    </row>
    <row r="5640" spans="23:23">
      <c r="W5640" s="503"/>
    </row>
    <row r="5641" spans="23:23">
      <c r="W5641" s="503"/>
    </row>
    <row r="5642" spans="23:23">
      <c r="W5642" s="503"/>
    </row>
    <row r="5643" spans="23:23">
      <c r="W5643" s="503"/>
    </row>
    <row r="5644" spans="23:23">
      <c r="W5644" s="503"/>
    </row>
    <row r="5645" spans="23:23">
      <c r="W5645" s="503"/>
    </row>
    <row r="5646" spans="23:23">
      <c r="W5646" s="503"/>
    </row>
    <row r="5647" spans="23:23">
      <c r="W5647" s="503"/>
    </row>
    <row r="5648" spans="23:23">
      <c r="W5648" s="503"/>
    </row>
    <row r="5649" spans="23:23">
      <c r="W5649" s="503"/>
    </row>
    <row r="5650" spans="23:23">
      <c r="W5650" s="503"/>
    </row>
    <row r="5651" spans="23:23">
      <c r="W5651" s="503"/>
    </row>
    <row r="5652" spans="23:23">
      <c r="W5652" s="503"/>
    </row>
    <row r="5653" spans="23:23">
      <c r="W5653" s="503"/>
    </row>
    <row r="5654" spans="23:23">
      <c r="W5654" s="503"/>
    </row>
    <row r="5655" spans="23:23">
      <c r="W5655" s="503"/>
    </row>
    <row r="5656" spans="23:23">
      <c r="W5656" s="503"/>
    </row>
    <row r="5657" spans="23:23">
      <c r="W5657" s="503"/>
    </row>
    <row r="5658" spans="23:23">
      <c r="W5658" s="503"/>
    </row>
    <row r="5659" spans="23:23">
      <c r="W5659" s="503"/>
    </row>
    <row r="5660" spans="23:23">
      <c r="W5660" s="503"/>
    </row>
    <row r="5661" spans="23:23">
      <c r="W5661" s="503"/>
    </row>
    <row r="5662" spans="23:23">
      <c r="W5662" s="503"/>
    </row>
    <row r="5663" spans="23:23">
      <c r="W5663" s="503"/>
    </row>
    <row r="5664" spans="23:23">
      <c r="W5664" s="503"/>
    </row>
    <row r="5665" spans="23:23">
      <c r="W5665" s="503"/>
    </row>
    <row r="5666" spans="23:23">
      <c r="W5666" s="503"/>
    </row>
    <row r="5667" spans="23:23">
      <c r="W5667" s="503"/>
    </row>
    <row r="5668" spans="23:23">
      <c r="W5668" s="503"/>
    </row>
    <row r="5669" spans="23:23">
      <c r="W5669" s="503"/>
    </row>
    <row r="5670" spans="23:23">
      <c r="W5670" s="503"/>
    </row>
    <row r="5671" spans="23:23">
      <c r="W5671" s="503"/>
    </row>
    <row r="5672" spans="23:23">
      <c r="W5672" s="503"/>
    </row>
    <row r="5673" spans="23:23">
      <c r="W5673" s="503"/>
    </row>
    <row r="5674" spans="23:23">
      <c r="W5674" s="503"/>
    </row>
    <row r="5675" spans="23:23">
      <c r="W5675" s="503"/>
    </row>
    <row r="5676" spans="23:23">
      <c r="W5676" s="503"/>
    </row>
    <row r="5677" spans="23:23">
      <c r="W5677" s="503"/>
    </row>
    <row r="5678" spans="23:23">
      <c r="W5678" s="503"/>
    </row>
    <row r="5679" spans="23:23">
      <c r="W5679" s="503"/>
    </row>
    <row r="5680" spans="23:23">
      <c r="W5680" s="503"/>
    </row>
    <row r="5681" spans="23:23">
      <c r="W5681" s="503"/>
    </row>
    <row r="5682" spans="23:23">
      <c r="W5682" s="503"/>
    </row>
    <row r="5683" spans="23:23">
      <c r="W5683" s="503"/>
    </row>
    <row r="5684" spans="23:23">
      <c r="W5684" s="503"/>
    </row>
    <row r="5685" spans="23:23">
      <c r="W5685" s="503"/>
    </row>
    <row r="5686" spans="23:23">
      <c r="W5686" s="503"/>
    </row>
    <row r="5687" spans="23:23">
      <c r="W5687" s="503"/>
    </row>
    <row r="5688" spans="23:23">
      <c r="W5688" s="503"/>
    </row>
    <row r="5689" spans="23:23">
      <c r="W5689" s="503"/>
    </row>
    <row r="5690" spans="23:23">
      <c r="W5690" s="503"/>
    </row>
    <row r="5691" spans="23:23">
      <c r="W5691" s="503"/>
    </row>
    <row r="5692" spans="23:23">
      <c r="W5692" s="503"/>
    </row>
    <row r="5693" spans="23:23">
      <c r="W5693" s="503"/>
    </row>
    <row r="5694" spans="23:23">
      <c r="W5694" s="503"/>
    </row>
    <row r="5695" spans="23:23">
      <c r="W5695" s="503"/>
    </row>
    <row r="5696" spans="23:23">
      <c r="W5696" s="503"/>
    </row>
    <row r="5697" spans="23:23">
      <c r="W5697" s="503"/>
    </row>
    <row r="5698" spans="23:23">
      <c r="W5698" s="503"/>
    </row>
    <row r="5699" spans="23:23">
      <c r="W5699" s="503"/>
    </row>
    <row r="5700" spans="23:23">
      <c r="W5700" s="503"/>
    </row>
    <row r="5701" spans="23:23">
      <c r="W5701" s="503"/>
    </row>
    <row r="5702" spans="23:23">
      <c r="W5702" s="503"/>
    </row>
    <row r="5703" spans="23:23">
      <c r="W5703" s="503"/>
    </row>
    <row r="5704" spans="23:23">
      <c r="W5704" s="503"/>
    </row>
    <row r="5705" spans="23:23">
      <c r="W5705" s="503"/>
    </row>
    <row r="5706" spans="23:23">
      <c r="W5706" s="503"/>
    </row>
    <row r="5707" spans="23:23">
      <c r="W5707" s="503"/>
    </row>
    <row r="5708" spans="23:23">
      <c r="W5708" s="503"/>
    </row>
    <row r="5709" spans="23:23">
      <c r="W5709" s="503"/>
    </row>
    <row r="5710" spans="23:23">
      <c r="W5710" s="503"/>
    </row>
    <row r="5711" spans="23:23">
      <c r="W5711" s="503"/>
    </row>
    <row r="5712" spans="23:23">
      <c r="W5712" s="503"/>
    </row>
    <row r="5713" spans="23:23">
      <c r="W5713" s="503"/>
    </row>
    <row r="5714" spans="23:23">
      <c r="W5714" s="503"/>
    </row>
    <row r="5715" spans="23:23">
      <c r="W5715" s="503"/>
    </row>
    <row r="5716" spans="23:23">
      <c r="W5716" s="503"/>
    </row>
    <row r="5717" spans="23:23">
      <c r="W5717" s="503"/>
    </row>
    <row r="5718" spans="23:23">
      <c r="W5718" s="503"/>
    </row>
    <row r="5719" spans="23:23">
      <c r="W5719" s="503"/>
    </row>
    <row r="5720" spans="23:23">
      <c r="W5720" s="503"/>
    </row>
    <row r="5721" spans="23:23">
      <c r="W5721" s="503"/>
    </row>
    <row r="5722" spans="23:23">
      <c r="W5722" s="503"/>
    </row>
    <row r="5723" spans="23:23">
      <c r="W5723" s="503"/>
    </row>
    <row r="5724" spans="23:23">
      <c r="W5724" s="503"/>
    </row>
    <row r="5725" spans="23:23">
      <c r="W5725" s="503"/>
    </row>
    <row r="5726" spans="23:23">
      <c r="W5726" s="503"/>
    </row>
    <row r="5727" spans="23:23">
      <c r="W5727" s="503"/>
    </row>
    <row r="5728" spans="23:23">
      <c r="W5728" s="503"/>
    </row>
    <row r="5729" spans="23:23">
      <c r="W5729" s="503"/>
    </row>
    <row r="5730" spans="23:23">
      <c r="W5730" s="503"/>
    </row>
    <row r="5731" spans="23:23">
      <c r="W5731" s="503"/>
    </row>
    <row r="5732" spans="23:23">
      <c r="W5732" s="503"/>
    </row>
    <row r="5733" spans="23:23">
      <c r="W5733" s="503"/>
    </row>
    <row r="5734" spans="23:23">
      <c r="W5734" s="503"/>
    </row>
    <row r="5735" spans="23:23">
      <c r="W5735" s="503"/>
    </row>
    <row r="5736" spans="23:23">
      <c r="W5736" s="503"/>
    </row>
    <row r="5737" spans="23:23">
      <c r="W5737" s="503"/>
    </row>
    <row r="5738" spans="23:23">
      <c r="W5738" s="503"/>
    </row>
    <row r="5739" spans="23:23">
      <c r="W5739" s="503"/>
    </row>
    <row r="5740" spans="23:23">
      <c r="W5740" s="503"/>
    </row>
    <row r="5741" spans="23:23">
      <c r="W5741" s="503"/>
    </row>
    <row r="5742" spans="23:23">
      <c r="W5742" s="503"/>
    </row>
    <row r="5743" spans="23:23">
      <c r="W5743" s="503"/>
    </row>
    <row r="5744" spans="23:23">
      <c r="W5744" s="503"/>
    </row>
    <row r="5745" spans="23:23">
      <c r="W5745" s="503"/>
    </row>
    <row r="5746" spans="23:23">
      <c r="W5746" s="503"/>
    </row>
    <row r="5747" spans="23:23">
      <c r="W5747" s="503"/>
    </row>
    <row r="5748" spans="23:23">
      <c r="W5748" s="503"/>
    </row>
    <row r="5749" spans="23:23">
      <c r="W5749" s="503"/>
    </row>
    <row r="5750" spans="23:23">
      <c r="W5750" s="503"/>
    </row>
    <row r="5751" spans="23:23">
      <c r="W5751" s="503"/>
    </row>
    <row r="5752" spans="23:23">
      <c r="W5752" s="503"/>
    </row>
    <row r="5753" spans="23:23">
      <c r="W5753" s="503"/>
    </row>
    <row r="5754" spans="23:23">
      <c r="W5754" s="503"/>
    </row>
    <row r="5755" spans="23:23">
      <c r="W5755" s="503"/>
    </row>
    <row r="5756" spans="23:23">
      <c r="W5756" s="503"/>
    </row>
    <row r="5757" spans="23:23">
      <c r="W5757" s="503"/>
    </row>
    <row r="5758" spans="23:23">
      <c r="W5758" s="503"/>
    </row>
    <row r="5759" spans="23:23">
      <c r="W5759" s="503"/>
    </row>
    <row r="5760" spans="23:23">
      <c r="W5760" s="503"/>
    </row>
    <row r="5761" spans="23:23">
      <c r="W5761" s="503"/>
    </row>
    <row r="5762" spans="23:23">
      <c r="W5762" s="503"/>
    </row>
    <row r="5763" spans="23:23">
      <c r="W5763" s="503"/>
    </row>
    <row r="5764" spans="23:23">
      <c r="W5764" s="503"/>
    </row>
    <row r="5765" spans="23:23">
      <c r="W5765" s="503"/>
    </row>
    <row r="5766" spans="23:23">
      <c r="W5766" s="503"/>
    </row>
    <row r="5767" spans="23:23">
      <c r="W5767" s="503"/>
    </row>
    <row r="5768" spans="23:23">
      <c r="W5768" s="503"/>
    </row>
    <row r="5769" spans="23:23">
      <c r="W5769" s="503"/>
    </row>
    <row r="5770" spans="23:23">
      <c r="W5770" s="503"/>
    </row>
    <row r="5771" spans="23:23">
      <c r="W5771" s="503"/>
    </row>
    <row r="5772" spans="23:23">
      <c r="W5772" s="503"/>
    </row>
    <row r="5773" spans="23:23">
      <c r="W5773" s="503"/>
    </row>
    <row r="5774" spans="23:23">
      <c r="W5774" s="503"/>
    </row>
    <row r="5775" spans="23:23">
      <c r="W5775" s="503"/>
    </row>
    <row r="5776" spans="23:23">
      <c r="W5776" s="503"/>
    </row>
    <row r="5777" spans="23:23">
      <c r="W5777" s="503"/>
    </row>
    <row r="5778" spans="23:23">
      <c r="W5778" s="503"/>
    </row>
    <row r="5779" spans="23:23">
      <c r="W5779" s="503"/>
    </row>
    <row r="5780" spans="23:23">
      <c r="W5780" s="503"/>
    </row>
    <row r="5781" spans="23:23">
      <c r="W5781" s="503"/>
    </row>
    <row r="5782" spans="23:23">
      <c r="W5782" s="503"/>
    </row>
    <row r="5783" spans="23:23">
      <c r="W5783" s="503"/>
    </row>
    <row r="5784" spans="23:23">
      <c r="W5784" s="503"/>
    </row>
    <row r="5785" spans="23:23">
      <c r="W5785" s="503"/>
    </row>
    <row r="5786" spans="23:23">
      <c r="W5786" s="503"/>
    </row>
    <row r="5787" spans="23:23">
      <c r="W5787" s="503"/>
    </row>
    <row r="5788" spans="23:23">
      <c r="W5788" s="503"/>
    </row>
    <row r="5789" spans="23:23">
      <c r="W5789" s="503"/>
    </row>
    <row r="5790" spans="23:23">
      <c r="W5790" s="503"/>
    </row>
    <row r="5791" spans="23:23">
      <c r="W5791" s="503"/>
    </row>
    <row r="5792" spans="23:23">
      <c r="W5792" s="503"/>
    </row>
    <row r="5793" spans="23:23">
      <c r="W5793" s="503"/>
    </row>
    <row r="5794" spans="23:23">
      <c r="W5794" s="503"/>
    </row>
    <row r="5795" spans="23:23">
      <c r="W5795" s="503"/>
    </row>
    <row r="5796" spans="23:23">
      <c r="W5796" s="503"/>
    </row>
    <row r="5797" spans="23:23">
      <c r="W5797" s="503"/>
    </row>
    <row r="5798" spans="23:23">
      <c r="W5798" s="503"/>
    </row>
    <row r="5799" spans="23:23">
      <c r="W5799" s="503"/>
    </row>
    <row r="5800" spans="23:23">
      <c r="W5800" s="503"/>
    </row>
    <row r="5801" spans="23:23">
      <c r="W5801" s="503"/>
    </row>
    <row r="5802" spans="23:23">
      <c r="W5802" s="503"/>
    </row>
    <row r="5803" spans="23:23">
      <c r="W5803" s="503"/>
    </row>
    <row r="5804" spans="23:23">
      <c r="W5804" s="503"/>
    </row>
    <row r="5805" spans="23:23">
      <c r="W5805" s="503"/>
    </row>
    <row r="5806" spans="23:23">
      <c r="W5806" s="503"/>
    </row>
    <row r="5807" spans="23:23">
      <c r="W5807" s="503"/>
    </row>
    <row r="5808" spans="23:23">
      <c r="W5808" s="503"/>
    </row>
    <row r="5809" spans="23:23">
      <c r="W5809" s="503"/>
    </row>
    <row r="5810" spans="23:23">
      <c r="W5810" s="503"/>
    </row>
    <row r="5811" spans="23:23">
      <c r="W5811" s="503"/>
    </row>
    <row r="5812" spans="23:23">
      <c r="W5812" s="503"/>
    </row>
    <row r="5813" spans="23:23">
      <c r="W5813" s="503"/>
    </row>
    <row r="5814" spans="23:23">
      <c r="W5814" s="503"/>
    </row>
    <row r="5815" spans="23:23">
      <c r="W5815" s="503"/>
    </row>
    <row r="5816" spans="23:23">
      <c r="W5816" s="503"/>
    </row>
    <row r="5817" spans="23:23">
      <c r="W5817" s="503"/>
    </row>
    <row r="5818" spans="23:23">
      <c r="W5818" s="503"/>
    </row>
    <row r="5819" spans="23:23">
      <c r="W5819" s="503"/>
    </row>
    <row r="5820" spans="23:23">
      <c r="W5820" s="503"/>
    </row>
    <row r="5821" spans="23:23">
      <c r="W5821" s="503"/>
    </row>
    <row r="5822" spans="23:23">
      <c r="W5822" s="503"/>
    </row>
    <row r="5823" spans="23:23">
      <c r="W5823" s="503"/>
    </row>
    <row r="5824" spans="23:23">
      <c r="W5824" s="503"/>
    </row>
    <row r="5825" spans="23:23">
      <c r="W5825" s="503"/>
    </row>
    <row r="5826" spans="23:23">
      <c r="W5826" s="503"/>
    </row>
    <row r="5827" spans="23:23">
      <c r="W5827" s="503"/>
    </row>
    <row r="5828" spans="23:23">
      <c r="W5828" s="503"/>
    </row>
    <row r="5829" spans="23:23">
      <c r="W5829" s="503"/>
    </row>
    <row r="5830" spans="23:23">
      <c r="W5830" s="503"/>
    </row>
    <row r="5831" spans="23:23">
      <c r="W5831" s="503"/>
    </row>
    <row r="5832" spans="23:23">
      <c r="W5832" s="503"/>
    </row>
    <row r="5833" spans="23:23">
      <c r="W5833" s="503"/>
    </row>
    <row r="5834" spans="23:23">
      <c r="W5834" s="503"/>
    </row>
    <row r="5835" spans="23:23">
      <c r="W5835" s="503"/>
    </row>
    <row r="5836" spans="23:23">
      <c r="W5836" s="503"/>
    </row>
    <row r="5837" spans="23:23">
      <c r="W5837" s="503"/>
    </row>
    <row r="5838" spans="23:23">
      <c r="W5838" s="503"/>
    </row>
    <row r="5839" spans="23:23">
      <c r="W5839" s="503"/>
    </row>
    <row r="5840" spans="23:23">
      <c r="W5840" s="503"/>
    </row>
    <row r="5841" spans="23:23">
      <c r="W5841" s="503"/>
    </row>
    <row r="5842" spans="23:23">
      <c r="W5842" s="503"/>
    </row>
    <row r="5843" spans="23:23">
      <c r="W5843" s="503"/>
    </row>
    <row r="5844" spans="23:23">
      <c r="W5844" s="503"/>
    </row>
    <row r="5845" spans="23:23">
      <c r="W5845" s="503"/>
    </row>
    <row r="5846" spans="23:23">
      <c r="W5846" s="503"/>
    </row>
    <row r="5847" spans="23:23">
      <c r="W5847" s="503"/>
    </row>
    <row r="5848" spans="23:23">
      <c r="W5848" s="503"/>
    </row>
    <row r="5849" spans="23:23">
      <c r="W5849" s="503"/>
    </row>
    <row r="5850" spans="23:23">
      <c r="W5850" s="503"/>
    </row>
    <row r="5851" spans="23:23">
      <c r="W5851" s="503"/>
    </row>
    <row r="5852" spans="23:23">
      <c r="W5852" s="503"/>
    </row>
    <row r="5853" spans="23:23">
      <c r="W5853" s="503"/>
    </row>
    <row r="5854" spans="23:23">
      <c r="W5854" s="503"/>
    </row>
    <row r="5855" spans="23:23">
      <c r="W5855" s="503"/>
    </row>
    <row r="5856" spans="23:23">
      <c r="W5856" s="503"/>
    </row>
    <row r="5857" spans="23:23">
      <c r="W5857" s="503"/>
    </row>
    <row r="5858" spans="23:23">
      <c r="W5858" s="503"/>
    </row>
    <row r="5859" spans="23:23">
      <c r="W5859" s="503"/>
    </row>
    <row r="5860" spans="23:23">
      <c r="W5860" s="503"/>
    </row>
    <row r="5861" spans="23:23">
      <c r="W5861" s="503"/>
    </row>
    <row r="5862" spans="23:23">
      <c r="W5862" s="503"/>
    </row>
    <row r="5863" spans="23:23">
      <c r="W5863" s="503"/>
    </row>
    <row r="5864" spans="23:23">
      <c r="W5864" s="503"/>
    </row>
    <row r="5865" spans="23:23">
      <c r="W5865" s="503"/>
    </row>
    <row r="5866" spans="23:23">
      <c r="W5866" s="503"/>
    </row>
    <row r="5867" spans="23:23">
      <c r="W5867" s="503"/>
    </row>
    <row r="5868" spans="23:23">
      <c r="W5868" s="503"/>
    </row>
    <row r="5869" spans="23:23">
      <c r="W5869" s="503"/>
    </row>
    <row r="5870" spans="23:23">
      <c r="W5870" s="503"/>
    </row>
    <row r="5871" spans="23:23">
      <c r="W5871" s="503"/>
    </row>
    <row r="5872" spans="23:23">
      <c r="W5872" s="503"/>
    </row>
    <row r="5873" spans="23:23">
      <c r="W5873" s="503"/>
    </row>
    <row r="5874" spans="23:23">
      <c r="W5874" s="503"/>
    </row>
    <row r="5875" spans="23:23">
      <c r="W5875" s="503"/>
    </row>
    <row r="5876" spans="23:23">
      <c r="W5876" s="503"/>
    </row>
    <row r="5877" spans="23:23">
      <c r="W5877" s="503"/>
    </row>
    <row r="5878" spans="23:23">
      <c r="W5878" s="503"/>
    </row>
    <row r="5879" spans="23:23">
      <c r="W5879" s="503"/>
    </row>
    <row r="5880" spans="23:23">
      <c r="W5880" s="503"/>
    </row>
    <row r="5881" spans="23:23">
      <c r="W5881" s="503"/>
    </row>
    <row r="5882" spans="23:23">
      <c r="W5882" s="503"/>
    </row>
    <row r="5883" spans="23:23">
      <c r="W5883" s="503"/>
    </row>
    <row r="5884" spans="23:23">
      <c r="W5884" s="503"/>
    </row>
    <row r="5885" spans="23:23">
      <c r="W5885" s="503"/>
    </row>
    <row r="5886" spans="23:23">
      <c r="W5886" s="503"/>
    </row>
    <row r="5887" spans="23:23">
      <c r="W5887" s="503"/>
    </row>
    <row r="5888" spans="23:23">
      <c r="W5888" s="503"/>
    </row>
    <row r="5889" spans="23:23">
      <c r="W5889" s="503"/>
    </row>
    <row r="5890" spans="23:23">
      <c r="W5890" s="503"/>
    </row>
    <row r="5891" spans="23:23">
      <c r="W5891" s="503"/>
    </row>
    <row r="5892" spans="23:23">
      <c r="W5892" s="503"/>
    </row>
    <row r="5893" spans="23:23">
      <c r="W5893" s="503"/>
    </row>
    <row r="5894" spans="23:23">
      <c r="W5894" s="503"/>
    </row>
    <row r="5895" spans="23:23">
      <c r="W5895" s="503"/>
    </row>
    <row r="5896" spans="23:23">
      <c r="W5896" s="503"/>
    </row>
    <row r="5897" spans="23:23">
      <c r="W5897" s="503"/>
    </row>
    <row r="5898" spans="23:23">
      <c r="W5898" s="503"/>
    </row>
    <row r="5899" spans="23:23">
      <c r="W5899" s="503"/>
    </row>
    <row r="5900" spans="23:23">
      <c r="W5900" s="503"/>
    </row>
    <row r="5901" spans="23:23">
      <c r="W5901" s="503"/>
    </row>
    <row r="5902" spans="23:23">
      <c r="W5902" s="503"/>
    </row>
    <row r="5903" spans="23:23">
      <c r="W5903" s="503"/>
    </row>
    <row r="5904" spans="23:23">
      <c r="W5904" s="503"/>
    </row>
    <row r="5905" spans="23:23">
      <c r="W5905" s="503"/>
    </row>
    <row r="5906" spans="23:23">
      <c r="W5906" s="503"/>
    </row>
    <row r="5907" spans="23:23">
      <c r="W5907" s="503"/>
    </row>
    <row r="5908" spans="23:23">
      <c r="W5908" s="503"/>
    </row>
    <row r="5909" spans="23:23">
      <c r="W5909" s="503"/>
    </row>
    <row r="5910" spans="23:23">
      <c r="W5910" s="503"/>
    </row>
    <row r="5911" spans="23:23">
      <c r="W5911" s="503"/>
    </row>
    <row r="5912" spans="23:23">
      <c r="W5912" s="503"/>
    </row>
    <row r="5913" spans="23:23">
      <c r="W5913" s="503"/>
    </row>
    <row r="5914" spans="23:23">
      <c r="W5914" s="503"/>
    </row>
    <row r="5915" spans="23:23">
      <c r="W5915" s="503"/>
    </row>
    <row r="5916" spans="23:23">
      <c r="W5916" s="503"/>
    </row>
    <row r="5917" spans="23:23">
      <c r="W5917" s="503"/>
    </row>
    <row r="5918" spans="23:23">
      <c r="W5918" s="503"/>
    </row>
    <row r="5919" spans="23:23">
      <c r="W5919" s="503"/>
    </row>
    <row r="5920" spans="23:23">
      <c r="W5920" s="503"/>
    </row>
    <row r="5921" spans="23:23">
      <c r="W5921" s="503"/>
    </row>
    <row r="5922" spans="23:23">
      <c r="W5922" s="503"/>
    </row>
    <row r="5923" spans="23:23">
      <c r="W5923" s="503"/>
    </row>
    <row r="5924" spans="23:23">
      <c r="W5924" s="503"/>
    </row>
    <row r="5925" spans="23:23">
      <c r="W5925" s="503"/>
    </row>
    <row r="5926" spans="23:23">
      <c r="W5926" s="503"/>
    </row>
    <row r="5927" spans="23:23">
      <c r="W5927" s="503"/>
    </row>
    <row r="5928" spans="23:23">
      <c r="W5928" s="503"/>
    </row>
    <row r="5929" spans="23:23">
      <c r="W5929" s="503"/>
    </row>
    <row r="5930" spans="23:23">
      <c r="W5930" s="503"/>
    </row>
    <row r="5931" spans="23:23">
      <c r="W5931" s="503"/>
    </row>
    <row r="5932" spans="23:23">
      <c r="W5932" s="503"/>
    </row>
    <row r="5933" spans="23:23">
      <c r="W5933" s="503"/>
    </row>
    <row r="5934" spans="23:23">
      <c r="W5934" s="503"/>
    </row>
    <row r="5935" spans="23:23">
      <c r="W5935" s="503"/>
    </row>
    <row r="5936" spans="23:23">
      <c r="W5936" s="503"/>
    </row>
    <row r="5937" spans="23:23">
      <c r="W5937" s="503"/>
    </row>
    <row r="5938" spans="23:23">
      <c r="W5938" s="503"/>
    </row>
    <row r="5939" spans="23:23">
      <c r="W5939" s="503"/>
    </row>
    <row r="5940" spans="23:23">
      <c r="W5940" s="503"/>
    </row>
    <row r="5941" spans="23:23">
      <c r="W5941" s="503"/>
    </row>
    <row r="5942" spans="23:23">
      <c r="W5942" s="503"/>
    </row>
    <row r="5943" spans="23:23">
      <c r="W5943" s="503"/>
    </row>
    <row r="5944" spans="23:23">
      <c r="W5944" s="503"/>
    </row>
    <row r="5945" spans="23:23">
      <c r="W5945" s="503"/>
    </row>
    <row r="5946" spans="23:23">
      <c r="W5946" s="503"/>
    </row>
    <row r="5947" spans="23:23">
      <c r="W5947" s="503"/>
    </row>
    <row r="5948" spans="23:23">
      <c r="W5948" s="503"/>
    </row>
    <row r="5949" spans="23:23">
      <c r="W5949" s="503"/>
    </row>
    <row r="5950" spans="23:23">
      <c r="W5950" s="503"/>
    </row>
    <row r="5951" spans="23:23">
      <c r="W5951" s="503"/>
    </row>
    <row r="5952" spans="23:23">
      <c r="W5952" s="503"/>
    </row>
    <row r="5953" spans="23:23">
      <c r="W5953" s="503"/>
    </row>
    <row r="5954" spans="23:23">
      <c r="W5954" s="503"/>
    </row>
    <row r="5955" spans="23:23">
      <c r="W5955" s="503"/>
    </row>
    <row r="5956" spans="23:23">
      <c r="W5956" s="503"/>
    </row>
    <row r="5957" spans="23:23">
      <c r="W5957" s="503"/>
    </row>
    <row r="5958" spans="23:23">
      <c r="W5958" s="503"/>
    </row>
    <row r="5959" spans="23:23">
      <c r="W5959" s="503"/>
    </row>
    <row r="5960" spans="23:23">
      <c r="W5960" s="503"/>
    </row>
    <row r="5961" spans="23:23">
      <c r="W5961" s="503"/>
    </row>
    <row r="5962" spans="23:23">
      <c r="W5962" s="503"/>
    </row>
    <row r="5963" spans="23:23">
      <c r="W5963" s="503"/>
    </row>
    <row r="5964" spans="23:23">
      <c r="W5964" s="503"/>
    </row>
    <row r="5965" spans="23:23">
      <c r="W5965" s="503"/>
    </row>
    <row r="5966" spans="23:23">
      <c r="W5966" s="503"/>
    </row>
    <row r="5967" spans="23:23">
      <c r="W5967" s="503"/>
    </row>
    <row r="5968" spans="23:23">
      <c r="W5968" s="503"/>
    </row>
    <row r="5969" spans="23:23">
      <c r="W5969" s="503"/>
    </row>
    <row r="5970" spans="23:23">
      <c r="W5970" s="503"/>
    </row>
    <row r="5971" spans="23:23">
      <c r="W5971" s="503"/>
    </row>
    <row r="5972" spans="23:23">
      <c r="W5972" s="503"/>
    </row>
    <row r="5973" spans="23:23">
      <c r="W5973" s="503"/>
    </row>
    <row r="5974" spans="23:23">
      <c r="W5974" s="503"/>
    </row>
    <row r="5975" spans="23:23">
      <c r="W5975" s="503"/>
    </row>
    <row r="5976" spans="23:23">
      <c r="W5976" s="503"/>
    </row>
    <row r="5977" spans="23:23">
      <c r="W5977" s="503"/>
    </row>
    <row r="5978" spans="23:23">
      <c r="W5978" s="503"/>
    </row>
    <row r="5979" spans="23:23">
      <c r="W5979" s="503"/>
    </row>
    <row r="5980" spans="23:23">
      <c r="W5980" s="503"/>
    </row>
    <row r="5981" spans="23:23">
      <c r="W5981" s="503"/>
    </row>
    <row r="5982" spans="23:23">
      <c r="W5982" s="503"/>
    </row>
    <row r="5983" spans="23:23">
      <c r="W5983" s="503"/>
    </row>
    <row r="5984" spans="23:23">
      <c r="W5984" s="503"/>
    </row>
    <row r="5985" spans="23:23">
      <c r="W5985" s="503"/>
    </row>
    <row r="5986" spans="23:23">
      <c r="W5986" s="503"/>
    </row>
    <row r="5987" spans="23:23">
      <c r="W5987" s="503"/>
    </row>
    <row r="5988" spans="23:23">
      <c r="W5988" s="503"/>
    </row>
    <row r="5989" spans="23:23">
      <c r="W5989" s="503"/>
    </row>
    <row r="5990" spans="23:23">
      <c r="W5990" s="503"/>
    </row>
    <row r="5991" spans="23:23">
      <c r="W5991" s="503"/>
    </row>
    <row r="5992" spans="23:23">
      <c r="W5992" s="503"/>
    </row>
    <row r="5993" spans="23:23">
      <c r="W5993" s="503"/>
    </row>
    <row r="5994" spans="23:23">
      <c r="W5994" s="503"/>
    </row>
    <row r="5995" spans="23:23">
      <c r="W5995" s="503"/>
    </row>
    <row r="5996" spans="23:23">
      <c r="W5996" s="503"/>
    </row>
    <row r="5997" spans="23:23">
      <c r="W5997" s="503"/>
    </row>
    <row r="5998" spans="23:23">
      <c r="W5998" s="503"/>
    </row>
    <row r="5999" spans="23:23">
      <c r="W5999" s="503"/>
    </row>
    <row r="6000" spans="23:23">
      <c r="W6000" s="503"/>
    </row>
    <row r="6001" spans="23:23">
      <c r="W6001" s="503"/>
    </row>
    <row r="6002" spans="23:23">
      <c r="W6002" s="503"/>
    </row>
    <row r="6003" spans="23:23">
      <c r="W6003" s="503"/>
    </row>
    <row r="6004" spans="23:23">
      <c r="W6004" s="503"/>
    </row>
    <row r="6005" spans="23:23">
      <c r="W6005" s="503"/>
    </row>
    <row r="6006" spans="23:23">
      <c r="W6006" s="503"/>
    </row>
    <row r="6007" spans="23:23">
      <c r="W6007" s="503"/>
    </row>
    <row r="6008" spans="23:23">
      <c r="W6008" s="503"/>
    </row>
    <row r="6009" spans="23:23">
      <c r="W6009" s="503"/>
    </row>
    <row r="6010" spans="23:23">
      <c r="W6010" s="503"/>
    </row>
    <row r="6011" spans="23:23">
      <c r="W6011" s="503"/>
    </row>
    <row r="6012" spans="23:23">
      <c r="W6012" s="503"/>
    </row>
    <row r="6013" spans="23:23">
      <c r="W6013" s="503"/>
    </row>
    <row r="6014" spans="23:23">
      <c r="W6014" s="503"/>
    </row>
    <row r="6015" spans="23:23">
      <c r="W6015" s="503"/>
    </row>
    <row r="6016" spans="23:23">
      <c r="W6016" s="503"/>
    </row>
    <row r="6017" spans="23:23">
      <c r="W6017" s="503"/>
    </row>
    <row r="6018" spans="23:23">
      <c r="W6018" s="503"/>
    </row>
    <row r="6019" spans="23:23">
      <c r="W6019" s="503"/>
    </row>
    <row r="6020" spans="23:23">
      <c r="W6020" s="503"/>
    </row>
    <row r="6021" spans="23:23">
      <c r="W6021" s="503"/>
    </row>
    <row r="6022" spans="23:23">
      <c r="W6022" s="503"/>
    </row>
    <row r="6023" spans="23:23">
      <c r="W6023" s="503"/>
    </row>
    <row r="6024" spans="23:23">
      <c r="W6024" s="503"/>
    </row>
    <row r="6025" spans="23:23">
      <c r="W6025" s="503"/>
    </row>
    <row r="6026" spans="23:23">
      <c r="W6026" s="503"/>
    </row>
    <row r="6027" spans="23:23">
      <c r="W6027" s="503"/>
    </row>
    <row r="6028" spans="23:23">
      <c r="W6028" s="503"/>
    </row>
    <row r="6029" spans="23:23">
      <c r="W6029" s="503"/>
    </row>
    <row r="6030" spans="23:23">
      <c r="W6030" s="503"/>
    </row>
    <row r="6031" spans="23:23">
      <c r="W6031" s="503"/>
    </row>
    <row r="6032" spans="23:23">
      <c r="W6032" s="503"/>
    </row>
    <row r="6033" spans="23:23">
      <c r="W6033" s="503"/>
    </row>
    <row r="6034" spans="23:23">
      <c r="W6034" s="503"/>
    </row>
    <row r="6035" spans="23:23">
      <c r="W6035" s="503"/>
    </row>
    <row r="6036" spans="23:23">
      <c r="W6036" s="503"/>
    </row>
    <row r="6037" spans="23:23">
      <c r="W6037" s="503"/>
    </row>
    <row r="6038" spans="23:23">
      <c r="W6038" s="503"/>
    </row>
    <row r="6039" spans="23:23">
      <c r="W6039" s="503"/>
    </row>
    <row r="6040" spans="23:23">
      <c r="W6040" s="503"/>
    </row>
    <row r="6041" spans="23:23">
      <c r="W6041" s="503"/>
    </row>
    <row r="6042" spans="23:23">
      <c r="W6042" s="503"/>
    </row>
    <row r="6043" spans="23:23">
      <c r="W6043" s="503"/>
    </row>
    <row r="6044" spans="23:23">
      <c r="W6044" s="503"/>
    </row>
    <row r="6045" spans="23:23">
      <c r="W6045" s="503"/>
    </row>
    <row r="6046" spans="23:23">
      <c r="W6046" s="503"/>
    </row>
    <row r="6047" spans="23:23">
      <c r="W6047" s="503"/>
    </row>
    <row r="6048" spans="23:23">
      <c r="W6048" s="503"/>
    </row>
    <row r="6049" spans="23:23">
      <c r="W6049" s="503"/>
    </row>
    <row r="6050" spans="23:23">
      <c r="W6050" s="503"/>
    </row>
    <row r="6051" spans="23:23">
      <c r="W6051" s="503"/>
    </row>
    <row r="6052" spans="23:23">
      <c r="W6052" s="503"/>
    </row>
    <row r="6053" spans="23:23">
      <c r="W6053" s="503"/>
    </row>
    <row r="6054" spans="23:23">
      <c r="W6054" s="503"/>
    </row>
    <row r="6055" spans="23:23">
      <c r="W6055" s="503"/>
    </row>
    <row r="6056" spans="23:23">
      <c r="W6056" s="503"/>
    </row>
    <row r="6057" spans="23:23">
      <c r="W6057" s="503"/>
    </row>
    <row r="6058" spans="23:23">
      <c r="W6058" s="503"/>
    </row>
    <row r="6059" spans="23:23">
      <c r="W6059" s="503"/>
    </row>
    <row r="6060" spans="23:23">
      <c r="W6060" s="503"/>
    </row>
    <row r="6061" spans="23:23">
      <c r="W6061" s="503"/>
    </row>
    <row r="6062" spans="23:23">
      <c r="W6062" s="503"/>
    </row>
    <row r="6063" spans="23:23">
      <c r="W6063" s="503"/>
    </row>
    <row r="6064" spans="23:23">
      <c r="W6064" s="503"/>
    </row>
    <row r="6065" spans="23:23">
      <c r="W6065" s="503"/>
    </row>
    <row r="6066" spans="23:23">
      <c r="W6066" s="503"/>
    </row>
    <row r="6067" spans="23:23">
      <c r="W6067" s="503"/>
    </row>
    <row r="6068" spans="23:23">
      <c r="W6068" s="503"/>
    </row>
    <row r="6069" spans="23:23">
      <c r="W6069" s="503"/>
    </row>
    <row r="6070" spans="23:23">
      <c r="W6070" s="503"/>
    </row>
    <row r="6071" spans="23:23">
      <c r="W6071" s="503"/>
    </row>
    <row r="6072" spans="23:23">
      <c r="W6072" s="503"/>
    </row>
    <row r="6073" spans="23:23">
      <c r="W6073" s="503"/>
    </row>
    <row r="6074" spans="23:23">
      <c r="W6074" s="503"/>
    </row>
    <row r="6075" spans="23:23">
      <c r="W6075" s="503"/>
    </row>
    <row r="6076" spans="23:23">
      <c r="W6076" s="503"/>
    </row>
    <row r="6077" spans="23:23">
      <c r="W6077" s="503"/>
    </row>
    <row r="6078" spans="23:23">
      <c r="W6078" s="503"/>
    </row>
    <row r="6079" spans="23:23">
      <c r="W6079" s="503"/>
    </row>
    <row r="6080" spans="23:23">
      <c r="W6080" s="503"/>
    </row>
    <row r="6081" spans="23:23">
      <c r="W6081" s="503"/>
    </row>
    <row r="6082" spans="23:23">
      <c r="W6082" s="503"/>
    </row>
    <row r="6083" spans="23:23">
      <c r="W6083" s="503"/>
    </row>
    <row r="6084" spans="23:23">
      <c r="W6084" s="503"/>
    </row>
    <row r="6085" spans="23:23">
      <c r="W6085" s="503"/>
    </row>
    <row r="6086" spans="23:23">
      <c r="W6086" s="503"/>
    </row>
    <row r="6087" spans="23:23">
      <c r="W6087" s="503"/>
    </row>
    <row r="6088" spans="23:23">
      <c r="W6088" s="503"/>
    </row>
    <row r="6089" spans="23:23">
      <c r="W6089" s="503"/>
    </row>
    <row r="6090" spans="23:23">
      <c r="W6090" s="503"/>
    </row>
    <row r="6091" spans="23:23">
      <c r="W6091" s="503"/>
    </row>
    <row r="6092" spans="23:23">
      <c r="W6092" s="503"/>
    </row>
    <row r="6093" spans="23:23">
      <c r="W6093" s="503"/>
    </row>
    <row r="6094" spans="23:23">
      <c r="W6094" s="503"/>
    </row>
    <row r="6095" spans="23:23">
      <c r="W6095" s="503"/>
    </row>
    <row r="6096" spans="23:23">
      <c r="W6096" s="503"/>
    </row>
    <row r="6097" spans="23:23">
      <c r="W6097" s="503"/>
    </row>
    <row r="6098" spans="23:23">
      <c r="W6098" s="503"/>
    </row>
    <row r="6099" spans="23:23">
      <c r="W6099" s="503"/>
    </row>
    <row r="6100" spans="23:23">
      <c r="W6100" s="503"/>
    </row>
    <row r="6101" spans="23:23">
      <c r="W6101" s="503"/>
    </row>
    <row r="6102" spans="23:23">
      <c r="W6102" s="503"/>
    </row>
    <row r="6103" spans="23:23">
      <c r="W6103" s="503"/>
    </row>
    <row r="6104" spans="23:23">
      <c r="W6104" s="503"/>
    </row>
    <row r="6105" spans="23:23">
      <c r="W6105" s="503"/>
    </row>
    <row r="6106" spans="23:23">
      <c r="W6106" s="503"/>
    </row>
    <row r="6107" spans="23:23">
      <c r="W6107" s="503"/>
    </row>
    <row r="6108" spans="23:23">
      <c r="W6108" s="503"/>
    </row>
    <row r="6109" spans="23:23">
      <c r="W6109" s="503"/>
    </row>
    <row r="6110" spans="23:23">
      <c r="W6110" s="503"/>
    </row>
    <row r="6111" spans="23:23">
      <c r="W6111" s="503"/>
    </row>
    <row r="6112" spans="23:23">
      <c r="W6112" s="503"/>
    </row>
    <row r="6113" spans="23:23">
      <c r="W6113" s="503"/>
    </row>
    <row r="6114" spans="23:23">
      <c r="W6114" s="503"/>
    </row>
    <row r="6115" spans="23:23">
      <c r="W6115" s="503"/>
    </row>
    <row r="6116" spans="23:23">
      <c r="W6116" s="503"/>
    </row>
    <row r="6117" spans="23:23">
      <c r="W6117" s="503"/>
    </row>
    <row r="6118" spans="23:23">
      <c r="W6118" s="503"/>
    </row>
    <row r="6119" spans="23:23">
      <c r="W6119" s="503"/>
    </row>
    <row r="6120" spans="23:23">
      <c r="W6120" s="503"/>
    </row>
    <row r="6121" spans="23:23">
      <c r="W6121" s="503"/>
    </row>
    <row r="6122" spans="23:23">
      <c r="W6122" s="503"/>
    </row>
    <row r="6123" spans="23:23">
      <c r="W6123" s="503"/>
    </row>
    <row r="6124" spans="23:23">
      <c r="W6124" s="503"/>
    </row>
    <row r="6125" spans="23:23">
      <c r="W6125" s="503"/>
    </row>
    <row r="6126" spans="23:23">
      <c r="W6126" s="503"/>
    </row>
    <row r="6127" spans="23:23">
      <c r="W6127" s="503"/>
    </row>
    <row r="6128" spans="23:23">
      <c r="W6128" s="503"/>
    </row>
    <row r="6129" spans="23:23">
      <c r="W6129" s="503"/>
    </row>
    <row r="6130" spans="23:23">
      <c r="W6130" s="503"/>
    </row>
    <row r="6131" spans="23:23">
      <c r="W6131" s="503"/>
    </row>
    <row r="6132" spans="23:23">
      <c r="W6132" s="503"/>
    </row>
    <row r="6133" spans="23:23">
      <c r="W6133" s="503"/>
    </row>
    <row r="6134" spans="23:23">
      <c r="W6134" s="503"/>
    </row>
    <row r="6135" spans="23:23">
      <c r="W6135" s="503"/>
    </row>
    <row r="6136" spans="23:23">
      <c r="W6136" s="503"/>
    </row>
    <row r="6137" spans="23:23">
      <c r="W6137" s="503"/>
    </row>
    <row r="6138" spans="23:23">
      <c r="W6138" s="503"/>
    </row>
    <row r="6139" spans="23:23">
      <c r="W6139" s="503"/>
    </row>
    <row r="6140" spans="23:23">
      <c r="W6140" s="503"/>
    </row>
    <row r="6141" spans="23:23">
      <c r="W6141" s="503"/>
    </row>
    <row r="6142" spans="23:23">
      <c r="W6142" s="503"/>
    </row>
    <row r="6143" spans="23:23">
      <c r="W6143" s="503"/>
    </row>
    <row r="6144" spans="23:23">
      <c r="W6144" s="503"/>
    </row>
    <row r="6145" spans="23:23">
      <c r="W6145" s="503"/>
    </row>
    <row r="6146" spans="23:23">
      <c r="W6146" s="503"/>
    </row>
    <row r="6147" spans="23:23">
      <c r="W6147" s="503"/>
    </row>
    <row r="6148" spans="23:23">
      <c r="W6148" s="503"/>
    </row>
    <row r="6149" spans="23:23">
      <c r="W6149" s="503"/>
    </row>
    <row r="6150" spans="23:23">
      <c r="W6150" s="503"/>
    </row>
    <row r="6151" spans="23:23">
      <c r="W6151" s="503"/>
    </row>
    <row r="6152" spans="23:23">
      <c r="W6152" s="503"/>
    </row>
    <row r="6153" spans="23:23">
      <c r="W6153" s="503"/>
    </row>
    <row r="6154" spans="23:23">
      <c r="W6154" s="503"/>
    </row>
    <row r="6155" spans="23:23">
      <c r="W6155" s="503"/>
    </row>
    <row r="6156" spans="23:23">
      <c r="W6156" s="503"/>
    </row>
    <row r="6157" spans="23:23">
      <c r="W6157" s="503"/>
    </row>
    <row r="6158" spans="23:23">
      <c r="W6158" s="503"/>
    </row>
    <row r="6159" spans="23:23">
      <c r="W6159" s="503"/>
    </row>
    <row r="6160" spans="23:23">
      <c r="W6160" s="503"/>
    </row>
    <row r="6161" spans="23:23">
      <c r="W6161" s="503"/>
    </row>
    <row r="6162" spans="23:23">
      <c r="W6162" s="503"/>
    </row>
    <row r="6163" spans="23:23">
      <c r="W6163" s="503"/>
    </row>
    <row r="6164" spans="23:23">
      <c r="W6164" s="503"/>
    </row>
    <row r="6165" spans="23:23">
      <c r="W6165" s="503"/>
    </row>
    <row r="6166" spans="23:23">
      <c r="W6166" s="503"/>
    </row>
    <row r="6167" spans="23:23">
      <c r="W6167" s="503"/>
    </row>
    <row r="6168" spans="23:23">
      <c r="W6168" s="503"/>
    </row>
    <row r="6169" spans="23:23">
      <c r="W6169" s="503"/>
    </row>
    <row r="6170" spans="23:23">
      <c r="W6170" s="503"/>
    </row>
    <row r="6171" spans="23:23">
      <c r="W6171" s="503"/>
    </row>
    <row r="6172" spans="23:23">
      <c r="W6172" s="503"/>
    </row>
    <row r="6173" spans="23:23">
      <c r="W6173" s="503"/>
    </row>
    <row r="6174" spans="23:23">
      <c r="W6174" s="503"/>
    </row>
    <row r="6175" spans="23:23">
      <c r="W6175" s="503"/>
    </row>
    <row r="6176" spans="23:23">
      <c r="W6176" s="503"/>
    </row>
    <row r="6177" spans="23:23">
      <c r="W6177" s="503"/>
    </row>
    <row r="6178" spans="23:23">
      <c r="W6178" s="503"/>
    </row>
    <row r="6179" spans="23:23">
      <c r="W6179" s="503"/>
    </row>
    <row r="6180" spans="23:23">
      <c r="W6180" s="503"/>
    </row>
    <row r="6181" spans="23:23">
      <c r="W6181" s="503"/>
    </row>
    <row r="6182" spans="23:23">
      <c r="W6182" s="503"/>
    </row>
    <row r="6183" spans="23:23">
      <c r="W6183" s="503"/>
    </row>
    <row r="6184" spans="23:23">
      <c r="W6184" s="503"/>
    </row>
    <row r="6185" spans="23:23">
      <c r="W6185" s="503"/>
    </row>
    <row r="6186" spans="23:23">
      <c r="W6186" s="503"/>
    </row>
    <row r="6187" spans="23:23">
      <c r="W6187" s="503"/>
    </row>
    <row r="6188" spans="23:23">
      <c r="W6188" s="503"/>
    </row>
    <row r="6189" spans="23:23">
      <c r="W6189" s="503"/>
    </row>
    <row r="6190" spans="23:23">
      <c r="W6190" s="503"/>
    </row>
    <row r="6191" spans="23:23">
      <c r="W6191" s="503"/>
    </row>
    <row r="6192" spans="23:23">
      <c r="W6192" s="503"/>
    </row>
    <row r="6193" spans="23:23">
      <c r="W6193" s="503"/>
    </row>
    <row r="6194" spans="23:23">
      <c r="W6194" s="503"/>
    </row>
    <row r="6195" spans="23:23">
      <c r="W6195" s="503"/>
    </row>
    <row r="6196" spans="23:23">
      <c r="W6196" s="503"/>
    </row>
    <row r="6197" spans="23:23">
      <c r="W6197" s="503"/>
    </row>
    <row r="6198" spans="23:23">
      <c r="W6198" s="503"/>
    </row>
    <row r="6199" spans="23:23">
      <c r="W6199" s="503"/>
    </row>
    <row r="6200" spans="23:23">
      <c r="W6200" s="503"/>
    </row>
    <row r="6201" spans="23:23">
      <c r="W6201" s="503"/>
    </row>
    <row r="6202" spans="23:23">
      <c r="W6202" s="503"/>
    </row>
    <row r="6203" spans="23:23">
      <c r="W6203" s="503"/>
    </row>
    <row r="6204" spans="23:23">
      <c r="W6204" s="503"/>
    </row>
    <row r="6205" spans="23:23">
      <c r="W6205" s="503"/>
    </row>
    <row r="6206" spans="23:23">
      <c r="W6206" s="503"/>
    </row>
    <row r="6207" spans="23:23">
      <c r="W6207" s="503"/>
    </row>
    <row r="6208" spans="23:23">
      <c r="W6208" s="503"/>
    </row>
    <row r="6209" spans="23:23">
      <c r="W6209" s="503"/>
    </row>
    <row r="6210" spans="23:23">
      <c r="W6210" s="503"/>
    </row>
    <row r="6211" spans="23:23">
      <c r="W6211" s="503"/>
    </row>
    <row r="6212" spans="23:23">
      <c r="W6212" s="503"/>
    </row>
    <row r="6213" spans="23:23">
      <c r="W6213" s="503"/>
    </row>
    <row r="6214" spans="23:23">
      <c r="W6214" s="503"/>
    </row>
    <row r="6215" spans="23:23">
      <c r="W6215" s="503"/>
    </row>
    <row r="6216" spans="23:23">
      <c r="W6216" s="503"/>
    </row>
    <row r="6217" spans="23:23">
      <c r="W6217" s="503"/>
    </row>
    <row r="6218" spans="23:23">
      <c r="W6218" s="503"/>
    </row>
    <row r="6219" spans="23:23">
      <c r="W6219" s="503"/>
    </row>
    <row r="6220" spans="23:23">
      <c r="W6220" s="503"/>
    </row>
    <row r="6221" spans="23:23">
      <c r="W6221" s="503"/>
    </row>
    <row r="6222" spans="23:23">
      <c r="W6222" s="503"/>
    </row>
    <row r="6223" spans="23:23">
      <c r="W6223" s="503"/>
    </row>
    <row r="6224" spans="23:23">
      <c r="W6224" s="503"/>
    </row>
    <row r="6225" spans="23:23">
      <c r="W6225" s="503"/>
    </row>
    <row r="6226" spans="23:23">
      <c r="W6226" s="503"/>
    </row>
    <row r="6227" spans="23:23">
      <c r="W6227" s="503"/>
    </row>
    <row r="6228" spans="23:23">
      <c r="W6228" s="503"/>
    </row>
    <row r="6229" spans="23:23">
      <c r="W6229" s="503"/>
    </row>
    <row r="6230" spans="23:23">
      <c r="W6230" s="503"/>
    </row>
    <row r="6231" spans="23:23">
      <c r="W6231" s="503"/>
    </row>
    <row r="6232" spans="23:23">
      <c r="W6232" s="503"/>
    </row>
    <row r="6233" spans="23:23">
      <c r="W6233" s="503"/>
    </row>
    <row r="6234" spans="23:23">
      <c r="W6234" s="503"/>
    </row>
    <row r="6235" spans="23:23">
      <c r="W6235" s="503"/>
    </row>
    <row r="6236" spans="23:23">
      <c r="W6236" s="503"/>
    </row>
    <row r="6237" spans="23:23">
      <c r="W6237" s="503"/>
    </row>
    <row r="6238" spans="23:23">
      <c r="W6238" s="503"/>
    </row>
    <row r="6239" spans="23:23">
      <c r="W6239" s="503"/>
    </row>
    <row r="6240" spans="23:23">
      <c r="W6240" s="503"/>
    </row>
    <row r="6241" spans="23:23">
      <c r="W6241" s="503"/>
    </row>
    <row r="6242" spans="23:23">
      <c r="W6242" s="503"/>
    </row>
    <row r="6243" spans="23:23">
      <c r="W6243" s="503"/>
    </row>
    <row r="6244" spans="23:23">
      <c r="W6244" s="503"/>
    </row>
    <row r="6245" spans="23:23">
      <c r="W6245" s="503"/>
    </row>
    <row r="6246" spans="23:23">
      <c r="W6246" s="503"/>
    </row>
    <row r="6247" spans="23:23">
      <c r="W6247" s="503"/>
    </row>
    <row r="6248" spans="23:23">
      <c r="W6248" s="503"/>
    </row>
    <row r="6249" spans="23:23">
      <c r="W6249" s="503"/>
    </row>
    <row r="6250" spans="23:23">
      <c r="W6250" s="503"/>
    </row>
    <row r="6251" spans="23:23">
      <c r="W6251" s="503"/>
    </row>
    <row r="6252" spans="23:23">
      <c r="W6252" s="503"/>
    </row>
    <row r="6253" spans="23:23">
      <c r="W6253" s="503"/>
    </row>
    <row r="6254" spans="23:23">
      <c r="W6254" s="503"/>
    </row>
    <row r="6255" spans="23:23">
      <c r="W6255" s="503"/>
    </row>
    <row r="6256" spans="23:23">
      <c r="W6256" s="503"/>
    </row>
    <row r="6257" spans="23:23">
      <c r="W6257" s="503"/>
    </row>
    <row r="6258" spans="23:23">
      <c r="W6258" s="503"/>
    </row>
    <row r="6259" spans="23:23">
      <c r="W6259" s="503"/>
    </row>
    <row r="6260" spans="23:23">
      <c r="W6260" s="503"/>
    </row>
    <row r="6261" spans="23:23">
      <c r="W6261" s="503"/>
    </row>
    <row r="6262" spans="23:23">
      <c r="W6262" s="503"/>
    </row>
    <row r="6263" spans="23:23">
      <c r="W6263" s="503"/>
    </row>
    <row r="6264" spans="23:23">
      <c r="W6264" s="503"/>
    </row>
    <row r="6265" spans="23:23">
      <c r="W6265" s="503"/>
    </row>
    <row r="6266" spans="23:23">
      <c r="W6266" s="503"/>
    </row>
    <row r="6267" spans="23:23">
      <c r="W6267" s="503"/>
    </row>
    <row r="6268" spans="23:23">
      <c r="W6268" s="503"/>
    </row>
    <row r="6269" spans="23:23">
      <c r="W6269" s="503"/>
    </row>
    <row r="6270" spans="23:23">
      <c r="W6270" s="503"/>
    </row>
    <row r="6271" spans="23:23">
      <c r="W6271" s="503"/>
    </row>
    <row r="6272" spans="23:23">
      <c r="W6272" s="503"/>
    </row>
    <row r="6273" spans="23:23">
      <c r="W6273" s="503"/>
    </row>
    <row r="6274" spans="23:23">
      <c r="W6274" s="503"/>
    </row>
    <row r="6275" spans="23:23">
      <c r="W6275" s="503"/>
    </row>
    <row r="6276" spans="23:23">
      <c r="W6276" s="503"/>
    </row>
    <row r="6277" spans="23:23">
      <c r="W6277" s="503"/>
    </row>
    <row r="6278" spans="23:23">
      <c r="W6278" s="503"/>
    </row>
    <row r="6279" spans="23:23">
      <c r="W6279" s="503"/>
    </row>
    <row r="6280" spans="23:23">
      <c r="W6280" s="503"/>
    </row>
    <row r="6281" spans="23:23">
      <c r="W6281" s="503"/>
    </row>
    <row r="6282" spans="23:23">
      <c r="W6282" s="503"/>
    </row>
    <row r="6283" spans="23:23">
      <c r="W6283" s="503"/>
    </row>
    <row r="6284" spans="23:23">
      <c r="W6284" s="503"/>
    </row>
    <row r="6285" spans="23:23">
      <c r="W6285" s="503"/>
    </row>
    <row r="6286" spans="23:23">
      <c r="W6286" s="503"/>
    </row>
    <row r="6287" spans="23:23">
      <c r="W6287" s="503"/>
    </row>
    <row r="6288" spans="23:23">
      <c r="W6288" s="503"/>
    </row>
    <row r="6289" spans="23:23">
      <c r="W6289" s="503"/>
    </row>
    <row r="6290" spans="23:23">
      <c r="W6290" s="503"/>
    </row>
    <row r="6291" spans="23:23">
      <c r="W6291" s="503"/>
    </row>
    <row r="6292" spans="23:23">
      <c r="W6292" s="503"/>
    </row>
    <row r="6293" spans="23:23">
      <c r="W6293" s="503"/>
    </row>
    <row r="6294" spans="23:23">
      <c r="W6294" s="503"/>
    </row>
    <row r="6295" spans="23:23">
      <c r="W6295" s="503"/>
    </row>
    <row r="6296" spans="23:23">
      <c r="W6296" s="503"/>
    </row>
    <row r="6297" spans="23:23">
      <c r="W6297" s="503"/>
    </row>
    <row r="6298" spans="23:23">
      <c r="W6298" s="503"/>
    </row>
    <row r="6299" spans="23:23">
      <c r="W6299" s="503"/>
    </row>
    <row r="6300" spans="23:23">
      <c r="W6300" s="503"/>
    </row>
    <row r="6301" spans="23:23">
      <c r="W6301" s="503"/>
    </row>
    <row r="6302" spans="23:23">
      <c r="W6302" s="503"/>
    </row>
    <row r="6303" spans="23:23">
      <c r="W6303" s="503"/>
    </row>
    <row r="6304" spans="23:23">
      <c r="W6304" s="503"/>
    </row>
    <row r="6305" spans="23:23">
      <c r="W6305" s="503"/>
    </row>
    <row r="6306" spans="23:23">
      <c r="W6306" s="503"/>
    </row>
    <row r="6307" spans="23:23">
      <c r="W6307" s="503"/>
    </row>
    <row r="6308" spans="23:23">
      <c r="W6308" s="503"/>
    </row>
    <row r="6309" spans="23:23">
      <c r="W6309" s="503"/>
    </row>
    <row r="6310" spans="23:23">
      <c r="W6310" s="503"/>
    </row>
    <row r="6311" spans="23:23">
      <c r="W6311" s="503"/>
    </row>
    <row r="6312" spans="23:23">
      <c r="W6312" s="503"/>
    </row>
    <row r="6313" spans="23:23">
      <c r="W6313" s="503"/>
    </row>
    <row r="6314" spans="23:23">
      <c r="W6314" s="503"/>
    </row>
    <row r="6315" spans="23:23">
      <c r="W6315" s="503"/>
    </row>
    <row r="6316" spans="23:23">
      <c r="W6316" s="503"/>
    </row>
    <row r="6317" spans="23:23">
      <c r="W6317" s="503"/>
    </row>
    <row r="6318" spans="23:23">
      <c r="W6318" s="503"/>
    </row>
    <row r="6319" spans="23:23">
      <c r="W6319" s="503"/>
    </row>
    <row r="6320" spans="23:23">
      <c r="W6320" s="503"/>
    </row>
    <row r="6321" spans="23:23">
      <c r="W6321" s="503"/>
    </row>
    <row r="6322" spans="23:23">
      <c r="W6322" s="503"/>
    </row>
    <row r="6323" spans="23:23">
      <c r="W6323" s="503"/>
    </row>
    <row r="6324" spans="23:23">
      <c r="W6324" s="503"/>
    </row>
    <row r="6325" spans="23:23">
      <c r="W6325" s="503"/>
    </row>
    <row r="6326" spans="23:23">
      <c r="W6326" s="503"/>
    </row>
    <row r="6327" spans="23:23">
      <c r="W6327" s="503"/>
    </row>
    <row r="6328" spans="23:23">
      <c r="W6328" s="503"/>
    </row>
    <row r="6329" spans="23:23">
      <c r="W6329" s="503"/>
    </row>
    <row r="6330" spans="23:23">
      <c r="W6330" s="503"/>
    </row>
    <row r="6331" spans="23:23">
      <c r="W6331" s="503"/>
    </row>
    <row r="6332" spans="23:23">
      <c r="W6332" s="503"/>
    </row>
    <row r="6333" spans="23:23">
      <c r="W6333" s="503"/>
    </row>
    <row r="6334" spans="23:23">
      <c r="W6334" s="503"/>
    </row>
    <row r="6335" spans="23:23">
      <c r="W6335" s="503"/>
    </row>
    <row r="6336" spans="23:23">
      <c r="W6336" s="503"/>
    </row>
    <row r="6337" spans="23:23">
      <c r="W6337" s="503"/>
    </row>
    <row r="6338" spans="23:23">
      <c r="W6338" s="503"/>
    </row>
    <row r="6339" spans="23:23">
      <c r="W6339" s="503"/>
    </row>
    <row r="6340" spans="23:23">
      <c r="W6340" s="503"/>
    </row>
    <row r="6341" spans="23:23">
      <c r="W6341" s="503"/>
    </row>
    <row r="6342" spans="23:23">
      <c r="W6342" s="503"/>
    </row>
    <row r="6343" spans="23:23">
      <c r="W6343" s="503"/>
    </row>
    <row r="6344" spans="23:23">
      <c r="W6344" s="503"/>
    </row>
    <row r="6345" spans="23:23">
      <c r="W6345" s="503"/>
    </row>
    <row r="6346" spans="23:23">
      <c r="W6346" s="503"/>
    </row>
    <row r="6347" spans="23:23">
      <c r="W6347" s="503"/>
    </row>
    <row r="6348" spans="23:23">
      <c r="W6348" s="503"/>
    </row>
    <row r="6349" spans="23:23">
      <c r="W6349" s="503"/>
    </row>
    <row r="6350" spans="23:23">
      <c r="W6350" s="503"/>
    </row>
    <row r="6351" spans="23:23">
      <c r="W6351" s="503"/>
    </row>
    <row r="6352" spans="23:23">
      <c r="W6352" s="503"/>
    </row>
    <row r="6353" spans="23:23">
      <c r="W6353" s="503"/>
    </row>
    <row r="6354" spans="23:23">
      <c r="W6354" s="503"/>
    </row>
    <row r="6355" spans="23:23">
      <c r="W6355" s="503"/>
    </row>
    <row r="6356" spans="23:23">
      <c r="W6356" s="503"/>
    </row>
    <row r="6357" spans="23:23">
      <c r="W6357" s="503"/>
    </row>
    <row r="6358" spans="23:23">
      <c r="W6358" s="503"/>
    </row>
    <row r="6359" spans="23:23">
      <c r="W6359" s="503"/>
    </row>
    <row r="6360" spans="23:23">
      <c r="W6360" s="503"/>
    </row>
    <row r="6361" spans="23:23">
      <c r="W6361" s="503"/>
    </row>
    <row r="6362" spans="23:23">
      <c r="W6362" s="503"/>
    </row>
    <row r="6363" spans="23:23">
      <c r="W6363" s="503"/>
    </row>
    <row r="6364" spans="23:23">
      <c r="W6364" s="503"/>
    </row>
    <row r="6365" spans="23:23">
      <c r="W6365" s="503"/>
    </row>
    <row r="6366" spans="23:23">
      <c r="W6366" s="503"/>
    </row>
    <row r="6367" spans="23:23">
      <c r="W6367" s="503"/>
    </row>
    <row r="6368" spans="23:23">
      <c r="W6368" s="503"/>
    </row>
    <row r="6369" spans="23:23">
      <c r="W6369" s="503"/>
    </row>
    <row r="6370" spans="23:23">
      <c r="W6370" s="503"/>
    </row>
    <row r="6371" spans="23:23">
      <c r="W6371" s="503"/>
    </row>
    <row r="6372" spans="23:23">
      <c r="W6372" s="503"/>
    </row>
    <row r="6373" spans="23:23">
      <c r="W6373" s="503"/>
    </row>
    <row r="6374" spans="23:23">
      <c r="W6374" s="503"/>
    </row>
    <row r="6375" spans="23:23">
      <c r="W6375" s="503"/>
    </row>
    <row r="6376" spans="23:23">
      <c r="W6376" s="503"/>
    </row>
    <row r="6377" spans="23:23">
      <c r="W6377" s="503"/>
    </row>
    <row r="6378" spans="23:23">
      <c r="W6378" s="503"/>
    </row>
    <row r="6379" spans="23:23">
      <c r="W6379" s="503"/>
    </row>
    <row r="6380" spans="23:23">
      <c r="W6380" s="503"/>
    </row>
    <row r="6381" spans="23:23">
      <c r="W6381" s="503"/>
    </row>
    <row r="6382" spans="23:23">
      <c r="W6382" s="503"/>
    </row>
    <row r="6383" spans="23:23">
      <c r="W6383" s="503"/>
    </row>
    <row r="6384" spans="23:23">
      <c r="W6384" s="503"/>
    </row>
    <row r="6385" spans="23:23">
      <c r="W6385" s="503"/>
    </row>
    <row r="6386" spans="23:23">
      <c r="W6386" s="503"/>
    </row>
    <row r="6387" spans="23:23">
      <c r="W6387" s="503"/>
    </row>
    <row r="6388" spans="23:23">
      <c r="W6388" s="503"/>
    </row>
    <row r="6389" spans="23:23">
      <c r="W6389" s="503"/>
    </row>
    <row r="6390" spans="23:23">
      <c r="W6390" s="503"/>
    </row>
    <row r="6391" spans="23:23">
      <c r="W6391" s="503"/>
    </row>
    <row r="6392" spans="23:23">
      <c r="W6392" s="503"/>
    </row>
    <row r="6393" spans="23:23">
      <c r="W6393" s="503"/>
    </row>
    <row r="6394" spans="23:23">
      <c r="W6394" s="503"/>
    </row>
    <row r="6395" spans="23:23">
      <c r="W6395" s="503"/>
    </row>
    <row r="6396" spans="23:23">
      <c r="W6396" s="503"/>
    </row>
    <row r="6397" spans="23:23">
      <c r="W6397" s="503"/>
    </row>
    <row r="6398" spans="23:23">
      <c r="W6398" s="503"/>
    </row>
    <row r="6399" spans="23:23">
      <c r="W6399" s="503"/>
    </row>
    <row r="6400" spans="23:23">
      <c r="W6400" s="503"/>
    </row>
    <row r="6401" spans="23:23">
      <c r="W6401" s="503"/>
    </row>
    <row r="6402" spans="23:23">
      <c r="W6402" s="503"/>
    </row>
    <row r="6403" spans="23:23">
      <c r="W6403" s="503"/>
    </row>
    <row r="6404" spans="23:23">
      <c r="W6404" s="503"/>
    </row>
    <row r="6405" spans="23:23">
      <c r="W6405" s="503"/>
    </row>
    <row r="6406" spans="23:23">
      <c r="W6406" s="503"/>
    </row>
    <row r="6407" spans="23:23">
      <c r="W6407" s="503"/>
    </row>
    <row r="6408" spans="23:23">
      <c r="W6408" s="503"/>
    </row>
    <row r="6409" spans="23:23">
      <c r="W6409" s="503"/>
    </row>
    <row r="6410" spans="23:23">
      <c r="W6410" s="503"/>
    </row>
    <row r="6411" spans="23:23">
      <c r="W6411" s="503"/>
    </row>
    <row r="6412" spans="23:23">
      <c r="W6412" s="503"/>
    </row>
    <row r="6413" spans="23:23">
      <c r="W6413" s="503"/>
    </row>
    <row r="6414" spans="23:23">
      <c r="W6414" s="503"/>
    </row>
    <row r="6415" spans="23:23">
      <c r="W6415" s="503"/>
    </row>
    <row r="6416" spans="23:23">
      <c r="W6416" s="503"/>
    </row>
    <row r="6417" spans="23:23">
      <c r="W6417" s="503"/>
    </row>
    <row r="6418" spans="23:23">
      <c r="W6418" s="503"/>
    </row>
    <row r="6419" spans="23:23">
      <c r="W6419" s="503"/>
    </row>
    <row r="6420" spans="23:23">
      <c r="W6420" s="503"/>
    </row>
    <row r="6421" spans="23:23">
      <c r="W6421" s="503"/>
    </row>
    <row r="6422" spans="23:23">
      <c r="W6422" s="503"/>
    </row>
    <row r="6423" spans="23:23">
      <c r="W6423" s="503"/>
    </row>
    <row r="6424" spans="23:23">
      <c r="W6424" s="503"/>
    </row>
    <row r="6425" spans="23:23">
      <c r="W6425" s="503"/>
    </row>
    <row r="6426" spans="23:23">
      <c r="W6426" s="503"/>
    </row>
    <row r="6427" spans="23:23">
      <c r="W6427" s="503"/>
    </row>
    <row r="6428" spans="23:23">
      <c r="W6428" s="503"/>
    </row>
    <row r="6429" spans="23:23">
      <c r="W6429" s="503"/>
    </row>
    <row r="6430" spans="23:23">
      <c r="W6430" s="503"/>
    </row>
    <row r="6431" spans="23:23">
      <c r="W6431" s="503"/>
    </row>
    <row r="6432" spans="23:23">
      <c r="W6432" s="503"/>
    </row>
    <row r="6433" spans="23:23">
      <c r="W6433" s="503"/>
    </row>
    <row r="6434" spans="23:23">
      <c r="W6434" s="503"/>
    </row>
    <row r="6435" spans="23:23">
      <c r="W6435" s="503"/>
    </row>
    <row r="6436" spans="23:23">
      <c r="W6436" s="503"/>
    </row>
    <row r="6437" spans="23:23">
      <c r="W6437" s="503"/>
    </row>
    <row r="6438" spans="23:23">
      <c r="W6438" s="503"/>
    </row>
    <row r="6439" spans="23:23">
      <c r="W6439" s="503"/>
    </row>
    <row r="6440" spans="23:23">
      <c r="W6440" s="503"/>
    </row>
    <row r="6441" spans="23:23">
      <c r="W6441" s="503"/>
    </row>
    <row r="6442" spans="23:23">
      <c r="W6442" s="503"/>
    </row>
    <row r="6443" spans="23:23">
      <c r="W6443" s="503"/>
    </row>
    <row r="6444" spans="23:23">
      <c r="W6444" s="503"/>
    </row>
    <row r="6445" spans="23:23">
      <c r="W6445" s="503"/>
    </row>
    <row r="6446" spans="23:23">
      <c r="W6446" s="503"/>
    </row>
    <row r="6447" spans="23:23">
      <c r="W6447" s="503"/>
    </row>
    <row r="6448" spans="23:23">
      <c r="W6448" s="503"/>
    </row>
    <row r="6449" spans="23:23">
      <c r="W6449" s="503"/>
    </row>
    <row r="6450" spans="23:23">
      <c r="W6450" s="503"/>
    </row>
    <row r="6451" spans="23:23">
      <c r="W6451" s="503"/>
    </row>
    <row r="6452" spans="23:23">
      <c r="W6452" s="503"/>
    </row>
    <row r="6453" spans="23:23">
      <c r="W6453" s="503"/>
    </row>
    <row r="6454" spans="23:23">
      <c r="W6454" s="503"/>
    </row>
    <row r="6455" spans="23:23">
      <c r="W6455" s="503"/>
    </row>
    <row r="6456" spans="23:23">
      <c r="W6456" s="503"/>
    </row>
    <row r="6457" spans="23:23">
      <c r="W6457" s="503"/>
    </row>
    <row r="6458" spans="23:23">
      <c r="W6458" s="503"/>
    </row>
    <row r="6459" spans="23:23">
      <c r="W6459" s="503"/>
    </row>
    <row r="6460" spans="23:23">
      <c r="W6460" s="503"/>
    </row>
    <row r="6461" spans="23:23">
      <c r="W6461" s="503"/>
    </row>
    <row r="6462" spans="23:23">
      <c r="W6462" s="503"/>
    </row>
    <row r="6463" spans="23:23">
      <c r="W6463" s="503"/>
    </row>
    <row r="6464" spans="23:23">
      <c r="W6464" s="503"/>
    </row>
    <row r="6465" spans="23:23">
      <c r="W6465" s="503"/>
    </row>
    <row r="6466" spans="23:23">
      <c r="W6466" s="503"/>
    </row>
    <row r="6467" spans="23:23">
      <c r="W6467" s="503"/>
    </row>
    <row r="6468" spans="23:23">
      <c r="W6468" s="503"/>
    </row>
    <row r="6469" spans="23:23">
      <c r="W6469" s="503"/>
    </row>
    <row r="6470" spans="23:23">
      <c r="W6470" s="503"/>
    </row>
    <row r="6471" spans="23:23">
      <c r="W6471" s="503"/>
    </row>
    <row r="6472" spans="23:23">
      <c r="W6472" s="503"/>
    </row>
    <row r="6473" spans="23:23">
      <c r="W6473" s="503"/>
    </row>
    <row r="6474" spans="23:23">
      <c r="W6474" s="503"/>
    </row>
    <row r="6475" spans="23:23">
      <c r="W6475" s="503"/>
    </row>
    <row r="6476" spans="23:23">
      <c r="W6476" s="503"/>
    </row>
    <row r="6477" spans="23:23">
      <c r="W6477" s="503"/>
    </row>
    <row r="6478" spans="23:23">
      <c r="W6478" s="503"/>
    </row>
    <row r="6479" spans="23:23">
      <c r="W6479" s="503"/>
    </row>
    <row r="6480" spans="23:23">
      <c r="W6480" s="503"/>
    </row>
    <row r="6481" spans="23:23">
      <c r="W6481" s="503"/>
    </row>
    <row r="6482" spans="23:23">
      <c r="W6482" s="503"/>
    </row>
    <row r="6483" spans="23:23">
      <c r="W6483" s="503"/>
    </row>
    <row r="6484" spans="23:23">
      <c r="W6484" s="503"/>
    </row>
    <row r="6485" spans="23:23">
      <c r="W6485" s="503"/>
    </row>
    <row r="6486" spans="23:23">
      <c r="W6486" s="503"/>
    </row>
    <row r="6487" spans="23:23">
      <c r="W6487" s="503"/>
    </row>
    <row r="6488" spans="23:23">
      <c r="W6488" s="503"/>
    </row>
    <row r="6489" spans="23:23">
      <c r="W6489" s="503"/>
    </row>
    <row r="6490" spans="23:23">
      <c r="W6490" s="503"/>
    </row>
    <row r="6491" spans="23:23">
      <c r="W6491" s="503"/>
    </row>
    <row r="6492" spans="23:23">
      <c r="W6492" s="503"/>
    </row>
    <row r="6493" spans="23:23">
      <c r="W6493" s="503"/>
    </row>
    <row r="6494" spans="23:23">
      <c r="W6494" s="503"/>
    </row>
    <row r="6495" spans="23:23">
      <c r="W6495" s="503"/>
    </row>
    <row r="6496" spans="23:23">
      <c r="W6496" s="503"/>
    </row>
    <row r="6497" spans="23:23">
      <c r="W6497" s="503"/>
    </row>
    <row r="6498" spans="23:23">
      <c r="W6498" s="503"/>
    </row>
    <row r="6499" spans="23:23">
      <c r="W6499" s="503"/>
    </row>
    <row r="6500" spans="23:23">
      <c r="W6500" s="503"/>
    </row>
    <row r="6501" spans="23:23">
      <c r="W6501" s="503"/>
    </row>
    <row r="6502" spans="23:23">
      <c r="W6502" s="503"/>
    </row>
    <row r="6503" spans="23:23">
      <c r="W6503" s="503"/>
    </row>
    <row r="6504" spans="23:23">
      <c r="W6504" s="503"/>
    </row>
    <row r="6505" spans="23:23">
      <c r="W6505" s="503"/>
    </row>
    <row r="6506" spans="23:23">
      <c r="W6506" s="503"/>
    </row>
    <row r="6507" spans="23:23">
      <c r="W6507" s="503"/>
    </row>
    <row r="6508" spans="23:23">
      <c r="W6508" s="503"/>
    </row>
    <row r="6509" spans="23:23">
      <c r="W6509" s="503"/>
    </row>
    <row r="6510" spans="23:23">
      <c r="W6510" s="503"/>
    </row>
    <row r="6511" spans="23:23">
      <c r="W6511" s="503"/>
    </row>
    <row r="6512" spans="23:23">
      <c r="W6512" s="503"/>
    </row>
    <row r="6513" spans="23:23">
      <c r="W6513" s="503"/>
    </row>
    <row r="6514" spans="23:23">
      <c r="W6514" s="503"/>
    </row>
    <row r="6515" spans="23:23">
      <c r="W6515" s="503"/>
    </row>
    <row r="6516" spans="23:23">
      <c r="W6516" s="503"/>
    </row>
    <row r="6517" spans="23:23">
      <c r="W6517" s="503"/>
    </row>
    <row r="6518" spans="23:23">
      <c r="W6518" s="503"/>
    </row>
    <row r="6519" spans="23:23">
      <c r="W6519" s="503"/>
    </row>
    <row r="6520" spans="23:23">
      <c r="W6520" s="503"/>
    </row>
    <row r="6521" spans="23:23">
      <c r="W6521" s="503"/>
    </row>
    <row r="6522" spans="23:23">
      <c r="W6522" s="503"/>
    </row>
    <row r="6523" spans="23:23">
      <c r="W6523" s="503"/>
    </row>
    <row r="6524" spans="23:23">
      <c r="W6524" s="503"/>
    </row>
    <row r="6525" spans="23:23">
      <c r="W6525" s="503"/>
    </row>
    <row r="6526" spans="23:23">
      <c r="W6526" s="503"/>
    </row>
    <row r="6527" spans="23:23">
      <c r="W6527" s="503"/>
    </row>
    <row r="6528" spans="23:23">
      <c r="W6528" s="503"/>
    </row>
    <row r="6529" spans="23:23">
      <c r="W6529" s="503"/>
    </row>
    <row r="6530" spans="23:23">
      <c r="W6530" s="503"/>
    </row>
    <row r="6531" spans="23:23">
      <c r="W6531" s="503"/>
    </row>
    <row r="6532" spans="23:23">
      <c r="W6532" s="503"/>
    </row>
    <row r="6533" spans="23:23">
      <c r="W6533" s="503"/>
    </row>
    <row r="6534" spans="23:23">
      <c r="W6534" s="503"/>
    </row>
    <row r="6535" spans="23:23">
      <c r="W6535" s="503"/>
    </row>
    <row r="6536" spans="23:23">
      <c r="W6536" s="503"/>
    </row>
    <row r="6537" spans="23:23">
      <c r="W6537" s="503"/>
    </row>
    <row r="6538" spans="23:23">
      <c r="W6538" s="503"/>
    </row>
    <row r="6539" spans="23:23">
      <c r="W6539" s="503"/>
    </row>
    <row r="6540" spans="23:23">
      <c r="W6540" s="503"/>
    </row>
    <row r="6541" spans="23:23">
      <c r="W6541" s="503"/>
    </row>
    <row r="6542" spans="23:23">
      <c r="W6542" s="503"/>
    </row>
    <row r="6543" spans="23:23">
      <c r="W6543" s="503"/>
    </row>
    <row r="6544" spans="23:23">
      <c r="W6544" s="503"/>
    </row>
    <row r="6545" spans="23:23">
      <c r="W6545" s="503"/>
    </row>
    <row r="6546" spans="23:23">
      <c r="W6546" s="503"/>
    </row>
    <row r="6547" spans="23:23">
      <c r="W6547" s="503"/>
    </row>
    <row r="6548" spans="23:23">
      <c r="W6548" s="503"/>
    </row>
    <row r="6549" spans="23:23">
      <c r="W6549" s="503"/>
    </row>
    <row r="6550" spans="23:23">
      <c r="W6550" s="503"/>
    </row>
    <row r="6551" spans="23:23">
      <c r="W6551" s="503"/>
    </row>
    <row r="6552" spans="23:23">
      <c r="W6552" s="503"/>
    </row>
    <row r="6553" spans="23:23">
      <c r="W6553" s="503"/>
    </row>
    <row r="6554" spans="23:23">
      <c r="W6554" s="503"/>
    </row>
    <row r="6555" spans="23:23">
      <c r="W6555" s="503"/>
    </row>
    <row r="6556" spans="23:23">
      <c r="W6556" s="503"/>
    </row>
    <row r="6557" spans="23:23">
      <c r="W6557" s="503"/>
    </row>
    <row r="6558" spans="23:23">
      <c r="W6558" s="503"/>
    </row>
    <row r="6559" spans="23:23">
      <c r="W6559" s="503"/>
    </row>
    <row r="6560" spans="23:23">
      <c r="W6560" s="503"/>
    </row>
    <row r="6561" spans="23:23">
      <c r="W6561" s="503"/>
    </row>
    <row r="6562" spans="23:23">
      <c r="W6562" s="503"/>
    </row>
    <row r="6563" spans="23:23">
      <c r="W6563" s="503"/>
    </row>
    <row r="6564" spans="23:23">
      <c r="W6564" s="503"/>
    </row>
    <row r="6565" spans="23:23">
      <c r="W6565" s="503"/>
    </row>
    <row r="6566" spans="23:23">
      <c r="W6566" s="503"/>
    </row>
    <row r="6567" spans="23:23">
      <c r="W6567" s="503"/>
    </row>
    <row r="6568" spans="23:23">
      <c r="W6568" s="503"/>
    </row>
    <row r="6569" spans="23:23">
      <c r="W6569" s="503"/>
    </row>
    <row r="6570" spans="23:23">
      <c r="W6570" s="503"/>
    </row>
    <row r="6571" spans="23:23">
      <c r="W6571" s="503"/>
    </row>
    <row r="6572" spans="23:23">
      <c r="W6572" s="503"/>
    </row>
    <row r="6573" spans="23:23">
      <c r="W6573" s="503"/>
    </row>
    <row r="6574" spans="23:23">
      <c r="W6574" s="503"/>
    </row>
    <row r="6575" spans="23:23">
      <c r="W6575" s="503"/>
    </row>
    <row r="6576" spans="23:23">
      <c r="W6576" s="503"/>
    </row>
    <row r="6577" spans="23:23">
      <c r="W6577" s="503"/>
    </row>
    <row r="6578" spans="23:23">
      <c r="W6578" s="503"/>
    </row>
    <row r="6579" spans="23:23">
      <c r="W6579" s="503"/>
    </row>
    <row r="6580" spans="23:23">
      <c r="W6580" s="503"/>
    </row>
    <row r="6581" spans="23:23">
      <c r="W6581" s="503"/>
    </row>
    <row r="6582" spans="23:23">
      <c r="W6582" s="503"/>
    </row>
    <row r="6583" spans="23:23">
      <c r="W6583" s="503"/>
    </row>
    <row r="6584" spans="23:23">
      <c r="W6584" s="503"/>
    </row>
    <row r="6585" spans="23:23">
      <c r="W6585" s="503"/>
    </row>
    <row r="6586" spans="23:23">
      <c r="W6586" s="503"/>
    </row>
    <row r="6587" spans="23:23">
      <c r="W6587" s="503"/>
    </row>
    <row r="6588" spans="23:23">
      <c r="W6588" s="503"/>
    </row>
    <row r="6589" spans="23:23">
      <c r="W6589" s="503"/>
    </row>
    <row r="6590" spans="23:23">
      <c r="W6590" s="503"/>
    </row>
    <row r="6591" spans="23:23">
      <c r="W6591" s="503"/>
    </row>
    <row r="6592" spans="23:23">
      <c r="W6592" s="503"/>
    </row>
    <row r="6593" spans="23:23">
      <c r="W6593" s="503"/>
    </row>
    <row r="6594" spans="23:23">
      <c r="W6594" s="503"/>
    </row>
    <row r="6595" spans="23:23">
      <c r="W6595" s="503"/>
    </row>
    <row r="6596" spans="23:23">
      <c r="W6596" s="503"/>
    </row>
    <row r="6597" spans="23:23">
      <c r="W6597" s="503"/>
    </row>
    <row r="6598" spans="23:23">
      <c r="W6598" s="503"/>
    </row>
    <row r="6599" spans="23:23">
      <c r="W6599" s="503"/>
    </row>
    <row r="6600" spans="23:23">
      <c r="W6600" s="503"/>
    </row>
    <row r="6601" spans="23:23">
      <c r="W6601" s="503"/>
    </row>
    <row r="6602" spans="23:23">
      <c r="W6602" s="503"/>
    </row>
    <row r="6603" spans="23:23">
      <c r="W6603" s="503"/>
    </row>
    <row r="6604" spans="23:23">
      <c r="W6604" s="503"/>
    </row>
    <row r="6605" spans="23:23">
      <c r="W6605" s="503"/>
    </row>
    <row r="6606" spans="23:23">
      <c r="W6606" s="503"/>
    </row>
    <row r="6607" spans="23:23">
      <c r="W6607" s="503"/>
    </row>
    <row r="6608" spans="23:23">
      <c r="W6608" s="503"/>
    </row>
    <row r="6609" spans="23:23">
      <c r="W6609" s="503"/>
    </row>
    <row r="6610" spans="23:23">
      <c r="W6610" s="503"/>
    </row>
    <row r="6611" spans="23:23">
      <c r="W6611" s="503"/>
    </row>
    <row r="6612" spans="23:23">
      <c r="W6612" s="503"/>
    </row>
    <row r="6613" spans="23:23">
      <c r="W6613" s="503"/>
    </row>
    <row r="6614" spans="23:23">
      <c r="W6614" s="503"/>
    </row>
    <row r="6615" spans="23:23">
      <c r="W6615" s="503"/>
    </row>
    <row r="6616" spans="23:23">
      <c r="W6616" s="503"/>
    </row>
    <row r="6617" spans="23:23">
      <c r="W6617" s="503"/>
    </row>
    <row r="6618" spans="23:23">
      <c r="W6618" s="503"/>
    </row>
    <row r="6619" spans="23:23">
      <c r="W6619" s="503"/>
    </row>
    <row r="6620" spans="23:23">
      <c r="W6620" s="503"/>
    </row>
    <row r="6621" spans="23:23">
      <c r="W6621" s="503"/>
    </row>
    <row r="6622" spans="23:23">
      <c r="W6622" s="503"/>
    </row>
    <row r="6623" spans="23:23">
      <c r="W6623" s="503"/>
    </row>
    <row r="6624" spans="23:23">
      <c r="W6624" s="503"/>
    </row>
    <row r="6625" spans="23:23">
      <c r="W6625" s="503"/>
    </row>
    <row r="6626" spans="23:23">
      <c r="W6626" s="503"/>
    </row>
    <row r="6627" spans="23:23">
      <c r="W6627" s="503"/>
    </row>
    <row r="6628" spans="23:23">
      <c r="W6628" s="503"/>
    </row>
    <row r="6629" spans="23:23">
      <c r="W6629" s="503"/>
    </row>
    <row r="6630" spans="23:23">
      <c r="W6630" s="503"/>
    </row>
    <row r="6631" spans="23:23">
      <c r="W6631" s="503"/>
    </row>
    <row r="6632" spans="23:23">
      <c r="W6632" s="503"/>
    </row>
    <row r="6633" spans="23:23">
      <c r="W6633" s="503"/>
    </row>
    <row r="6634" spans="23:23">
      <c r="W6634" s="503"/>
    </row>
    <row r="6635" spans="23:23">
      <c r="W6635" s="503"/>
    </row>
    <row r="6636" spans="23:23">
      <c r="W6636" s="503"/>
    </row>
    <row r="6637" spans="23:23">
      <c r="W6637" s="503"/>
    </row>
    <row r="6638" spans="23:23">
      <c r="W6638" s="503"/>
    </row>
    <row r="6639" spans="23:23">
      <c r="W6639" s="503"/>
    </row>
    <row r="6640" spans="23:23">
      <c r="W6640" s="503"/>
    </row>
    <row r="6641" spans="23:23">
      <c r="W6641" s="503"/>
    </row>
    <row r="6642" spans="23:23">
      <c r="W6642" s="503"/>
    </row>
    <row r="6643" spans="23:23">
      <c r="W6643" s="503"/>
    </row>
    <row r="6644" spans="23:23">
      <c r="W6644" s="503"/>
    </row>
    <row r="6645" spans="23:23">
      <c r="W6645" s="503"/>
    </row>
    <row r="6646" spans="23:23">
      <c r="W6646" s="503"/>
    </row>
    <row r="6647" spans="23:23">
      <c r="W6647" s="503"/>
    </row>
    <row r="6648" spans="23:23">
      <c r="W6648" s="503"/>
    </row>
    <row r="6649" spans="23:23">
      <c r="W6649" s="503"/>
    </row>
    <row r="6650" spans="23:23">
      <c r="W6650" s="503"/>
    </row>
    <row r="6651" spans="23:23">
      <c r="W6651" s="503"/>
    </row>
    <row r="6652" spans="23:23">
      <c r="W6652" s="503"/>
    </row>
    <row r="6653" spans="23:23">
      <c r="W6653" s="503"/>
    </row>
    <row r="6654" spans="23:23">
      <c r="W6654" s="503"/>
    </row>
    <row r="6655" spans="23:23">
      <c r="W6655" s="503"/>
    </row>
    <row r="6656" spans="23:23">
      <c r="W6656" s="503"/>
    </row>
    <row r="6657" spans="23:23">
      <c r="W6657" s="503"/>
    </row>
    <row r="6658" spans="23:23">
      <c r="W6658" s="503"/>
    </row>
    <row r="6659" spans="23:23">
      <c r="W6659" s="503"/>
    </row>
    <row r="6660" spans="23:23">
      <c r="W6660" s="503"/>
    </row>
    <row r="6661" spans="23:23">
      <c r="W6661" s="503"/>
    </row>
    <row r="6662" spans="23:23">
      <c r="W6662" s="503"/>
    </row>
    <row r="6663" spans="23:23">
      <c r="W6663" s="503"/>
    </row>
    <row r="6664" spans="23:23">
      <c r="W6664" s="503"/>
    </row>
    <row r="6665" spans="23:23">
      <c r="W6665" s="503"/>
    </row>
    <row r="6666" spans="23:23">
      <c r="W6666" s="503"/>
    </row>
    <row r="6667" spans="23:23">
      <c r="W6667" s="503"/>
    </row>
    <row r="6668" spans="23:23">
      <c r="W6668" s="503"/>
    </row>
    <row r="6669" spans="23:23">
      <c r="W6669" s="503"/>
    </row>
    <row r="6670" spans="23:23">
      <c r="W6670" s="503"/>
    </row>
    <row r="6671" spans="23:23">
      <c r="W6671" s="503"/>
    </row>
    <row r="6672" spans="23:23">
      <c r="W6672" s="503"/>
    </row>
    <row r="6673" spans="23:23">
      <c r="W6673" s="503"/>
    </row>
    <row r="6674" spans="23:23">
      <c r="W6674" s="503"/>
    </row>
    <row r="6675" spans="23:23">
      <c r="W6675" s="503"/>
    </row>
    <row r="6676" spans="23:23">
      <c r="W6676" s="503"/>
    </row>
    <row r="6677" spans="23:23">
      <c r="W6677" s="503"/>
    </row>
    <row r="6678" spans="23:23">
      <c r="W6678" s="503"/>
    </row>
    <row r="6679" spans="23:23">
      <c r="W6679" s="503"/>
    </row>
    <row r="6680" spans="23:23">
      <c r="W6680" s="503"/>
    </row>
    <row r="6681" spans="23:23">
      <c r="W6681" s="503"/>
    </row>
    <row r="6682" spans="23:23">
      <c r="W6682" s="503"/>
    </row>
    <row r="6683" spans="23:23">
      <c r="W6683" s="503"/>
    </row>
    <row r="6684" spans="23:23">
      <c r="W6684" s="503"/>
    </row>
    <row r="6685" spans="23:23">
      <c r="W6685" s="503"/>
    </row>
    <row r="6686" spans="23:23">
      <c r="W6686" s="503"/>
    </row>
    <row r="6687" spans="23:23">
      <c r="W6687" s="503"/>
    </row>
    <row r="6688" spans="23:23">
      <c r="W6688" s="503"/>
    </row>
    <row r="6689" spans="23:23">
      <c r="W6689" s="503"/>
    </row>
    <row r="6690" spans="23:23">
      <c r="W6690" s="503"/>
    </row>
    <row r="6691" spans="23:23">
      <c r="W6691" s="503"/>
    </row>
    <row r="6692" spans="23:23">
      <c r="W6692" s="503"/>
    </row>
    <row r="6693" spans="23:23">
      <c r="W6693" s="503"/>
    </row>
    <row r="6694" spans="23:23">
      <c r="W6694" s="503"/>
    </row>
    <row r="6695" spans="23:23">
      <c r="W6695" s="503"/>
    </row>
    <row r="6696" spans="23:23">
      <c r="W6696" s="503"/>
    </row>
    <row r="6697" spans="23:23">
      <c r="W6697" s="503"/>
    </row>
    <row r="6698" spans="23:23">
      <c r="W6698" s="503"/>
    </row>
    <row r="6699" spans="23:23">
      <c r="W6699" s="503"/>
    </row>
    <row r="6700" spans="23:23">
      <c r="W6700" s="503"/>
    </row>
    <row r="6701" spans="23:23">
      <c r="W6701" s="503"/>
    </row>
    <row r="6702" spans="23:23">
      <c r="W6702" s="503"/>
    </row>
    <row r="6703" spans="23:23">
      <c r="W6703" s="503"/>
    </row>
    <row r="6704" spans="23:23">
      <c r="W6704" s="503"/>
    </row>
    <row r="6705" spans="23:23">
      <c r="W6705" s="503"/>
    </row>
    <row r="6706" spans="23:23">
      <c r="W6706" s="503"/>
    </row>
    <row r="6707" spans="23:23">
      <c r="W6707" s="503"/>
    </row>
    <row r="6708" spans="23:23">
      <c r="W6708" s="503"/>
    </row>
    <row r="6709" spans="23:23">
      <c r="W6709" s="503"/>
    </row>
    <row r="6710" spans="23:23">
      <c r="W6710" s="503"/>
    </row>
    <row r="6711" spans="23:23">
      <c r="W6711" s="503"/>
    </row>
    <row r="6712" spans="23:23">
      <c r="W6712" s="503"/>
    </row>
    <row r="6713" spans="23:23">
      <c r="W6713" s="503"/>
    </row>
    <row r="6714" spans="23:23">
      <c r="W6714" s="503"/>
    </row>
    <row r="6715" spans="23:23">
      <c r="W6715" s="503"/>
    </row>
    <row r="6716" spans="23:23">
      <c r="W6716" s="503"/>
    </row>
    <row r="6717" spans="23:23">
      <c r="W6717" s="503"/>
    </row>
    <row r="6718" spans="23:23">
      <c r="W6718" s="503"/>
    </row>
    <row r="6719" spans="23:23">
      <c r="W6719" s="503"/>
    </row>
    <row r="6720" spans="23:23">
      <c r="W6720" s="503"/>
    </row>
    <row r="6721" spans="23:23">
      <c r="W6721" s="503"/>
    </row>
    <row r="6722" spans="23:23">
      <c r="W6722" s="503"/>
    </row>
    <row r="6723" spans="23:23">
      <c r="W6723" s="503"/>
    </row>
    <row r="6724" spans="23:23">
      <c r="W6724" s="503"/>
    </row>
    <row r="6725" spans="23:23">
      <c r="W6725" s="503"/>
    </row>
    <row r="6726" spans="23:23">
      <c r="W6726" s="503"/>
    </row>
    <row r="6727" spans="23:23">
      <c r="W6727" s="503"/>
    </row>
    <row r="6728" spans="23:23">
      <c r="W6728" s="503"/>
    </row>
    <row r="6729" spans="23:23">
      <c r="W6729" s="503"/>
    </row>
    <row r="6730" spans="23:23">
      <c r="W6730" s="503"/>
    </row>
    <row r="6731" spans="23:23">
      <c r="W6731" s="503"/>
    </row>
    <row r="6732" spans="23:23">
      <c r="W6732" s="503"/>
    </row>
    <row r="6733" spans="23:23">
      <c r="W6733" s="503"/>
    </row>
    <row r="6734" spans="23:23">
      <c r="W6734" s="503"/>
    </row>
    <row r="6735" spans="23:23">
      <c r="W6735" s="503"/>
    </row>
    <row r="6736" spans="23:23">
      <c r="W6736" s="503"/>
    </row>
    <row r="6737" spans="23:23">
      <c r="W6737" s="503"/>
    </row>
    <row r="6738" spans="23:23">
      <c r="W6738" s="503"/>
    </row>
    <row r="6739" spans="23:23">
      <c r="W6739" s="503"/>
    </row>
    <row r="6740" spans="23:23">
      <c r="W6740" s="503"/>
    </row>
    <row r="6741" spans="23:23">
      <c r="W6741" s="503"/>
    </row>
    <row r="6742" spans="23:23">
      <c r="W6742" s="503"/>
    </row>
    <row r="6743" spans="23:23">
      <c r="W6743" s="503"/>
    </row>
    <row r="6744" spans="23:23">
      <c r="W6744" s="503"/>
    </row>
    <row r="6745" spans="23:23">
      <c r="W6745" s="503"/>
    </row>
    <row r="6746" spans="23:23">
      <c r="W6746" s="503"/>
    </row>
    <row r="6747" spans="23:23">
      <c r="W6747" s="503"/>
    </row>
    <row r="6748" spans="23:23">
      <c r="W6748" s="503"/>
    </row>
    <row r="6749" spans="23:23">
      <c r="W6749" s="503"/>
    </row>
    <row r="6750" spans="23:23">
      <c r="W6750" s="503"/>
    </row>
    <row r="6751" spans="23:23">
      <c r="W6751" s="503"/>
    </row>
    <row r="6752" spans="23:23">
      <c r="W6752" s="503"/>
    </row>
    <row r="6753" spans="23:23">
      <c r="W6753" s="503"/>
    </row>
    <row r="6754" spans="23:23">
      <c r="W6754" s="503"/>
    </row>
    <row r="6755" spans="23:23">
      <c r="W6755" s="503"/>
    </row>
    <row r="6756" spans="23:23">
      <c r="W6756" s="503"/>
    </row>
    <row r="6757" spans="23:23">
      <c r="W6757" s="503"/>
    </row>
    <row r="6758" spans="23:23">
      <c r="W6758" s="503"/>
    </row>
    <row r="6759" spans="23:23">
      <c r="W6759" s="503"/>
    </row>
    <row r="6760" spans="23:23">
      <c r="W6760" s="503"/>
    </row>
    <row r="6761" spans="23:23">
      <c r="W6761" s="503"/>
    </row>
    <row r="6762" spans="23:23">
      <c r="W6762" s="503"/>
    </row>
    <row r="6763" spans="23:23">
      <c r="W6763" s="503"/>
    </row>
    <row r="6764" spans="23:23">
      <c r="W6764" s="503"/>
    </row>
    <row r="6765" spans="23:23">
      <c r="W6765" s="503"/>
    </row>
    <row r="6766" spans="23:23">
      <c r="W6766" s="503"/>
    </row>
    <row r="6767" spans="23:23">
      <c r="W6767" s="503"/>
    </row>
    <row r="6768" spans="23:23">
      <c r="W6768" s="503"/>
    </row>
    <row r="6769" spans="23:23">
      <c r="W6769" s="503"/>
    </row>
    <row r="6770" spans="23:23">
      <c r="W6770" s="503"/>
    </row>
    <row r="6771" spans="23:23">
      <c r="W6771" s="503"/>
    </row>
    <row r="6772" spans="23:23">
      <c r="W6772" s="503"/>
    </row>
    <row r="6773" spans="23:23">
      <c r="W6773" s="503"/>
    </row>
    <row r="6774" spans="23:23">
      <c r="W6774" s="503"/>
    </row>
    <row r="6775" spans="23:23">
      <c r="W6775" s="503"/>
    </row>
    <row r="6776" spans="23:23">
      <c r="W6776" s="503"/>
    </row>
    <row r="6777" spans="23:23">
      <c r="W6777" s="503"/>
    </row>
    <row r="6778" spans="23:23">
      <c r="W6778" s="503"/>
    </row>
    <row r="6779" spans="23:23">
      <c r="W6779" s="503"/>
    </row>
    <row r="6780" spans="23:23">
      <c r="W6780" s="503"/>
    </row>
    <row r="6781" spans="23:23">
      <c r="W6781" s="503"/>
    </row>
    <row r="6782" spans="23:23">
      <c r="W6782" s="503"/>
    </row>
    <row r="6783" spans="23:23">
      <c r="W6783" s="503"/>
    </row>
    <row r="6784" spans="23:23">
      <c r="W6784" s="503"/>
    </row>
    <row r="6785" spans="23:23">
      <c r="W6785" s="503"/>
    </row>
    <row r="6786" spans="23:23">
      <c r="W6786" s="503"/>
    </row>
    <row r="6787" spans="23:23">
      <c r="W6787" s="503"/>
    </row>
    <row r="6788" spans="23:23">
      <c r="W6788" s="503"/>
    </row>
    <row r="6789" spans="23:23">
      <c r="W6789" s="503"/>
    </row>
    <row r="6790" spans="23:23">
      <c r="W6790" s="503"/>
    </row>
    <row r="6791" spans="23:23">
      <c r="W6791" s="503"/>
    </row>
    <row r="6792" spans="23:23">
      <c r="W6792" s="503"/>
    </row>
    <row r="6793" spans="23:23">
      <c r="W6793" s="503"/>
    </row>
    <row r="6794" spans="23:23">
      <c r="W6794" s="503"/>
    </row>
    <row r="6795" spans="23:23">
      <c r="W6795" s="503"/>
    </row>
    <row r="6796" spans="23:23">
      <c r="W6796" s="503"/>
    </row>
    <row r="6797" spans="23:23">
      <c r="W6797" s="503"/>
    </row>
    <row r="6798" spans="23:23">
      <c r="W6798" s="503"/>
    </row>
    <row r="6799" spans="23:23">
      <c r="W6799" s="503"/>
    </row>
    <row r="6800" spans="23:23">
      <c r="W6800" s="503"/>
    </row>
    <row r="6801" spans="23:23">
      <c r="W6801" s="503"/>
    </row>
    <row r="6802" spans="23:23">
      <c r="W6802" s="503"/>
    </row>
    <row r="6803" spans="23:23">
      <c r="W6803" s="503"/>
    </row>
    <row r="6804" spans="23:23">
      <c r="W6804" s="503"/>
    </row>
    <row r="6805" spans="23:23">
      <c r="W6805" s="503"/>
    </row>
    <row r="6806" spans="23:23">
      <c r="W6806" s="503"/>
    </row>
    <row r="6807" spans="23:23">
      <c r="W6807" s="503"/>
    </row>
    <row r="6808" spans="23:23">
      <c r="W6808" s="503"/>
    </row>
    <row r="6809" spans="23:23">
      <c r="W6809" s="503"/>
    </row>
    <row r="6810" spans="23:23">
      <c r="W6810" s="503"/>
    </row>
    <row r="6811" spans="23:23">
      <c r="W6811" s="503"/>
    </row>
    <row r="6812" spans="23:23">
      <c r="W6812" s="503"/>
    </row>
    <row r="6813" spans="23:23">
      <c r="W6813" s="503"/>
    </row>
    <row r="6814" spans="23:23">
      <c r="W6814" s="503"/>
    </row>
    <row r="6815" spans="23:23">
      <c r="W6815" s="503"/>
    </row>
    <row r="6816" spans="23:23">
      <c r="W6816" s="503"/>
    </row>
    <row r="6817" spans="23:23">
      <c r="W6817" s="503"/>
    </row>
    <row r="6818" spans="23:23">
      <c r="W6818" s="503"/>
    </row>
    <row r="6819" spans="23:23">
      <c r="W6819" s="503"/>
    </row>
    <row r="6820" spans="23:23">
      <c r="W6820" s="503"/>
    </row>
    <row r="6821" spans="23:23">
      <c r="W6821" s="503"/>
    </row>
    <row r="6822" spans="23:23">
      <c r="W6822" s="503"/>
    </row>
    <row r="6823" spans="23:23">
      <c r="W6823" s="503"/>
    </row>
    <row r="6824" spans="23:23">
      <c r="W6824" s="503"/>
    </row>
    <row r="6825" spans="23:23">
      <c r="W6825" s="503"/>
    </row>
    <row r="6826" spans="23:23">
      <c r="W6826" s="503"/>
    </row>
    <row r="6827" spans="23:23">
      <c r="W6827" s="503"/>
    </row>
    <row r="6828" spans="23:23">
      <c r="W6828" s="503"/>
    </row>
    <row r="6829" spans="23:23">
      <c r="W6829" s="503"/>
    </row>
    <row r="6830" spans="23:23">
      <c r="W6830" s="503"/>
    </row>
    <row r="6831" spans="23:23">
      <c r="W6831" s="503"/>
    </row>
    <row r="6832" spans="23:23">
      <c r="W6832" s="503"/>
    </row>
    <row r="6833" spans="23:23">
      <c r="W6833" s="503"/>
    </row>
    <row r="6834" spans="23:23">
      <c r="W6834" s="503"/>
    </row>
    <row r="6835" spans="23:23">
      <c r="W6835" s="503"/>
    </row>
    <row r="6836" spans="23:23">
      <c r="W6836" s="503"/>
    </row>
    <row r="6837" spans="23:23">
      <c r="W6837" s="503"/>
    </row>
    <row r="6838" spans="23:23">
      <c r="W6838" s="503"/>
    </row>
    <row r="6839" spans="23:23">
      <c r="W6839" s="503"/>
    </row>
    <row r="6840" spans="23:23">
      <c r="W6840" s="503"/>
    </row>
    <row r="6841" spans="23:23">
      <c r="W6841" s="503"/>
    </row>
    <row r="6842" spans="23:23">
      <c r="W6842" s="503"/>
    </row>
    <row r="6843" spans="23:23">
      <c r="W6843" s="503"/>
    </row>
    <row r="6844" spans="23:23">
      <c r="W6844" s="503"/>
    </row>
    <row r="6845" spans="23:23">
      <c r="W6845" s="503"/>
    </row>
    <row r="6846" spans="23:23">
      <c r="W6846" s="503"/>
    </row>
    <row r="6847" spans="23:23">
      <c r="W6847" s="503"/>
    </row>
    <row r="6848" spans="23:23">
      <c r="W6848" s="503"/>
    </row>
    <row r="6849" spans="23:23">
      <c r="W6849" s="503"/>
    </row>
    <row r="6850" spans="23:23">
      <c r="W6850" s="503"/>
    </row>
    <row r="6851" spans="23:23">
      <c r="W6851" s="503"/>
    </row>
    <row r="6852" spans="23:23">
      <c r="W6852" s="503"/>
    </row>
    <row r="6853" spans="23:23">
      <c r="W6853" s="503"/>
    </row>
    <row r="6854" spans="23:23">
      <c r="W6854" s="503"/>
    </row>
    <row r="6855" spans="23:23">
      <c r="W6855" s="503"/>
    </row>
    <row r="6856" spans="23:23">
      <c r="W6856" s="503"/>
    </row>
    <row r="6857" spans="23:23">
      <c r="W6857" s="503"/>
    </row>
    <row r="6858" spans="23:23">
      <c r="W6858" s="503"/>
    </row>
    <row r="6859" spans="23:23">
      <c r="W6859" s="503"/>
    </row>
    <row r="6860" spans="23:23">
      <c r="W6860" s="503"/>
    </row>
    <row r="6861" spans="23:23">
      <c r="W6861" s="503"/>
    </row>
    <row r="6862" spans="23:23">
      <c r="W6862" s="503"/>
    </row>
    <row r="6863" spans="23:23">
      <c r="W6863" s="503"/>
    </row>
    <row r="6864" spans="23:23">
      <c r="W6864" s="503"/>
    </row>
    <row r="6865" spans="23:23">
      <c r="W6865" s="503"/>
    </row>
    <row r="6866" spans="23:23">
      <c r="W6866" s="503"/>
    </row>
    <row r="6867" spans="23:23">
      <c r="W6867" s="503"/>
    </row>
    <row r="6868" spans="23:23">
      <c r="W6868" s="503"/>
    </row>
    <row r="6869" spans="23:23">
      <c r="W6869" s="503"/>
    </row>
    <row r="6870" spans="23:23">
      <c r="W6870" s="503"/>
    </row>
    <row r="6871" spans="23:23">
      <c r="W6871" s="503"/>
    </row>
    <row r="6872" spans="23:23">
      <c r="W6872" s="503"/>
    </row>
    <row r="6873" spans="23:23">
      <c r="W6873" s="503"/>
    </row>
    <row r="6874" spans="23:23">
      <c r="W6874" s="503"/>
    </row>
    <row r="6875" spans="23:23">
      <c r="W6875" s="503"/>
    </row>
    <row r="6876" spans="23:23">
      <c r="W6876" s="503"/>
    </row>
    <row r="6877" spans="23:23">
      <c r="W6877" s="503"/>
    </row>
    <row r="6878" spans="23:23">
      <c r="W6878" s="503"/>
    </row>
    <row r="6879" spans="23:23">
      <c r="W6879" s="503"/>
    </row>
    <row r="6880" spans="23:23">
      <c r="W6880" s="503"/>
    </row>
    <row r="6881" spans="23:23">
      <c r="W6881" s="503"/>
    </row>
    <row r="6882" spans="23:23">
      <c r="W6882" s="503"/>
    </row>
    <row r="6883" spans="23:23">
      <c r="W6883" s="503"/>
    </row>
    <row r="6884" spans="23:23">
      <c r="W6884" s="503"/>
    </row>
    <row r="6885" spans="23:23">
      <c r="W6885" s="503"/>
    </row>
    <row r="6886" spans="23:23">
      <c r="W6886" s="503"/>
    </row>
    <row r="6887" spans="23:23">
      <c r="W6887" s="503"/>
    </row>
    <row r="6888" spans="23:23">
      <c r="W6888" s="503"/>
    </row>
    <row r="6889" spans="23:23">
      <c r="W6889" s="503"/>
    </row>
    <row r="6890" spans="23:23">
      <c r="W6890" s="503"/>
    </row>
    <row r="6891" spans="23:23">
      <c r="W6891" s="503"/>
    </row>
    <row r="6892" spans="23:23">
      <c r="W6892" s="503"/>
    </row>
    <row r="6893" spans="23:23">
      <c r="W6893" s="503"/>
    </row>
    <row r="6894" spans="23:23">
      <c r="W6894" s="503"/>
    </row>
    <row r="6895" spans="23:23">
      <c r="W6895" s="503"/>
    </row>
    <row r="6896" spans="23:23">
      <c r="W6896" s="503"/>
    </row>
    <row r="6897" spans="23:23">
      <c r="W6897" s="503"/>
    </row>
    <row r="6898" spans="23:23">
      <c r="W6898" s="503"/>
    </row>
    <row r="6899" spans="23:23">
      <c r="W6899" s="503"/>
    </row>
    <row r="6900" spans="23:23">
      <c r="W6900" s="503"/>
    </row>
    <row r="6901" spans="23:23">
      <c r="W6901" s="503"/>
    </row>
    <row r="6902" spans="23:23">
      <c r="W6902" s="503"/>
    </row>
    <row r="6903" spans="23:23">
      <c r="W6903" s="503"/>
    </row>
    <row r="6904" spans="23:23">
      <c r="W6904" s="503"/>
    </row>
    <row r="6905" spans="23:23">
      <c r="W6905" s="503"/>
    </row>
    <row r="6906" spans="23:23">
      <c r="W6906" s="503"/>
    </row>
    <row r="6907" spans="23:23">
      <c r="W6907" s="503"/>
    </row>
    <row r="6908" spans="23:23">
      <c r="W6908" s="503"/>
    </row>
    <row r="6909" spans="23:23">
      <c r="W6909" s="503"/>
    </row>
    <row r="6910" spans="23:23">
      <c r="W6910" s="503"/>
    </row>
    <row r="6911" spans="23:23">
      <c r="W6911" s="503"/>
    </row>
    <row r="6912" spans="23:23">
      <c r="W6912" s="503"/>
    </row>
    <row r="6913" spans="23:23">
      <c r="W6913" s="503"/>
    </row>
    <row r="6914" spans="23:23">
      <c r="W6914" s="503"/>
    </row>
    <row r="6915" spans="23:23">
      <c r="W6915" s="503"/>
    </row>
    <row r="6916" spans="23:23">
      <c r="W6916" s="503"/>
    </row>
    <row r="6917" spans="23:23">
      <c r="W6917" s="503"/>
    </row>
    <row r="6918" spans="23:23">
      <c r="W6918" s="503"/>
    </row>
    <row r="6919" spans="23:23">
      <c r="W6919" s="503"/>
    </row>
    <row r="6920" spans="23:23">
      <c r="W6920" s="503"/>
    </row>
    <row r="6921" spans="23:23">
      <c r="W6921" s="503"/>
    </row>
    <row r="6922" spans="23:23">
      <c r="W6922" s="503"/>
    </row>
    <row r="6923" spans="23:23">
      <c r="W6923" s="503"/>
    </row>
    <row r="6924" spans="23:23">
      <c r="W6924" s="503"/>
    </row>
    <row r="6925" spans="23:23">
      <c r="W6925" s="503"/>
    </row>
    <row r="6926" spans="23:23">
      <c r="W6926" s="503"/>
    </row>
    <row r="6927" spans="23:23">
      <c r="W6927" s="503"/>
    </row>
    <row r="6928" spans="23:23">
      <c r="W6928" s="503"/>
    </row>
    <row r="6929" spans="23:23">
      <c r="W6929" s="503"/>
    </row>
    <row r="6930" spans="23:23">
      <c r="W6930" s="503"/>
    </row>
    <row r="6931" spans="23:23">
      <c r="W6931" s="503"/>
    </row>
    <row r="6932" spans="23:23">
      <c r="W6932" s="503"/>
    </row>
    <row r="6933" spans="23:23">
      <c r="W6933" s="503"/>
    </row>
    <row r="6934" spans="23:23">
      <c r="W6934" s="503"/>
    </row>
    <row r="6935" spans="23:23">
      <c r="W6935" s="503"/>
    </row>
    <row r="6936" spans="23:23">
      <c r="W6936" s="503"/>
    </row>
    <row r="6937" spans="23:23">
      <c r="W6937" s="503"/>
    </row>
    <row r="6938" spans="23:23">
      <c r="W6938" s="503"/>
    </row>
    <row r="6939" spans="23:23">
      <c r="W6939" s="503"/>
    </row>
    <row r="6940" spans="23:23">
      <c r="W6940" s="503"/>
    </row>
    <row r="6941" spans="23:23">
      <c r="W6941" s="503"/>
    </row>
    <row r="6942" spans="23:23">
      <c r="W6942" s="503"/>
    </row>
    <row r="6943" spans="23:23">
      <c r="W6943" s="503"/>
    </row>
    <row r="6944" spans="23:23">
      <c r="W6944" s="503"/>
    </row>
    <row r="6945" spans="23:23">
      <c r="W6945" s="503"/>
    </row>
    <row r="6946" spans="23:23">
      <c r="W6946" s="503"/>
    </row>
    <row r="6947" spans="23:23">
      <c r="W6947" s="503"/>
    </row>
    <row r="6948" spans="23:23">
      <c r="W6948" s="503"/>
    </row>
    <row r="6949" spans="23:23">
      <c r="W6949" s="503"/>
    </row>
    <row r="6950" spans="23:23">
      <c r="W6950" s="503"/>
    </row>
    <row r="6951" spans="23:23">
      <c r="W6951" s="503"/>
    </row>
    <row r="6952" spans="23:23">
      <c r="W6952" s="503"/>
    </row>
    <row r="6953" spans="23:23">
      <c r="W6953" s="503"/>
    </row>
    <row r="6954" spans="23:23">
      <c r="W6954" s="503"/>
    </row>
    <row r="6955" spans="23:23">
      <c r="W6955" s="503"/>
    </row>
    <row r="6956" spans="23:23">
      <c r="W6956" s="503"/>
    </row>
    <row r="6957" spans="23:23">
      <c r="W6957" s="503"/>
    </row>
    <row r="6958" spans="23:23">
      <c r="W6958" s="503"/>
    </row>
    <row r="6959" spans="23:23">
      <c r="W6959" s="503"/>
    </row>
    <row r="6960" spans="23:23">
      <c r="W6960" s="503"/>
    </row>
    <row r="6961" spans="23:23">
      <c r="W6961" s="503"/>
    </row>
    <row r="6962" spans="23:23">
      <c r="W6962" s="503"/>
    </row>
    <row r="6963" spans="23:23">
      <c r="W6963" s="503"/>
    </row>
    <row r="6964" spans="23:23">
      <c r="W6964" s="503"/>
    </row>
    <row r="6965" spans="23:23">
      <c r="W6965" s="503"/>
    </row>
    <row r="6966" spans="23:23">
      <c r="W6966" s="503"/>
    </row>
    <row r="6967" spans="23:23">
      <c r="W6967" s="503"/>
    </row>
    <row r="6968" spans="23:23">
      <c r="W6968" s="503"/>
    </row>
    <row r="6969" spans="23:23">
      <c r="W6969" s="503"/>
    </row>
    <row r="6970" spans="23:23">
      <c r="W6970" s="503"/>
    </row>
    <row r="6971" spans="23:23">
      <c r="W6971" s="503"/>
    </row>
    <row r="6972" spans="23:23">
      <c r="W6972" s="503"/>
    </row>
    <row r="6973" spans="23:23">
      <c r="W6973" s="503"/>
    </row>
    <row r="6974" spans="23:23">
      <c r="W6974" s="503"/>
    </row>
    <row r="6975" spans="23:23">
      <c r="W6975" s="503"/>
    </row>
    <row r="6976" spans="23:23">
      <c r="W6976" s="503"/>
    </row>
    <row r="6977" spans="23:23">
      <c r="W6977" s="503"/>
    </row>
    <row r="6978" spans="23:23">
      <c r="W6978" s="503"/>
    </row>
    <row r="6979" spans="23:23">
      <c r="W6979" s="503"/>
    </row>
    <row r="6980" spans="23:23">
      <c r="W6980" s="503"/>
    </row>
    <row r="6981" spans="23:23">
      <c r="W6981" s="503"/>
    </row>
    <row r="6982" spans="23:23">
      <c r="W6982" s="503"/>
    </row>
    <row r="6983" spans="23:23">
      <c r="W6983" s="503"/>
    </row>
    <row r="6984" spans="23:23">
      <c r="W6984" s="503"/>
    </row>
    <row r="6985" spans="23:23">
      <c r="W6985" s="503"/>
    </row>
    <row r="6986" spans="23:23">
      <c r="W6986" s="503"/>
    </row>
    <row r="6987" spans="23:23">
      <c r="W6987" s="503"/>
    </row>
    <row r="6988" spans="23:23">
      <c r="W6988" s="503"/>
    </row>
    <row r="6989" spans="23:23">
      <c r="W6989" s="503"/>
    </row>
    <row r="6990" spans="23:23">
      <c r="W6990" s="503"/>
    </row>
    <row r="6991" spans="23:23">
      <c r="W6991" s="503"/>
    </row>
    <row r="6992" spans="23:23">
      <c r="W6992" s="503"/>
    </row>
    <row r="6993" spans="23:23">
      <c r="W6993" s="503"/>
    </row>
    <row r="6994" spans="23:23">
      <c r="W6994" s="503"/>
    </row>
    <row r="6995" spans="23:23">
      <c r="W6995" s="503"/>
    </row>
    <row r="6996" spans="23:23">
      <c r="W6996" s="503"/>
    </row>
    <row r="6997" spans="23:23">
      <c r="W6997" s="503"/>
    </row>
    <row r="6998" spans="23:23">
      <c r="W6998" s="503"/>
    </row>
    <row r="6999" spans="23:23">
      <c r="W6999" s="503"/>
    </row>
    <row r="7000" spans="23:23">
      <c r="W7000" s="503"/>
    </row>
    <row r="7001" spans="23:23">
      <c r="W7001" s="503"/>
    </row>
    <row r="7002" spans="23:23">
      <c r="W7002" s="503"/>
    </row>
    <row r="7003" spans="23:23">
      <c r="W7003" s="503"/>
    </row>
    <row r="7004" spans="23:23">
      <c r="W7004" s="503"/>
    </row>
    <row r="7005" spans="23:23">
      <c r="W7005" s="503"/>
    </row>
    <row r="7006" spans="23:23">
      <c r="W7006" s="503"/>
    </row>
    <row r="7007" spans="23:23">
      <c r="W7007" s="503"/>
    </row>
    <row r="7008" spans="23:23">
      <c r="W7008" s="503"/>
    </row>
    <row r="7009" spans="23:23">
      <c r="W7009" s="503"/>
    </row>
    <row r="7010" spans="23:23">
      <c r="W7010" s="503"/>
    </row>
    <row r="7011" spans="23:23">
      <c r="W7011" s="503"/>
    </row>
    <row r="7012" spans="23:23">
      <c r="W7012" s="503"/>
    </row>
    <row r="7013" spans="23:23">
      <c r="W7013" s="503"/>
    </row>
    <row r="7014" spans="23:23">
      <c r="W7014" s="503"/>
    </row>
    <row r="7015" spans="23:23">
      <c r="W7015" s="503"/>
    </row>
    <row r="7016" spans="23:23">
      <c r="W7016" s="503"/>
    </row>
    <row r="7017" spans="23:23">
      <c r="W7017" s="503"/>
    </row>
    <row r="7018" spans="23:23">
      <c r="W7018" s="503"/>
    </row>
    <row r="7019" spans="23:23">
      <c r="W7019" s="503"/>
    </row>
    <row r="7020" spans="23:23">
      <c r="W7020" s="503"/>
    </row>
    <row r="7021" spans="23:23">
      <c r="W7021" s="503"/>
    </row>
    <row r="7022" spans="23:23">
      <c r="W7022" s="503"/>
    </row>
    <row r="7023" spans="23:23">
      <c r="W7023" s="503"/>
    </row>
    <row r="7024" spans="23:23">
      <c r="W7024" s="503"/>
    </row>
    <row r="7025" spans="23:23">
      <c r="W7025" s="503"/>
    </row>
    <row r="7026" spans="23:23">
      <c r="W7026" s="503"/>
    </row>
    <row r="7027" spans="23:23">
      <c r="W7027" s="503"/>
    </row>
    <row r="7028" spans="23:23">
      <c r="W7028" s="503"/>
    </row>
    <row r="7029" spans="23:23">
      <c r="W7029" s="503"/>
    </row>
    <row r="7030" spans="23:23">
      <c r="W7030" s="503"/>
    </row>
    <row r="7031" spans="23:23">
      <c r="W7031" s="503"/>
    </row>
    <row r="7032" spans="23:23">
      <c r="W7032" s="503"/>
    </row>
    <row r="7033" spans="23:23">
      <c r="W7033" s="503"/>
    </row>
    <row r="7034" spans="23:23">
      <c r="W7034" s="503"/>
    </row>
    <row r="7035" spans="23:23">
      <c r="W7035" s="503"/>
    </row>
    <row r="7036" spans="23:23">
      <c r="W7036" s="503"/>
    </row>
    <row r="7037" spans="23:23">
      <c r="W7037" s="503"/>
    </row>
    <row r="7038" spans="23:23">
      <c r="W7038" s="503"/>
    </row>
    <row r="7039" spans="23:23">
      <c r="W7039" s="503"/>
    </row>
    <row r="7040" spans="23:23">
      <c r="W7040" s="503"/>
    </row>
    <row r="7041" spans="23:23">
      <c r="W7041" s="503"/>
    </row>
    <row r="7042" spans="23:23">
      <c r="W7042" s="503"/>
    </row>
    <row r="7043" spans="23:23">
      <c r="W7043" s="503"/>
    </row>
    <row r="7044" spans="23:23">
      <c r="W7044" s="503"/>
    </row>
    <row r="7045" spans="23:23">
      <c r="W7045" s="503"/>
    </row>
    <row r="7046" spans="23:23">
      <c r="W7046" s="503"/>
    </row>
    <row r="7047" spans="23:23">
      <c r="W7047" s="503"/>
    </row>
    <row r="7048" spans="23:23">
      <c r="W7048" s="503"/>
    </row>
    <row r="7049" spans="23:23">
      <c r="W7049" s="503"/>
    </row>
    <row r="7050" spans="23:23">
      <c r="W7050" s="503"/>
    </row>
    <row r="7051" spans="23:23">
      <c r="W7051" s="503"/>
    </row>
    <row r="7052" spans="23:23">
      <c r="W7052" s="503"/>
    </row>
    <row r="7053" spans="23:23">
      <c r="W7053" s="503"/>
    </row>
    <row r="7054" spans="23:23">
      <c r="W7054" s="503"/>
    </row>
    <row r="7055" spans="23:23">
      <c r="W7055" s="503"/>
    </row>
    <row r="7056" spans="23:23">
      <c r="W7056" s="503"/>
    </row>
    <row r="7057" spans="23:23">
      <c r="W7057" s="503"/>
    </row>
    <row r="7058" spans="23:23">
      <c r="W7058" s="503"/>
    </row>
    <row r="7059" spans="23:23">
      <c r="W7059" s="503"/>
    </row>
    <row r="7060" spans="23:23">
      <c r="W7060" s="503"/>
    </row>
    <row r="7061" spans="23:23">
      <c r="W7061" s="503"/>
    </row>
    <row r="7062" spans="23:23">
      <c r="W7062" s="503"/>
    </row>
    <row r="7063" spans="23:23">
      <c r="W7063" s="503"/>
    </row>
    <row r="7064" spans="23:23">
      <c r="W7064" s="503"/>
    </row>
    <row r="7065" spans="23:23">
      <c r="W7065" s="503"/>
    </row>
    <row r="7066" spans="23:23">
      <c r="W7066" s="503"/>
    </row>
    <row r="7067" spans="23:23">
      <c r="W7067" s="503"/>
    </row>
    <row r="7068" spans="23:23">
      <c r="W7068" s="503"/>
    </row>
    <row r="7069" spans="23:23">
      <c r="W7069" s="503"/>
    </row>
    <row r="7070" spans="23:23">
      <c r="W7070" s="503"/>
    </row>
    <row r="7071" spans="23:23">
      <c r="W7071" s="503"/>
    </row>
    <row r="7072" spans="23:23">
      <c r="W7072" s="503"/>
    </row>
    <row r="7073" spans="23:23">
      <c r="W7073" s="503"/>
    </row>
    <row r="7074" spans="23:23">
      <c r="W7074" s="503"/>
    </row>
    <row r="7075" spans="23:23">
      <c r="W7075" s="503"/>
    </row>
    <row r="7076" spans="23:23">
      <c r="W7076" s="503"/>
    </row>
    <row r="7077" spans="23:23">
      <c r="W7077" s="503"/>
    </row>
    <row r="7078" spans="23:23">
      <c r="W7078" s="503"/>
    </row>
    <row r="7079" spans="23:23">
      <c r="W7079" s="503"/>
    </row>
    <row r="7080" spans="23:23">
      <c r="W7080" s="503"/>
    </row>
    <row r="7081" spans="23:23">
      <c r="W7081" s="503"/>
    </row>
    <row r="7082" spans="23:23">
      <c r="W7082" s="503"/>
    </row>
    <row r="7083" spans="23:23">
      <c r="W7083" s="503"/>
    </row>
    <row r="7084" spans="23:23">
      <c r="W7084" s="503"/>
    </row>
    <row r="7085" spans="23:23">
      <c r="W7085" s="503"/>
    </row>
    <row r="7086" spans="23:23">
      <c r="W7086" s="503"/>
    </row>
    <row r="7087" spans="23:23">
      <c r="W7087" s="503"/>
    </row>
    <row r="7088" spans="23:23">
      <c r="W7088" s="503"/>
    </row>
    <row r="7089" spans="23:23">
      <c r="W7089" s="503"/>
    </row>
    <row r="7090" spans="23:23">
      <c r="W7090" s="503"/>
    </row>
    <row r="7091" spans="23:23">
      <c r="W7091" s="503"/>
    </row>
    <row r="7092" spans="23:23">
      <c r="W7092" s="503"/>
    </row>
    <row r="7093" spans="23:23">
      <c r="W7093" s="503"/>
    </row>
    <row r="7094" spans="23:23">
      <c r="W7094" s="503"/>
    </row>
    <row r="7095" spans="23:23">
      <c r="W7095" s="503"/>
    </row>
    <row r="7096" spans="23:23">
      <c r="W7096" s="503"/>
    </row>
    <row r="7097" spans="23:23">
      <c r="W7097" s="503"/>
    </row>
    <row r="7098" spans="23:23">
      <c r="W7098" s="503"/>
    </row>
    <row r="7099" spans="23:23">
      <c r="W7099" s="503"/>
    </row>
    <row r="7100" spans="23:23">
      <c r="W7100" s="503"/>
    </row>
    <row r="7101" spans="23:23">
      <c r="W7101" s="503"/>
    </row>
    <row r="7102" spans="23:23">
      <c r="W7102" s="503"/>
    </row>
    <row r="7103" spans="23:23">
      <c r="W7103" s="503"/>
    </row>
    <row r="7104" spans="23:23">
      <c r="W7104" s="503"/>
    </row>
    <row r="7105" spans="23:23">
      <c r="W7105" s="503"/>
    </row>
    <row r="7106" spans="23:23">
      <c r="W7106" s="503"/>
    </row>
    <row r="7107" spans="23:23">
      <c r="W7107" s="503"/>
    </row>
    <row r="7108" spans="23:23">
      <c r="W7108" s="503"/>
    </row>
    <row r="7109" spans="23:23">
      <c r="W7109" s="503"/>
    </row>
    <row r="7110" spans="23:23">
      <c r="W7110" s="503"/>
    </row>
    <row r="7111" spans="23:23">
      <c r="W7111" s="503"/>
    </row>
    <row r="7112" spans="23:23">
      <c r="W7112" s="503"/>
    </row>
    <row r="7113" spans="23:23">
      <c r="W7113" s="503"/>
    </row>
    <row r="7114" spans="23:23">
      <c r="W7114" s="503"/>
    </row>
    <row r="7115" spans="23:23">
      <c r="W7115" s="503"/>
    </row>
    <row r="7116" spans="23:23">
      <c r="W7116" s="503"/>
    </row>
    <row r="7117" spans="23:23">
      <c r="W7117" s="503"/>
    </row>
    <row r="7118" spans="23:23">
      <c r="W7118" s="503"/>
    </row>
    <row r="7119" spans="23:23">
      <c r="W7119" s="503"/>
    </row>
    <row r="7120" spans="23:23">
      <c r="W7120" s="503"/>
    </row>
    <row r="7121" spans="23:23">
      <c r="W7121" s="503"/>
    </row>
    <row r="7122" spans="23:23">
      <c r="W7122" s="503"/>
    </row>
    <row r="7123" spans="23:23">
      <c r="W7123" s="503"/>
    </row>
    <row r="7124" spans="23:23">
      <c r="W7124" s="503"/>
    </row>
    <row r="7125" spans="23:23">
      <c r="W7125" s="503"/>
    </row>
    <row r="7126" spans="23:23">
      <c r="W7126" s="503"/>
    </row>
    <row r="7127" spans="23:23">
      <c r="W7127" s="503"/>
    </row>
    <row r="7128" spans="23:23">
      <c r="W7128" s="503"/>
    </row>
    <row r="7129" spans="23:23">
      <c r="W7129" s="503"/>
    </row>
    <row r="7130" spans="23:23">
      <c r="W7130" s="503"/>
    </row>
    <row r="7131" spans="23:23">
      <c r="W7131" s="503"/>
    </row>
    <row r="7132" spans="23:23">
      <c r="W7132" s="503"/>
    </row>
    <row r="7133" spans="23:23">
      <c r="W7133" s="503"/>
    </row>
    <row r="7134" spans="23:23">
      <c r="W7134" s="503"/>
    </row>
    <row r="7135" spans="23:23">
      <c r="W7135" s="503"/>
    </row>
    <row r="7136" spans="23:23">
      <c r="W7136" s="503"/>
    </row>
    <row r="7137" spans="23:23">
      <c r="W7137" s="503"/>
    </row>
    <row r="7138" spans="23:23">
      <c r="W7138" s="503"/>
    </row>
    <row r="7139" spans="23:23">
      <c r="W7139" s="503"/>
    </row>
    <row r="7140" spans="23:23">
      <c r="W7140" s="503"/>
    </row>
    <row r="7141" spans="23:23">
      <c r="W7141" s="503"/>
    </row>
    <row r="7142" spans="23:23">
      <c r="W7142" s="503"/>
    </row>
    <row r="7143" spans="23:23">
      <c r="W7143" s="503"/>
    </row>
    <row r="7144" spans="23:23">
      <c r="W7144" s="503"/>
    </row>
    <row r="7145" spans="23:23">
      <c r="W7145" s="503"/>
    </row>
    <row r="7146" spans="23:23">
      <c r="W7146" s="503"/>
    </row>
    <row r="7147" spans="23:23">
      <c r="W7147" s="503"/>
    </row>
    <row r="7148" spans="23:23">
      <c r="W7148" s="503"/>
    </row>
    <row r="7149" spans="23:23">
      <c r="W7149" s="503"/>
    </row>
    <row r="7150" spans="23:23">
      <c r="W7150" s="503"/>
    </row>
    <row r="7151" spans="23:23">
      <c r="W7151" s="503"/>
    </row>
    <row r="7152" spans="23:23">
      <c r="W7152" s="503"/>
    </row>
    <row r="7153" spans="23:23">
      <c r="W7153" s="503"/>
    </row>
    <row r="7154" spans="23:23">
      <c r="W7154" s="503"/>
    </row>
    <row r="7155" spans="23:23">
      <c r="W7155" s="503"/>
    </row>
    <row r="7156" spans="23:23">
      <c r="W7156" s="503"/>
    </row>
    <row r="7157" spans="23:23">
      <c r="W7157" s="503"/>
    </row>
    <row r="7158" spans="23:23">
      <c r="W7158" s="503"/>
    </row>
    <row r="7159" spans="23:23">
      <c r="W7159" s="503"/>
    </row>
    <row r="7160" spans="23:23">
      <c r="W7160" s="503"/>
    </row>
    <row r="7161" spans="23:23">
      <c r="W7161" s="503"/>
    </row>
    <row r="7162" spans="23:23">
      <c r="W7162" s="503"/>
    </row>
    <row r="7163" spans="23:23">
      <c r="W7163" s="503"/>
    </row>
    <row r="7164" spans="23:23">
      <c r="W7164" s="503"/>
    </row>
    <row r="7165" spans="23:23">
      <c r="W7165" s="503"/>
    </row>
    <row r="7166" spans="23:23">
      <c r="W7166" s="503"/>
    </row>
    <row r="7167" spans="23:23">
      <c r="W7167" s="503"/>
    </row>
    <row r="7168" spans="23:23">
      <c r="W7168" s="503"/>
    </row>
    <row r="7169" spans="23:23">
      <c r="W7169" s="503"/>
    </row>
    <row r="7170" spans="23:23">
      <c r="W7170" s="503"/>
    </row>
    <row r="7171" spans="23:23">
      <c r="W7171" s="503"/>
    </row>
    <row r="7172" spans="23:23">
      <c r="W7172" s="503"/>
    </row>
    <row r="7173" spans="23:23">
      <c r="W7173" s="503"/>
    </row>
    <row r="7174" spans="23:23">
      <c r="W7174" s="503"/>
    </row>
    <row r="7175" spans="23:23">
      <c r="W7175" s="503"/>
    </row>
    <row r="7176" spans="23:23">
      <c r="W7176" s="503"/>
    </row>
    <row r="7177" spans="23:23">
      <c r="W7177" s="503"/>
    </row>
    <row r="7178" spans="23:23">
      <c r="W7178" s="503"/>
    </row>
    <row r="7179" spans="23:23">
      <c r="W7179" s="503"/>
    </row>
    <row r="7180" spans="23:23">
      <c r="W7180" s="503"/>
    </row>
    <row r="7181" spans="23:23">
      <c r="W7181" s="503"/>
    </row>
    <row r="7182" spans="23:23">
      <c r="W7182" s="503"/>
    </row>
    <row r="7183" spans="23:23">
      <c r="W7183" s="503"/>
    </row>
    <row r="7184" spans="23:23">
      <c r="W7184" s="503"/>
    </row>
    <row r="7185" spans="23:23">
      <c r="W7185" s="503"/>
    </row>
    <row r="7186" spans="23:23">
      <c r="W7186" s="503"/>
    </row>
    <row r="7187" spans="23:23">
      <c r="W7187" s="503"/>
    </row>
    <row r="7188" spans="23:23">
      <c r="W7188" s="503"/>
    </row>
    <row r="7189" spans="23:23">
      <c r="W7189" s="503"/>
    </row>
    <row r="7190" spans="23:23">
      <c r="W7190" s="503"/>
    </row>
    <row r="7191" spans="23:23">
      <c r="W7191" s="503"/>
    </row>
    <row r="7192" spans="23:23">
      <c r="W7192" s="503"/>
    </row>
    <row r="7193" spans="23:23">
      <c r="W7193" s="503"/>
    </row>
    <row r="7194" spans="23:23">
      <c r="W7194" s="503"/>
    </row>
    <row r="7195" spans="23:23">
      <c r="W7195" s="503"/>
    </row>
    <row r="7196" spans="23:23">
      <c r="W7196" s="503"/>
    </row>
    <row r="7197" spans="23:23">
      <c r="W7197" s="503"/>
    </row>
    <row r="7198" spans="23:23">
      <c r="W7198" s="503"/>
    </row>
    <row r="7199" spans="23:23">
      <c r="W7199" s="503"/>
    </row>
    <row r="7200" spans="23:23">
      <c r="W7200" s="503"/>
    </row>
    <row r="7201" spans="23:23">
      <c r="W7201" s="503"/>
    </row>
    <row r="7202" spans="23:23">
      <c r="W7202" s="503"/>
    </row>
    <row r="7203" spans="23:23">
      <c r="W7203" s="503"/>
    </row>
    <row r="7204" spans="23:23">
      <c r="W7204" s="503"/>
    </row>
    <row r="7205" spans="23:23">
      <c r="W7205" s="503"/>
    </row>
    <row r="7206" spans="23:23">
      <c r="W7206" s="503"/>
    </row>
    <row r="7207" spans="23:23">
      <c r="W7207" s="503"/>
    </row>
    <row r="7208" spans="23:23">
      <c r="W7208" s="503"/>
    </row>
    <row r="7209" spans="23:23">
      <c r="W7209" s="503"/>
    </row>
    <row r="7210" spans="23:23">
      <c r="W7210" s="503"/>
    </row>
    <row r="7211" spans="23:23">
      <c r="W7211" s="503"/>
    </row>
    <row r="7212" spans="23:23">
      <c r="W7212" s="503"/>
    </row>
    <row r="7213" spans="23:23">
      <c r="W7213" s="503"/>
    </row>
    <row r="7214" spans="23:23">
      <c r="W7214" s="503"/>
    </row>
    <row r="7215" spans="23:23">
      <c r="W7215" s="503"/>
    </row>
    <row r="7216" spans="23:23">
      <c r="W7216" s="503"/>
    </row>
    <row r="7217" spans="23:23">
      <c r="W7217" s="503"/>
    </row>
    <row r="7218" spans="23:23">
      <c r="W7218" s="503"/>
    </row>
    <row r="7219" spans="23:23">
      <c r="W7219" s="503"/>
    </row>
    <row r="7220" spans="23:23">
      <c r="W7220" s="503"/>
    </row>
    <row r="7221" spans="23:23">
      <c r="W7221" s="503"/>
    </row>
    <row r="7222" spans="23:23">
      <c r="W7222" s="503"/>
    </row>
    <row r="7223" spans="23:23">
      <c r="W7223" s="503"/>
    </row>
    <row r="7224" spans="23:23">
      <c r="W7224" s="503"/>
    </row>
    <row r="7225" spans="23:23">
      <c r="W7225" s="503"/>
    </row>
    <row r="7226" spans="23:23">
      <c r="W7226" s="503"/>
    </row>
    <row r="7227" spans="23:23">
      <c r="W7227" s="503"/>
    </row>
    <row r="7228" spans="23:23">
      <c r="W7228" s="503"/>
    </row>
    <row r="7229" spans="23:23">
      <c r="W7229" s="503"/>
    </row>
    <row r="7230" spans="23:23">
      <c r="W7230" s="503"/>
    </row>
    <row r="7231" spans="23:23">
      <c r="W7231" s="503"/>
    </row>
    <row r="7232" spans="23:23">
      <c r="W7232" s="503"/>
    </row>
    <row r="7233" spans="23:23">
      <c r="W7233" s="503"/>
    </row>
    <row r="7234" spans="23:23">
      <c r="W7234" s="503"/>
    </row>
    <row r="7235" spans="23:23">
      <c r="W7235" s="503"/>
    </row>
    <row r="7236" spans="23:23">
      <c r="W7236" s="503"/>
    </row>
    <row r="7237" spans="23:23">
      <c r="W7237" s="503"/>
    </row>
    <row r="7238" spans="23:23">
      <c r="W7238" s="503"/>
    </row>
    <row r="7239" spans="23:23">
      <c r="W7239" s="503"/>
    </row>
    <row r="7240" spans="23:23">
      <c r="W7240" s="503"/>
    </row>
    <row r="7241" spans="23:23">
      <c r="W7241" s="503"/>
    </row>
    <row r="7242" spans="23:23">
      <c r="W7242" s="503"/>
    </row>
    <row r="7243" spans="23:23">
      <c r="W7243" s="503"/>
    </row>
    <row r="7244" spans="23:23">
      <c r="W7244" s="503"/>
    </row>
    <row r="7245" spans="23:23">
      <c r="W7245" s="503"/>
    </row>
    <row r="7246" spans="23:23">
      <c r="W7246" s="503"/>
    </row>
    <row r="7247" spans="23:23">
      <c r="W7247" s="503"/>
    </row>
    <row r="7248" spans="23:23">
      <c r="W7248" s="503"/>
    </row>
    <row r="7249" spans="23:23">
      <c r="W7249" s="503"/>
    </row>
    <row r="7250" spans="23:23">
      <c r="W7250" s="503"/>
    </row>
    <row r="7251" spans="23:23">
      <c r="W7251" s="503"/>
    </row>
    <row r="7252" spans="23:23">
      <c r="W7252" s="503"/>
    </row>
    <row r="7253" spans="23:23">
      <c r="W7253" s="503"/>
    </row>
    <row r="7254" spans="23:23">
      <c r="W7254" s="503"/>
    </row>
    <row r="7255" spans="23:23">
      <c r="W7255" s="503"/>
    </row>
    <row r="7256" spans="23:23">
      <c r="W7256" s="503"/>
    </row>
    <row r="7257" spans="23:23">
      <c r="W7257" s="503"/>
    </row>
    <row r="7258" spans="23:23">
      <c r="W7258" s="503"/>
    </row>
    <row r="7259" spans="23:23">
      <c r="W7259" s="503"/>
    </row>
    <row r="7260" spans="23:23">
      <c r="W7260" s="503"/>
    </row>
    <row r="7261" spans="23:23">
      <c r="W7261" s="503"/>
    </row>
    <row r="7262" spans="23:23">
      <c r="W7262" s="503"/>
    </row>
    <row r="7263" spans="23:23">
      <c r="W7263" s="503"/>
    </row>
    <row r="7264" spans="23:23">
      <c r="W7264" s="503"/>
    </row>
    <row r="7265" spans="23:23">
      <c r="W7265" s="503"/>
    </row>
    <row r="7266" spans="23:23">
      <c r="W7266" s="503"/>
    </row>
    <row r="7267" spans="23:23">
      <c r="W7267" s="503"/>
    </row>
    <row r="7268" spans="23:23">
      <c r="W7268" s="503"/>
    </row>
    <row r="7269" spans="23:23">
      <c r="W7269" s="503"/>
    </row>
    <row r="7270" spans="23:23">
      <c r="W7270" s="503"/>
    </row>
    <row r="7271" spans="23:23">
      <c r="W7271" s="503"/>
    </row>
    <row r="7272" spans="23:23">
      <c r="W7272" s="503"/>
    </row>
    <row r="7273" spans="23:23">
      <c r="W7273" s="503"/>
    </row>
    <row r="7274" spans="23:23">
      <c r="W7274" s="503"/>
    </row>
    <row r="7275" spans="23:23">
      <c r="W7275" s="503"/>
    </row>
    <row r="7276" spans="23:23">
      <c r="W7276" s="503"/>
    </row>
    <row r="7277" spans="23:23">
      <c r="W7277" s="503"/>
    </row>
    <row r="7278" spans="23:23">
      <c r="W7278" s="503"/>
    </row>
    <row r="7279" spans="23:23">
      <c r="W7279" s="503"/>
    </row>
    <row r="7280" spans="23:23">
      <c r="W7280" s="503"/>
    </row>
    <row r="7281" spans="23:23">
      <c r="W7281" s="503"/>
    </row>
    <row r="7282" spans="23:23">
      <c r="W7282" s="503"/>
    </row>
    <row r="7283" spans="23:23">
      <c r="W7283" s="503"/>
    </row>
    <row r="7284" spans="23:23">
      <c r="W7284" s="503"/>
    </row>
    <row r="7285" spans="23:23">
      <c r="W7285" s="503"/>
    </row>
    <row r="7286" spans="23:23">
      <c r="W7286" s="503"/>
    </row>
    <row r="7287" spans="23:23">
      <c r="W7287" s="503"/>
    </row>
    <row r="7288" spans="23:23">
      <c r="W7288" s="503"/>
    </row>
    <row r="7289" spans="23:23">
      <c r="W7289" s="503"/>
    </row>
    <row r="7290" spans="23:23">
      <c r="W7290" s="503"/>
    </row>
    <row r="7291" spans="23:23">
      <c r="W7291" s="503"/>
    </row>
    <row r="7292" spans="23:23">
      <c r="W7292" s="503"/>
    </row>
    <row r="7293" spans="23:23">
      <c r="W7293" s="503"/>
    </row>
    <row r="7294" spans="23:23">
      <c r="W7294" s="503"/>
    </row>
    <row r="7295" spans="23:23">
      <c r="W7295" s="503"/>
    </row>
    <row r="7296" spans="23:23">
      <c r="W7296" s="503"/>
    </row>
    <row r="7297" spans="23:23">
      <c r="W7297" s="503"/>
    </row>
    <row r="7298" spans="23:23">
      <c r="W7298" s="503"/>
    </row>
    <row r="7299" spans="23:23">
      <c r="W7299" s="503"/>
    </row>
    <row r="7300" spans="23:23">
      <c r="W7300" s="503"/>
    </row>
    <row r="7301" spans="23:23">
      <c r="W7301" s="503"/>
    </row>
    <row r="7302" spans="23:23">
      <c r="W7302" s="503"/>
    </row>
    <row r="7303" spans="23:23">
      <c r="W7303" s="503"/>
    </row>
    <row r="7304" spans="23:23">
      <c r="W7304" s="503"/>
    </row>
    <row r="7305" spans="23:23">
      <c r="W7305" s="503"/>
    </row>
    <row r="7306" spans="23:23">
      <c r="W7306" s="503"/>
    </row>
    <row r="7307" spans="23:23">
      <c r="W7307" s="503"/>
    </row>
    <row r="7308" spans="23:23">
      <c r="W7308" s="503"/>
    </row>
    <row r="7309" spans="23:23">
      <c r="W7309" s="503"/>
    </row>
    <row r="7310" spans="23:23">
      <c r="W7310" s="503"/>
    </row>
    <row r="7311" spans="23:23">
      <c r="W7311" s="503"/>
    </row>
    <row r="7312" spans="23:23">
      <c r="W7312" s="503"/>
    </row>
    <row r="7313" spans="23:23">
      <c r="W7313" s="503"/>
    </row>
    <row r="7314" spans="23:23">
      <c r="W7314" s="503"/>
    </row>
    <row r="7315" spans="23:23">
      <c r="W7315" s="503"/>
    </row>
    <row r="7316" spans="23:23">
      <c r="W7316" s="503"/>
    </row>
    <row r="7317" spans="23:23">
      <c r="W7317" s="503"/>
    </row>
    <row r="7318" spans="23:23">
      <c r="W7318" s="503"/>
    </row>
    <row r="7319" spans="23:23">
      <c r="W7319" s="503"/>
    </row>
    <row r="7320" spans="23:23">
      <c r="W7320" s="503"/>
    </row>
    <row r="7321" spans="23:23">
      <c r="W7321" s="503"/>
    </row>
    <row r="7322" spans="23:23">
      <c r="W7322" s="503"/>
    </row>
    <row r="7323" spans="23:23">
      <c r="W7323" s="503"/>
    </row>
    <row r="7324" spans="23:23">
      <c r="W7324" s="503"/>
    </row>
    <row r="7325" spans="23:23">
      <c r="W7325" s="503"/>
    </row>
    <row r="7326" spans="23:23">
      <c r="W7326" s="503"/>
    </row>
    <row r="7327" spans="23:23">
      <c r="W7327" s="503"/>
    </row>
    <row r="7328" spans="23:23">
      <c r="W7328" s="503"/>
    </row>
    <row r="7329" spans="23:23">
      <c r="W7329" s="503"/>
    </row>
    <row r="7330" spans="23:23">
      <c r="W7330" s="503"/>
    </row>
    <row r="7331" spans="23:23">
      <c r="W7331" s="503"/>
    </row>
    <row r="7332" spans="23:23">
      <c r="W7332" s="503"/>
    </row>
    <row r="7333" spans="23:23">
      <c r="W7333" s="503"/>
    </row>
    <row r="7334" spans="23:23">
      <c r="W7334" s="503"/>
    </row>
    <row r="7335" spans="23:23">
      <c r="W7335" s="503"/>
    </row>
    <row r="7336" spans="23:23">
      <c r="W7336" s="503"/>
    </row>
    <row r="7337" spans="23:23">
      <c r="W7337" s="503"/>
    </row>
    <row r="7338" spans="23:23">
      <c r="W7338" s="503"/>
    </row>
    <row r="7339" spans="23:23">
      <c r="W7339" s="503"/>
    </row>
    <row r="7340" spans="23:23">
      <c r="W7340" s="503"/>
    </row>
    <row r="7341" spans="23:23">
      <c r="W7341" s="503"/>
    </row>
    <row r="7342" spans="23:23">
      <c r="W7342" s="503"/>
    </row>
    <row r="7343" spans="23:23">
      <c r="W7343" s="503"/>
    </row>
    <row r="7344" spans="23:23">
      <c r="W7344" s="503"/>
    </row>
    <row r="7345" spans="23:23">
      <c r="W7345" s="503"/>
    </row>
    <row r="7346" spans="23:23">
      <c r="W7346" s="503"/>
    </row>
    <row r="7347" spans="23:23">
      <c r="W7347" s="503"/>
    </row>
    <row r="7348" spans="23:23">
      <c r="W7348" s="503"/>
    </row>
    <row r="7349" spans="23:23">
      <c r="W7349" s="503"/>
    </row>
    <row r="7350" spans="23:23">
      <c r="W7350" s="503"/>
    </row>
    <row r="7351" spans="23:23">
      <c r="W7351" s="503"/>
    </row>
    <row r="7352" spans="23:23">
      <c r="W7352" s="503"/>
    </row>
    <row r="7353" spans="23:23">
      <c r="W7353" s="503"/>
    </row>
    <row r="7354" spans="23:23">
      <c r="W7354" s="503"/>
    </row>
    <row r="7355" spans="23:23">
      <c r="W7355" s="503"/>
    </row>
    <row r="7356" spans="23:23">
      <c r="W7356" s="503"/>
    </row>
    <row r="7357" spans="23:23">
      <c r="W7357" s="503"/>
    </row>
    <row r="7358" spans="23:23">
      <c r="W7358" s="503"/>
    </row>
    <row r="7359" spans="23:23">
      <c r="W7359" s="503"/>
    </row>
    <row r="7360" spans="23:23">
      <c r="W7360" s="503"/>
    </row>
    <row r="7361" spans="23:23">
      <c r="W7361" s="503"/>
    </row>
    <row r="7362" spans="23:23">
      <c r="W7362" s="503"/>
    </row>
    <row r="7363" spans="23:23">
      <c r="W7363" s="503"/>
    </row>
    <row r="7364" spans="23:23">
      <c r="W7364" s="503"/>
    </row>
    <row r="7365" spans="23:23">
      <c r="W7365" s="503"/>
    </row>
    <row r="7366" spans="23:23">
      <c r="W7366" s="503"/>
    </row>
    <row r="7367" spans="23:23">
      <c r="W7367" s="503"/>
    </row>
    <row r="7368" spans="23:23">
      <c r="W7368" s="503"/>
    </row>
    <row r="7369" spans="23:23">
      <c r="W7369" s="503"/>
    </row>
    <row r="7370" spans="23:23">
      <c r="W7370" s="503"/>
    </row>
    <row r="7371" spans="23:23">
      <c r="W7371" s="503"/>
    </row>
    <row r="7372" spans="23:23">
      <c r="W7372" s="503"/>
    </row>
    <row r="7373" spans="23:23">
      <c r="W7373" s="503"/>
    </row>
    <row r="7374" spans="23:23">
      <c r="W7374" s="503"/>
    </row>
    <row r="7375" spans="23:23">
      <c r="W7375" s="503"/>
    </row>
    <row r="7376" spans="23:23">
      <c r="W7376" s="503"/>
    </row>
    <row r="7377" spans="23:23">
      <c r="W7377" s="503"/>
    </row>
    <row r="7378" spans="23:23">
      <c r="W7378" s="503"/>
    </row>
    <row r="7379" spans="23:23">
      <c r="W7379" s="503"/>
    </row>
    <row r="7380" spans="23:23">
      <c r="W7380" s="503"/>
    </row>
    <row r="7381" spans="23:23">
      <c r="W7381" s="503"/>
    </row>
    <row r="7382" spans="23:23">
      <c r="W7382" s="503"/>
    </row>
    <row r="7383" spans="23:23">
      <c r="W7383" s="503"/>
    </row>
    <row r="7384" spans="23:23">
      <c r="W7384" s="503"/>
    </row>
    <row r="7385" spans="23:23">
      <c r="W7385" s="503"/>
    </row>
    <row r="7386" spans="23:23">
      <c r="W7386" s="503"/>
    </row>
    <row r="7387" spans="23:23">
      <c r="W7387" s="503"/>
    </row>
    <row r="7388" spans="23:23">
      <c r="W7388" s="503"/>
    </row>
    <row r="7389" spans="23:23">
      <c r="W7389" s="503"/>
    </row>
    <row r="7390" spans="23:23">
      <c r="W7390" s="503"/>
    </row>
    <row r="7391" spans="23:23">
      <c r="W7391" s="503"/>
    </row>
    <row r="7392" spans="23:23">
      <c r="W7392" s="503"/>
    </row>
    <row r="7393" spans="23:23">
      <c r="W7393" s="503"/>
    </row>
    <row r="7394" spans="23:23">
      <c r="W7394" s="503"/>
    </row>
    <row r="7395" spans="23:23">
      <c r="W7395" s="503"/>
    </row>
    <row r="7396" spans="23:23">
      <c r="W7396" s="503"/>
    </row>
    <row r="7397" spans="23:23">
      <c r="W7397" s="503"/>
    </row>
    <row r="7398" spans="23:23">
      <c r="W7398" s="503"/>
    </row>
    <row r="7399" spans="23:23">
      <c r="W7399" s="503"/>
    </row>
    <row r="7400" spans="23:23">
      <c r="W7400" s="503"/>
    </row>
    <row r="7401" spans="23:23">
      <c r="W7401" s="503"/>
    </row>
    <row r="7402" spans="23:23">
      <c r="W7402" s="503"/>
    </row>
    <row r="7403" spans="23:23">
      <c r="W7403" s="503"/>
    </row>
    <row r="7404" spans="23:23">
      <c r="W7404" s="503"/>
    </row>
    <row r="7405" spans="23:23">
      <c r="W7405" s="503"/>
    </row>
    <row r="7406" spans="23:23">
      <c r="W7406" s="503"/>
    </row>
    <row r="7407" spans="23:23">
      <c r="W7407" s="503"/>
    </row>
    <row r="7408" spans="23:23">
      <c r="W7408" s="503"/>
    </row>
    <row r="7409" spans="23:23">
      <c r="W7409" s="503"/>
    </row>
    <row r="7410" spans="23:23">
      <c r="W7410" s="503"/>
    </row>
    <row r="7411" spans="23:23">
      <c r="W7411" s="503"/>
    </row>
    <row r="7412" spans="23:23">
      <c r="W7412" s="503"/>
    </row>
    <row r="7413" spans="23:23">
      <c r="W7413" s="503"/>
    </row>
    <row r="7414" spans="23:23">
      <c r="W7414" s="503"/>
    </row>
    <row r="7415" spans="23:23">
      <c r="W7415" s="503"/>
    </row>
    <row r="7416" spans="23:23">
      <c r="W7416" s="503"/>
    </row>
    <row r="7417" spans="23:23">
      <c r="W7417" s="503"/>
    </row>
    <row r="7418" spans="23:23">
      <c r="W7418" s="503"/>
    </row>
    <row r="7419" spans="23:23">
      <c r="W7419" s="503"/>
    </row>
    <row r="7420" spans="23:23">
      <c r="W7420" s="503"/>
    </row>
    <row r="7421" spans="23:23">
      <c r="W7421" s="503"/>
    </row>
    <row r="7422" spans="23:23">
      <c r="W7422" s="503"/>
    </row>
    <row r="7423" spans="23:23">
      <c r="W7423" s="503"/>
    </row>
    <row r="7424" spans="23:23">
      <c r="W7424" s="503"/>
    </row>
    <row r="7425" spans="23:23">
      <c r="W7425" s="503"/>
    </row>
    <row r="7426" spans="23:23">
      <c r="W7426" s="503"/>
    </row>
    <row r="7427" spans="23:23">
      <c r="W7427" s="503"/>
    </row>
    <row r="7428" spans="23:23">
      <c r="W7428" s="503"/>
    </row>
    <row r="7429" spans="23:23">
      <c r="W7429" s="503"/>
    </row>
    <row r="7430" spans="23:23">
      <c r="W7430" s="503"/>
    </row>
    <row r="7431" spans="23:23">
      <c r="W7431" s="503"/>
    </row>
    <row r="7432" spans="23:23">
      <c r="W7432" s="503"/>
    </row>
    <row r="7433" spans="23:23">
      <c r="W7433" s="503"/>
    </row>
    <row r="7434" spans="23:23">
      <c r="W7434" s="503"/>
    </row>
    <row r="7435" spans="23:23">
      <c r="W7435" s="503"/>
    </row>
    <row r="7436" spans="23:23">
      <c r="W7436" s="503"/>
    </row>
    <row r="7437" spans="23:23">
      <c r="W7437" s="503"/>
    </row>
    <row r="7438" spans="23:23">
      <c r="W7438" s="503"/>
    </row>
    <row r="7439" spans="23:23">
      <c r="W7439" s="503"/>
    </row>
    <row r="7440" spans="23:23">
      <c r="W7440" s="503"/>
    </row>
    <row r="7441" spans="23:23">
      <c r="W7441" s="503"/>
    </row>
    <row r="7442" spans="23:23">
      <c r="W7442" s="503"/>
    </row>
    <row r="7443" spans="23:23">
      <c r="W7443" s="503"/>
    </row>
    <row r="7444" spans="23:23">
      <c r="W7444" s="503"/>
    </row>
    <row r="7445" spans="23:23">
      <c r="W7445" s="503"/>
    </row>
    <row r="7446" spans="23:23">
      <c r="W7446" s="503"/>
    </row>
    <row r="7447" spans="23:23">
      <c r="W7447" s="503"/>
    </row>
    <row r="7448" spans="23:23">
      <c r="W7448" s="503"/>
    </row>
    <row r="7449" spans="23:23">
      <c r="W7449" s="503"/>
    </row>
    <row r="7450" spans="23:23">
      <c r="W7450" s="503"/>
    </row>
    <row r="7451" spans="23:23">
      <c r="W7451" s="503"/>
    </row>
    <row r="7452" spans="23:23">
      <c r="W7452" s="503"/>
    </row>
    <row r="7453" spans="23:23">
      <c r="W7453" s="503"/>
    </row>
    <row r="7454" spans="23:23">
      <c r="W7454" s="503"/>
    </row>
    <row r="7455" spans="23:23">
      <c r="W7455" s="503"/>
    </row>
    <row r="7456" spans="23:23">
      <c r="W7456" s="503"/>
    </row>
    <row r="7457" spans="23:23">
      <c r="W7457" s="503"/>
    </row>
    <row r="7458" spans="23:23">
      <c r="W7458" s="503"/>
    </row>
    <row r="7459" spans="23:23">
      <c r="W7459" s="503"/>
    </row>
    <row r="7460" spans="23:23">
      <c r="W7460" s="503"/>
    </row>
    <row r="7461" spans="23:23">
      <c r="W7461" s="503"/>
    </row>
    <row r="7462" spans="23:23">
      <c r="W7462" s="503"/>
    </row>
    <row r="7463" spans="23:23">
      <c r="W7463" s="503"/>
    </row>
    <row r="7464" spans="23:23">
      <c r="W7464" s="503"/>
    </row>
    <row r="7465" spans="23:23">
      <c r="W7465" s="503"/>
    </row>
    <row r="7466" spans="23:23">
      <c r="W7466" s="503"/>
    </row>
    <row r="7467" spans="23:23">
      <c r="W7467" s="503"/>
    </row>
    <row r="7468" spans="23:23">
      <c r="W7468" s="503"/>
    </row>
    <row r="7469" spans="23:23">
      <c r="W7469" s="503"/>
    </row>
    <row r="7470" spans="23:23">
      <c r="W7470" s="503"/>
    </row>
    <row r="7471" spans="23:23">
      <c r="W7471" s="503"/>
    </row>
    <row r="7472" spans="23:23">
      <c r="W7472" s="503"/>
    </row>
    <row r="7473" spans="23:23">
      <c r="W7473" s="503"/>
    </row>
    <row r="7474" spans="23:23">
      <c r="W7474" s="503"/>
    </row>
    <row r="7475" spans="23:23">
      <c r="W7475" s="503"/>
    </row>
    <row r="7476" spans="23:23">
      <c r="W7476" s="503"/>
    </row>
    <row r="7477" spans="23:23">
      <c r="W7477" s="503"/>
    </row>
    <row r="7478" spans="23:23">
      <c r="W7478" s="503"/>
    </row>
    <row r="7479" spans="23:23">
      <c r="W7479" s="503"/>
    </row>
    <row r="7480" spans="23:23">
      <c r="W7480" s="503"/>
    </row>
    <row r="7481" spans="23:23">
      <c r="W7481" s="503"/>
    </row>
    <row r="7482" spans="23:23">
      <c r="W7482" s="503"/>
    </row>
    <row r="7483" spans="23:23">
      <c r="W7483" s="503"/>
    </row>
    <row r="7484" spans="23:23">
      <c r="W7484" s="503"/>
    </row>
    <row r="7485" spans="23:23">
      <c r="W7485" s="503"/>
    </row>
    <row r="7486" spans="23:23">
      <c r="W7486" s="503"/>
    </row>
    <row r="7487" spans="23:23">
      <c r="W7487" s="503"/>
    </row>
    <row r="7488" spans="23:23">
      <c r="W7488" s="503"/>
    </row>
    <row r="7489" spans="23:23">
      <c r="W7489" s="503"/>
    </row>
    <row r="7490" spans="23:23">
      <c r="W7490" s="503"/>
    </row>
    <row r="7491" spans="23:23">
      <c r="W7491" s="503"/>
    </row>
    <row r="7492" spans="23:23">
      <c r="W7492" s="503"/>
    </row>
    <row r="7493" spans="23:23">
      <c r="W7493" s="503"/>
    </row>
    <row r="7494" spans="23:23">
      <c r="W7494" s="503"/>
    </row>
    <row r="7495" spans="23:23">
      <c r="W7495" s="503"/>
    </row>
    <row r="7496" spans="23:23">
      <c r="W7496" s="503"/>
    </row>
    <row r="7497" spans="23:23">
      <c r="W7497" s="503"/>
    </row>
    <row r="7498" spans="23:23">
      <c r="W7498" s="503"/>
    </row>
    <row r="7499" spans="23:23">
      <c r="W7499" s="503"/>
    </row>
    <row r="7500" spans="23:23">
      <c r="W7500" s="503"/>
    </row>
    <row r="7501" spans="23:23">
      <c r="W7501" s="503"/>
    </row>
    <row r="7502" spans="23:23">
      <c r="W7502" s="503"/>
    </row>
    <row r="7503" spans="23:23">
      <c r="W7503" s="503"/>
    </row>
    <row r="7504" spans="23:23">
      <c r="W7504" s="503"/>
    </row>
    <row r="7505" spans="23:23">
      <c r="W7505" s="503"/>
    </row>
    <row r="7506" spans="23:23">
      <c r="W7506" s="503"/>
    </row>
    <row r="7507" spans="23:23">
      <c r="W7507" s="503"/>
    </row>
    <row r="7508" spans="23:23">
      <c r="W7508" s="503"/>
    </row>
    <row r="7509" spans="23:23">
      <c r="W7509" s="503"/>
    </row>
    <row r="7510" spans="23:23">
      <c r="W7510" s="503"/>
    </row>
    <row r="7511" spans="23:23">
      <c r="W7511" s="503"/>
    </row>
    <row r="7512" spans="23:23">
      <c r="W7512" s="503"/>
    </row>
    <row r="7513" spans="23:23">
      <c r="W7513" s="503"/>
    </row>
    <row r="7514" spans="23:23">
      <c r="W7514" s="503"/>
    </row>
    <row r="7515" spans="23:23">
      <c r="W7515" s="503"/>
    </row>
    <row r="7516" spans="23:23">
      <c r="W7516" s="503"/>
    </row>
    <row r="7517" spans="23:23">
      <c r="W7517" s="503"/>
    </row>
    <row r="7518" spans="23:23">
      <c r="W7518" s="503"/>
    </row>
    <row r="7519" spans="23:23">
      <c r="W7519" s="503"/>
    </row>
    <row r="7520" spans="23:23">
      <c r="W7520" s="503"/>
    </row>
    <row r="7521" spans="23:23">
      <c r="W7521" s="503"/>
    </row>
    <row r="7522" spans="23:23">
      <c r="W7522" s="503"/>
    </row>
    <row r="7523" spans="23:23">
      <c r="W7523" s="503"/>
    </row>
    <row r="7524" spans="23:23">
      <c r="W7524" s="503"/>
    </row>
    <row r="7525" spans="23:23">
      <c r="W7525" s="503"/>
    </row>
    <row r="7526" spans="23:23">
      <c r="W7526" s="503"/>
    </row>
    <row r="7527" spans="23:23">
      <c r="W7527" s="503"/>
    </row>
    <row r="7528" spans="23:23">
      <c r="W7528" s="503"/>
    </row>
    <row r="7529" spans="23:23">
      <c r="W7529" s="503"/>
    </row>
    <row r="7530" spans="23:23">
      <c r="W7530" s="503"/>
    </row>
    <row r="7531" spans="23:23">
      <c r="W7531" s="503"/>
    </row>
    <row r="7532" spans="23:23">
      <c r="W7532" s="503"/>
    </row>
    <row r="7533" spans="23:23">
      <c r="W7533" s="503"/>
    </row>
    <row r="7534" spans="23:23">
      <c r="W7534" s="503"/>
    </row>
    <row r="7535" spans="23:23">
      <c r="W7535" s="503"/>
    </row>
    <row r="7536" spans="23:23">
      <c r="W7536" s="503"/>
    </row>
    <row r="7537" spans="23:23">
      <c r="W7537" s="503"/>
    </row>
    <row r="7538" spans="23:23">
      <c r="W7538" s="503"/>
    </row>
    <row r="7539" spans="23:23">
      <c r="W7539" s="503"/>
    </row>
    <row r="7540" spans="23:23">
      <c r="W7540" s="503"/>
    </row>
    <row r="7541" spans="23:23">
      <c r="W7541" s="503"/>
    </row>
    <row r="7542" spans="23:23">
      <c r="W7542" s="503"/>
    </row>
    <row r="7543" spans="23:23">
      <c r="W7543" s="503"/>
    </row>
    <row r="7544" spans="23:23">
      <c r="W7544" s="503"/>
    </row>
    <row r="7545" spans="23:23">
      <c r="W7545" s="503"/>
    </row>
    <row r="7546" spans="23:23">
      <c r="W7546" s="503"/>
    </row>
    <row r="7547" spans="23:23">
      <c r="W7547" s="503"/>
    </row>
    <row r="7548" spans="23:23">
      <c r="W7548" s="503"/>
    </row>
    <row r="7549" spans="23:23">
      <c r="W7549" s="503"/>
    </row>
    <row r="7550" spans="23:23">
      <c r="W7550" s="503"/>
    </row>
    <row r="7551" spans="23:23">
      <c r="W7551" s="503"/>
    </row>
    <row r="7552" spans="23:23">
      <c r="W7552" s="503"/>
    </row>
    <row r="7553" spans="23:23">
      <c r="W7553" s="503"/>
    </row>
    <row r="7554" spans="23:23">
      <c r="W7554" s="503"/>
    </row>
    <row r="7555" spans="23:23">
      <c r="W7555" s="503"/>
    </row>
    <row r="7556" spans="23:23">
      <c r="W7556" s="503"/>
    </row>
    <row r="7557" spans="23:23">
      <c r="W7557" s="503"/>
    </row>
    <row r="7558" spans="23:23">
      <c r="W7558" s="503"/>
    </row>
    <row r="7559" spans="23:23">
      <c r="W7559" s="503"/>
    </row>
    <row r="7560" spans="23:23">
      <c r="W7560" s="503"/>
    </row>
    <row r="7561" spans="23:23">
      <c r="W7561" s="503"/>
    </row>
    <row r="7562" spans="23:23">
      <c r="W7562" s="503"/>
    </row>
    <row r="7563" spans="23:23">
      <c r="W7563" s="503"/>
    </row>
    <row r="7564" spans="23:23">
      <c r="W7564" s="503"/>
    </row>
    <row r="7565" spans="23:23">
      <c r="W7565" s="503"/>
    </row>
    <row r="7566" spans="23:23">
      <c r="W7566" s="503"/>
    </row>
    <row r="7567" spans="23:23">
      <c r="W7567" s="503"/>
    </row>
    <row r="7568" spans="23:23">
      <c r="W7568" s="503"/>
    </row>
    <row r="7569" spans="23:23">
      <c r="W7569" s="503"/>
    </row>
    <row r="7570" spans="23:23">
      <c r="W7570" s="503"/>
    </row>
    <row r="7571" spans="23:23">
      <c r="W7571" s="503"/>
    </row>
    <row r="7572" spans="23:23">
      <c r="W7572" s="503"/>
    </row>
    <row r="7573" spans="23:23">
      <c r="W7573" s="503"/>
    </row>
    <row r="7574" spans="23:23">
      <c r="W7574" s="503"/>
    </row>
    <row r="7575" spans="23:23">
      <c r="W7575" s="503"/>
    </row>
    <row r="7576" spans="23:23">
      <c r="W7576" s="503"/>
    </row>
    <row r="7577" spans="23:23">
      <c r="W7577" s="503"/>
    </row>
    <row r="7578" spans="23:23">
      <c r="W7578" s="503"/>
    </row>
    <row r="7579" spans="23:23">
      <c r="W7579" s="503"/>
    </row>
    <row r="7580" spans="23:23">
      <c r="W7580" s="503"/>
    </row>
    <row r="7581" spans="23:23">
      <c r="W7581" s="503"/>
    </row>
    <row r="7582" spans="23:23">
      <c r="W7582" s="503"/>
    </row>
    <row r="7583" spans="23:23">
      <c r="W7583" s="503"/>
    </row>
    <row r="7584" spans="23:23">
      <c r="W7584" s="503"/>
    </row>
    <row r="7585" spans="23:23">
      <c r="W7585" s="503"/>
    </row>
    <row r="7586" spans="23:23">
      <c r="W7586" s="503"/>
    </row>
    <row r="7587" spans="23:23">
      <c r="W7587" s="503"/>
    </row>
    <row r="7588" spans="23:23">
      <c r="W7588" s="503"/>
    </row>
    <row r="7589" spans="23:23">
      <c r="W7589" s="503"/>
    </row>
    <row r="7590" spans="23:23">
      <c r="W7590" s="503"/>
    </row>
    <row r="7591" spans="23:23">
      <c r="W7591" s="503"/>
    </row>
    <row r="7592" spans="23:23">
      <c r="W7592" s="503"/>
    </row>
    <row r="7593" spans="23:23">
      <c r="W7593" s="503"/>
    </row>
    <row r="7594" spans="23:23">
      <c r="W7594" s="503"/>
    </row>
    <row r="7595" spans="23:23">
      <c r="W7595" s="503"/>
    </row>
    <row r="7596" spans="23:23">
      <c r="W7596" s="503"/>
    </row>
    <row r="7597" spans="23:23">
      <c r="W7597" s="503"/>
    </row>
    <row r="7598" spans="23:23">
      <c r="W7598" s="503"/>
    </row>
    <row r="7599" spans="23:23">
      <c r="W7599" s="503"/>
    </row>
    <row r="7600" spans="23:23">
      <c r="W7600" s="503"/>
    </row>
    <row r="7601" spans="23:23">
      <c r="W7601" s="503"/>
    </row>
    <row r="7602" spans="23:23">
      <c r="W7602" s="503"/>
    </row>
    <row r="7603" spans="23:23">
      <c r="W7603" s="503"/>
    </row>
    <row r="7604" spans="23:23">
      <c r="W7604" s="503"/>
    </row>
    <row r="7605" spans="23:23">
      <c r="W7605" s="503"/>
    </row>
    <row r="7606" spans="23:23">
      <c r="W7606" s="503"/>
    </row>
    <row r="7607" spans="23:23">
      <c r="W7607" s="503"/>
    </row>
    <row r="7608" spans="23:23">
      <c r="W7608" s="503"/>
    </row>
    <row r="7609" spans="23:23">
      <c r="W7609" s="503"/>
    </row>
    <row r="7610" spans="23:23">
      <c r="W7610" s="503"/>
    </row>
    <row r="7611" spans="23:23">
      <c r="W7611" s="503"/>
    </row>
    <row r="7612" spans="23:23">
      <c r="W7612" s="503"/>
    </row>
    <row r="7613" spans="23:23">
      <c r="W7613" s="503"/>
    </row>
    <row r="7614" spans="23:23">
      <c r="W7614" s="503"/>
    </row>
    <row r="7615" spans="23:23">
      <c r="W7615" s="503"/>
    </row>
    <row r="7616" spans="23:23">
      <c r="W7616" s="503"/>
    </row>
    <row r="7617" spans="23:23">
      <c r="W7617" s="503"/>
    </row>
    <row r="7618" spans="23:23">
      <c r="W7618" s="503"/>
    </row>
    <row r="7619" spans="23:23">
      <c r="W7619" s="503"/>
    </row>
    <row r="7620" spans="23:23">
      <c r="W7620" s="503"/>
    </row>
    <row r="7621" spans="23:23">
      <c r="W7621" s="503"/>
    </row>
    <row r="7622" spans="23:23">
      <c r="W7622" s="503"/>
    </row>
    <row r="7623" spans="23:23">
      <c r="W7623" s="503"/>
    </row>
    <row r="7624" spans="23:23">
      <c r="W7624" s="503"/>
    </row>
    <row r="7625" spans="23:23">
      <c r="W7625" s="503"/>
    </row>
    <row r="7626" spans="23:23">
      <c r="W7626" s="503"/>
    </row>
    <row r="7627" spans="23:23">
      <c r="W7627" s="503"/>
    </row>
    <row r="7628" spans="23:23">
      <c r="W7628" s="503"/>
    </row>
    <row r="7629" spans="23:23">
      <c r="W7629" s="503"/>
    </row>
    <row r="7630" spans="23:23">
      <c r="W7630" s="503"/>
    </row>
    <row r="7631" spans="23:23">
      <c r="W7631" s="503"/>
    </row>
    <row r="7632" spans="23:23">
      <c r="W7632" s="503"/>
    </row>
    <row r="7633" spans="23:23">
      <c r="W7633" s="503"/>
    </row>
    <row r="7634" spans="23:23">
      <c r="W7634" s="503"/>
    </row>
    <row r="7635" spans="23:23">
      <c r="W7635" s="503"/>
    </row>
    <row r="7636" spans="23:23">
      <c r="W7636" s="503"/>
    </row>
    <row r="7637" spans="23:23">
      <c r="W7637" s="503"/>
    </row>
    <row r="7638" spans="23:23">
      <c r="W7638" s="503"/>
    </row>
    <row r="7639" spans="23:23">
      <c r="W7639" s="503"/>
    </row>
    <row r="7640" spans="23:23">
      <c r="W7640" s="503"/>
    </row>
    <row r="7641" spans="23:23">
      <c r="W7641" s="503"/>
    </row>
    <row r="7642" spans="23:23">
      <c r="W7642" s="503"/>
    </row>
    <row r="7643" spans="23:23">
      <c r="W7643" s="503"/>
    </row>
    <row r="7644" spans="23:23">
      <c r="W7644" s="503"/>
    </row>
    <row r="7645" spans="23:23">
      <c r="W7645" s="503"/>
    </row>
    <row r="7646" spans="23:23">
      <c r="W7646" s="503"/>
    </row>
    <row r="7647" spans="23:23">
      <c r="W7647" s="503"/>
    </row>
    <row r="7648" spans="23:23">
      <c r="W7648" s="503"/>
    </row>
    <row r="7649" spans="23:23">
      <c r="W7649" s="503"/>
    </row>
    <row r="7650" spans="23:23">
      <c r="W7650" s="503"/>
    </row>
    <row r="7651" spans="23:23">
      <c r="W7651" s="503"/>
    </row>
    <row r="7652" spans="23:23">
      <c r="W7652" s="503"/>
    </row>
    <row r="7653" spans="23:23">
      <c r="W7653" s="503"/>
    </row>
    <row r="7654" spans="23:23">
      <c r="W7654" s="503"/>
    </row>
    <row r="7655" spans="23:23">
      <c r="W7655" s="503"/>
    </row>
    <row r="7656" spans="23:23">
      <c r="W7656" s="503"/>
    </row>
    <row r="7657" spans="23:23">
      <c r="W7657" s="503"/>
    </row>
    <row r="7658" spans="23:23">
      <c r="W7658" s="503"/>
    </row>
    <row r="7659" spans="23:23">
      <c r="W7659" s="503"/>
    </row>
    <row r="7660" spans="23:23">
      <c r="W7660" s="503"/>
    </row>
    <row r="7661" spans="23:23">
      <c r="W7661" s="503"/>
    </row>
    <row r="7662" spans="23:23">
      <c r="W7662" s="503"/>
    </row>
    <row r="7663" spans="23:23">
      <c r="W7663" s="503"/>
    </row>
    <row r="7664" spans="23:23">
      <c r="W7664" s="503"/>
    </row>
    <row r="7665" spans="23:23">
      <c r="W7665" s="503"/>
    </row>
    <row r="7666" spans="23:23">
      <c r="W7666" s="503"/>
    </row>
    <row r="7667" spans="23:23">
      <c r="W7667" s="503"/>
    </row>
    <row r="7668" spans="23:23">
      <c r="W7668" s="503"/>
    </row>
    <row r="7669" spans="23:23">
      <c r="W7669" s="503"/>
    </row>
    <row r="7670" spans="23:23">
      <c r="W7670" s="503"/>
    </row>
    <row r="7671" spans="23:23">
      <c r="W7671" s="503"/>
    </row>
    <row r="7672" spans="23:23">
      <c r="W7672" s="503"/>
    </row>
    <row r="7673" spans="23:23">
      <c r="W7673" s="503"/>
    </row>
    <row r="7674" spans="23:23">
      <c r="W7674" s="503"/>
    </row>
    <row r="7675" spans="23:23">
      <c r="W7675" s="503"/>
    </row>
    <row r="7676" spans="23:23">
      <c r="W7676" s="503"/>
    </row>
    <row r="7677" spans="23:23">
      <c r="W7677" s="503"/>
    </row>
    <row r="7678" spans="23:23">
      <c r="W7678" s="503"/>
    </row>
    <row r="7679" spans="23:23">
      <c r="W7679" s="503"/>
    </row>
    <row r="7680" spans="23:23">
      <c r="W7680" s="503"/>
    </row>
    <row r="7681" spans="23:23">
      <c r="W7681" s="503"/>
    </row>
    <row r="7682" spans="23:23">
      <c r="W7682" s="503"/>
    </row>
    <row r="7683" spans="23:23">
      <c r="W7683" s="503"/>
    </row>
    <row r="7684" spans="23:23">
      <c r="W7684" s="503"/>
    </row>
    <row r="7685" spans="23:23">
      <c r="W7685" s="503"/>
    </row>
    <row r="7686" spans="23:23">
      <c r="W7686" s="503"/>
    </row>
    <row r="7687" spans="23:23">
      <c r="W7687" s="503"/>
    </row>
    <row r="7688" spans="23:23">
      <c r="W7688" s="503"/>
    </row>
    <row r="7689" spans="23:23">
      <c r="W7689" s="503"/>
    </row>
    <row r="7690" spans="23:23">
      <c r="W7690" s="503"/>
    </row>
    <row r="7691" spans="23:23">
      <c r="W7691" s="503"/>
    </row>
    <row r="7692" spans="23:23">
      <c r="W7692" s="503"/>
    </row>
    <row r="7693" spans="23:23">
      <c r="W7693" s="503"/>
    </row>
    <row r="7694" spans="23:23">
      <c r="W7694" s="503"/>
    </row>
    <row r="7695" spans="23:23">
      <c r="W7695" s="503"/>
    </row>
    <row r="7696" spans="23:23">
      <c r="W7696" s="503"/>
    </row>
    <row r="7697" spans="23:23">
      <c r="W7697" s="503"/>
    </row>
    <row r="7698" spans="23:23">
      <c r="W7698" s="503"/>
    </row>
    <row r="7699" spans="23:23">
      <c r="W7699" s="503"/>
    </row>
    <row r="7700" spans="23:23">
      <c r="W7700" s="503"/>
    </row>
    <row r="7701" spans="23:23">
      <c r="W7701" s="503"/>
    </row>
    <row r="7702" spans="23:23">
      <c r="W7702" s="503"/>
    </row>
    <row r="7703" spans="23:23">
      <c r="W7703" s="503"/>
    </row>
    <row r="7704" spans="23:23">
      <c r="W7704" s="503"/>
    </row>
    <row r="7705" spans="23:23">
      <c r="W7705" s="503"/>
    </row>
    <row r="7706" spans="23:23">
      <c r="W7706" s="503"/>
    </row>
    <row r="7707" spans="23:23">
      <c r="W7707" s="503"/>
    </row>
    <row r="7708" spans="23:23">
      <c r="W7708" s="503"/>
    </row>
    <row r="7709" spans="23:23">
      <c r="W7709" s="503"/>
    </row>
    <row r="7710" spans="23:23">
      <c r="W7710" s="503"/>
    </row>
    <row r="7711" spans="23:23">
      <c r="W7711" s="503"/>
    </row>
    <row r="7712" spans="23:23">
      <c r="W7712" s="503"/>
    </row>
    <row r="7713" spans="23:23">
      <c r="W7713" s="503"/>
    </row>
    <row r="7714" spans="23:23">
      <c r="W7714" s="503"/>
    </row>
    <row r="7715" spans="23:23">
      <c r="W7715" s="503"/>
    </row>
    <row r="7716" spans="23:23">
      <c r="W7716" s="503"/>
    </row>
    <row r="7717" spans="23:23">
      <c r="W7717" s="503"/>
    </row>
    <row r="7718" spans="23:23">
      <c r="W7718" s="503"/>
    </row>
    <row r="7719" spans="23:23">
      <c r="W7719" s="503"/>
    </row>
    <row r="7720" spans="23:23">
      <c r="W7720" s="503"/>
    </row>
    <row r="7721" spans="23:23">
      <c r="W7721" s="503"/>
    </row>
    <row r="7722" spans="23:23">
      <c r="W7722" s="503"/>
    </row>
    <row r="7723" spans="23:23">
      <c r="W7723" s="503"/>
    </row>
    <row r="7724" spans="23:23">
      <c r="W7724" s="503"/>
    </row>
    <row r="7725" spans="23:23">
      <c r="W7725" s="503"/>
    </row>
    <row r="7726" spans="23:23">
      <c r="W7726" s="503"/>
    </row>
    <row r="7727" spans="23:23">
      <c r="W7727" s="503"/>
    </row>
    <row r="7728" spans="23:23">
      <c r="W7728" s="503"/>
    </row>
    <row r="7729" spans="23:23">
      <c r="W7729" s="503"/>
    </row>
    <row r="7730" spans="23:23">
      <c r="W7730" s="503"/>
    </row>
    <row r="7731" spans="23:23">
      <c r="W7731" s="503"/>
    </row>
    <row r="7732" spans="23:23">
      <c r="W7732" s="503"/>
    </row>
    <row r="7733" spans="23:23">
      <c r="W7733" s="503"/>
    </row>
    <row r="7734" spans="23:23">
      <c r="W7734" s="503"/>
    </row>
    <row r="7735" spans="23:23">
      <c r="W7735" s="503"/>
    </row>
    <row r="7736" spans="23:23">
      <c r="W7736" s="503"/>
    </row>
    <row r="7737" spans="23:23">
      <c r="W7737" s="503"/>
    </row>
    <row r="7738" spans="23:23">
      <c r="W7738" s="503"/>
    </row>
    <row r="7739" spans="23:23">
      <c r="W7739" s="503"/>
    </row>
    <row r="7740" spans="23:23">
      <c r="W7740" s="503"/>
    </row>
    <row r="7741" spans="23:23">
      <c r="W7741" s="503"/>
    </row>
    <row r="7742" spans="23:23">
      <c r="W7742" s="503"/>
    </row>
    <row r="7743" spans="23:23">
      <c r="W7743" s="503"/>
    </row>
    <row r="7744" spans="23:23">
      <c r="W7744" s="503"/>
    </row>
    <row r="7745" spans="23:23">
      <c r="W7745" s="503"/>
    </row>
    <row r="7746" spans="23:23">
      <c r="W7746" s="503"/>
    </row>
    <row r="7747" spans="23:23">
      <c r="W7747" s="503"/>
    </row>
    <row r="7748" spans="23:23">
      <c r="W7748" s="503"/>
    </row>
    <row r="7749" spans="23:23">
      <c r="W7749" s="503"/>
    </row>
    <row r="7750" spans="23:23">
      <c r="W7750" s="503"/>
    </row>
    <row r="7751" spans="23:23">
      <c r="W7751" s="503"/>
    </row>
    <row r="7752" spans="23:23">
      <c r="W7752" s="503"/>
    </row>
    <row r="7753" spans="23:23">
      <c r="W7753" s="503"/>
    </row>
    <row r="7754" spans="23:23">
      <c r="W7754" s="503"/>
    </row>
    <row r="7755" spans="23:23">
      <c r="W7755" s="503"/>
    </row>
    <row r="7756" spans="23:23">
      <c r="W7756" s="503"/>
    </row>
    <row r="7757" spans="23:23">
      <c r="W7757" s="503"/>
    </row>
    <row r="7758" spans="23:23">
      <c r="W7758" s="503"/>
    </row>
    <row r="7759" spans="23:23">
      <c r="W7759" s="503"/>
    </row>
    <row r="7760" spans="23:23">
      <c r="W7760" s="503"/>
    </row>
    <row r="7761" spans="23:23">
      <c r="W7761" s="503"/>
    </row>
    <row r="7762" spans="23:23">
      <c r="W7762" s="503"/>
    </row>
    <row r="7763" spans="23:23">
      <c r="W7763" s="503"/>
    </row>
    <row r="7764" spans="23:23">
      <c r="W7764" s="503"/>
    </row>
    <row r="7765" spans="23:23">
      <c r="W7765" s="503"/>
    </row>
    <row r="7766" spans="23:23">
      <c r="W7766" s="503"/>
    </row>
    <row r="7767" spans="23:23">
      <c r="W7767" s="503"/>
    </row>
    <row r="7768" spans="23:23">
      <c r="W7768" s="503"/>
    </row>
    <row r="7769" spans="23:23">
      <c r="W7769" s="503"/>
    </row>
    <row r="7770" spans="23:23">
      <c r="W7770" s="503"/>
    </row>
    <row r="7771" spans="23:23">
      <c r="W7771" s="503"/>
    </row>
    <row r="7772" spans="23:23">
      <c r="W7772" s="503"/>
    </row>
    <row r="7773" spans="23:23">
      <c r="W7773" s="503"/>
    </row>
    <row r="7774" spans="23:23">
      <c r="W7774" s="503"/>
    </row>
    <row r="7775" spans="23:23">
      <c r="W7775" s="503"/>
    </row>
    <row r="7776" spans="23:23">
      <c r="W7776" s="503"/>
    </row>
    <row r="7777" spans="23:23">
      <c r="W7777" s="503"/>
    </row>
    <row r="7778" spans="23:23">
      <c r="W7778" s="503"/>
    </row>
    <row r="7779" spans="23:23">
      <c r="W7779" s="503"/>
    </row>
    <row r="7780" spans="23:23">
      <c r="W7780" s="503"/>
    </row>
    <row r="7781" spans="23:23">
      <c r="W7781" s="503"/>
    </row>
    <row r="7782" spans="23:23">
      <c r="W7782" s="503"/>
    </row>
    <row r="7783" spans="23:23">
      <c r="W7783" s="503"/>
    </row>
    <row r="7784" spans="23:23">
      <c r="W7784" s="503"/>
    </row>
    <row r="7785" spans="23:23">
      <c r="W7785" s="503"/>
    </row>
    <row r="7786" spans="23:23">
      <c r="W7786" s="503"/>
    </row>
    <row r="7787" spans="23:23">
      <c r="W7787" s="503"/>
    </row>
    <row r="7788" spans="23:23">
      <c r="W7788" s="503"/>
    </row>
    <row r="7789" spans="23:23">
      <c r="W7789" s="503"/>
    </row>
    <row r="7790" spans="23:23">
      <c r="W7790" s="503"/>
    </row>
    <row r="7791" spans="23:23">
      <c r="W7791" s="503"/>
    </row>
    <row r="7792" spans="23:23">
      <c r="W7792" s="503"/>
    </row>
    <row r="7793" spans="23:23">
      <c r="W7793" s="503"/>
    </row>
    <row r="7794" spans="23:23">
      <c r="W7794" s="503"/>
    </row>
    <row r="7795" spans="23:23">
      <c r="W7795" s="503"/>
    </row>
    <row r="7796" spans="23:23">
      <c r="W7796" s="503"/>
    </row>
    <row r="7797" spans="23:23">
      <c r="W7797" s="503"/>
    </row>
    <row r="7798" spans="23:23">
      <c r="W7798" s="503"/>
    </row>
    <row r="7799" spans="23:23">
      <c r="W7799" s="503"/>
    </row>
    <row r="7800" spans="23:23">
      <c r="W7800" s="503"/>
    </row>
    <row r="7801" spans="23:23">
      <c r="W7801" s="503"/>
    </row>
    <row r="7802" spans="23:23">
      <c r="W7802" s="503"/>
    </row>
    <row r="7803" spans="23:23">
      <c r="W7803" s="503"/>
    </row>
    <row r="7804" spans="23:23">
      <c r="W7804" s="503"/>
    </row>
    <row r="7805" spans="23:23">
      <c r="W7805" s="503"/>
    </row>
    <row r="7806" spans="23:23">
      <c r="W7806" s="503"/>
    </row>
    <row r="7807" spans="23:23">
      <c r="W7807" s="503"/>
    </row>
    <row r="7808" spans="23:23">
      <c r="W7808" s="503"/>
    </row>
    <row r="7809" spans="23:23">
      <c r="W7809" s="503"/>
    </row>
    <row r="7810" spans="23:23">
      <c r="W7810" s="503"/>
    </row>
    <row r="7811" spans="23:23">
      <c r="W7811" s="503"/>
    </row>
    <row r="7812" spans="23:23">
      <c r="W7812" s="503"/>
    </row>
    <row r="7813" spans="23:23">
      <c r="W7813" s="503"/>
    </row>
    <row r="7814" spans="23:23">
      <c r="W7814" s="503"/>
    </row>
    <row r="7815" spans="23:23">
      <c r="W7815" s="503"/>
    </row>
    <row r="7816" spans="23:23">
      <c r="W7816" s="503"/>
    </row>
    <row r="7817" spans="23:23">
      <c r="W7817" s="503"/>
    </row>
    <row r="7818" spans="23:23">
      <c r="W7818" s="503"/>
    </row>
    <row r="7819" spans="23:23">
      <c r="W7819" s="503"/>
    </row>
    <row r="7820" spans="23:23">
      <c r="W7820" s="503"/>
    </row>
    <row r="7821" spans="23:23">
      <c r="W7821" s="503"/>
    </row>
    <row r="7822" spans="23:23">
      <c r="W7822" s="503"/>
    </row>
    <row r="7823" spans="23:23">
      <c r="W7823" s="503"/>
    </row>
    <row r="7824" spans="23:23">
      <c r="W7824" s="503"/>
    </row>
    <row r="7825" spans="23:23">
      <c r="W7825" s="503"/>
    </row>
    <row r="7826" spans="23:23">
      <c r="W7826" s="503"/>
    </row>
    <row r="7827" spans="23:23">
      <c r="W7827" s="503"/>
    </row>
    <row r="7828" spans="23:23">
      <c r="W7828" s="503"/>
    </row>
    <row r="7829" spans="23:23">
      <c r="W7829" s="503"/>
    </row>
    <row r="7830" spans="23:23">
      <c r="W7830" s="503"/>
    </row>
    <row r="7831" spans="23:23">
      <c r="W7831" s="503"/>
    </row>
    <row r="7832" spans="23:23">
      <c r="W7832" s="503"/>
    </row>
    <row r="7833" spans="23:23">
      <c r="W7833" s="503"/>
    </row>
    <row r="7834" spans="23:23">
      <c r="W7834" s="503"/>
    </row>
    <row r="7835" spans="23:23">
      <c r="W7835" s="503"/>
    </row>
    <row r="7836" spans="23:23">
      <c r="W7836" s="503"/>
    </row>
    <row r="7837" spans="23:23">
      <c r="W7837" s="503"/>
    </row>
    <row r="7838" spans="23:23">
      <c r="W7838" s="503"/>
    </row>
    <row r="7839" spans="23:23">
      <c r="W7839" s="503"/>
    </row>
    <row r="7840" spans="23:23">
      <c r="W7840" s="503"/>
    </row>
    <row r="7841" spans="23:23">
      <c r="W7841" s="503"/>
    </row>
    <row r="7842" spans="23:23">
      <c r="W7842" s="503"/>
    </row>
    <row r="7843" spans="23:23">
      <c r="W7843" s="503"/>
    </row>
    <row r="7844" spans="23:23">
      <c r="W7844" s="503"/>
    </row>
    <row r="7845" spans="23:23">
      <c r="W7845" s="503"/>
    </row>
    <row r="7846" spans="23:23">
      <c r="W7846" s="503"/>
    </row>
    <row r="7847" spans="23:23">
      <c r="W7847" s="503"/>
    </row>
    <row r="7848" spans="23:23">
      <c r="W7848" s="503"/>
    </row>
    <row r="7849" spans="23:23">
      <c r="W7849" s="503"/>
    </row>
    <row r="7850" spans="23:23">
      <c r="W7850" s="503"/>
    </row>
    <row r="7851" spans="23:23">
      <c r="W7851" s="503"/>
    </row>
    <row r="7852" spans="23:23">
      <c r="W7852" s="503"/>
    </row>
    <row r="7853" spans="23:23">
      <c r="W7853" s="503"/>
    </row>
    <row r="7854" spans="23:23">
      <c r="W7854" s="503"/>
    </row>
    <row r="7855" spans="23:23">
      <c r="W7855" s="503"/>
    </row>
    <row r="7856" spans="23:23">
      <c r="W7856" s="503"/>
    </row>
    <row r="7857" spans="23:23">
      <c r="W7857" s="503"/>
    </row>
    <row r="7858" spans="23:23">
      <c r="W7858" s="503"/>
    </row>
    <row r="7859" spans="23:23">
      <c r="W7859" s="503"/>
    </row>
    <row r="7860" spans="23:23">
      <c r="W7860" s="503"/>
    </row>
    <row r="7861" spans="23:23">
      <c r="W7861" s="503"/>
    </row>
    <row r="7862" spans="23:23">
      <c r="W7862" s="503"/>
    </row>
    <row r="7863" spans="23:23">
      <c r="W7863" s="503"/>
    </row>
    <row r="7864" spans="23:23">
      <c r="W7864" s="503"/>
    </row>
    <row r="7865" spans="23:23">
      <c r="W7865" s="503"/>
    </row>
    <row r="7866" spans="23:23">
      <c r="W7866" s="503"/>
    </row>
    <row r="7867" spans="23:23">
      <c r="W7867" s="503"/>
    </row>
    <row r="7868" spans="23:23">
      <c r="W7868" s="503"/>
    </row>
    <row r="7869" spans="23:23">
      <c r="W7869" s="503"/>
    </row>
    <row r="7870" spans="23:23">
      <c r="W7870" s="503"/>
    </row>
    <row r="7871" spans="23:23">
      <c r="W7871" s="503"/>
    </row>
    <row r="7872" spans="23:23">
      <c r="W7872" s="503"/>
    </row>
    <row r="7873" spans="23:23">
      <c r="W7873" s="503"/>
    </row>
    <row r="7874" spans="23:23">
      <c r="W7874" s="503"/>
    </row>
    <row r="7875" spans="23:23">
      <c r="W7875" s="503"/>
    </row>
    <row r="7876" spans="23:23">
      <c r="W7876" s="503"/>
    </row>
    <row r="7877" spans="23:23">
      <c r="W7877" s="503"/>
    </row>
    <row r="7878" spans="23:23">
      <c r="W7878" s="503"/>
    </row>
    <row r="7879" spans="23:23">
      <c r="W7879" s="503"/>
    </row>
    <row r="7880" spans="23:23">
      <c r="W7880" s="503"/>
    </row>
    <row r="7881" spans="23:23">
      <c r="W7881" s="503"/>
    </row>
    <row r="7882" spans="23:23">
      <c r="W7882" s="503"/>
    </row>
    <row r="7883" spans="23:23">
      <c r="W7883" s="503"/>
    </row>
    <row r="7884" spans="23:23">
      <c r="W7884" s="503"/>
    </row>
    <row r="7885" spans="23:23">
      <c r="W7885" s="503"/>
    </row>
    <row r="7886" spans="23:23">
      <c r="W7886" s="503"/>
    </row>
    <row r="7887" spans="23:23">
      <c r="W7887" s="503"/>
    </row>
    <row r="7888" spans="23:23">
      <c r="W7888" s="503"/>
    </row>
    <row r="7889" spans="23:23">
      <c r="W7889" s="503"/>
    </row>
    <row r="7890" spans="23:23">
      <c r="W7890" s="503"/>
    </row>
    <row r="7891" spans="23:23">
      <c r="W7891" s="503"/>
    </row>
    <row r="7892" spans="23:23">
      <c r="W7892" s="503"/>
    </row>
    <row r="7893" spans="23:23">
      <c r="W7893" s="503"/>
    </row>
    <row r="7894" spans="23:23">
      <c r="W7894" s="503"/>
    </row>
    <row r="7895" spans="23:23">
      <c r="W7895" s="503"/>
    </row>
    <row r="7896" spans="23:23">
      <c r="W7896" s="503"/>
    </row>
    <row r="7897" spans="23:23">
      <c r="W7897" s="503"/>
    </row>
    <row r="7898" spans="23:23">
      <c r="W7898" s="503"/>
    </row>
    <row r="7899" spans="23:23">
      <c r="W7899" s="503"/>
    </row>
    <row r="7900" spans="23:23">
      <c r="W7900" s="503"/>
    </row>
    <row r="7901" spans="23:23">
      <c r="W7901" s="503"/>
    </row>
    <row r="7902" spans="23:23">
      <c r="W7902" s="503"/>
    </row>
    <row r="7903" spans="23:23">
      <c r="W7903" s="503"/>
    </row>
    <row r="7904" spans="23:23">
      <c r="W7904" s="503"/>
    </row>
    <row r="7905" spans="23:23">
      <c r="W7905" s="503"/>
    </row>
    <row r="7906" spans="23:23">
      <c r="W7906" s="503"/>
    </row>
    <row r="7907" spans="23:23">
      <c r="W7907" s="503"/>
    </row>
    <row r="7908" spans="23:23">
      <c r="W7908" s="503"/>
    </row>
    <row r="7909" spans="23:23">
      <c r="W7909" s="503"/>
    </row>
    <row r="7910" spans="23:23">
      <c r="W7910" s="503"/>
    </row>
    <row r="7911" spans="23:23">
      <c r="W7911" s="503"/>
    </row>
    <row r="7912" spans="23:23">
      <c r="W7912" s="503"/>
    </row>
    <row r="7913" spans="23:23">
      <c r="W7913" s="503"/>
    </row>
    <row r="7914" spans="23:23">
      <c r="W7914" s="503"/>
    </row>
    <row r="7915" spans="23:23">
      <c r="W7915" s="503"/>
    </row>
    <row r="7916" spans="23:23">
      <c r="W7916" s="503"/>
    </row>
    <row r="7917" spans="23:23">
      <c r="W7917" s="503"/>
    </row>
    <row r="7918" spans="23:23">
      <c r="W7918" s="503"/>
    </row>
    <row r="7919" spans="23:23">
      <c r="W7919" s="503"/>
    </row>
    <row r="7920" spans="23:23">
      <c r="W7920" s="503"/>
    </row>
    <row r="7921" spans="23:23">
      <c r="W7921" s="503"/>
    </row>
    <row r="7922" spans="23:23">
      <c r="W7922" s="503"/>
    </row>
    <row r="7923" spans="23:23">
      <c r="W7923" s="503"/>
    </row>
    <row r="7924" spans="23:23">
      <c r="W7924" s="503"/>
    </row>
    <row r="7925" spans="23:23">
      <c r="W7925" s="503"/>
    </row>
    <row r="7926" spans="23:23">
      <c r="W7926" s="503"/>
    </row>
    <row r="7927" spans="23:23">
      <c r="W7927" s="503"/>
    </row>
    <row r="7928" spans="23:23">
      <c r="W7928" s="503"/>
    </row>
    <row r="7929" spans="23:23">
      <c r="W7929" s="503"/>
    </row>
    <row r="7930" spans="23:23">
      <c r="W7930" s="503"/>
    </row>
    <row r="7931" spans="23:23">
      <c r="W7931" s="503"/>
    </row>
    <row r="7932" spans="23:23">
      <c r="W7932" s="503"/>
    </row>
    <row r="7933" spans="23:23">
      <c r="W7933" s="503"/>
    </row>
    <row r="7934" spans="23:23">
      <c r="W7934" s="503"/>
    </row>
    <row r="7935" spans="23:23">
      <c r="W7935" s="503"/>
    </row>
    <row r="7936" spans="23:23">
      <c r="W7936" s="503"/>
    </row>
    <row r="7937" spans="23:23">
      <c r="W7937" s="503"/>
    </row>
    <row r="7938" spans="23:23">
      <c r="W7938" s="503"/>
    </row>
    <row r="7939" spans="23:23">
      <c r="W7939" s="503"/>
    </row>
    <row r="7940" spans="23:23">
      <c r="W7940" s="503"/>
    </row>
    <row r="7941" spans="23:23">
      <c r="W7941" s="503"/>
    </row>
    <row r="7942" spans="23:23">
      <c r="W7942" s="503"/>
    </row>
    <row r="7943" spans="23:23">
      <c r="W7943" s="503"/>
    </row>
    <row r="7944" spans="23:23">
      <c r="W7944" s="503"/>
    </row>
    <row r="7945" spans="23:23">
      <c r="W7945" s="503"/>
    </row>
    <row r="7946" spans="23:23">
      <c r="W7946" s="503"/>
    </row>
    <row r="7947" spans="23:23">
      <c r="W7947" s="503"/>
    </row>
    <row r="7948" spans="23:23">
      <c r="W7948" s="503"/>
    </row>
    <row r="7949" spans="23:23">
      <c r="W7949" s="503"/>
    </row>
    <row r="7950" spans="23:23">
      <c r="W7950" s="503"/>
    </row>
    <row r="7951" spans="23:23">
      <c r="W7951" s="503"/>
    </row>
    <row r="7952" spans="23:23">
      <c r="W7952" s="503"/>
    </row>
    <row r="7953" spans="23:23">
      <c r="W7953" s="503"/>
    </row>
    <row r="7954" spans="23:23">
      <c r="W7954" s="503"/>
    </row>
    <row r="7955" spans="23:23">
      <c r="W7955" s="503"/>
    </row>
    <row r="7956" spans="23:23">
      <c r="W7956" s="503"/>
    </row>
    <row r="7957" spans="23:23">
      <c r="W7957" s="503"/>
    </row>
    <row r="7958" spans="23:23">
      <c r="W7958" s="503"/>
    </row>
    <row r="7959" spans="23:23">
      <c r="W7959" s="503"/>
    </row>
    <row r="7960" spans="23:23">
      <c r="W7960" s="503"/>
    </row>
    <row r="7961" spans="23:23">
      <c r="W7961" s="503"/>
    </row>
    <row r="7962" spans="23:23">
      <c r="W7962" s="503"/>
    </row>
    <row r="7963" spans="23:23">
      <c r="W7963" s="503"/>
    </row>
    <row r="7964" spans="23:23">
      <c r="W7964" s="503"/>
    </row>
    <row r="7965" spans="23:23">
      <c r="W7965" s="503"/>
    </row>
    <row r="7966" spans="23:23">
      <c r="W7966" s="503"/>
    </row>
    <row r="7967" spans="23:23">
      <c r="W7967" s="503"/>
    </row>
    <row r="7968" spans="23:23">
      <c r="W7968" s="503"/>
    </row>
    <row r="7969" spans="23:23">
      <c r="W7969" s="503"/>
    </row>
    <row r="7970" spans="23:23">
      <c r="W7970" s="503"/>
    </row>
    <row r="7971" spans="23:23">
      <c r="W7971" s="503"/>
    </row>
    <row r="7972" spans="23:23">
      <c r="W7972" s="503"/>
    </row>
    <row r="7973" spans="23:23">
      <c r="W7973" s="503"/>
    </row>
    <row r="7974" spans="23:23">
      <c r="W7974" s="503"/>
    </row>
    <row r="7975" spans="23:23">
      <c r="W7975" s="503"/>
    </row>
    <row r="7976" spans="23:23">
      <c r="W7976" s="503"/>
    </row>
    <row r="7977" spans="23:23">
      <c r="W7977" s="503"/>
    </row>
    <row r="7978" spans="23:23">
      <c r="W7978" s="503"/>
    </row>
    <row r="7979" spans="23:23">
      <c r="W7979" s="503"/>
    </row>
    <row r="7980" spans="23:23">
      <c r="W7980" s="503"/>
    </row>
    <row r="7981" spans="23:23">
      <c r="W7981" s="503"/>
    </row>
    <row r="7982" spans="23:23">
      <c r="W7982" s="503"/>
    </row>
    <row r="7983" spans="23:23">
      <c r="W7983" s="503"/>
    </row>
    <row r="7984" spans="23:23">
      <c r="W7984" s="503"/>
    </row>
    <row r="7985" spans="23:23">
      <c r="W7985" s="503"/>
    </row>
    <row r="7986" spans="23:23">
      <c r="W7986" s="503"/>
    </row>
    <row r="7987" spans="23:23">
      <c r="W7987" s="503"/>
    </row>
    <row r="7988" spans="23:23">
      <c r="W7988" s="503"/>
    </row>
    <row r="7989" spans="23:23">
      <c r="W7989" s="503"/>
    </row>
    <row r="7990" spans="23:23">
      <c r="W7990" s="503"/>
    </row>
    <row r="7991" spans="23:23">
      <c r="W7991" s="503"/>
    </row>
    <row r="7992" spans="23:23">
      <c r="W7992" s="503"/>
    </row>
    <row r="7993" spans="23:23">
      <c r="W7993" s="503"/>
    </row>
    <row r="7994" spans="23:23">
      <c r="W7994" s="503"/>
    </row>
    <row r="7995" spans="23:23">
      <c r="W7995" s="503"/>
    </row>
    <row r="7996" spans="23:23">
      <c r="W7996" s="503"/>
    </row>
    <row r="7997" spans="23:23">
      <c r="W7997" s="503"/>
    </row>
    <row r="7998" spans="23:23">
      <c r="W7998" s="503"/>
    </row>
    <row r="7999" spans="23:23">
      <c r="W7999" s="503"/>
    </row>
    <row r="8000" spans="23:23">
      <c r="W8000" s="503"/>
    </row>
    <row r="8001" spans="23:23">
      <c r="W8001" s="503"/>
    </row>
    <row r="8002" spans="23:23">
      <c r="W8002" s="503"/>
    </row>
    <row r="8003" spans="23:23">
      <c r="W8003" s="503"/>
    </row>
    <row r="8004" spans="23:23">
      <c r="W8004" s="503"/>
    </row>
    <row r="8005" spans="23:23">
      <c r="W8005" s="503"/>
    </row>
    <row r="8006" spans="23:23">
      <c r="W8006" s="503"/>
    </row>
    <row r="8007" spans="23:23">
      <c r="W8007" s="503"/>
    </row>
    <row r="8008" spans="23:23">
      <c r="W8008" s="503"/>
    </row>
    <row r="8009" spans="23:23">
      <c r="W8009" s="503"/>
    </row>
    <row r="8010" spans="23:23">
      <c r="W8010" s="503"/>
    </row>
    <row r="8011" spans="23:23">
      <c r="W8011" s="503"/>
    </row>
    <row r="8012" spans="23:23">
      <c r="W8012" s="503"/>
    </row>
    <row r="8013" spans="23:23">
      <c r="W8013" s="503"/>
    </row>
    <row r="8014" spans="23:23">
      <c r="W8014" s="503"/>
    </row>
    <row r="8015" spans="23:23">
      <c r="W8015" s="503"/>
    </row>
    <row r="8016" spans="23:23">
      <c r="W8016" s="503"/>
    </row>
    <row r="8017" spans="23:23">
      <c r="W8017" s="503"/>
    </row>
    <row r="8018" spans="23:23">
      <c r="W8018" s="503"/>
    </row>
    <row r="8019" spans="23:23">
      <c r="W8019" s="503"/>
    </row>
    <row r="8020" spans="23:23">
      <c r="W8020" s="503"/>
    </row>
    <row r="8021" spans="23:23">
      <c r="W8021" s="503"/>
    </row>
    <row r="8022" spans="23:23">
      <c r="W8022" s="503"/>
    </row>
    <row r="8023" spans="23:23">
      <c r="W8023" s="503"/>
    </row>
    <row r="8024" spans="23:23">
      <c r="W8024" s="503"/>
    </row>
    <row r="8025" spans="23:23">
      <c r="W8025" s="503"/>
    </row>
    <row r="8026" spans="23:23">
      <c r="W8026" s="503"/>
    </row>
    <row r="8027" spans="23:23">
      <c r="W8027" s="503"/>
    </row>
    <row r="8028" spans="23:23">
      <c r="W8028" s="503"/>
    </row>
    <row r="8029" spans="23:23">
      <c r="W8029" s="503"/>
    </row>
    <row r="8030" spans="23:23">
      <c r="W8030" s="503"/>
    </row>
    <row r="8031" spans="23:23">
      <c r="W8031" s="503"/>
    </row>
    <row r="8032" spans="23:23">
      <c r="W8032" s="503"/>
    </row>
    <row r="8033" spans="23:23">
      <c r="W8033" s="503"/>
    </row>
    <row r="8034" spans="23:23">
      <c r="W8034" s="503"/>
    </row>
    <row r="8035" spans="23:23">
      <c r="W8035" s="503"/>
    </row>
    <row r="8036" spans="23:23">
      <c r="W8036" s="503"/>
    </row>
    <row r="8037" spans="23:23">
      <c r="W8037" s="503"/>
    </row>
    <row r="8038" spans="23:23">
      <c r="W8038" s="503"/>
    </row>
    <row r="8039" spans="23:23">
      <c r="W8039" s="503"/>
    </row>
    <row r="8040" spans="23:23">
      <c r="W8040" s="503"/>
    </row>
    <row r="8041" spans="23:23">
      <c r="W8041" s="503"/>
    </row>
    <row r="8042" spans="23:23">
      <c r="W8042" s="503"/>
    </row>
    <row r="8043" spans="23:23">
      <c r="W8043" s="503"/>
    </row>
    <row r="8044" spans="23:23">
      <c r="W8044" s="503"/>
    </row>
    <row r="8045" spans="23:23">
      <c r="W8045" s="503"/>
    </row>
    <row r="8046" spans="23:23">
      <c r="W8046" s="503"/>
    </row>
    <row r="8047" spans="23:23">
      <c r="W8047" s="503"/>
    </row>
    <row r="8048" spans="23:23">
      <c r="W8048" s="503"/>
    </row>
    <row r="8049" spans="23:23">
      <c r="W8049" s="503"/>
    </row>
    <row r="8050" spans="23:23">
      <c r="W8050" s="503"/>
    </row>
    <row r="8051" spans="23:23">
      <c r="W8051" s="503"/>
    </row>
    <row r="8052" spans="23:23">
      <c r="W8052" s="503"/>
    </row>
    <row r="8053" spans="23:23">
      <c r="W8053" s="503"/>
    </row>
    <row r="8054" spans="23:23">
      <c r="W8054" s="503"/>
    </row>
    <row r="8055" spans="23:23">
      <c r="W8055" s="503"/>
    </row>
    <row r="8056" spans="23:23">
      <c r="W8056" s="503"/>
    </row>
    <row r="8057" spans="23:23">
      <c r="W8057" s="503"/>
    </row>
    <row r="8058" spans="23:23">
      <c r="W8058" s="503"/>
    </row>
    <row r="8059" spans="23:23">
      <c r="W8059" s="503"/>
    </row>
    <row r="8060" spans="23:23">
      <c r="W8060" s="503"/>
    </row>
    <row r="8061" spans="23:23">
      <c r="W8061" s="503"/>
    </row>
    <row r="8062" spans="23:23">
      <c r="W8062" s="503"/>
    </row>
    <row r="8063" spans="23:23">
      <c r="W8063" s="503"/>
    </row>
    <row r="8064" spans="23:23">
      <c r="W8064" s="503"/>
    </row>
    <row r="8065" spans="23:23">
      <c r="W8065" s="503"/>
    </row>
    <row r="8066" spans="23:23">
      <c r="W8066" s="503"/>
    </row>
    <row r="8067" spans="23:23">
      <c r="W8067" s="503"/>
    </row>
    <row r="8068" spans="23:23">
      <c r="W8068" s="503"/>
    </row>
    <row r="8069" spans="23:23">
      <c r="W8069" s="503"/>
    </row>
    <row r="8070" spans="23:23">
      <c r="W8070" s="503"/>
    </row>
    <row r="8071" spans="23:23">
      <c r="W8071" s="503"/>
    </row>
    <row r="8072" spans="23:23">
      <c r="W8072" s="503"/>
    </row>
    <row r="8073" spans="23:23">
      <c r="W8073" s="503"/>
    </row>
    <row r="8074" spans="23:23">
      <c r="W8074" s="503"/>
    </row>
    <row r="8075" spans="23:23">
      <c r="W8075" s="503"/>
    </row>
    <row r="8076" spans="23:23">
      <c r="W8076" s="503"/>
    </row>
    <row r="8077" spans="23:23">
      <c r="W8077" s="503"/>
    </row>
    <row r="8078" spans="23:23">
      <c r="W8078" s="503"/>
    </row>
    <row r="8079" spans="23:23">
      <c r="W8079" s="503"/>
    </row>
    <row r="8080" spans="23:23">
      <c r="W8080" s="503"/>
    </row>
    <row r="8081" spans="23:23">
      <c r="W8081" s="503"/>
    </row>
    <row r="8082" spans="23:23">
      <c r="W8082" s="503"/>
    </row>
    <row r="8083" spans="23:23">
      <c r="W8083" s="503"/>
    </row>
    <row r="8084" spans="23:23">
      <c r="W8084" s="503"/>
    </row>
    <row r="8085" spans="23:23">
      <c r="W8085" s="503"/>
    </row>
    <row r="8086" spans="23:23">
      <c r="W8086" s="503"/>
    </row>
    <row r="8087" spans="23:23">
      <c r="W8087" s="503"/>
    </row>
    <row r="8088" spans="23:23">
      <c r="W8088" s="503"/>
    </row>
    <row r="8089" spans="23:23">
      <c r="W8089" s="503"/>
    </row>
    <row r="8090" spans="23:23">
      <c r="W8090" s="503"/>
    </row>
    <row r="8091" spans="23:23">
      <c r="W8091" s="503"/>
    </row>
    <row r="8092" spans="23:23">
      <c r="W8092" s="503"/>
    </row>
    <row r="8093" spans="23:23">
      <c r="W8093" s="503"/>
    </row>
    <row r="8094" spans="23:23">
      <c r="W8094" s="503"/>
    </row>
    <row r="8095" spans="23:23">
      <c r="W8095" s="503"/>
    </row>
    <row r="8096" spans="23:23">
      <c r="W8096" s="503"/>
    </row>
    <row r="8097" spans="23:23">
      <c r="W8097" s="503"/>
    </row>
    <row r="8098" spans="23:23">
      <c r="W8098" s="503"/>
    </row>
    <row r="8099" spans="23:23">
      <c r="W8099" s="503"/>
    </row>
    <row r="8100" spans="23:23">
      <c r="W8100" s="503"/>
    </row>
    <row r="8101" spans="23:23">
      <c r="W8101" s="503"/>
    </row>
    <row r="8102" spans="23:23">
      <c r="W8102" s="503"/>
    </row>
    <row r="8103" spans="23:23">
      <c r="W8103" s="503"/>
    </row>
    <row r="8104" spans="23:23">
      <c r="W8104" s="503"/>
    </row>
    <row r="8105" spans="23:23">
      <c r="W8105" s="503"/>
    </row>
    <row r="8106" spans="23:23">
      <c r="W8106" s="503"/>
    </row>
    <row r="8107" spans="23:23">
      <c r="W8107" s="503"/>
    </row>
    <row r="8108" spans="23:23">
      <c r="W8108" s="503"/>
    </row>
    <row r="8109" spans="23:23">
      <c r="W8109" s="503"/>
    </row>
    <row r="8110" spans="23:23">
      <c r="W8110" s="503"/>
    </row>
    <row r="8111" spans="23:23">
      <c r="W8111" s="503"/>
    </row>
    <row r="8112" spans="23:23">
      <c r="W8112" s="503"/>
    </row>
    <row r="8113" spans="23:23">
      <c r="W8113" s="503"/>
    </row>
    <row r="8114" spans="23:23">
      <c r="W8114" s="503"/>
    </row>
    <row r="8115" spans="23:23">
      <c r="W8115" s="503"/>
    </row>
    <row r="8116" spans="23:23">
      <c r="W8116" s="503"/>
    </row>
    <row r="8117" spans="23:23">
      <c r="W8117" s="503"/>
    </row>
    <row r="8118" spans="23:23">
      <c r="W8118" s="503"/>
    </row>
    <row r="8119" spans="23:23">
      <c r="W8119" s="503"/>
    </row>
    <row r="8120" spans="23:23">
      <c r="W8120" s="503"/>
    </row>
    <row r="8121" spans="23:23">
      <c r="W8121" s="503"/>
    </row>
    <row r="8122" spans="23:23">
      <c r="W8122" s="503"/>
    </row>
    <row r="8123" spans="23:23">
      <c r="W8123" s="503"/>
    </row>
    <row r="8124" spans="23:23">
      <c r="W8124" s="503"/>
    </row>
    <row r="8125" spans="23:23">
      <c r="W8125" s="503"/>
    </row>
    <row r="8126" spans="23:23">
      <c r="W8126" s="503"/>
    </row>
    <row r="8127" spans="23:23">
      <c r="W8127" s="503"/>
    </row>
    <row r="8128" spans="23:23">
      <c r="W8128" s="503"/>
    </row>
    <row r="8129" spans="23:23">
      <c r="W8129" s="503"/>
    </row>
    <row r="8130" spans="23:23">
      <c r="W8130" s="503"/>
    </row>
    <row r="8131" spans="23:23">
      <c r="W8131" s="503"/>
    </row>
    <row r="8132" spans="23:23">
      <c r="W8132" s="503"/>
    </row>
    <row r="8133" spans="23:23">
      <c r="W8133" s="503"/>
    </row>
    <row r="8134" spans="23:23">
      <c r="W8134" s="503"/>
    </row>
    <row r="8135" spans="23:23">
      <c r="W8135" s="503"/>
    </row>
    <row r="8136" spans="23:23">
      <c r="W8136" s="503"/>
    </row>
    <row r="8137" spans="23:23">
      <c r="W8137" s="503"/>
    </row>
    <row r="8138" spans="23:23">
      <c r="W8138" s="503"/>
    </row>
    <row r="8139" spans="23:23">
      <c r="W8139" s="503"/>
    </row>
    <row r="8140" spans="23:23">
      <c r="W8140" s="503"/>
    </row>
    <row r="8141" spans="23:23">
      <c r="W8141" s="503"/>
    </row>
    <row r="8142" spans="23:23">
      <c r="W8142" s="503"/>
    </row>
    <row r="8143" spans="23:23">
      <c r="W8143" s="503"/>
    </row>
    <row r="8144" spans="23:23">
      <c r="W8144" s="503"/>
    </row>
    <row r="8145" spans="23:23">
      <c r="W8145" s="503"/>
    </row>
    <row r="8146" spans="23:23">
      <c r="W8146" s="503"/>
    </row>
    <row r="8147" spans="23:23">
      <c r="W8147" s="503"/>
    </row>
    <row r="8148" spans="23:23">
      <c r="W8148" s="503"/>
    </row>
    <row r="8149" spans="23:23">
      <c r="W8149" s="503"/>
    </row>
    <row r="8150" spans="23:23">
      <c r="W8150" s="503"/>
    </row>
    <row r="8151" spans="23:23">
      <c r="W8151" s="503"/>
    </row>
    <row r="8152" spans="23:23">
      <c r="W8152" s="503"/>
    </row>
    <row r="8153" spans="23:23">
      <c r="W8153" s="503"/>
    </row>
    <row r="8154" spans="23:23">
      <c r="W8154" s="503"/>
    </row>
    <row r="8155" spans="23:23">
      <c r="W8155" s="503"/>
    </row>
    <row r="8156" spans="23:23">
      <c r="W8156" s="503"/>
    </row>
    <row r="8157" spans="23:23">
      <c r="W8157" s="503"/>
    </row>
    <row r="8158" spans="23:23">
      <c r="W8158" s="503"/>
    </row>
    <row r="8159" spans="23:23">
      <c r="W8159" s="503"/>
    </row>
    <row r="8160" spans="23:23">
      <c r="W8160" s="503"/>
    </row>
    <row r="8161" spans="23:23">
      <c r="W8161" s="503"/>
    </row>
    <row r="8162" spans="23:23">
      <c r="W8162" s="503"/>
    </row>
    <row r="8163" spans="23:23">
      <c r="W8163" s="503"/>
    </row>
    <row r="8164" spans="23:23">
      <c r="W8164" s="503"/>
    </row>
    <row r="8165" spans="23:23">
      <c r="W8165" s="503"/>
    </row>
    <row r="8166" spans="23:23">
      <c r="W8166" s="503"/>
    </row>
    <row r="8167" spans="23:23">
      <c r="W8167" s="503"/>
    </row>
    <row r="8168" spans="23:23">
      <c r="W8168" s="503"/>
    </row>
    <row r="8169" spans="23:23">
      <c r="W8169" s="503"/>
    </row>
    <row r="8170" spans="23:23">
      <c r="W8170" s="503"/>
    </row>
    <row r="8171" spans="23:23">
      <c r="W8171" s="503"/>
    </row>
    <row r="8172" spans="23:23">
      <c r="W8172" s="503"/>
    </row>
    <row r="8173" spans="23:23">
      <c r="W8173" s="503"/>
    </row>
    <row r="8174" spans="23:23">
      <c r="W8174" s="503"/>
    </row>
    <row r="8175" spans="23:23">
      <c r="W8175" s="503"/>
    </row>
    <row r="8176" spans="23:23">
      <c r="W8176" s="503"/>
    </row>
    <row r="8177" spans="23:23">
      <c r="W8177" s="503"/>
    </row>
    <row r="8178" spans="23:23">
      <c r="W8178" s="503"/>
    </row>
    <row r="8179" spans="23:23">
      <c r="W8179" s="503"/>
    </row>
    <row r="8180" spans="23:23">
      <c r="W8180" s="503"/>
    </row>
    <row r="8181" spans="23:23">
      <c r="W8181" s="503"/>
    </row>
    <row r="8182" spans="23:23">
      <c r="W8182" s="503"/>
    </row>
    <row r="8183" spans="23:23">
      <c r="W8183" s="503"/>
    </row>
    <row r="8184" spans="23:23">
      <c r="W8184" s="503"/>
    </row>
    <row r="8185" spans="23:23">
      <c r="W8185" s="503"/>
    </row>
    <row r="8186" spans="23:23">
      <c r="W8186" s="503"/>
    </row>
    <row r="8187" spans="23:23">
      <c r="W8187" s="503"/>
    </row>
    <row r="8188" spans="23:23">
      <c r="W8188" s="503"/>
    </row>
    <row r="8189" spans="23:23">
      <c r="W8189" s="503"/>
    </row>
    <row r="8190" spans="23:23">
      <c r="W8190" s="503"/>
    </row>
    <row r="8191" spans="23:23">
      <c r="W8191" s="503"/>
    </row>
    <row r="8192" spans="23:23">
      <c r="W8192" s="503"/>
    </row>
    <row r="8193" spans="23:23">
      <c r="W8193" s="503"/>
    </row>
    <row r="8194" spans="23:23">
      <c r="W8194" s="503"/>
    </row>
    <row r="8195" spans="23:23">
      <c r="W8195" s="503"/>
    </row>
    <row r="8196" spans="23:23">
      <c r="W8196" s="503"/>
    </row>
    <row r="8197" spans="23:23">
      <c r="W8197" s="503"/>
    </row>
    <row r="8198" spans="23:23">
      <c r="W8198" s="503"/>
    </row>
    <row r="8199" spans="23:23">
      <c r="W8199" s="503"/>
    </row>
    <row r="8200" spans="23:23">
      <c r="W8200" s="503"/>
    </row>
    <row r="8201" spans="23:23">
      <c r="W8201" s="503"/>
    </row>
    <row r="8202" spans="23:23">
      <c r="W8202" s="503"/>
    </row>
    <row r="8203" spans="23:23">
      <c r="W8203" s="503"/>
    </row>
    <row r="8204" spans="23:23">
      <c r="W8204" s="503"/>
    </row>
    <row r="8205" spans="23:23">
      <c r="W8205" s="503"/>
    </row>
    <row r="8206" spans="23:23">
      <c r="W8206" s="503"/>
    </row>
    <row r="8207" spans="23:23">
      <c r="W8207" s="503"/>
    </row>
    <row r="8208" spans="23:23">
      <c r="W8208" s="503"/>
    </row>
    <row r="8209" spans="23:23">
      <c r="W8209" s="503"/>
    </row>
    <row r="8210" spans="23:23">
      <c r="W8210" s="503"/>
    </row>
    <row r="8211" spans="23:23">
      <c r="W8211" s="503"/>
    </row>
    <row r="8212" spans="23:23">
      <c r="W8212" s="503"/>
    </row>
    <row r="8213" spans="23:23">
      <c r="W8213" s="503"/>
    </row>
    <row r="8214" spans="23:23">
      <c r="W8214" s="503"/>
    </row>
    <row r="8215" spans="23:23">
      <c r="W8215" s="503"/>
    </row>
    <row r="8216" spans="23:23">
      <c r="W8216" s="503"/>
    </row>
    <row r="8217" spans="23:23">
      <c r="W8217" s="503"/>
    </row>
    <row r="8218" spans="23:23">
      <c r="W8218" s="503"/>
    </row>
    <row r="8219" spans="23:23">
      <c r="W8219" s="503"/>
    </row>
    <row r="8220" spans="23:23">
      <c r="W8220" s="503"/>
    </row>
    <row r="8221" spans="23:23">
      <c r="W8221" s="503"/>
    </row>
    <row r="8222" spans="23:23">
      <c r="W8222" s="503"/>
    </row>
    <row r="8223" spans="23:23">
      <c r="W8223" s="503"/>
    </row>
    <row r="8224" spans="23:23">
      <c r="W8224" s="503"/>
    </row>
    <row r="8225" spans="23:23">
      <c r="W8225" s="503"/>
    </row>
    <row r="8226" spans="23:23">
      <c r="W8226" s="503"/>
    </row>
    <row r="8227" spans="23:23">
      <c r="W8227" s="503"/>
    </row>
    <row r="8228" spans="23:23">
      <c r="W8228" s="503"/>
    </row>
    <row r="8229" spans="23:23">
      <c r="W8229" s="503"/>
    </row>
    <row r="8230" spans="23:23">
      <c r="W8230" s="503"/>
    </row>
    <row r="8231" spans="23:23">
      <c r="W8231" s="503"/>
    </row>
    <row r="8232" spans="23:23">
      <c r="W8232" s="503"/>
    </row>
    <row r="8233" spans="23:23">
      <c r="W8233" s="503"/>
    </row>
    <row r="8234" spans="23:23">
      <c r="W8234" s="503"/>
    </row>
    <row r="8235" spans="23:23">
      <c r="W8235" s="503"/>
    </row>
    <row r="8236" spans="23:23">
      <c r="W8236" s="503"/>
    </row>
    <row r="8237" spans="23:23">
      <c r="W8237" s="503"/>
    </row>
    <row r="8238" spans="23:23">
      <c r="W8238" s="503"/>
    </row>
    <row r="8239" spans="23:23">
      <c r="W8239" s="503"/>
    </row>
    <row r="8240" spans="23:23">
      <c r="W8240" s="503"/>
    </row>
    <row r="8241" spans="23:23">
      <c r="W8241" s="503"/>
    </row>
    <row r="8242" spans="23:23">
      <c r="W8242" s="503"/>
    </row>
    <row r="8243" spans="23:23">
      <c r="W8243" s="503"/>
    </row>
    <row r="8244" spans="23:23">
      <c r="W8244" s="503"/>
    </row>
    <row r="8245" spans="23:23">
      <c r="W8245" s="503"/>
    </row>
    <row r="8246" spans="23:23">
      <c r="W8246" s="503"/>
    </row>
    <row r="8247" spans="23:23">
      <c r="W8247" s="503"/>
    </row>
    <row r="8248" spans="23:23">
      <c r="W8248" s="503"/>
    </row>
    <row r="8249" spans="23:23">
      <c r="W8249" s="503"/>
    </row>
    <row r="8250" spans="23:23">
      <c r="W8250" s="503"/>
    </row>
    <row r="8251" spans="23:23">
      <c r="W8251" s="503"/>
    </row>
    <row r="8252" spans="23:23">
      <c r="W8252" s="503"/>
    </row>
    <row r="8253" spans="23:23">
      <c r="W8253" s="503"/>
    </row>
    <row r="8254" spans="23:23">
      <c r="W8254" s="503"/>
    </row>
    <row r="8255" spans="23:23">
      <c r="W8255" s="503"/>
    </row>
    <row r="8256" spans="23:23">
      <c r="W8256" s="503"/>
    </row>
    <row r="8257" spans="23:23">
      <c r="W8257" s="503"/>
    </row>
    <row r="8258" spans="23:23">
      <c r="W8258" s="503"/>
    </row>
    <row r="8259" spans="23:23">
      <c r="W8259" s="503"/>
    </row>
    <row r="8260" spans="23:23">
      <c r="W8260" s="503"/>
    </row>
    <row r="8261" spans="23:23">
      <c r="W8261" s="503"/>
    </row>
    <row r="8262" spans="23:23">
      <c r="W8262" s="503"/>
    </row>
    <row r="8263" spans="23:23">
      <c r="W8263" s="503"/>
    </row>
    <row r="8264" spans="23:23">
      <c r="W8264" s="503"/>
    </row>
    <row r="8265" spans="23:23">
      <c r="W8265" s="503"/>
    </row>
    <row r="8266" spans="23:23">
      <c r="W8266" s="503"/>
    </row>
    <row r="8267" spans="23:23">
      <c r="W8267" s="503"/>
    </row>
    <row r="8268" spans="23:23">
      <c r="W8268" s="503"/>
    </row>
    <row r="8269" spans="23:23">
      <c r="W8269" s="503"/>
    </row>
    <row r="8270" spans="23:23">
      <c r="W8270" s="503"/>
    </row>
    <row r="8271" spans="23:23">
      <c r="W8271" s="503"/>
    </row>
    <row r="8272" spans="23:23">
      <c r="W8272" s="503"/>
    </row>
    <row r="8273" spans="23:23">
      <c r="W8273" s="503"/>
    </row>
    <row r="8274" spans="23:23">
      <c r="W8274" s="503"/>
    </row>
    <row r="8275" spans="23:23">
      <c r="W8275" s="503"/>
    </row>
    <row r="8276" spans="23:23">
      <c r="W8276" s="503"/>
    </row>
    <row r="8277" spans="23:23">
      <c r="W8277" s="503"/>
    </row>
    <row r="8278" spans="23:23">
      <c r="W8278" s="503"/>
    </row>
    <row r="8279" spans="23:23">
      <c r="W8279" s="503"/>
    </row>
    <row r="8280" spans="23:23">
      <c r="W8280" s="503"/>
    </row>
    <row r="8281" spans="23:23">
      <c r="W8281" s="503"/>
    </row>
    <row r="8282" spans="23:23">
      <c r="W8282" s="503"/>
    </row>
    <row r="8283" spans="23:23">
      <c r="W8283" s="503"/>
    </row>
    <row r="8284" spans="23:23">
      <c r="W8284" s="503"/>
    </row>
    <row r="8285" spans="23:23">
      <c r="W8285" s="503"/>
    </row>
    <row r="8286" spans="23:23">
      <c r="W8286" s="503"/>
    </row>
    <row r="8287" spans="23:23">
      <c r="W8287" s="503"/>
    </row>
    <row r="8288" spans="23:23">
      <c r="W8288" s="503"/>
    </row>
    <row r="8289" spans="23:23">
      <c r="W8289" s="503"/>
    </row>
    <row r="8290" spans="23:23">
      <c r="W8290" s="503"/>
    </row>
    <row r="8291" spans="23:23">
      <c r="W8291" s="503"/>
    </row>
    <row r="8292" spans="23:23">
      <c r="W8292" s="503"/>
    </row>
    <row r="8293" spans="23:23">
      <c r="W8293" s="503"/>
    </row>
    <row r="8294" spans="23:23">
      <c r="W8294" s="503"/>
    </row>
    <row r="8295" spans="23:23">
      <c r="W8295" s="503"/>
    </row>
    <row r="8296" spans="23:23">
      <c r="W8296" s="503"/>
    </row>
    <row r="8297" spans="23:23">
      <c r="W8297" s="503"/>
    </row>
    <row r="8298" spans="23:23">
      <c r="W8298" s="503"/>
    </row>
    <row r="8299" spans="23:23">
      <c r="W8299" s="503"/>
    </row>
    <row r="8300" spans="23:23">
      <c r="W8300" s="503"/>
    </row>
    <row r="8301" spans="23:23">
      <c r="W8301" s="503"/>
    </row>
    <row r="8302" spans="23:23">
      <c r="W8302" s="503"/>
    </row>
    <row r="8303" spans="23:23">
      <c r="W8303" s="503"/>
    </row>
    <row r="8304" spans="23:23">
      <c r="W8304" s="503"/>
    </row>
    <row r="8305" spans="23:23">
      <c r="W8305" s="503"/>
    </row>
    <row r="8306" spans="23:23">
      <c r="W8306" s="503"/>
    </row>
    <row r="8307" spans="23:23">
      <c r="W8307" s="503"/>
    </row>
    <row r="8308" spans="23:23">
      <c r="W8308" s="503"/>
    </row>
    <row r="8309" spans="23:23">
      <c r="W8309" s="503"/>
    </row>
    <row r="8310" spans="23:23">
      <c r="W8310" s="503"/>
    </row>
    <row r="8311" spans="23:23">
      <c r="W8311" s="503"/>
    </row>
    <row r="8312" spans="23:23">
      <c r="W8312" s="503"/>
    </row>
    <row r="8313" spans="23:23">
      <c r="W8313" s="503"/>
    </row>
    <row r="8314" spans="23:23">
      <c r="W8314" s="503"/>
    </row>
    <row r="8315" spans="23:23">
      <c r="W8315" s="503"/>
    </row>
    <row r="8316" spans="23:23">
      <c r="W8316" s="503"/>
    </row>
    <row r="8317" spans="23:23">
      <c r="W8317" s="503"/>
    </row>
    <row r="8318" spans="23:23">
      <c r="W8318" s="503"/>
    </row>
    <row r="8319" spans="23:23">
      <c r="W8319" s="503"/>
    </row>
    <row r="8320" spans="23:23">
      <c r="W8320" s="503"/>
    </row>
    <row r="8321" spans="23:23">
      <c r="W8321" s="503"/>
    </row>
    <row r="8322" spans="23:23">
      <c r="W8322" s="503"/>
    </row>
    <row r="8323" spans="23:23">
      <c r="W8323" s="503"/>
    </row>
    <row r="8324" spans="23:23">
      <c r="W8324" s="503"/>
    </row>
    <row r="8325" spans="23:23">
      <c r="W8325" s="503"/>
    </row>
    <row r="8326" spans="23:23">
      <c r="W8326" s="503"/>
    </row>
    <row r="8327" spans="23:23">
      <c r="W8327" s="503"/>
    </row>
    <row r="8328" spans="23:23">
      <c r="W8328" s="503"/>
    </row>
    <row r="8329" spans="23:23">
      <c r="W8329" s="503"/>
    </row>
    <row r="8330" spans="23:23">
      <c r="W8330" s="503"/>
    </row>
    <row r="8331" spans="23:23">
      <c r="W8331" s="503"/>
    </row>
    <row r="8332" spans="23:23">
      <c r="W8332" s="503"/>
    </row>
    <row r="8333" spans="23:23">
      <c r="W8333" s="503"/>
    </row>
    <row r="8334" spans="23:23">
      <c r="W8334" s="503"/>
    </row>
    <row r="8335" spans="23:23">
      <c r="W8335" s="503"/>
    </row>
    <row r="8336" spans="23:23">
      <c r="W8336" s="503"/>
    </row>
    <row r="8337" spans="23:23">
      <c r="W8337" s="503"/>
    </row>
    <row r="8338" spans="23:23">
      <c r="W8338" s="503"/>
    </row>
    <row r="8339" spans="23:23">
      <c r="W8339" s="503"/>
    </row>
    <row r="8340" spans="23:23">
      <c r="W8340" s="503"/>
    </row>
    <row r="8341" spans="23:23">
      <c r="W8341" s="503"/>
    </row>
    <row r="8342" spans="23:23">
      <c r="W8342" s="503"/>
    </row>
    <row r="8343" spans="23:23">
      <c r="W8343" s="503"/>
    </row>
    <row r="8344" spans="23:23">
      <c r="W8344" s="503"/>
    </row>
    <row r="8345" spans="23:23">
      <c r="W8345" s="503"/>
    </row>
    <row r="8346" spans="23:23">
      <c r="W8346" s="503"/>
    </row>
    <row r="8347" spans="23:23">
      <c r="W8347" s="503"/>
    </row>
    <row r="8348" spans="23:23">
      <c r="W8348" s="503"/>
    </row>
    <row r="8349" spans="23:23">
      <c r="W8349" s="503"/>
    </row>
    <row r="8350" spans="23:23">
      <c r="W8350" s="503"/>
    </row>
    <row r="8351" spans="23:23">
      <c r="W8351" s="503"/>
    </row>
    <row r="8352" spans="23:23">
      <c r="W8352" s="503"/>
    </row>
    <row r="8353" spans="23:23">
      <c r="W8353" s="503"/>
    </row>
    <row r="8354" spans="23:23">
      <c r="W8354" s="503"/>
    </row>
    <row r="8355" spans="23:23">
      <c r="W8355" s="503"/>
    </row>
    <row r="8356" spans="23:23">
      <c r="W8356" s="503"/>
    </row>
    <row r="8357" spans="23:23">
      <c r="W8357" s="503"/>
    </row>
    <row r="8358" spans="23:23">
      <c r="W8358" s="503"/>
    </row>
    <row r="8359" spans="23:23">
      <c r="W8359" s="503"/>
    </row>
    <row r="8360" spans="23:23">
      <c r="W8360" s="503"/>
    </row>
    <row r="8361" spans="23:23">
      <c r="W8361" s="503"/>
    </row>
    <row r="8362" spans="23:23">
      <c r="W8362" s="503"/>
    </row>
    <row r="8363" spans="23:23">
      <c r="W8363" s="503"/>
    </row>
    <row r="8364" spans="23:23">
      <c r="W8364" s="503"/>
    </row>
    <row r="8365" spans="23:23">
      <c r="W8365" s="503"/>
    </row>
    <row r="8366" spans="23:23">
      <c r="W8366" s="503"/>
    </row>
    <row r="8367" spans="23:23">
      <c r="W8367" s="503"/>
    </row>
    <row r="8368" spans="23:23">
      <c r="W8368" s="503"/>
    </row>
    <row r="8369" spans="23:23">
      <c r="W8369" s="503"/>
    </row>
    <row r="8370" spans="23:23">
      <c r="W8370" s="503"/>
    </row>
    <row r="8371" spans="23:23">
      <c r="W8371" s="503"/>
    </row>
    <row r="8372" spans="23:23">
      <c r="W8372" s="503"/>
    </row>
    <row r="8373" spans="23:23">
      <c r="W8373" s="503"/>
    </row>
    <row r="8374" spans="23:23">
      <c r="W8374" s="503"/>
    </row>
    <row r="8375" spans="23:23">
      <c r="W8375" s="503"/>
    </row>
    <row r="8376" spans="23:23">
      <c r="W8376" s="503"/>
    </row>
    <row r="8377" spans="23:23">
      <c r="W8377" s="503"/>
    </row>
    <row r="8378" spans="23:23">
      <c r="W8378" s="503"/>
    </row>
    <row r="8379" spans="23:23">
      <c r="W8379" s="503"/>
    </row>
    <row r="8380" spans="23:23">
      <c r="W8380" s="503"/>
    </row>
    <row r="8381" spans="23:23">
      <c r="W8381" s="503"/>
    </row>
    <row r="8382" spans="23:23">
      <c r="W8382" s="503"/>
    </row>
    <row r="8383" spans="23:23">
      <c r="W8383" s="503"/>
    </row>
    <row r="8384" spans="23:23">
      <c r="W8384" s="503"/>
    </row>
    <row r="8385" spans="23:23">
      <c r="W8385" s="503"/>
    </row>
    <row r="8386" spans="23:23">
      <c r="W8386" s="503"/>
    </row>
    <row r="8387" spans="23:23">
      <c r="W8387" s="503"/>
    </row>
    <row r="8388" spans="23:23">
      <c r="W8388" s="503"/>
    </row>
    <row r="8389" spans="23:23">
      <c r="W8389" s="503"/>
    </row>
    <row r="8390" spans="23:23">
      <c r="W8390" s="503"/>
    </row>
    <row r="8391" spans="23:23">
      <c r="W8391" s="503"/>
    </row>
    <row r="8392" spans="23:23">
      <c r="W8392" s="503"/>
    </row>
    <row r="8393" spans="23:23">
      <c r="W8393" s="503"/>
    </row>
    <row r="8394" spans="23:23">
      <c r="W8394" s="503"/>
    </row>
    <row r="8395" spans="23:23">
      <c r="W8395" s="503"/>
    </row>
    <row r="8396" spans="23:23">
      <c r="W8396" s="503"/>
    </row>
    <row r="8397" spans="23:23">
      <c r="W8397" s="503"/>
    </row>
    <row r="8398" spans="23:23">
      <c r="W8398" s="503"/>
    </row>
    <row r="8399" spans="23:23">
      <c r="W8399" s="503"/>
    </row>
    <row r="8400" spans="23:23">
      <c r="W8400" s="503"/>
    </row>
    <row r="8401" spans="23:23">
      <c r="W8401" s="503"/>
    </row>
    <row r="8402" spans="23:23">
      <c r="W8402" s="503"/>
    </row>
    <row r="8403" spans="23:23">
      <c r="W8403" s="503"/>
    </row>
    <row r="8404" spans="23:23">
      <c r="W8404" s="503"/>
    </row>
    <row r="8405" spans="23:23">
      <c r="W8405" s="503"/>
    </row>
    <row r="8406" spans="23:23">
      <c r="W8406" s="503"/>
    </row>
    <row r="8407" spans="23:23">
      <c r="W8407" s="503"/>
    </row>
    <row r="8408" spans="23:23">
      <c r="W8408" s="503"/>
    </row>
    <row r="8409" spans="23:23">
      <c r="W8409" s="503"/>
    </row>
    <row r="8410" spans="23:23">
      <c r="W8410" s="503"/>
    </row>
    <row r="8411" spans="23:23">
      <c r="W8411" s="503"/>
    </row>
    <row r="8412" spans="23:23">
      <c r="W8412" s="503"/>
    </row>
    <row r="8413" spans="23:23">
      <c r="W8413" s="503"/>
    </row>
    <row r="8414" spans="23:23">
      <c r="W8414" s="503"/>
    </row>
    <row r="8415" spans="23:23">
      <c r="W8415" s="503"/>
    </row>
    <row r="8416" spans="23:23">
      <c r="W8416" s="503"/>
    </row>
    <row r="8417" spans="23:23">
      <c r="W8417" s="503"/>
    </row>
    <row r="8418" spans="23:23">
      <c r="W8418" s="503"/>
    </row>
    <row r="8419" spans="23:23">
      <c r="W8419" s="503"/>
    </row>
    <row r="8420" spans="23:23">
      <c r="W8420" s="503"/>
    </row>
    <row r="8421" spans="23:23">
      <c r="W8421" s="503"/>
    </row>
    <row r="8422" spans="23:23">
      <c r="W8422" s="503"/>
    </row>
    <row r="8423" spans="23:23">
      <c r="W8423" s="503"/>
    </row>
    <row r="8424" spans="23:23">
      <c r="W8424" s="503"/>
    </row>
    <row r="8425" spans="23:23">
      <c r="W8425" s="503"/>
    </row>
    <row r="8426" spans="23:23">
      <c r="W8426" s="503"/>
    </row>
    <row r="8427" spans="23:23">
      <c r="W8427" s="503"/>
    </row>
    <row r="8428" spans="23:23">
      <c r="W8428" s="503"/>
    </row>
    <row r="8429" spans="23:23">
      <c r="W8429" s="503"/>
    </row>
    <row r="8430" spans="23:23">
      <c r="W8430" s="503"/>
    </row>
    <row r="8431" spans="23:23">
      <c r="W8431" s="503"/>
    </row>
    <row r="8432" spans="23:23">
      <c r="W8432" s="503"/>
    </row>
    <row r="8433" spans="23:23">
      <c r="W8433" s="503"/>
    </row>
    <row r="8434" spans="23:23">
      <c r="W8434" s="503"/>
    </row>
    <row r="8435" spans="23:23">
      <c r="W8435" s="503"/>
    </row>
    <row r="8436" spans="23:23">
      <c r="W8436" s="503"/>
    </row>
    <row r="8437" spans="23:23">
      <c r="W8437" s="503"/>
    </row>
    <row r="8438" spans="23:23">
      <c r="W8438" s="503"/>
    </row>
    <row r="8439" spans="23:23">
      <c r="W8439" s="503"/>
    </row>
    <row r="8440" spans="23:23">
      <c r="W8440" s="503"/>
    </row>
    <row r="8441" spans="23:23">
      <c r="W8441" s="503"/>
    </row>
    <row r="8442" spans="23:23">
      <c r="W8442" s="503"/>
    </row>
    <row r="8443" spans="23:23">
      <c r="W8443" s="503"/>
    </row>
    <row r="8444" spans="23:23">
      <c r="W8444" s="503"/>
    </row>
    <row r="8445" spans="23:23">
      <c r="W8445" s="503"/>
    </row>
    <row r="8446" spans="23:23">
      <c r="W8446" s="503"/>
    </row>
    <row r="8447" spans="23:23">
      <c r="W8447" s="503"/>
    </row>
    <row r="8448" spans="23:23">
      <c r="W8448" s="503"/>
    </row>
    <row r="8449" spans="23:23">
      <c r="W8449" s="503"/>
    </row>
    <row r="8450" spans="23:23">
      <c r="W8450" s="503"/>
    </row>
    <row r="8451" spans="23:23">
      <c r="W8451" s="503"/>
    </row>
    <row r="8452" spans="23:23">
      <c r="W8452" s="503"/>
    </row>
    <row r="8453" spans="23:23">
      <c r="W8453" s="503"/>
    </row>
    <row r="8454" spans="23:23">
      <c r="W8454" s="503"/>
    </row>
    <row r="8455" spans="23:23">
      <c r="W8455" s="503"/>
    </row>
    <row r="8456" spans="23:23">
      <c r="W8456" s="503"/>
    </row>
    <row r="8457" spans="23:23">
      <c r="W8457" s="503"/>
    </row>
    <row r="8458" spans="23:23">
      <c r="W8458" s="503"/>
    </row>
    <row r="8459" spans="23:23">
      <c r="W8459" s="503"/>
    </row>
    <row r="8460" spans="23:23">
      <c r="W8460" s="503"/>
    </row>
    <row r="8461" spans="23:23">
      <c r="W8461" s="503"/>
    </row>
    <row r="8462" spans="23:23">
      <c r="W8462" s="503"/>
    </row>
    <row r="8463" spans="23:23">
      <c r="W8463" s="503"/>
    </row>
    <row r="8464" spans="23:23">
      <c r="W8464" s="503"/>
    </row>
    <row r="8465" spans="23:23">
      <c r="W8465" s="503"/>
    </row>
    <row r="8466" spans="23:23">
      <c r="W8466" s="503"/>
    </row>
    <row r="8467" spans="23:23">
      <c r="W8467" s="503"/>
    </row>
    <row r="8468" spans="23:23">
      <c r="W8468" s="503"/>
    </row>
    <row r="8469" spans="23:23">
      <c r="W8469" s="503"/>
    </row>
    <row r="8470" spans="23:23">
      <c r="W8470" s="503"/>
    </row>
    <row r="8471" spans="23:23">
      <c r="W8471" s="503"/>
    </row>
    <row r="8472" spans="23:23">
      <c r="W8472" s="503"/>
    </row>
    <row r="8473" spans="23:23">
      <c r="W8473" s="503"/>
    </row>
    <row r="8474" spans="23:23">
      <c r="W8474" s="503"/>
    </row>
    <row r="8475" spans="23:23">
      <c r="W8475" s="503"/>
    </row>
    <row r="8476" spans="23:23">
      <c r="W8476" s="503"/>
    </row>
    <row r="8477" spans="23:23">
      <c r="W8477" s="503"/>
    </row>
    <row r="8478" spans="23:23">
      <c r="W8478" s="503"/>
    </row>
    <row r="8479" spans="23:23">
      <c r="W8479" s="503"/>
    </row>
    <row r="8480" spans="23:23">
      <c r="W8480" s="503"/>
    </row>
    <row r="8481" spans="23:23">
      <c r="W8481" s="503"/>
    </row>
    <row r="8482" spans="23:23">
      <c r="W8482" s="503"/>
    </row>
    <row r="8483" spans="23:23">
      <c r="W8483" s="503"/>
    </row>
    <row r="8484" spans="23:23">
      <c r="W8484" s="503"/>
    </row>
    <row r="8485" spans="23:23">
      <c r="W8485" s="503"/>
    </row>
    <row r="8486" spans="23:23">
      <c r="W8486" s="503"/>
    </row>
    <row r="8487" spans="23:23">
      <c r="W8487" s="503"/>
    </row>
    <row r="8488" spans="23:23">
      <c r="W8488" s="503"/>
    </row>
    <row r="8489" spans="23:23">
      <c r="W8489" s="503"/>
    </row>
    <row r="8490" spans="23:23">
      <c r="W8490" s="503"/>
    </row>
    <row r="8491" spans="23:23">
      <c r="W8491" s="503"/>
    </row>
    <row r="8492" spans="23:23">
      <c r="W8492" s="503"/>
    </row>
    <row r="8493" spans="23:23">
      <c r="W8493" s="503"/>
    </row>
    <row r="8494" spans="23:23">
      <c r="W8494" s="503"/>
    </row>
    <row r="8495" spans="23:23">
      <c r="W8495" s="503"/>
    </row>
    <row r="8496" spans="23:23">
      <c r="W8496" s="503"/>
    </row>
    <row r="8497" spans="23:23">
      <c r="W8497" s="503"/>
    </row>
    <row r="8498" spans="23:23">
      <c r="W8498" s="503"/>
    </row>
    <row r="8499" spans="23:23">
      <c r="W8499" s="503"/>
    </row>
    <row r="8500" spans="23:23">
      <c r="W8500" s="503"/>
    </row>
    <row r="8501" spans="23:23">
      <c r="W8501" s="503"/>
    </row>
    <row r="8502" spans="23:23">
      <c r="W8502" s="503"/>
    </row>
    <row r="8503" spans="23:23">
      <c r="W8503" s="503"/>
    </row>
    <row r="8504" spans="23:23">
      <c r="W8504" s="503"/>
    </row>
    <row r="8505" spans="23:23">
      <c r="W8505" s="503"/>
    </row>
    <row r="8506" spans="23:23">
      <c r="W8506" s="503"/>
    </row>
    <row r="8507" spans="23:23">
      <c r="W8507" s="503"/>
    </row>
    <row r="8508" spans="23:23">
      <c r="W8508" s="503"/>
    </row>
    <row r="8509" spans="23:23">
      <c r="W8509" s="503"/>
    </row>
    <row r="8510" spans="23:23">
      <c r="W8510" s="503"/>
    </row>
    <row r="8511" spans="23:23">
      <c r="W8511" s="503"/>
    </row>
    <row r="8512" spans="23:23">
      <c r="W8512" s="503"/>
    </row>
    <row r="8513" spans="23:23">
      <c r="W8513" s="503"/>
    </row>
    <row r="8514" spans="23:23">
      <c r="W8514" s="503"/>
    </row>
    <row r="8515" spans="23:23">
      <c r="W8515" s="503"/>
    </row>
    <row r="8516" spans="23:23">
      <c r="W8516" s="503"/>
    </row>
    <row r="8517" spans="23:23">
      <c r="W8517" s="503"/>
    </row>
    <row r="8518" spans="23:23">
      <c r="W8518" s="503"/>
    </row>
    <row r="8519" spans="23:23">
      <c r="W8519" s="503"/>
    </row>
    <row r="8520" spans="23:23">
      <c r="W8520" s="503"/>
    </row>
    <row r="8521" spans="23:23">
      <c r="W8521" s="503"/>
    </row>
    <row r="8522" spans="23:23">
      <c r="W8522" s="503"/>
    </row>
    <row r="8523" spans="23:23">
      <c r="W8523" s="503"/>
    </row>
    <row r="8524" spans="23:23">
      <c r="W8524" s="503"/>
    </row>
    <row r="8525" spans="23:23">
      <c r="W8525" s="503"/>
    </row>
    <row r="8526" spans="23:23">
      <c r="W8526" s="503"/>
    </row>
    <row r="8527" spans="23:23">
      <c r="W8527" s="503"/>
    </row>
    <row r="8528" spans="23:23">
      <c r="W8528" s="503"/>
    </row>
    <row r="8529" spans="23:23">
      <c r="W8529" s="503"/>
    </row>
    <row r="8530" spans="23:23">
      <c r="W8530" s="503"/>
    </row>
    <row r="8531" spans="23:23">
      <c r="W8531" s="503"/>
    </row>
    <row r="8532" spans="23:23">
      <c r="W8532" s="503"/>
    </row>
    <row r="8533" spans="23:23">
      <c r="W8533" s="503"/>
    </row>
    <row r="8534" spans="23:23">
      <c r="W8534" s="503"/>
    </row>
    <row r="8535" spans="23:23">
      <c r="W8535" s="503"/>
    </row>
    <row r="8536" spans="23:23">
      <c r="W8536" s="503"/>
    </row>
    <row r="8537" spans="23:23">
      <c r="W8537" s="503"/>
    </row>
    <row r="8538" spans="23:23">
      <c r="W8538" s="503"/>
    </row>
    <row r="8539" spans="23:23">
      <c r="W8539" s="503"/>
    </row>
    <row r="8540" spans="23:23">
      <c r="W8540" s="503"/>
    </row>
    <row r="8541" spans="23:23">
      <c r="W8541" s="503"/>
    </row>
    <row r="8542" spans="23:23">
      <c r="W8542" s="503"/>
    </row>
    <row r="8543" spans="23:23">
      <c r="W8543" s="503"/>
    </row>
    <row r="8544" spans="23:23">
      <c r="W8544" s="503"/>
    </row>
    <row r="8545" spans="23:23">
      <c r="W8545" s="503"/>
    </row>
    <row r="8546" spans="23:23">
      <c r="W8546" s="503"/>
    </row>
    <row r="8547" spans="23:23">
      <c r="W8547" s="503"/>
    </row>
    <row r="8548" spans="23:23">
      <c r="W8548" s="503"/>
    </row>
    <row r="8549" spans="23:23">
      <c r="W8549" s="503"/>
    </row>
    <row r="8550" spans="23:23">
      <c r="W8550" s="503"/>
    </row>
    <row r="8551" spans="23:23">
      <c r="W8551" s="503"/>
    </row>
    <row r="8552" spans="23:23">
      <c r="W8552" s="503"/>
    </row>
    <row r="8553" spans="23:23">
      <c r="W8553" s="503"/>
    </row>
    <row r="8554" spans="23:23">
      <c r="W8554" s="503"/>
    </row>
    <row r="8555" spans="23:23">
      <c r="W8555" s="503"/>
    </row>
    <row r="8556" spans="23:23">
      <c r="W8556" s="503"/>
    </row>
    <row r="8557" spans="23:23">
      <c r="W8557" s="503"/>
    </row>
    <row r="8558" spans="23:23">
      <c r="W8558" s="503"/>
    </row>
    <row r="8559" spans="23:23">
      <c r="W8559" s="503"/>
    </row>
    <row r="8560" spans="23:23">
      <c r="W8560" s="503"/>
    </row>
    <row r="8561" spans="23:23">
      <c r="W8561" s="503"/>
    </row>
    <row r="8562" spans="23:23">
      <c r="W8562" s="503"/>
    </row>
    <row r="8563" spans="23:23">
      <c r="W8563" s="503"/>
    </row>
    <row r="8564" spans="23:23">
      <c r="W8564" s="503"/>
    </row>
    <row r="8565" spans="23:23">
      <c r="W8565" s="503"/>
    </row>
    <row r="8566" spans="23:23">
      <c r="W8566" s="503"/>
    </row>
    <row r="8567" spans="23:23">
      <c r="W8567" s="503"/>
    </row>
    <row r="8568" spans="23:23">
      <c r="W8568" s="503"/>
    </row>
    <row r="8569" spans="23:23">
      <c r="W8569" s="503"/>
    </row>
    <row r="8570" spans="23:23">
      <c r="W8570" s="503"/>
    </row>
    <row r="8571" spans="23:23">
      <c r="W8571" s="503"/>
    </row>
    <row r="8572" spans="23:23">
      <c r="W8572" s="503"/>
    </row>
    <row r="8573" spans="23:23">
      <c r="W8573" s="503"/>
    </row>
    <row r="8574" spans="23:23">
      <c r="W8574" s="503"/>
    </row>
    <row r="8575" spans="23:23">
      <c r="W8575" s="503"/>
    </row>
    <row r="8576" spans="23:23">
      <c r="W8576" s="503"/>
    </row>
    <row r="8577" spans="23:23">
      <c r="W8577" s="503"/>
    </row>
    <row r="8578" spans="23:23">
      <c r="W8578" s="503"/>
    </row>
    <row r="8579" spans="23:23">
      <c r="W8579" s="503"/>
    </row>
    <row r="8580" spans="23:23">
      <c r="W8580" s="503"/>
    </row>
    <row r="8581" spans="23:23">
      <c r="W8581" s="503"/>
    </row>
    <row r="8582" spans="23:23">
      <c r="W8582" s="503"/>
    </row>
    <row r="8583" spans="23:23">
      <c r="W8583" s="503"/>
    </row>
    <row r="8584" spans="23:23">
      <c r="W8584" s="503"/>
    </row>
    <row r="8585" spans="23:23">
      <c r="W8585" s="503"/>
    </row>
    <row r="8586" spans="23:23">
      <c r="W8586" s="503"/>
    </row>
    <row r="8587" spans="23:23">
      <c r="W8587" s="503"/>
    </row>
    <row r="8588" spans="23:23">
      <c r="W8588" s="503"/>
    </row>
    <row r="8589" spans="23:23">
      <c r="W8589" s="503"/>
    </row>
    <row r="8590" spans="23:23">
      <c r="W8590" s="503"/>
    </row>
    <row r="8591" spans="23:23">
      <c r="W8591" s="503"/>
    </row>
    <row r="8592" spans="23:23">
      <c r="W8592" s="503"/>
    </row>
    <row r="8593" spans="23:23">
      <c r="W8593" s="503"/>
    </row>
    <row r="8594" spans="23:23">
      <c r="W8594" s="503"/>
    </row>
    <row r="8595" spans="23:23">
      <c r="W8595" s="503"/>
    </row>
    <row r="8596" spans="23:23">
      <c r="W8596" s="503"/>
    </row>
    <row r="8597" spans="23:23">
      <c r="W8597" s="503"/>
    </row>
    <row r="8598" spans="23:23">
      <c r="W8598" s="503"/>
    </row>
    <row r="8599" spans="23:23">
      <c r="W8599" s="503"/>
    </row>
    <row r="8600" spans="23:23">
      <c r="W8600" s="503"/>
    </row>
    <row r="8601" spans="23:23">
      <c r="W8601" s="503"/>
    </row>
    <row r="8602" spans="23:23">
      <c r="W8602" s="503"/>
    </row>
    <row r="8603" spans="23:23">
      <c r="W8603" s="503"/>
    </row>
    <row r="8604" spans="23:23">
      <c r="W8604" s="503"/>
    </row>
    <row r="8605" spans="23:23">
      <c r="W8605" s="503"/>
    </row>
    <row r="8606" spans="23:23">
      <c r="W8606" s="503"/>
    </row>
    <row r="8607" spans="23:23">
      <c r="W8607" s="503"/>
    </row>
    <row r="8608" spans="23:23">
      <c r="W8608" s="503"/>
    </row>
    <row r="8609" spans="23:23">
      <c r="W8609" s="503"/>
    </row>
    <row r="8610" spans="23:23">
      <c r="W8610" s="503"/>
    </row>
    <row r="8611" spans="23:23">
      <c r="W8611" s="503"/>
    </row>
    <row r="8612" spans="23:23">
      <c r="W8612" s="503"/>
    </row>
    <row r="8613" spans="23:23">
      <c r="W8613" s="503"/>
    </row>
    <row r="8614" spans="23:23">
      <c r="W8614" s="503"/>
    </row>
    <row r="8615" spans="23:23">
      <c r="W8615" s="503"/>
    </row>
    <row r="8616" spans="23:23">
      <c r="W8616" s="503"/>
    </row>
    <row r="8617" spans="23:23">
      <c r="W8617" s="503"/>
    </row>
    <row r="8618" spans="23:23">
      <c r="W8618" s="503"/>
    </row>
    <row r="8619" spans="23:23">
      <c r="W8619" s="503"/>
    </row>
    <row r="8620" spans="23:23">
      <c r="W8620" s="503"/>
    </row>
    <row r="8621" spans="23:23">
      <c r="W8621" s="503"/>
    </row>
    <row r="8622" spans="23:23">
      <c r="W8622" s="503"/>
    </row>
    <row r="8623" spans="23:23">
      <c r="W8623" s="503"/>
    </row>
    <row r="8624" spans="23:23">
      <c r="W8624" s="503"/>
    </row>
    <row r="8625" spans="23:23">
      <c r="W8625" s="503"/>
    </row>
    <row r="8626" spans="23:23">
      <c r="W8626" s="503"/>
    </row>
    <row r="8627" spans="23:23">
      <c r="W8627" s="503"/>
    </row>
    <row r="8628" spans="23:23">
      <c r="W8628" s="503"/>
    </row>
    <row r="8629" spans="23:23">
      <c r="W8629" s="503"/>
    </row>
    <row r="8630" spans="23:23">
      <c r="W8630" s="503"/>
    </row>
    <row r="8631" spans="23:23">
      <c r="W8631" s="503"/>
    </row>
    <row r="8632" spans="23:23">
      <c r="W8632" s="503"/>
    </row>
    <row r="8633" spans="23:23">
      <c r="W8633" s="503"/>
    </row>
    <row r="8634" spans="23:23">
      <c r="W8634" s="503"/>
    </row>
    <row r="8635" spans="23:23">
      <c r="W8635" s="503"/>
    </row>
    <row r="8636" spans="23:23">
      <c r="W8636" s="503"/>
    </row>
    <row r="8637" spans="23:23">
      <c r="W8637" s="503"/>
    </row>
    <row r="8638" spans="23:23">
      <c r="W8638" s="503"/>
    </row>
    <row r="8639" spans="23:23">
      <c r="W8639" s="503"/>
    </row>
    <row r="8640" spans="23:23">
      <c r="W8640" s="503"/>
    </row>
    <row r="8641" spans="23:23">
      <c r="W8641" s="503"/>
    </row>
    <row r="8642" spans="23:23">
      <c r="W8642" s="503"/>
    </row>
    <row r="8643" spans="23:23">
      <c r="W8643" s="503"/>
    </row>
    <row r="8644" spans="23:23">
      <c r="W8644" s="503"/>
    </row>
    <row r="8645" spans="23:23">
      <c r="W8645" s="503"/>
    </row>
    <row r="8646" spans="23:23">
      <c r="W8646" s="503"/>
    </row>
    <row r="8647" spans="23:23">
      <c r="W8647" s="503"/>
    </row>
    <row r="8648" spans="23:23">
      <c r="W8648" s="503"/>
    </row>
    <row r="8649" spans="23:23">
      <c r="W8649" s="503"/>
    </row>
    <row r="8650" spans="23:23">
      <c r="W8650" s="503"/>
    </row>
    <row r="8651" spans="23:23">
      <c r="W8651" s="503"/>
    </row>
    <row r="8652" spans="23:23">
      <c r="W8652" s="503"/>
    </row>
    <row r="8653" spans="23:23">
      <c r="W8653" s="503"/>
    </row>
    <row r="8654" spans="23:23">
      <c r="W8654" s="503"/>
    </row>
    <row r="8655" spans="23:23">
      <c r="W8655" s="503"/>
    </row>
    <row r="8656" spans="23:23">
      <c r="W8656" s="503"/>
    </row>
    <row r="8657" spans="23:23">
      <c r="W8657" s="503"/>
    </row>
    <row r="8658" spans="23:23">
      <c r="W8658" s="503"/>
    </row>
    <row r="8659" spans="23:23">
      <c r="W8659" s="503"/>
    </row>
    <row r="8660" spans="23:23">
      <c r="W8660" s="503"/>
    </row>
    <row r="8661" spans="23:23">
      <c r="W8661" s="503"/>
    </row>
    <row r="8662" spans="23:23">
      <c r="W8662" s="503"/>
    </row>
    <row r="8663" spans="23:23">
      <c r="W8663" s="503"/>
    </row>
    <row r="8664" spans="23:23">
      <c r="W8664" s="503"/>
    </row>
    <row r="8665" spans="23:23">
      <c r="W8665" s="503"/>
    </row>
    <row r="8666" spans="23:23">
      <c r="W8666" s="503"/>
    </row>
    <row r="8667" spans="23:23">
      <c r="W8667" s="503"/>
    </row>
    <row r="8668" spans="23:23">
      <c r="W8668" s="503"/>
    </row>
    <row r="8669" spans="23:23">
      <c r="W8669" s="503"/>
    </row>
    <row r="8670" spans="23:23">
      <c r="W8670" s="503"/>
    </row>
    <row r="8671" spans="23:23">
      <c r="W8671" s="503"/>
    </row>
    <row r="8672" spans="23:23">
      <c r="W8672" s="503"/>
    </row>
    <row r="8673" spans="23:23">
      <c r="W8673" s="503"/>
    </row>
    <row r="8674" spans="23:23">
      <c r="W8674" s="503"/>
    </row>
    <row r="8675" spans="23:23">
      <c r="W8675" s="503"/>
    </row>
    <row r="8676" spans="23:23">
      <c r="W8676" s="503"/>
    </row>
    <row r="8677" spans="23:23">
      <c r="W8677" s="503"/>
    </row>
    <row r="8678" spans="23:23">
      <c r="W8678" s="503"/>
    </row>
    <row r="8679" spans="23:23">
      <c r="W8679" s="503"/>
    </row>
    <row r="8680" spans="23:23">
      <c r="W8680" s="503"/>
    </row>
    <row r="8681" spans="23:23">
      <c r="W8681" s="503"/>
    </row>
    <row r="8682" spans="23:23">
      <c r="W8682" s="503"/>
    </row>
    <row r="8683" spans="23:23">
      <c r="W8683" s="503"/>
    </row>
    <row r="8684" spans="23:23">
      <c r="W8684" s="503"/>
    </row>
    <row r="8685" spans="23:23">
      <c r="W8685" s="503"/>
    </row>
    <row r="8686" spans="23:23">
      <c r="W8686" s="503"/>
    </row>
    <row r="8687" spans="23:23">
      <c r="W8687" s="503"/>
    </row>
    <row r="8688" spans="23:23">
      <c r="W8688" s="503"/>
    </row>
    <row r="8689" spans="23:23">
      <c r="W8689" s="503"/>
    </row>
    <row r="8690" spans="23:23">
      <c r="W8690" s="503"/>
    </row>
    <row r="8691" spans="23:23">
      <c r="W8691" s="503"/>
    </row>
    <row r="8692" spans="23:23">
      <c r="W8692" s="503"/>
    </row>
    <row r="8693" spans="23:23">
      <c r="W8693" s="503"/>
    </row>
    <row r="8694" spans="23:23">
      <c r="W8694" s="503"/>
    </row>
    <row r="8695" spans="23:23">
      <c r="W8695" s="503"/>
    </row>
    <row r="8696" spans="23:23">
      <c r="W8696" s="503"/>
    </row>
    <row r="8697" spans="23:23">
      <c r="W8697" s="503"/>
    </row>
    <row r="8698" spans="23:23">
      <c r="W8698" s="503"/>
    </row>
    <row r="8699" spans="23:23">
      <c r="W8699" s="503"/>
    </row>
    <row r="8700" spans="23:23">
      <c r="W8700" s="503"/>
    </row>
    <row r="8701" spans="23:23">
      <c r="W8701" s="503"/>
    </row>
    <row r="8702" spans="23:23">
      <c r="W8702" s="503"/>
    </row>
    <row r="8703" spans="23:23">
      <c r="W8703" s="503"/>
    </row>
    <row r="8704" spans="23:23">
      <c r="W8704" s="503"/>
    </row>
    <row r="8705" spans="23:23">
      <c r="W8705" s="503"/>
    </row>
    <row r="8706" spans="23:23">
      <c r="W8706" s="503"/>
    </row>
    <row r="8707" spans="23:23">
      <c r="W8707" s="503"/>
    </row>
    <row r="8708" spans="23:23">
      <c r="W8708" s="503"/>
    </row>
    <row r="8709" spans="23:23">
      <c r="W8709" s="503"/>
    </row>
    <row r="8710" spans="23:23">
      <c r="W8710" s="503"/>
    </row>
    <row r="8711" spans="23:23">
      <c r="W8711" s="503"/>
    </row>
    <row r="8712" spans="23:23">
      <c r="W8712" s="503"/>
    </row>
    <row r="8713" spans="23:23">
      <c r="W8713" s="503"/>
    </row>
    <row r="8714" spans="23:23">
      <c r="W8714" s="503"/>
    </row>
    <row r="8715" spans="23:23">
      <c r="W8715" s="503"/>
    </row>
    <row r="8716" spans="23:23">
      <c r="W8716" s="503"/>
    </row>
    <row r="8717" spans="23:23">
      <c r="W8717" s="503"/>
    </row>
    <row r="8718" spans="23:23">
      <c r="W8718" s="503"/>
    </row>
    <row r="8719" spans="23:23">
      <c r="W8719" s="503"/>
    </row>
    <row r="8720" spans="23:23">
      <c r="W8720" s="503"/>
    </row>
    <row r="8721" spans="23:23">
      <c r="W8721" s="503"/>
    </row>
    <row r="8722" spans="23:23">
      <c r="W8722" s="503"/>
    </row>
    <row r="8723" spans="23:23">
      <c r="W8723" s="503"/>
    </row>
    <row r="8724" spans="23:23">
      <c r="W8724" s="503"/>
    </row>
    <row r="8725" spans="23:23">
      <c r="W8725" s="503"/>
    </row>
    <row r="8726" spans="23:23">
      <c r="W8726" s="503"/>
    </row>
    <row r="8727" spans="23:23">
      <c r="W8727" s="503"/>
    </row>
    <row r="8728" spans="23:23">
      <c r="W8728" s="503"/>
    </row>
    <row r="8729" spans="23:23">
      <c r="W8729" s="503"/>
    </row>
    <row r="8730" spans="23:23">
      <c r="W8730" s="503"/>
    </row>
    <row r="8731" spans="23:23">
      <c r="W8731" s="503"/>
    </row>
    <row r="8732" spans="23:23">
      <c r="W8732" s="503"/>
    </row>
    <row r="8733" spans="23:23">
      <c r="W8733" s="503"/>
    </row>
    <row r="8734" spans="23:23">
      <c r="W8734" s="503"/>
    </row>
    <row r="8735" spans="23:23">
      <c r="W8735" s="503"/>
    </row>
    <row r="8736" spans="23:23">
      <c r="W8736" s="503"/>
    </row>
    <row r="8737" spans="23:23">
      <c r="W8737" s="503"/>
    </row>
    <row r="8738" spans="23:23">
      <c r="W8738" s="503"/>
    </row>
    <row r="8739" spans="23:23">
      <c r="W8739" s="503"/>
    </row>
    <row r="8740" spans="23:23">
      <c r="W8740" s="503"/>
    </row>
    <row r="8741" spans="23:23">
      <c r="W8741" s="503"/>
    </row>
    <row r="8742" spans="23:23">
      <c r="W8742" s="503"/>
    </row>
    <row r="8743" spans="23:23">
      <c r="W8743" s="503"/>
    </row>
    <row r="8744" spans="23:23">
      <c r="W8744" s="503"/>
    </row>
    <row r="8745" spans="23:23">
      <c r="W8745" s="503"/>
    </row>
    <row r="8746" spans="23:23">
      <c r="W8746" s="503"/>
    </row>
    <row r="8747" spans="23:23">
      <c r="W8747" s="503"/>
    </row>
    <row r="8748" spans="23:23">
      <c r="W8748" s="503"/>
    </row>
    <row r="8749" spans="23:23">
      <c r="W8749" s="503"/>
    </row>
    <row r="8750" spans="23:23">
      <c r="W8750" s="503"/>
    </row>
    <row r="8751" spans="23:23">
      <c r="W8751" s="503"/>
    </row>
    <row r="8752" spans="23:23">
      <c r="W8752" s="503"/>
    </row>
    <row r="8753" spans="23:23">
      <c r="W8753" s="503"/>
    </row>
    <row r="8754" spans="23:23">
      <c r="W8754" s="503"/>
    </row>
    <row r="8755" spans="23:23">
      <c r="W8755" s="503"/>
    </row>
    <row r="8756" spans="23:23">
      <c r="W8756" s="503"/>
    </row>
    <row r="8757" spans="23:23">
      <c r="W8757" s="503"/>
    </row>
    <row r="8758" spans="23:23">
      <c r="W8758" s="503"/>
    </row>
    <row r="8759" spans="23:23">
      <c r="W8759" s="503"/>
    </row>
    <row r="8760" spans="23:23">
      <c r="W8760" s="503"/>
    </row>
    <row r="8761" spans="23:23">
      <c r="W8761" s="503"/>
    </row>
    <row r="8762" spans="23:23">
      <c r="W8762" s="503"/>
    </row>
    <row r="8763" spans="23:23">
      <c r="W8763" s="503"/>
    </row>
    <row r="8764" spans="23:23">
      <c r="W8764" s="503"/>
    </row>
    <row r="8765" spans="23:23">
      <c r="W8765" s="503"/>
    </row>
    <row r="8766" spans="23:23">
      <c r="W8766" s="503"/>
    </row>
    <row r="8767" spans="23:23">
      <c r="W8767" s="503"/>
    </row>
    <row r="8768" spans="23:23">
      <c r="W8768" s="503"/>
    </row>
    <row r="8769" spans="23:23">
      <c r="W8769" s="503"/>
    </row>
    <row r="8770" spans="23:23">
      <c r="W8770" s="503"/>
    </row>
    <row r="8771" spans="23:23">
      <c r="W8771" s="503"/>
    </row>
    <row r="8772" spans="23:23">
      <c r="W8772" s="503"/>
    </row>
    <row r="8773" spans="23:23">
      <c r="W8773" s="503"/>
    </row>
    <row r="8774" spans="23:23">
      <c r="W8774" s="503"/>
    </row>
    <row r="8775" spans="23:23">
      <c r="W8775" s="503"/>
    </row>
    <row r="8776" spans="23:23">
      <c r="W8776" s="503"/>
    </row>
    <row r="8777" spans="23:23">
      <c r="W8777" s="503"/>
    </row>
    <row r="8778" spans="23:23">
      <c r="W8778" s="503"/>
    </row>
    <row r="8779" spans="23:23">
      <c r="W8779" s="503"/>
    </row>
    <row r="8780" spans="23:23">
      <c r="W8780" s="503"/>
    </row>
    <row r="8781" spans="23:23">
      <c r="W8781" s="503"/>
    </row>
    <row r="8782" spans="23:23">
      <c r="W8782" s="503"/>
    </row>
    <row r="8783" spans="23:23">
      <c r="W8783" s="503"/>
    </row>
    <row r="8784" spans="23:23">
      <c r="W8784" s="503"/>
    </row>
    <row r="8785" spans="23:23">
      <c r="W8785" s="503"/>
    </row>
    <row r="8786" spans="23:23">
      <c r="W8786" s="503"/>
    </row>
    <row r="8787" spans="23:23">
      <c r="W8787" s="503"/>
    </row>
    <row r="8788" spans="23:23">
      <c r="W8788" s="503"/>
    </row>
    <row r="8789" spans="23:23">
      <c r="W8789" s="503"/>
    </row>
    <row r="8790" spans="23:23">
      <c r="W8790" s="503"/>
    </row>
    <row r="8791" spans="23:23">
      <c r="W8791" s="503"/>
    </row>
    <row r="8792" spans="23:23">
      <c r="W8792" s="503"/>
    </row>
    <row r="8793" spans="23:23">
      <c r="W8793" s="503"/>
    </row>
    <row r="8794" spans="23:23">
      <c r="W8794" s="503"/>
    </row>
    <row r="8795" spans="23:23">
      <c r="W8795" s="503"/>
    </row>
    <row r="8796" spans="23:23">
      <c r="W8796" s="503"/>
    </row>
    <row r="8797" spans="23:23">
      <c r="W8797" s="503"/>
    </row>
    <row r="8798" spans="23:23">
      <c r="W8798" s="503"/>
    </row>
    <row r="8799" spans="23:23">
      <c r="W8799" s="503"/>
    </row>
    <row r="8800" spans="23:23">
      <c r="W8800" s="503"/>
    </row>
    <row r="8801" spans="23:23">
      <c r="W8801" s="503"/>
    </row>
    <row r="8802" spans="23:23">
      <c r="W8802" s="503"/>
    </row>
    <row r="8803" spans="23:23">
      <c r="W8803" s="503"/>
    </row>
    <row r="8804" spans="23:23">
      <c r="W8804" s="503"/>
    </row>
    <row r="8805" spans="23:23">
      <c r="W8805" s="503"/>
    </row>
    <row r="8806" spans="23:23">
      <c r="W8806" s="503"/>
    </row>
    <row r="8807" spans="23:23">
      <c r="W8807" s="503"/>
    </row>
    <row r="8808" spans="23:23">
      <c r="W8808" s="503"/>
    </row>
    <row r="8809" spans="23:23">
      <c r="W8809" s="503"/>
    </row>
    <row r="8810" spans="23:23">
      <c r="W8810" s="503"/>
    </row>
    <row r="8811" spans="23:23">
      <c r="W8811" s="503"/>
    </row>
    <row r="8812" spans="23:23">
      <c r="W8812" s="503"/>
    </row>
    <row r="8813" spans="23:23">
      <c r="W8813" s="503"/>
    </row>
    <row r="8814" spans="23:23">
      <c r="W8814" s="503"/>
    </row>
    <row r="8815" spans="23:23">
      <c r="W8815" s="503"/>
    </row>
    <row r="8816" spans="23:23">
      <c r="W8816" s="503"/>
    </row>
    <row r="8817" spans="23:23">
      <c r="W8817" s="503"/>
    </row>
    <row r="8818" spans="23:23">
      <c r="W8818" s="503"/>
    </row>
    <row r="8819" spans="23:23">
      <c r="W8819" s="503"/>
    </row>
    <row r="8820" spans="23:23">
      <c r="W8820" s="503"/>
    </row>
    <row r="8821" spans="23:23">
      <c r="W8821" s="503"/>
    </row>
    <row r="8822" spans="23:23">
      <c r="W8822" s="503"/>
    </row>
    <row r="8823" spans="23:23">
      <c r="W8823" s="503"/>
    </row>
    <row r="8824" spans="23:23">
      <c r="W8824" s="503"/>
    </row>
    <row r="8825" spans="23:23">
      <c r="W8825" s="503"/>
    </row>
    <row r="8826" spans="23:23">
      <c r="W8826" s="503"/>
    </row>
    <row r="8827" spans="23:23">
      <c r="W8827" s="503"/>
    </row>
    <row r="8828" spans="23:23">
      <c r="W8828" s="503"/>
    </row>
    <row r="8829" spans="23:23">
      <c r="W8829" s="503"/>
    </row>
    <row r="8830" spans="23:23">
      <c r="W8830" s="503"/>
    </row>
    <row r="8831" spans="23:23">
      <c r="W8831" s="503"/>
    </row>
    <row r="8832" spans="23:23">
      <c r="W8832" s="503"/>
    </row>
    <row r="8833" spans="23:23">
      <c r="W8833" s="503"/>
    </row>
    <row r="8834" spans="23:23">
      <c r="W8834" s="503"/>
    </row>
    <row r="8835" spans="23:23">
      <c r="W8835" s="503"/>
    </row>
    <row r="8836" spans="23:23">
      <c r="W8836" s="503"/>
    </row>
    <row r="8837" spans="23:23">
      <c r="W8837" s="503"/>
    </row>
    <row r="8838" spans="23:23">
      <c r="W8838" s="503"/>
    </row>
    <row r="8839" spans="23:23">
      <c r="W8839" s="503"/>
    </row>
    <row r="8840" spans="23:23">
      <c r="W8840" s="503"/>
    </row>
    <row r="8841" spans="23:23">
      <c r="W8841" s="503"/>
    </row>
    <row r="8842" spans="23:23">
      <c r="W8842" s="503"/>
    </row>
    <row r="8843" spans="23:23">
      <c r="W8843" s="503"/>
    </row>
    <row r="8844" spans="23:23">
      <c r="W8844" s="503"/>
    </row>
    <row r="8845" spans="23:23">
      <c r="W8845" s="503"/>
    </row>
    <row r="8846" spans="23:23">
      <c r="W8846" s="503"/>
    </row>
    <row r="8847" spans="23:23">
      <c r="W8847" s="503"/>
    </row>
    <row r="8848" spans="23:23">
      <c r="W8848" s="503"/>
    </row>
    <row r="8849" spans="23:23">
      <c r="W8849" s="503"/>
    </row>
    <row r="8850" spans="23:23">
      <c r="W8850" s="503"/>
    </row>
    <row r="8851" spans="23:23">
      <c r="W8851" s="503"/>
    </row>
    <row r="8852" spans="23:23">
      <c r="W8852" s="503"/>
    </row>
    <row r="8853" spans="23:23">
      <c r="W8853" s="503"/>
    </row>
    <row r="8854" spans="23:23">
      <c r="W8854" s="503"/>
    </row>
    <row r="8855" spans="23:23">
      <c r="W8855" s="503"/>
    </row>
    <row r="8856" spans="23:23">
      <c r="W8856" s="503"/>
    </row>
    <row r="8857" spans="23:23">
      <c r="W8857" s="503"/>
    </row>
    <row r="8858" spans="23:23">
      <c r="W8858" s="503"/>
    </row>
    <row r="8859" spans="23:23">
      <c r="W8859" s="503"/>
    </row>
    <row r="8860" spans="23:23">
      <c r="W8860" s="503"/>
    </row>
    <row r="8861" spans="23:23">
      <c r="W8861" s="503"/>
    </row>
    <row r="8862" spans="23:23">
      <c r="W8862" s="503"/>
    </row>
    <row r="8863" spans="23:23">
      <c r="W8863" s="503"/>
    </row>
    <row r="8864" spans="23:23">
      <c r="W8864" s="503"/>
    </row>
    <row r="8865" spans="23:23">
      <c r="W8865" s="503"/>
    </row>
    <row r="8866" spans="23:23">
      <c r="W8866" s="503"/>
    </row>
    <row r="8867" spans="23:23">
      <c r="W8867" s="503"/>
    </row>
    <row r="8868" spans="23:23">
      <c r="W8868" s="503"/>
    </row>
    <row r="8869" spans="23:23">
      <c r="W8869" s="503"/>
    </row>
    <row r="8870" spans="23:23">
      <c r="W8870" s="503"/>
    </row>
    <row r="8871" spans="23:23">
      <c r="W8871" s="503"/>
    </row>
    <row r="8872" spans="23:23">
      <c r="W8872" s="503"/>
    </row>
    <row r="8873" spans="23:23">
      <c r="W8873" s="503"/>
    </row>
    <row r="8874" spans="23:23">
      <c r="W8874" s="503"/>
    </row>
    <row r="8875" spans="23:23">
      <c r="W8875" s="503"/>
    </row>
    <row r="8876" spans="23:23">
      <c r="W8876" s="503"/>
    </row>
    <row r="8877" spans="23:23">
      <c r="W8877" s="503"/>
    </row>
    <row r="8878" spans="23:23">
      <c r="W8878" s="503"/>
    </row>
    <row r="8879" spans="23:23">
      <c r="W8879" s="503"/>
    </row>
    <row r="8880" spans="23:23">
      <c r="W8880" s="503"/>
    </row>
    <row r="8881" spans="23:23">
      <c r="W8881" s="503"/>
    </row>
    <row r="8882" spans="23:23">
      <c r="W8882" s="503"/>
    </row>
    <row r="8883" spans="23:23">
      <c r="W8883" s="503"/>
    </row>
    <row r="8884" spans="23:23">
      <c r="W8884" s="503"/>
    </row>
    <row r="8885" spans="23:23">
      <c r="W8885" s="503"/>
    </row>
    <row r="8886" spans="23:23">
      <c r="W8886" s="503"/>
    </row>
    <row r="8887" spans="23:23">
      <c r="W8887" s="503"/>
    </row>
    <row r="8888" spans="23:23">
      <c r="W8888" s="503"/>
    </row>
    <row r="8889" spans="23:23">
      <c r="W8889" s="503"/>
    </row>
    <row r="8890" spans="23:23">
      <c r="W8890" s="503"/>
    </row>
    <row r="8891" spans="23:23">
      <c r="W8891" s="503"/>
    </row>
    <row r="8892" spans="23:23">
      <c r="W8892" s="503"/>
    </row>
    <row r="8893" spans="23:23">
      <c r="W8893" s="503"/>
    </row>
    <row r="8894" spans="23:23">
      <c r="W8894" s="503"/>
    </row>
    <row r="8895" spans="23:23">
      <c r="W8895" s="503"/>
    </row>
    <row r="8896" spans="23:23">
      <c r="W8896" s="503"/>
    </row>
    <row r="8897" spans="23:23">
      <c r="W8897" s="503"/>
    </row>
    <row r="8898" spans="23:23">
      <c r="W8898" s="503"/>
    </row>
    <row r="8899" spans="23:23">
      <c r="W8899" s="503"/>
    </row>
    <row r="8900" spans="23:23">
      <c r="W8900" s="503"/>
    </row>
    <row r="8901" spans="23:23">
      <c r="W8901" s="503"/>
    </row>
    <row r="8902" spans="23:23">
      <c r="W8902" s="503"/>
    </row>
    <row r="8903" spans="23:23">
      <c r="W8903" s="503"/>
    </row>
    <row r="8904" spans="23:23">
      <c r="W8904" s="503"/>
    </row>
    <row r="8905" spans="23:23">
      <c r="W8905" s="503"/>
    </row>
    <row r="8906" spans="23:23">
      <c r="W8906" s="503"/>
    </row>
    <row r="8907" spans="23:23">
      <c r="W8907" s="503"/>
    </row>
    <row r="8908" spans="23:23">
      <c r="W8908" s="503"/>
    </row>
    <row r="8909" spans="23:23">
      <c r="W8909" s="503"/>
    </row>
    <row r="8910" spans="23:23">
      <c r="W8910" s="503"/>
    </row>
    <row r="8911" spans="23:23">
      <c r="W8911" s="503"/>
    </row>
    <row r="8912" spans="23:23">
      <c r="W8912" s="503"/>
    </row>
    <row r="8913" spans="23:23">
      <c r="W8913" s="503"/>
    </row>
    <row r="8914" spans="23:23">
      <c r="W8914" s="503"/>
    </row>
    <row r="8915" spans="23:23">
      <c r="W8915" s="503"/>
    </row>
    <row r="8916" spans="23:23">
      <c r="W8916" s="503"/>
    </row>
    <row r="8917" spans="23:23">
      <c r="W8917" s="503"/>
    </row>
    <row r="8918" spans="23:23">
      <c r="W8918" s="503"/>
    </row>
    <row r="8919" spans="23:23">
      <c r="W8919" s="503"/>
    </row>
    <row r="8920" spans="23:23">
      <c r="W8920" s="503"/>
    </row>
    <row r="8921" spans="23:23">
      <c r="W8921" s="503"/>
    </row>
    <row r="8922" spans="23:23">
      <c r="W8922" s="503"/>
    </row>
    <row r="8923" spans="23:23">
      <c r="W8923" s="503"/>
    </row>
    <row r="8924" spans="23:23">
      <c r="W8924" s="503"/>
    </row>
    <row r="8925" spans="23:23">
      <c r="W8925" s="503"/>
    </row>
    <row r="8926" spans="23:23">
      <c r="W8926" s="503"/>
    </row>
    <row r="8927" spans="23:23">
      <c r="W8927" s="503"/>
    </row>
    <row r="8928" spans="23:23">
      <c r="W8928" s="503"/>
    </row>
    <row r="8929" spans="23:23">
      <c r="W8929" s="503"/>
    </row>
    <row r="8930" spans="23:23">
      <c r="W8930" s="503"/>
    </row>
    <row r="8931" spans="23:23">
      <c r="W8931" s="503"/>
    </row>
    <row r="8932" spans="23:23">
      <c r="W8932" s="503"/>
    </row>
    <row r="8933" spans="23:23">
      <c r="W8933" s="503"/>
    </row>
    <row r="8934" spans="23:23">
      <c r="W8934" s="503"/>
    </row>
    <row r="8935" spans="23:23">
      <c r="W8935" s="503"/>
    </row>
    <row r="8936" spans="23:23">
      <c r="W8936" s="503"/>
    </row>
    <row r="8937" spans="23:23">
      <c r="W8937" s="503"/>
    </row>
    <row r="8938" spans="23:23">
      <c r="W8938" s="503"/>
    </row>
    <row r="8939" spans="23:23">
      <c r="W8939" s="503"/>
    </row>
    <row r="8940" spans="23:23">
      <c r="W8940" s="503"/>
    </row>
    <row r="8941" spans="23:23">
      <c r="W8941" s="503"/>
    </row>
    <row r="8942" spans="23:23">
      <c r="W8942" s="503"/>
    </row>
    <row r="8943" spans="23:23">
      <c r="W8943" s="503"/>
    </row>
    <row r="8944" spans="23:23">
      <c r="W8944" s="503"/>
    </row>
    <row r="8945" spans="23:23">
      <c r="W8945" s="503"/>
    </row>
    <row r="8946" spans="23:23">
      <c r="W8946" s="503"/>
    </row>
    <row r="8947" spans="23:23">
      <c r="W8947" s="503"/>
    </row>
    <row r="8948" spans="23:23">
      <c r="W8948" s="503"/>
    </row>
    <row r="8949" spans="23:23">
      <c r="W8949" s="503"/>
    </row>
    <row r="8950" spans="23:23">
      <c r="W8950" s="503"/>
    </row>
    <row r="8951" spans="23:23">
      <c r="W8951" s="503"/>
    </row>
    <row r="8952" spans="23:23">
      <c r="W8952" s="503"/>
    </row>
    <row r="8953" spans="23:23">
      <c r="W8953" s="503"/>
    </row>
    <row r="8954" spans="23:23">
      <c r="W8954" s="503"/>
    </row>
    <row r="8955" spans="23:23">
      <c r="W8955" s="503"/>
    </row>
    <row r="8956" spans="23:23">
      <c r="W8956" s="503"/>
    </row>
    <row r="8957" spans="23:23">
      <c r="W8957" s="503"/>
    </row>
    <row r="8958" spans="23:23">
      <c r="W8958" s="503"/>
    </row>
    <row r="8959" spans="23:23">
      <c r="W8959" s="503"/>
    </row>
    <row r="8960" spans="23:23">
      <c r="W8960" s="503"/>
    </row>
    <row r="8961" spans="23:23">
      <c r="W8961" s="503"/>
    </row>
    <row r="8962" spans="23:23">
      <c r="W8962" s="503"/>
    </row>
    <row r="8963" spans="23:23">
      <c r="W8963" s="503"/>
    </row>
    <row r="8964" spans="23:23">
      <c r="W8964" s="503"/>
    </row>
    <row r="8965" spans="23:23">
      <c r="W8965" s="503"/>
    </row>
    <row r="8966" spans="23:23">
      <c r="W8966" s="503"/>
    </row>
    <row r="8967" spans="23:23">
      <c r="W8967" s="503"/>
    </row>
    <row r="8968" spans="23:23">
      <c r="W8968" s="503"/>
    </row>
    <row r="8969" spans="23:23">
      <c r="W8969" s="503"/>
    </row>
    <row r="8970" spans="23:23">
      <c r="W8970" s="503"/>
    </row>
    <row r="8971" spans="23:23">
      <c r="W8971" s="503"/>
    </row>
    <row r="8972" spans="23:23">
      <c r="W8972" s="503"/>
    </row>
    <row r="8973" spans="23:23">
      <c r="W8973" s="503"/>
    </row>
    <row r="8974" spans="23:23">
      <c r="W8974" s="503"/>
    </row>
    <row r="8975" spans="23:23">
      <c r="W8975" s="503"/>
    </row>
    <row r="8976" spans="23:23">
      <c r="W8976" s="503"/>
    </row>
    <row r="8977" spans="23:23">
      <c r="W8977" s="503"/>
    </row>
    <row r="8978" spans="23:23">
      <c r="W8978" s="503"/>
    </row>
    <row r="8979" spans="23:23">
      <c r="W8979" s="503"/>
    </row>
    <row r="8980" spans="23:23">
      <c r="W8980" s="503"/>
    </row>
    <row r="8981" spans="23:23">
      <c r="W8981" s="503"/>
    </row>
    <row r="8982" spans="23:23">
      <c r="W8982" s="503"/>
    </row>
    <row r="8983" spans="23:23">
      <c r="W8983" s="503"/>
    </row>
    <row r="8984" spans="23:23">
      <c r="W8984" s="503"/>
    </row>
    <row r="8985" spans="23:23">
      <c r="W8985" s="503"/>
    </row>
    <row r="8986" spans="23:23">
      <c r="W8986" s="503"/>
    </row>
    <row r="8987" spans="23:23">
      <c r="W8987" s="503"/>
    </row>
    <row r="8988" spans="23:23">
      <c r="W8988" s="503"/>
    </row>
    <row r="8989" spans="23:23">
      <c r="W8989" s="503"/>
    </row>
    <row r="8990" spans="23:23">
      <c r="W8990" s="503"/>
    </row>
    <row r="8991" spans="23:23">
      <c r="W8991" s="503"/>
    </row>
    <row r="8992" spans="23:23">
      <c r="W8992" s="503"/>
    </row>
    <row r="8993" spans="23:23">
      <c r="W8993" s="503"/>
    </row>
    <row r="8994" spans="23:23">
      <c r="W8994" s="503"/>
    </row>
    <row r="8995" spans="23:23">
      <c r="W8995" s="503"/>
    </row>
    <row r="8996" spans="23:23">
      <c r="W8996" s="503"/>
    </row>
    <row r="8997" spans="23:23">
      <c r="W8997" s="503"/>
    </row>
    <row r="8998" spans="23:23">
      <c r="W8998" s="503"/>
    </row>
    <row r="8999" spans="23:23">
      <c r="W8999" s="503"/>
    </row>
    <row r="9000" spans="23:23">
      <c r="W9000" s="503"/>
    </row>
    <row r="9001" spans="23:23">
      <c r="W9001" s="503"/>
    </row>
    <row r="9002" spans="23:23">
      <c r="W9002" s="503"/>
    </row>
    <row r="9003" spans="23:23">
      <c r="W9003" s="503"/>
    </row>
    <row r="9004" spans="23:23">
      <c r="W9004" s="503"/>
    </row>
    <row r="9005" spans="23:23">
      <c r="W9005" s="503"/>
    </row>
    <row r="9006" spans="23:23">
      <c r="W9006" s="503"/>
    </row>
    <row r="9007" spans="23:23">
      <c r="W9007" s="503"/>
    </row>
    <row r="9008" spans="23:23">
      <c r="W9008" s="503"/>
    </row>
    <row r="9009" spans="23:23">
      <c r="W9009" s="503"/>
    </row>
    <row r="9010" spans="23:23">
      <c r="W9010" s="503"/>
    </row>
    <row r="9011" spans="23:23">
      <c r="W9011" s="503"/>
    </row>
    <row r="9012" spans="23:23">
      <c r="W9012" s="503"/>
    </row>
    <row r="9013" spans="23:23">
      <c r="W9013" s="503"/>
    </row>
    <row r="9014" spans="23:23">
      <c r="W9014" s="503"/>
    </row>
    <row r="9015" spans="23:23">
      <c r="W9015" s="503"/>
    </row>
    <row r="9016" spans="23:23">
      <c r="W9016" s="503"/>
    </row>
    <row r="9017" spans="23:23">
      <c r="W9017" s="503"/>
    </row>
    <row r="9018" spans="23:23">
      <c r="W9018" s="503"/>
    </row>
    <row r="9019" spans="23:23">
      <c r="W9019" s="503"/>
    </row>
    <row r="9020" spans="23:23">
      <c r="W9020" s="503"/>
    </row>
    <row r="9021" spans="23:23">
      <c r="W9021" s="503"/>
    </row>
    <row r="9022" spans="23:23">
      <c r="W9022" s="503"/>
    </row>
    <row r="9023" spans="23:23">
      <c r="W9023" s="503"/>
    </row>
    <row r="9024" spans="23:23">
      <c r="W9024" s="503"/>
    </row>
    <row r="9025" spans="23:23">
      <c r="W9025" s="503"/>
    </row>
    <row r="9026" spans="23:23">
      <c r="W9026" s="503"/>
    </row>
    <row r="9027" spans="23:23">
      <c r="W9027" s="503"/>
    </row>
    <row r="9028" spans="23:23">
      <c r="W9028" s="503"/>
    </row>
    <row r="9029" spans="23:23">
      <c r="W9029" s="503"/>
    </row>
    <row r="9030" spans="23:23">
      <c r="W9030" s="503"/>
    </row>
    <row r="9031" spans="23:23">
      <c r="W9031" s="503"/>
    </row>
    <row r="9032" spans="23:23">
      <c r="W9032" s="503"/>
    </row>
    <row r="9033" spans="23:23">
      <c r="W9033" s="503"/>
    </row>
    <row r="9034" spans="23:23">
      <c r="W9034" s="503"/>
    </row>
    <row r="9035" spans="23:23">
      <c r="W9035" s="503"/>
    </row>
    <row r="9036" spans="23:23">
      <c r="W9036" s="503"/>
    </row>
    <row r="9037" spans="23:23">
      <c r="W9037" s="503"/>
    </row>
    <row r="9038" spans="23:23">
      <c r="W9038" s="503"/>
    </row>
    <row r="9039" spans="23:23">
      <c r="W9039" s="503"/>
    </row>
    <row r="9040" spans="23:23">
      <c r="W9040" s="503"/>
    </row>
    <row r="9041" spans="23:23">
      <c r="W9041" s="503"/>
    </row>
    <row r="9042" spans="23:23">
      <c r="W9042" s="503"/>
    </row>
    <row r="9043" spans="23:23">
      <c r="W9043" s="503"/>
    </row>
    <row r="9044" spans="23:23">
      <c r="W9044" s="503"/>
    </row>
    <row r="9045" spans="23:23">
      <c r="W9045" s="503"/>
    </row>
    <row r="9046" spans="23:23">
      <c r="W9046" s="503"/>
    </row>
    <row r="9047" spans="23:23">
      <c r="W9047" s="503"/>
    </row>
    <row r="9048" spans="23:23">
      <c r="W9048" s="503"/>
    </row>
    <row r="9049" spans="23:23">
      <c r="W9049" s="503"/>
    </row>
    <row r="9050" spans="23:23">
      <c r="W9050" s="503"/>
    </row>
    <row r="9051" spans="23:23">
      <c r="W9051" s="503"/>
    </row>
    <row r="9052" spans="23:23">
      <c r="W9052" s="503"/>
    </row>
    <row r="9053" spans="23:23">
      <c r="W9053" s="503"/>
    </row>
    <row r="9054" spans="23:23">
      <c r="W9054" s="503"/>
    </row>
    <row r="9055" spans="23:23">
      <c r="W9055" s="503"/>
    </row>
    <row r="9056" spans="23:23">
      <c r="W9056" s="503"/>
    </row>
    <row r="9057" spans="23:23">
      <c r="W9057" s="503"/>
    </row>
    <row r="9058" spans="23:23">
      <c r="W9058" s="503"/>
    </row>
    <row r="9059" spans="23:23">
      <c r="W9059" s="503"/>
    </row>
    <row r="9060" spans="23:23">
      <c r="W9060" s="503"/>
    </row>
    <row r="9061" spans="23:23">
      <c r="W9061" s="503"/>
    </row>
    <row r="9062" spans="23:23">
      <c r="W9062" s="503"/>
    </row>
    <row r="9063" spans="23:23">
      <c r="W9063" s="503"/>
    </row>
    <row r="9064" spans="23:23">
      <c r="W9064" s="503"/>
    </row>
    <row r="9065" spans="23:23">
      <c r="W9065" s="503"/>
    </row>
    <row r="9066" spans="23:23">
      <c r="W9066" s="503"/>
    </row>
    <row r="9067" spans="23:23">
      <c r="W9067" s="503"/>
    </row>
    <row r="9068" spans="23:23">
      <c r="W9068" s="503"/>
    </row>
    <row r="9069" spans="23:23">
      <c r="W9069" s="503"/>
    </row>
    <row r="9070" spans="23:23">
      <c r="W9070" s="503"/>
    </row>
    <row r="9071" spans="23:23">
      <c r="W9071" s="503"/>
    </row>
    <row r="9072" spans="23:23">
      <c r="W9072" s="503"/>
    </row>
    <row r="9073" spans="23:23">
      <c r="W9073" s="503"/>
    </row>
    <row r="9074" spans="23:23">
      <c r="W9074" s="503"/>
    </row>
    <row r="9075" spans="23:23">
      <c r="W9075" s="503"/>
    </row>
    <row r="9076" spans="23:23">
      <c r="W9076" s="503"/>
    </row>
    <row r="9077" spans="23:23">
      <c r="W9077" s="503"/>
    </row>
    <row r="9078" spans="23:23">
      <c r="W9078" s="503"/>
    </row>
    <row r="9079" spans="23:23">
      <c r="W9079" s="503"/>
    </row>
    <row r="9080" spans="23:23">
      <c r="W9080" s="503"/>
    </row>
    <row r="9081" spans="23:23">
      <c r="W9081" s="503"/>
    </row>
    <row r="9082" spans="23:23">
      <c r="W9082" s="503"/>
    </row>
    <row r="9083" spans="23:23">
      <c r="W9083" s="503"/>
    </row>
    <row r="9084" spans="23:23">
      <c r="W9084" s="503"/>
    </row>
    <row r="9085" spans="23:23">
      <c r="W9085" s="503"/>
    </row>
    <row r="9086" spans="23:23">
      <c r="W9086" s="503"/>
    </row>
    <row r="9087" spans="23:23">
      <c r="W9087" s="503"/>
    </row>
    <row r="9088" spans="23:23">
      <c r="W9088" s="503"/>
    </row>
    <row r="9089" spans="23:23">
      <c r="W9089" s="503"/>
    </row>
    <row r="9090" spans="23:23">
      <c r="W9090" s="503"/>
    </row>
    <row r="9091" spans="23:23">
      <c r="W9091" s="503"/>
    </row>
    <row r="9092" spans="23:23">
      <c r="W9092" s="503"/>
    </row>
    <row r="9093" spans="23:23">
      <c r="W9093" s="503"/>
    </row>
    <row r="9094" spans="23:23">
      <c r="W9094" s="503"/>
    </row>
    <row r="9095" spans="23:23">
      <c r="W9095" s="503"/>
    </row>
    <row r="9096" spans="23:23">
      <c r="W9096" s="503"/>
    </row>
    <row r="9097" spans="23:23">
      <c r="W9097" s="503"/>
    </row>
    <row r="9098" spans="23:23">
      <c r="W9098" s="503"/>
    </row>
    <row r="9099" spans="23:23">
      <c r="W9099" s="503"/>
    </row>
    <row r="9100" spans="23:23">
      <c r="W9100" s="503"/>
    </row>
    <row r="9101" spans="23:23">
      <c r="W9101" s="503"/>
    </row>
    <row r="9102" spans="23:23">
      <c r="W9102" s="503"/>
    </row>
    <row r="9103" spans="23:23">
      <c r="W9103" s="503"/>
    </row>
    <row r="9104" spans="23:23">
      <c r="W9104" s="503"/>
    </row>
    <row r="9105" spans="23:23">
      <c r="W9105" s="503"/>
    </row>
    <row r="9106" spans="23:23">
      <c r="W9106" s="503"/>
    </row>
    <row r="9107" spans="23:23">
      <c r="W9107" s="503"/>
    </row>
    <row r="9108" spans="23:23">
      <c r="W9108" s="503"/>
    </row>
    <row r="9109" spans="23:23">
      <c r="W9109" s="503"/>
    </row>
    <row r="9110" spans="23:23">
      <c r="W9110" s="503"/>
    </row>
    <row r="9111" spans="23:23">
      <c r="W9111" s="503"/>
    </row>
    <row r="9112" spans="23:23">
      <c r="W9112" s="503"/>
    </row>
    <row r="9113" spans="23:23">
      <c r="W9113" s="503"/>
    </row>
    <row r="9114" spans="23:23">
      <c r="W9114" s="503"/>
    </row>
    <row r="9115" spans="23:23">
      <c r="W9115" s="503"/>
    </row>
    <row r="9116" spans="23:23">
      <c r="W9116" s="503"/>
    </row>
    <row r="9117" spans="23:23">
      <c r="W9117" s="503"/>
    </row>
    <row r="9118" spans="23:23">
      <c r="W9118" s="503"/>
    </row>
    <row r="9119" spans="23:23">
      <c r="W9119" s="503"/>
    </row>
    <row r="9120" spans="23:23">
      <c r="W9120" s="503"/>
    </row>
    <row r="9121" spans="23:23">
      <c r="W9121" s="503"/>
    </row>
    <row r="9122" spans="23:23">
      <c r="W9122" s="503"/>
    </row>
    <row r="9123" spans="23:23">
      <c r="W9123" s="503"/>
    </row>
    <row r="9124" spans="23:23">
      <c r="W9124" s="503"/>
    </row>
    <row r="9125" spans="23:23">
      <c r="W9125" s="503"/>
    </row>
    <row r="9126" spans="23:23">
      <c r="W9126" s="503"/>
    </row>
    <row r="9127" spans="23:23">
      <c r="W9127" s="503"/>
    </row>
    <row r="9128" spans="23:23">
      <c r="W9128" s="503"/>
    </row>
    <row r="9129" spans="23:23">
      <c r="W9129" s="503"/>
    </row>
    <row r="9130" spans="23:23">
      <c r="W9130" s="503"/>
    </row>
    <row r="9131" spans="23:23">
      <c r="W9131" s="503"/>
    </row>
    <row r="9132" spans="23:23">
      <c r="W9132" s="503"/>
    </row>
    <row r="9133" spans="23:23">
      <c r="W9133" s="503"/>
    </row>
    <row r="9134" spans="23:23">
      <c r="W9134" s="503"/>
    </row>
    <row r="9135" spans="23:23">
      <c r="W9135" s="503"/>
    </row>
    <row r="9136" spans="23:23">
      <c r="W9136" s="503"/>
    </row>
    <row r="9137" spans="23:23">
      <c r="W9137" s="503"/>
    </row>
    <row r="9138" spans="23:23">
      <c r="W9138" s="503"/>
    </row>
    <row r="9139" spans="23:23">
      <c r="W9139" s="503"/>
    </row>
    <row r="9140" spans="23:23">
      <c r="W9140" s="503"/>
    </row>
    <row r="9141" spans="23:23">
      <c r="W9141" s="503"/>
    </row>
    <row r="9142" spans="23:23">
      <c r="W9142" s="503"/>
    </row>
    <row r="9143" spans="23:23">
      <c r="W9143" s="503"/>
    </row>
    <row r="9144" spans="23:23">
      <c r="W9144" s="503"/>
    </row>
    <row r="9145" spans="23:23">
      <c r="W9145" s="503"/>
    </row>
    <row r="9146" spans="23:23">
      <c r="W9146" s="503"/>
    </row>
    <row r="9147" spans="23:23">
      <c r="W9147" s="503"/>
    </row>
    <row r="9148" spans="23:23">
      <c r="W9148" s="503"/>
    </row>
    <row r="9149" spans="23:23">
      <c r="W9149" s="503"/>
    </row>
    <row r="9150" spans="23:23">
      <c r="W9150" s="503"/>
    </row>
    <row r="9151" spans="23:23">
      <c r="W9151" s="503"/>
    </row>
    <row r="9152" spans="23:23">
      <c r="W9152" s="503"/>
    </row>
    <row r="9153" spans="23:23">
      <c r="W9153" s="503"/>
    </row>
    <row r="9154" spans="23:23">
      <c r="W9154" s="503"/>
    </row>
    <row r="9155" spans="23:23">
      <c r="W9155" s="503"/>
    </row>
    <row r="9156" spans="23:23">
      <c r="W9156" s="503"/>
    </row>
    <row r="9157" spans="23:23">
      <c r="W9157" s="503"/>
    </row>
    <row r="9158" spans="23:23">
      <c r="W9158" s="503"/>
    </row>
    <row r="9159" spans="23:23">
      <c r="W9159" s="503"/>
    </row>
    <row r="9160" spans="23:23">
      <c r="W9160" s="503"/>
    </row>
    <row r="9161" spans="23:23">
      <c r="W9161" s="503"/>
    </row>
    <row r="9162" spans="23:23">
      <c r="W9162" s="503"/>
    </row>
    <row r="9163" spans="23:23">
      <c r="W9163" s="503"/>
    </row>
    <row r="9164" spans="23:23">
      <c r="W9164" s="503"/>
    </row>
    <row r="9165" spans="23:23">
      <c r="W9165" s="503"/>
    </row>
    <row r="9166" spans="23:23">
      <c r="W9166" s="503"/>
    </row>
    <row r="9167" spans="23:23">
      <c r="W9167" s="503"/>
    </row>
    <row r="9168" spans="23:23">
      <c r="W9168" s="503"/>
    </row>
    <row r="9169" spans="23:23">
      <c r="W9169" s="503"/>
    </row>
    <row r="9170" spans="23:23">
      <c r="W9170" s="503"/>
    </row>
    <row r="9171" spans="23:23">
      <c r="W9171" s="503"/>
    </row>
    <row r="9172" spans="23:23">
      <c r="W9172" s="503"/>
    </row>
    <row r="9173" spans="23:23">
      <c r="W9173" s="503"/>
    </row>
    <row r="9174" spans="23:23">
      <c r="W9174" s="503"/>
    </row>
    <row r="9175" spans="23:23">
      <c r="W9175" s="503"/>
    </row>
    <row r="9176" spans="23:23">
      <c r="W9176" s="503"/>
    </row>
    <row r="9177" spans="23:23">
      <c r="W9177" s="503"/>
    </row>
    <row r="9178" spans="23:23">
      <c r="W9178" s="503"/>
    </row>
    <row r="9179" spans="23:23">
      <c r="W9179" s="503"/>
    </row>
    <row r="9180" spans="23:23">
      <c r="W9180" s="503"/>
    </row>
    <row r="9181" spans="23:23">
      <c r="W9181" s="503"/>
    </row>
    <row r="9182" spans="23:23">
      <c r="W9182" s="503"/>
    </row>
    <row r="9183" spans="23:23">
      <c r="W9183" s="503"/>
    </row>
    <row r="9184" spans="23:23">
      <c r="W9184" s="503"/>
    </row>
    <row r="9185" spans="23:23">
      <c r="W9185" s="503"/>
    </row>
    <row r="9186" spans="23:23">
      <c r="W9186" s="503"/>
    </row>
    <row r="9187" spans="23:23">
      <c r="W9187" s="503"/>
    </row>
    <row r="9188" spans="23:23">
      <c r="W9188" s="503"/>
    </row>
    <row r="9189" spans="23:23">
      <c r="W9189" s="503"/>
    </row>
    <row r="9190" spans="23:23">
      <c r="W9190" s="503"/>
    </row>
    <row r="9191" spans="23:23">
      <c r="W9191" s="503"/>
    </row>
    <row r="9192" spans="23:23">
      <c r="W9192" s="503"/>
    </row>
    <row r="9193" spans="23:23">
      <c r="W9193" s="503"/>
    </row>
    <row r="9194" spans="23:23">
      <c r="W9194" s="503"/>
    </row>
    <row r="9195" spans="23:23">
      <c r="W9195" s="503"/>
    </row>
    <row r="9196" spans="23:23">
      <c r="W9196" s="503"/>
    </row>
    <row r="9197" spans="23:23">
      <c r="W9197" s="503"/>
    </row>
    <row r="9198" spans="23:23">
      <c r="W9198" s="503"/>
    </row>
    <row r="9199" spans="23:23">
      <c r="W9199" s="503"/>
    </row>
    <row r="9200" spans="23:23">
      <c r="W9200" s="503"/>
    </row>
    <row r="9201" spans="23:23">
      <c r="W9201" s="503"/>
    </row>
    <row r="9202" spans="23:23">
      <c r="W9202" s="503"/>
    </row>
    <row r="9203" spans="23:23">
      <c r="W9203" s="503"/>
    </row>
    <row r="9204" spans="23:23">
      <c r="W9204" s="503"/>
    </row>
    <row r="9205" spans="23:23">
      <c r="W9205" s="503"/>
    </row>
    <row r="9206" spans="23:23">
      <c r="W9206" s="503"/>
    </row>
    <row r="9207" spans="23:23">
      <c r="W9207" s="503"/>
    </row>
    <row r="9208" spans="23:23">
      <c r="W9208" s="503"/>
    </row>
    <row r="9209" spans="23:23">
      <c r="W9209" s="503"/>
    </row>
    <row r="9210" spans="23:23">
      <c r="W9210" s="503"/>
    </row>
    <row r="9211" spans="23:23">
      <c r="W9211" s="503"/>
    </row>
    <row r="9212" spans="23:23">
      <c r="W9212" s="503"/>
    </row>
    <row r="9213" spans="23:23">
      <c r="W9213" s="503"/>
    </row>
    <row r="9214" spans="23:23">
      <c r="W9214" s="503"/>
    </row>
    <row r="9215" spans="23:23">
      <c r="W9215" s="503"/>
    </row>
    <row r="9216" spans="23:23">
      <c r="W9216" s="503"/>
    </row>
    <row r="9217" spans="23:23">
      <c r="W9217" s="503"/>
    </row>
    <row r="9218" spans="23:23">
      <c r="W9218" s="503"/>
    </row>
    <row r="9219" spans="23:23">
      <c r="W9219" s="503"/>
    </row>
    <row r="9220" spans="23:23">
      <c r="W9220" s="503"/>
    </row>
    <row r="9221" spans="23:23">
      <c r="W9221" s="503"/>
    </row>
    <row r="9222" spans="23:23">
      <c r="W9222" s="503"/>
    </row>
    <row r="9223" spans="23:23">
      <c r="W9223" s="503"/>
    </row>
    <row r="9224" spans="23:23">
      <c r="W9224" s="503"/>
    </row>
    <row r="9225" spans="23:23">
      <c r="W9225" s="503"/>
    </row>
    <row r="9226" spans="23:23">
      <c r="W9226" s="503"/>
    </row>
    <row r="9227" spans="23:23">
      <c r="W9227" s="503"/>
    </row>
    <row r="9228" spans="23:23">
      <c r="W9228" s="503"/>
    </row>
    <row r="9229" spans="23:23">
      <c r="W9229" s="503"/>
    </row>
    <row r="9230" spans="23:23">
      <c r="W9230" s="503"/>
    </row>
    <row r="9231" spans="23:23">
      <c r="W9231" s="503"/>
    </row>
    <row r="9232" spans="23:23">
      <c r="W9232" s="503"/>
    </row>
    <row r="9233" spans="23:23">
      <c r="W9233" s="503"/>
    </row>
    <row r="9234" spans="23:23">
      <c r="W9234" s="503"/>
    </row>
    <row r="9235" spans="23:23">
      <c r="W9235" s="503"/>
    </row>
    <row r="9236" spans="23:23">
      <c r="W9236" s="503"/>
    </row>
    <row r="9237" spans="23:23">
      <c r="W9237" s="503"/>
    </row>
    <row r="9238" spans="23:23">
      <c r="W9238" s="503"/>
    </row>
    <row r="9239" spans="23:23">
      <c r="W9239" s="503"/>
    </row>
    <row r="9240" spans="23:23">
      <c r="W9240" s="503"/>
    </row>
    <row r="9241" spans="23:23">
      <c r="W9241" s="503"/>
    </row>
    <row r="9242" spans="23:23">
      <c r="W9242" s="503"/>
    </row>
    <row r="9243" spans="23:23">
      <c r="W9243" s="503"/>
    </row>
    <row r="9244" spans="23:23">
      <c r="W9244" s="503"/>
    </row>
    <row r="9245" spans="23:23">
      <c r="W9245" s="503"/>
    </row>
    <row r="9246" spans="23:23">
      <c r="W9246" s="503"/>
    </row>
    <row r="9247" spans="23:23">
      <c r="W9247" s="503"/>
    </row>
    <row r="9248" spans="23:23">
      <c r="W9248" s="503"/>
    </row>
    <row r="9249" spans="23:23">
      <c r="W9249" s="503"/>
    </row>
    <row r="9250" spans="23:23">
      <c r="W9250" s="503"/>
    </row>
    <row r="9251" spans="23:23">
      <c r="W9251" s="503"/>
    </row>
    <row r="9252" spans="23:23">
      <c r="W9252" s="503"/>
    </row>
    <row r="9253" spans="23:23">
      <c r="W9253" s="503"/>
    </row>
    <row r="9254" spans="23:23">
      <c r="W9254" s="503"/>
    </row>
    <row r="9255" spans="23:23">
      <c r="W9255" s="503"/>
    </row>
    <row r="9256" spans="23:23">
      <c r="W9256" s="503"/>
    </row>
    <row r="9257" spans="23:23">
      <c r="W9257" s="503"/>
    </row>
    <row r="9258" spans="23:23">
      <c r="W9258" s="503"/>
    </row>
    <row r="9259" spans="23:23">
      <c r="W9259" s="503"/>
    </row>
    <row r="9260" spans="23:23">
      <c r="W9260" s="503"/>
    </row>
    <row r="9261" spans="23:23">
      <c r="W9261" s="503"/>
    </row>
    <row r="9262" spans="23:23">
      <c r="W9262" s="503"/>
    </row>
    <row r="9263" spans="23:23">
      <c r="W9263" s="503"/>
    </row>
    <row r="9264" spans="23:23">
      <c r="W9264" s="503"/>
    </row>
    <row r="9265" spans="23:23">
      <c r="W9265" s="503"/>
    </row>
    <row r="9266" spans="23:23">
      <c r="W9266" s="503"/>
    </row>
    <row r="9267" spans="23:23">
      <c r="W9267" s="503"/>
    </row>
    <row r="9268" spans="23:23">
      <c r="W9268" s="503"/>
    </row>
    <row r="9269" spans="23:23">
      <c r="W9269" s="503"/>
    </row>
    <row r="9270" spans="23:23">
      <c r="W9270" s="503"/>
    </row>
    <row r="9271" spans="23:23">
      <c r="W9271" s="503"/>
    </row>
    <row r="9272" spans="23:23">
      <c r="W9272" s="503"/>
    </row>
    <row r="9273" spans="23:23">
      <c r="W9273" s="503"/>
    </row>
    <row r="9274" spans="23:23">
      <c r="W9274" s="503"/>
    </row>
    <row r="9275" spans="23:23">
      <c r="W9275" s="503"/>
    </row>
    <row r="9276" spans="23:23">
      <c r="W9276" s="503"/>
    </row>
    <row r="9277" spans="23:23">
      <c r="W9277" s="503"/>
    </row>
    <row r="9278" spans="23:23">
      <c r="W9278" s="503"/>
    </row>
    <row r="9279" spans="23:23">
      <c r="W9279" s="503"/>
    </row>
    <row r="9280" spans="23:23">
      <c r="W9280" s="503"/>
    </row>
    <row r="9281" spans="23:23">
      <c r="W9281" s="503"/>
    </row>
    <row r="9282" spans="23:23">
      <c r="W9282" s="503"/>
    </row>
    <row r="9283" spans="23:23">
      <c r="W9283" s="503"/>
    </row>
    <row r="9284" spans="23:23">
      <c r="W9284" s="503"/>
    </row>
    <row r="9285" spans="23:23">
      <c r="W9285" s="503"/>
    </row>
    <row r="9286" spans="23:23">
      <c r="W9286" s="503"/>
    </row>
    <row r="9287" spans="23:23">
      <c r="W9287" s="503"/>
    </row>
    <row r="9288" spans="23:23">
      <c r="W9288" s="503"/>
    </row>
    <row r="9289" spans="23:23">
      <c r="W9289" s="503"/>
    </row>
    <row r="9290" spans="23:23">
      <c r="W9290" s="503"/>
    </row>
    <row r="9291" spans="23:23">
      <c r="W9291" s="503"/>
    </row>
    <row r="9292" spans="23:23">
      <c r="W9292" s="503"/>
    </row>
    <row r="9293" spans="23:23">
      <c r="W9293" s="503"/>
    </row>
    <row r="9294" spans="23:23">
      <c r="W9294" s="503"/>
    </row>
    <row r="9295" spans="23:23">
      <c r="W9295" s="503"/>
    </row>
    <row r="9296" spans="23:23">
      <c r="W9296" s="503"/>
    </row>
    <row r="9297" spans="23:23">
      <c r="W9297" s="503"/>
    </row>
    <row r="9298" spans="23:23">
      <c r="W9298" s="503"/>
    </row>
    <row r="9299" spans="23:23">
      <c r="W9299" s="503"/>
    </row>
    <row r="9300" spans="23:23">
      <c r="W9300" s="503"/>
    </row>
    <row r="9301" spans="23:23">
      <c r="W9301" s="503"/>
    </row>
    <row r="9302" spans="23:23">
      <c r="W9302" s="503"/>
    </row>
    <row r="9303" spans="23:23">
      <c r="W9303" s="503"/>
    </row>
    <row r="9304" spans="23:23">
      <c r="W9304" s="503"/>
    </row>
    <row r="9305" spans="23:23">
      <c r="W9305" s="503"/>
    </row>
    <row r="9306" spans="23:23">
      <c r="W9306" s="503"/>
    </row>
    <row r="9307" spans="23:23">
      <c r="W9307" s="503"/>
    </row>
    <row r="9308" spans="23:23">
      <c r="W9308" s="503"/>
    </row>
    <row r="9309" spans="23:23">
      <c r="W9309" s="503"/>
    </row>
    <row r="9310" spans="23:23">
      <c r="W9310" s="503"/>
    </row>
    <row r="9311" spans="23:23">
      <c r="W9311" s="503"/>
    </row>
    <row r="9312" spans="23:23">
      <c r="W9312" s="503"/>
    </row>
    <row r="9313" spans="23:23">
      <c r="W9313" s="503"/>
    </row>
    <row r="9314" spans="23:23">
      <c r="W9314" s="503"/>
    </row>
    <row r="9315" spans="23:23">
      <c r="W9315" s="503"/>
    </row>
    <row r="9316" spans="23:23">
      <c r="W9316" s="503"/>
    </row>
    <row r="9317" spans="23:23">
      <c r="W9317" s="503"/>
    </row>
    <row r="9318" spans="23:23">
      <c r="W9318" s="503"/>
    </row>
    <row r="9319" spans="23:23">
      <c r="W9319" s="503"/>
    </row>
    <row r="9320" spans="23:23">
      <c r="W9320" s="503"/>
    </row>
    <row r="9321" spans="23:23">
      <c r="W9321" s="503"/>
    </row>
    <row r="9322" spans="23:23">
      <c r="W9322" s="503"/>
    </row>
    <row r="9323" spans="23:23">
      <c r="W9323" s="503"/>
    </row>
    <row r="9324" spans="23:23">
      <c r="W9324" s="503"/>
    </row>
    <row r="9325" spans="23:23">
      <c r="W9325" s="503"/>
    </row>
    <row r="9326" spans="23:23">
      <c r="W9326" s="503"/>
    </row>
    <row r="9327" spans="23:23">
      <c r="W9327" s="503"/>
    </row>
    <row r="9328" spans="23:23">
      <c r="W9328" s="503"/>
    </row>
    <row r="9329" spans="23:23">
      <c r="W9329" s="503"/>
    </row>
    <row r="9330" spans="23:23">
      <c r="W9330" s="503"/>
    </row>
    <row r="9331" spans="23:23">
      <c r="W9331" s="503"/>
    </row>
    <row r="9332" spans="23:23">
      <c r="W9332" s="503"/>
    </row>
    <row r="9333" spans="23:23">
      <c r="W9333" s="503"/>
    </row>
    <row r="9334" spans="23:23">
      <c r="W9334" s="503"/>
    </row>
    <row r="9335" spans="23:23">
      <c r="W9335" s="503"/>
    </row>
    <row r="9336" spans="23:23">
      <c r="W9336" s="503"/>
    </row>
    <row r="9337" spans="23:23">
      <c r="W9337" s="503"/>
    </row>
    <row r="9338" spans="23:23">
      <c r="W9338" s="503"/>
    </row>
    <row r="9339" spans="23:23">
      <c r="W9339" s="503"/>
    </row>
    <row r="9340" spans="23:23">
      <c r="W9340" s="503"/>
    </row>
    <row r="9341" spans="23:23">
      <c r="W9341" s="503"/>
    </row>
    <row r="9342" spans="23:23">
      <c r="W9342" s="503"/>
    </row>
    <row r="9343" spans="23:23">
      <c r="W9343" s="503"/>
    </row>
    <row r="9344" spans="23:23">
      <c r="W9344" s="503"/>
    </row>
    <row r="9345" spans="23:23">
      <c r="W9345" s="503"/>
    </row>
    <row r="9346" spans="23:23">
      <c r="W9346" s="503"/>
    </row>
    <row r="9347" spans="23:23">
      <c r="W9347" s="503"/>
    </row>
    <row r="9348" spans="23:23">
      <c r="W9348" s="503"/>
    </row>
    <row r="9349" spans="23:23">
      <c r="W9349" s="503"/>
    </row>
    <row r="9350" spans="23:23">
      <c r="W9350" s="503"/>
    </row>
    <row r="9351" spans="23:23">
      <c r="W9351" s="503"/>
    </row>
    <row r="9352" spans="23:23">
      <c r="W9352" s="503"/>
    </row>
    <row r="9353" spans="23:23">
      <c r="W9353" s="503"/>
    </row>
    <row r="9354" spans="23:23">
      <c r="W9354" s="503"/>
    </row>
    <row r="9355" spans="23:23">
      <c r="W9355" s="503"/>
    </row>
    <row r="9356" spans="23:23">
      <c r="W9356" s="503"/>
    </row>
    <row r="9357" spans="23:23">
      <c r="W9357" s="503"/>
    </row>
    <row r="9358" spans="23:23">
      <c r="W9358" s="503"/>
    </row>
    <row r="9359" spans="23:23">
      <c r="W9359" s="503"/>
    </row>
    <row r="9360" spans="23:23">
      <c r="W9360" s="503"/>
    </row>
    <row r="9361" spans="23:23">
      <c r="W9361" s="503"/>
    </row>
    <row r="9362" spans="23:23">
      <c r="W9362" s="503"/>
    </row>
    <row r="9363" spans="23:23">
      <c r="W9363" s="503"/>
    </row>
    <row r="9364" spans="23:23">
      <c r="W9364" s="503"/>
    </row>
    <row r="9365" spans="23:23">
      <c r="W9365" s="503"/>
    </row>
    <row r="9366" spans="23:23">
      <c r="W9366" s="503"/>
    </row>
    <row r="9367" spans="23:23">
      <c r="W9367" s="503"/>
    </row>
    <row r="9368" spans="23:23">
      <c r="W9368" s="503"/>
    </row>
    <row r="9369" spans="23:23">
      <c r="W9369" s="503"/>
    </row>
    <row r="9370" spans="23:23">
      <c r="W9370" s="503"/>
    </row>
    <row r="9371" spans="23:23">
      <c r="W9371" s="503"/>
    </row>
    <row r="9372" spans="23:23">
      <c r="W9372" s="503"/>
    </row>
    <row r="9373" spans="23:23">
      <c r="W9373" s="503"/>
    </row>
    <row r="9374" spans="23:23">
      <c r="W9374" s="503"/>
    </row>
    <row r="9375" spans="23:23">
      <c r="W9375" s="503"/>
    </row>
    <row r="9376" spans="23:23">
      <c r="W9376" s="503"/>
    </row>
    <row r="9377" spans="23:23">
      <c r="W9377" s="503"/>
    </row>
    <row r="9378" spans="23:23">
      <c r="W9378" s="503"/>
    </row>
    <row r="9379" spans="23:23">
      <c r="W9379" s="503"/>
    </row>
    <row r="9380" spans="23:23">
      <c r="W9380" s="503"/>
    </row>
    <row r="9381" spans="23:23">
      <c r="W9381" s="503"/>
    </row>
    <row r="9382" spans="23:23">
      <c r="W9382" s="503"/>
    </row>
    <row r="9383" spans="23:23">
      <c r="W9383" s="503"/>
    </row>
    <row r="9384" spans="23:23">
      <c r="W9384" s="503"/>
    </row>
    <row r="9385" spans="23:23">
      <c r="W9385" s="503"/>
    </row>
    <row r="9386" spans="23:23">
      <c r="W9386" s="503"/>
    </row>
    <row r="9387" spans="23:23">
      <c r="W9387" s="503"/>
    </row>
    <row r="9388" spans="23:23">
      <c r="W9388" s="503"/>
    </row>
    <row r="9389" spans="23:23">
      <c r="W9389" s="503"/>
    </row>
    <row r="9390" spans="23:23">
      <c r="W9390" s="503"/>
    </row>
    <row r="9391" spans="23:23">
      <c r="W9391" s="503"/>
    </row>
    <row r="9392" spans="23:23">
      <c r="W9392" s="503"/>
    </row>
    <row r="9393" spans="23:23">
      <c r="W9393" s="503"/>
    </row>
    <row r="9394" spans="23:23">
      <c r="W9394" s="503"/>
    </row>
    <row r="9395" spans="23:23">
      <c r="W9395" s="503"/>
    </row>
    <row r="9396" spans="23:23">
      <c r="W9396" s="503"/>
    </row>
    <row r="9397" spans="23:23">
      <c r="W9397" s="503"/>
    </row>
    <row r="9398" spans="23:23">
      <c r="W9398" s="503"/>
    </row>
    <row r="9399" spans="23:23">
      <c r="W9399" s="503"/>
    </row>
    <row r="9400" spans="23:23">
      <c r="W9400" s="503"/>
    </row>
    <row r="9401" spans="23:23">
      <c r="W9401" s="503"/>
    </row>
    <row r="9402" spans="23:23">
      <c r="W9402" s="503"/>
    </row>
    <row r="9403" spans="23:23">
      <c r="W9403" s="503"/>
    </row>
    <row r="9404" spans="23:23">
      <c r="W9404" s="503"/>
    </row>
    <row r="9405" spans="23:23">
      <c r="W9405" s="503"/>
    </row>
    <row r="9406" spans="23:23">
      <c r="W9406" s="503"/>
    </row>
    <row r="9407" spans="23:23">
      <c r="W9407" s="503"/>
    </row>
    <row r="9408" spans="23:23">
      <c r="W9408" s="503"/>
    </row>
    <row r="9409" spans="23:23">
      <c r="W9409" s="503"/>
    </row>
    <row r="9410" spans="23:23">
      <c r="W9410" s="503"/>
    </row>
    <row r="9411" spans="23:23">
      <c r="W9411" s="503"/>
    </row>
    <row r="9412" spans="23:23">
      <c r="W9412" s="503"/>
    </row>
    <row r="9413" spans="23:23">
      <c r="W9413" s="503"/>
    </row>
    <row r="9414" spans="23:23">
      <c r="W9414" s="503"/>
    </row>
    <row r="9415" spans="23:23">
      <c r="W9415" s="503"/>
    </row>
    <row r="9416" spans="23:23">
      <c r="W9416" s="503"/>
    </row>
    <row r="9417" spans="23:23">
      <c r="W9417" s="503"/>
    </row>
    <row r="9418" spans="23:23">
      <c r="W9418" s="503"/>
    </row>
    <row r="9419" spans="23:23">
      <c r="W9419" s="503"/>
    </row>
    <row r="9420" spans="23:23">
      <c r="W9420" s="503"/>
    </row>
    <row r="9421" spans="23:23">
      <c r="W9421" s="503"/>
    </row>
    <row r="9422" spans="23:23">
      <c r="W9422" s="503"/>
    </row>
    <row r="9423" spans="23:23">
      <c r="W9423" s="503"/>
    </row>
    <row r="9424" spans="23:23">
      <c r="W9424" s="503"/>
    </row>
    <row r="9425" spans="23:23">
      <c r="W9425" s="503"/>
    </row>
    <row r="9426" spans="23:23">
      <c r="W9426" s="503"/>
    </row>
    <row r="9427" spans="23:23">
      <c r="W9427" s="503"/>
    </row>
    <row r="9428" spans="23:23">
      <c r="W9428" s="503"/>
    </row>
    <row r="9429" spans="23:23">
      <c r="W9429" s="503"/>
    </row>
    <row r="9430" spans="23:23">
      <c r="W9430" s="503"/>
    </row>
    <row r="9431" spans="23:23">
      <c r="W9431" s="503"/>
    </row>
    <row r="9432" spans="23:23">
      <c r="W9432" s="503"/>
    </row>
    <row r="9433" spans="23:23">
      <c r="W9433" s="503"/>
    </row>
    <row r="9434" spans="23:23">
      <c r="W9434" s="503"/>
    </row>
    <row r="9435" spans="23:23">
      <c r="W9435" s="503"/>
    </row>
    <row r="9436" spans="23:23">
      <c r="W9436" s="503"/>
    </row>
    <row r="9437" spans="23:23">
      <c r="W9437" s="503"/>
    </row>
    <row r="9438" spans="23:23">
      <c r="W9438" s="503"/>
    </row>
    <row r="9439" spans="23:23">
      <c r="W9439" s="503"/>
    </row>
    <row r="9440" spans="23:23">
      <c r="W9440" s="503"/>
    </row>
    <row r="9441" spans="23:23">
      <c r="W9441" s="503"/>
    </row>
    <row r="9442" spans="23:23">
      <c r="W9442" s="503"/>
    </row>
    <row r="9443" spans="23:23">
      <c r="W9443" s="503"/>
    </row>
    <row r="9444" spans="23:23">
      <c r="W9444" s="503"/>
    </row>
    <row r="9445" spans="23:23">
      <c r="W9445" s="503"/>
    </row>
    <row r="9446" spans="23:23">
      <c r="W9446" s="503"/>
    </row>
    <row r="9447" spans="23:23">
      <c r="W9447" s="503"/>
    </row>
    <row r="9448" spans="23:23">
      <c r="W9448" s="503"/>
    </row>
    <row r="9449" spans="23:23">
      <c r="W9449" s="503"/>
    </row>
    <row r="9450" spans="23:23">
      <c r="W9450" s="503"/>
    </row>
    <row r="9451" spans="23:23">
      <c r="W9451" s="503"/>
    </row>
    <row r="9452" spans="23:23">
      <c r="W9452" s="503"/>
    </row>
    <row r="9453" spans="23:23">
      <c r="W9453" s="503"/>
    </row>
    <row r="9454" spans="23:23">
      <c r="W9454" s="503"/>
    </row>
    <row r="9455" spans="23:23">
      <c r="W9455" s="503"/>
    </row>
    <row r="9456" spans="23:23">
      <c r="W9456" s="503"/>
    </row>
    <row r="9457" spans="23:23">
      <c r="W9457" s="503"/>
    </row>
    <row r="9458" spans="23:23">
      <c r="W9458" s="503"/>
    </row>
    <row r="9459" spans="23:23">
      <c r="W9459" s="503"/>
    </row>
    <row r="9460" spans="23:23">
      <c r="W9460" s="503"/>
    </row>
    <row r="9461" spans="23:23">
      <c r="W9461" s="503"/>
    </row>
    <row r="9462" spans="23:23">
      <c r="W9462" s="503"/>
    </row>
    <row r="9463" spans="23:23">
      <c r="W9463" s="503"/>
    </row>
    <row r="9464" spans="23:23">
      <c r="W9464" s="503"/>
    </row>
    <row r="9465" spans="23:23">
      <c r="W9465" s="503"/>
    </row>
    <row r="9466" spans="23:23">
      <c r="W9466" s="503"/>
    </row>
    <row r="9467" spans="23:23">
      <c r="W9467" s="503"/>
    </row>
    <row r="9468" spans="23:23">
      <c r="W9468" s="503"/>
    </row>
    <row r="9469" spans="23:23">
      <c r="W9469" s="503"/>
    </row>
    <row r="9470" spans="23:23">
      <c r="W9470" s="503"/>
    </row>
    <row r="9471" spans="23:23">
      <c r="W9471" s="503"/>
    </row>
    <row r="9472" spans="23:23">
      <c r="W9472" s="503"/>
    </row>
    <row r="9473" spans="23:23">
      <c r="W9473" s="503"/>
    </row>
    <row r="9474" spans="23:23">
      <c r="W9474" s="503"/>
    </row>
    <row r="9475" spans="23:23">
      <c r="W9475" s="503"/>
    </row>
    <row r="9476" spans="23:23">
      <c r="W9476" s="503"/>
    </row>
    <row r="9477" spans="23:23">
      <c r="W9477" s="503"/>
    </row>
    <row r="9478" spans="23:23">
      <c r="W9478" s="503"/>
    </row>
    <row r="9479" spans="23:23">
      <c r="W9479" s="503"/>
    </row>
    <row r="9480" spans="23:23">
      <c r="W9480" s="503"/>
    </row>
    <row r="9481" spans="23:23">
      <c r="W9481" s="503"/>
    </row>
    <row r="9482" spans="23:23">
      <c r="W9482" s="503"/>
    </row>
    <row r="9483" spans="23:23">
      <c r="W9483" s="503"/>
    </row>
    <row r="9484" spans="23:23">
      <c r="W9484" s="503"/>
    </row>
    <row r="9485" spans="23:23">
      <c r="W9485" s="503"/>
    </row>
    <row r="9486" spans="23:23">
      <c r="W9486" s="503"/>
    </row>
    <row r="9487" spans="23:23">
      <c r="W9487" s="503"/>
    </row>
    <row r="9488" spans="23:23">
      <c r="W9488" s="503"/>
    </row>
    <row r="9489" spans="23:23">
      <c r="W9489" s="503"/>
    </row>
    <row r="9490" spans="23:23">
      <c r="W9490" s="503"/>
    </row>
    <row r="9491" spans="23:23">
      <c r="W9491" s="503"/>
    </row>
    <row r="9492" spans="23:23">
      <c r="W9492" s="503"/>
    </row>
    <row r="9493" spans="23:23">
      <c r="W9493" s="503"/>
    </row>
    <row r="9494" spans="23:23">
      <c r="W9494" s="503"/>
    </row>
    <row r="9495" spans="23:23">
      <c r="W9495" s="503"/>
    </row>
    <row r="9496" spans="23:23">
      <c r="W9496" s="503"/>
    </row>
    <row r="9497" spans="23:23">
      <c r="W9497" s="503"/>
    </row>
    <row r="9498" spans="23:23">
      <c r="W9498" s="503"/>
    </row>
    <row r="9499" spans="23:23">
      <c r="W9499" s="503"/>
    </row>
    <row r="9500" spans="23:23">
      <c r="W9500" s="503"/>
    </row>
    <row r="9501" spans="23:23">
      <c r="W9501" s="503"/>
    </row>
    <row r="9502" spans="23:23">
      <c r="W9502" s="503"/>
    </row>
    <row r="9503" spans="23:23">
      <c r="W9503" s="503"/>
    </row>
    <row r="9504" spans="23:23">
      <c r="W9504" s="503"/>
    </row>
    <row r="9505" spans="23:23">
      <c r="W9505" s="503"/>
    </row>
    <row r="9506" spans="23:23">
      <c r="W9506" s="503"/>
    </row>
    <row r="9507" spans="23:23">
      <c r="W9507" s="503"/>
    </row>
    <row r="9508" spans="23:23">
      <c r="W9508" s="503"/>
    </row>
    <row r="9509" spans="23:23">
      <c r="W9509" s="503"/>
    </row>
    <row r="9510" spans="23:23">
      <c r="W9510" s="503"/>
    </row>
    <row r="9511" spans="23:23">
      <c r="W9511" s="503"/>
    </row>
    <row r="9512" spans="23:23">
      <c r="W9512" s="503"/>
    </row>
    <row r="9513" spans="23:23">
      <c r="W9513" s="503"/>
    </row>
    <row r="9514" spans="23:23">
      <c r="W9514" s="503"/>
    </row>
    <row r="9515" spans="23:23">
      <c r="W9515" s="503"/>
    </row>
    <row r="9516" spans="23:23">
      <c r="W9516" s="503"/>
    </row>
    <row r="9517" spans="23:23">
      <c r="W9517" s="503"/>
    </row>
    <row r="9518" spans="23:23">
      <c r="W9518" s="503"/>
    </row>
    <row r="9519" spans="23:23">
      <c r="W9519" s="503"/>
    </row>
    <row r="9520" spans="23:23">
      <c r="W9520" s="503"/>
    </row>
    <row r="9521" spans="23:23">
      <c r="W9521" s="503"/>
    </row>
    <row r="9522" spans="23:23">
      <c r="W9522" s="503"/>
    </row>
    <row r="9523" spans="23:23">
      <c r="W9523" s="503"/>
    </row>
    <row r="9524" spans="23:23">
      <c r="W9524" s="503"/>
    </row>
    <row r="9525" spans="23:23">
      <c r="W9525" s="503"/>
    </row>
    <row r="9526" spans="23:23">
      <c r="W9526" s="503"/>
    </row>
    <row r="9527" spans="23:23">
      <c r="W9527" s="503"/>
    </row>
    <row r="9528" spans="23:23">
      <c r="W9528" s="503"/>
    </row>
    <row r="9529" spans="23:23">
      <c r="W9529" s="503"/>
    </row>
    <row r="9530" spans="23:23">
      <c r="W9530" s="503"/>
    </row>
    <row r="9531" spans="23:23">
      <c r="W9531" s="503"/>
    </row>
    <row r="9532" spans="23:23">
      <c r="W9532" s="503"/>
    </row>
    <row r="9533" spans="23:23">
      <c r="W9533" s="503"/>
    </row>
    <row r="9534" spans="23:23">
      <c r="W9534" s="503"/>
    </row>
    <row r="9535" spans="23:23">
      <c r="W9535" s="503"/>
    </row>
    <row r="9536" spans="23:23">
      <c r="W9536" s="503"/>
    </row>
    <row r="9537" spans="23:23">
      <c r="W9537" s="503"/>
    </row>
    <row r="9538" spans="23:23">
      <c r="W9538" s="503"/>
    </row>
    <row r="9539" spans="23:23">
      <c r="W9539" s="503"/>
    </row>
    <row r="9540" spans="23:23">
      <c r="W9540" s="503"/>
    </row>
    <row r="9541" spans="23:23">
      <c r="W9541" s="503"/>
    </row>
    <row r="9542" spans="23:23">
      <c r="W9542" s="503"/>
    </row>
    <row r="9543" spans="23:23">
      <c r="W9543" s="503"/>
    </row>
    <row r="9544" spans="23:23">
      <c r="W9544" s="503"/>
    </row>
    <row r="9545" spans="23:23">
      <c r="W9545" s="503"/>
    </row>
    <row r="9546" spans="23:23">
      <c r="W9546" s="503"/>
    </row>
    <row r="9547" spans="23:23">
      <c r="W9547" s="503"/>
    </row>
    <row r="9548" spans="23:23">
      <c r="W9548" s="503"/>
    </row>
    <row r="9549" spans="23:23">
      <c r="W9549" s="503"/>
    </row>
    <row r="9550" spans="23:23">
      <c r="W9550" s="503"/>
    </row>
    <row r="9551" spans="23:23">
      <c r="W9551" s="503"/>
    </row>
    <row r="9552" spans="23:23">
      <c r="W9552" s="503"/>
    </row>
    <row r="9553" spans="23:23">
      <c r="W9553" s="503"/>
    </row>
    <row r="9554" spans="23:23">
      <c r="W9554" s="503"/>
    </row>
    <row r="9555" spans="23:23">
      <c r="W9555" s="503"/>
    </row>
    <row r="9556" spans="23:23">
      <c r="W9556" s="503"/>
    </row>
    <row r="9557" spans="23:23">
      <c r="W9557" s="503"/>
    </row>
    <row r="9558" spans="23:23">
      <c r="W9558" s="503"/>
    </row>
    <row r="9559" spans="23:23">
      <c r="W9559" s="503"/>
    </row>
    <row r="9560" spans="23:23">
      <c r="W9560" s="503"/>
    </row>
    <row r="9561" spans="23:23">
      <c r="W9561" s="503"/>
    </row>
    <row r="9562" spans="23:23">
      <c r="W9562" s="503"/>
    </row>
    <row r="9563" spans="23:23">
      <c r="W9563" s="503"/>
    </row>
    <row r="9564" spans="23:23">
      <c r="W9564" s="503"/>
    </row>
    <row r="9565" spans="23:23">
      <c r="W9565" s="503"/>
    </row>
    <row r="9566" spans="23:23">
      <c r="W9566" s="503"/>
    </row>
    <row r="9567" spans="23:23">
      <c r="W9567" s="503"/>
    </row>
    <row r="9568" spans="23:23">
      <c r="W9568" s="503"/>
    </row>
    <row r="9569" spans="23:23">
      <c r="W9569" s="503"/>
    </row>
    <row r="9570" spans="23:23">
      <c r="W9570" s="503"/>
    </row>
    <row r="9571" spans="23:23">
      <c r="W9571" s="503"/>
    </row>
    <row r="9572" spans="23:23">
      <c r="W9572" s="503"/>
    </row>
    <row r="9573" spans="23:23">
      <c r="W9573" s="503"/>
    </row>
    <row r="9574" spans="23:23">
      <c r="W9574" s="503"/>
    </row>
    <row r="9575" spans="23:23">
      <c r="W9575" s="503"/>
    </row>
    <row r="9576" spans="23:23">
      <c r="W9576" s="503"/>
    </row>
    <row r="9577" spans="23:23">
      <c r="W9577" s="503"/>
    </row>
    <row r="9578" spans="23:23">
      <c r="W9578" s="503"/>
    </row>
    <row r="9579" spans="23:23">
      <c r="W9579" s="503"/>
    </row>
    <row r="9580" spans="23:23">
      <c r="W9580" s="503"/>
    </row>
    <row r="9581" spans="23:23">
      <c r="W9581" s="503"/>
    </row>
    <row r="9582" spans="23:23">
      <c r="W9582" s="503"/>
    </row>
    <row r="9583" spans="23:23">
      <c r="W9583" s="503"/>
    </row>
    <row r="9584" spans="23:23">
      <c r="W9584" s="503"/>
    </row>
    <row r="9585" spans="23:23">
      <c r="W9585" s="503"/>
    </row>
    <row r="9586" spans="23:23">
      <c r="W9586" s="503"/>
    </row>
    <row r="9587" spans="23:23">
      <c r="W9587" s="503"/>
    </row>
    <row r="9588" spans="23:23">
      <c r="W9588" s="503"/>
    </row>
    <row r="9589" spans="23:23">
      <c r="W9589" s="503"/>
    </row>
    <row r="9590" spans="23:23">
      <c r="W9590" s="503"/>
    </row>
    <row r="9591" spans="23:23">
      <c r="W9591" s="503"/>
    </row>
    <row r="9592" spans="23:23">
      <c r="W9592" s="503"/>
    </row>
    <row r="9593" spans="23:23">
      <c r="W9593" s="503"/>
    </row>
    <row r="9594" spans="23:23">
      <c r="W9594" s="503"/>
    </row>
    <row r="9595" spans="23:23">
      <c r="W9595" s="503"/>
    </row>
    <row r="9596" spans="23:23">
      <c r="W9596" s="503"/>
    </row>
    <row r="9597" spans="23:23">
      <c r="W9597" s="503"/>
    </row>
    <row r="9598" spans="23:23">
      <c r="W9598" s="503"/>
    </row>
    <row r="9599" spans="23:23">
      <c r="W9599" s="503"/>
    </row>
    <row r="9600" spans="23:23">
      <c r="W9600" s="503"/>
    </row>
    <row r="9601" spans="23:23">
      <c r="W9601" s="503"/>
    </row>
    <row r="9602" spans="23:23">
      <c r="W9602" s="503"/>
    </row>
    <row r="9603" spans="23:23">
      <c r="W9603" s="503"/>
    </row>
    <row r="9604" spans="23:23">
      <c r="W9604" s="503"/>
    </row>
    <row r="9605" spans="23:23">
      <c r="W9605" s="503"/>
    </row>
    <row r="9606" spans="23:23">
      <c r="W9606" s="503"/>
    </row>
    <row r="9607" spans="23:23">
      <c r="W9607" s="503"/>
    </row>
    <row r="9608" spans="23:23">
      <c r="W9608" s="503"/>
    </row>
    <row r="9609" spans="23:23">
      <c r="W9609" s="503"/>
    </row>
    <row r="9610" spans="23:23">
      <c r="W9610" s="503"/>
    </row>
    <row r="9611" spans="23:23">
      <c r="W9611" s="503"/>
    </row>
    <row r="9612" spans="23:23">
      <c r="W9612" s="503"/>
    </row>
    <row r="9613" spans="23:23">
      <c r="W9613" s="503"/>
    </row>
    <row r="9614" spans="23:23">
      <c r="W9614" s="503"/>
    </row>
    <row r="9615" spans="23:23">
      <c r="W9615" s="503"/>
    </row>
    <row r="9616" spans="23:23">
      <c r="W9616" s="503"/>
    </row>
    <row r="9617" spans="23:23">
      <c r="W9617" s="503"/>
    </row>
    <row r="9618" spans="23:23">
      <c r="W9618" s="503"/>
    </row>
    <row r="9619" spans="23:23">
      <c r="W9619" s="503"/>
    </row>
    <row r="9620" spans="23:23">
      <c r="W9620" s="503"/>
    </row>
    <row r="9621" spans="23:23">
      <c r="W9621" s="503"/>
    </row>
    <row r="9622" spans="23:23">
      <c r="W9622" s="503"/>
    </row>
    <row r="9623" spans="23:23">
      <c r="W9623" s="503"/>
    </row>
    <row r="9624" spans="23:23">
      <c r="W9624" s="503"/>
    </row>
    <row r="9625" spans="23:23">
      <c r="W9625" s="503"/>
    </row>
    <row r="9626" spans="23:23">
      <c r="W9626" s="503"/>
    </row>
    <row r="9627" spans="23:23">
      <c r="W9627" s="503"/>
    </row>
    <row r="9628" spans="23:23">
      <c r="W9628" s="503"/>
    </row>
    <row r="9629" spans="23:23">
      <c r="W9629" s="503"/>
    </row>
    <row r="9630" spans="23:23">
      <c r="W9630" s="503"/>
    </row>
    <row r="9631" spans="23:23">
      <c r="W9631" s="503"/>
    </row>
    <row r="9632" spans="23:23">
      <c r="W9632" s="503"/>
    </row>
    <row r="9633" spans="23:23">
      <c r="W9633" s="503"/>
    </row>
    <row r="9634" spans="23:23">
      <c r="W9634" s="503"/>
    </row>
    <row r="9635" spans="23:23">
      <c r="W9635" s="503"/>
    </row>
    <row r="9636" spans="23:23">
      <c r="W9636" s="503"/>
    </row>
    <row r="9637" spans="23:23">
      <c r="W9637" s="503"/>
    </row>
    <row r="9638" spans="23:23">
      <c r="W9638" s="503"/>
    </row>
    <row r="9639" spans="23:23">
      <c r="W9639" s="503"/>
    </row>
    <row r="9640" spans="23:23">
      <c r="W9640" s="503"/>
    </row>
    <row r="9641" spans="23:23">
      <c r="W9641" s="503"/>
    </row>
    <row r="9642" spans="23:23">
      <c r="W9642" s="503"/>
    </row>
    <row r="9643" spans="23:23">
      <c r="W9643" s="503"/>
    </row>
    <row r="9644" spans="23:23">
      <c r="W9644" s="503"/>
    </row>
    <row r="9645" spans="23:23">
      <c r="W9645" s="503"/>
    </row>
    <row r="9646" spans="23:23">
      <c r="W9646" s="503"/>
    </row>
    <row r="9647" spans="23:23">
      <c r="W9647" s="503"/>
    </row>
    <row r="9648" spans="23:23">
      <c r="W9648" s="503"/>
    </row>
    <row r="9649" spans="23:23">
      <c r="W9649" s="503"/>
    </row>
    <row r="9650" spans="23:23">
      <c r="W9650" s="503"/>
    </row>
    <row r="9651" spans="23:23">
      <c r="W9651" s="503"/>
    </row>
    <row r="9652" spans="23:23">
      <c r="W9652" s="503"/>
    </row>
    <row r="9653" spans="23:23">
      <c r="W9653" s="503"/>
    </row>
    <row r="9654" spans="23:23">
      <c r="W9654" s="503"/>
    </row>
    <row r="9655" spans="23:23">
      <c r="W9655" s="503"/>
    </row>
    <row r="9656" spans="23:23">
      <c r="W9656" s="503"/>
    </row>
    <row r="9657" spans="23:23">
      <c r="W9657" s="503"/>
    </row>
    <row r="9658" spans="23:23">
      <c r="W9658" s="503"/>
    </row>
    <row r="9659" spans="23:23">
      <c r="W9659" s="503"/>
    </row>
    <row r="9660" spans="23:23">
      <c r="W9660" s="503"/>
    </row>
    <row r="9661" spans="23:23">
      <c r="W9661" s="503"/>
    </row>
    <row r="9662" spans="23:23">
      <c r="W9662" s="503"/>
    </row>
    <row r="9663" spans="23:23">
      <c r="W9663" s="503"/>
    </row>
    <row r="9664" spans="23:23">
      <c r="W9664" s="503"/>
    </row>
    <row r="9665" spans="23:23">
      <c r="W9665" s="503"/>
    </row>
    <row r="9666" spans="23:23">
      <c r="W9666" s="503"/>
    </row>
    <row r="9667" spans="23:23">
      <c r="W9667" s="503"/>
    </row>
    <row r="9668" spans="23:23">
      <c r="W9668" s="503"/>
    </row>
    <row r="9669" spans="23:23">
      <c r="W9669" s="503"/>
    </row>
    <row r="9670" spans="23:23">
      <c r="W9670" s="503"/>
    </row>
    <row r="9671" spans="23:23">
      <c r="W9671" s="503"/>
    </row>
    <row r="9672" spans="23:23">
      <c r="W9672" s="503"/>
    </row>
    <row r="9673" spans="23:23">
      <c r="W9673" s="503"/>
    </row>
    <row r="9674" spans="23:23">
      <c r="W9674" s="503"/>
    </row>
    <row r="9675" spans="23:23">
      <c r="W9675" s="503"/>
    </row>
    <row r="9676" spans="23:23">
      <c r="W9676" s="503"/>
    </row>
    <row r="9677" spans="23:23">
      <c r="W9677" s="503"/>
    </row>
    <row r="9678" spans="23:23">
      <c r="W9678" s="503"/>
    </row>
    <row r="9679" spans="23:23">
      <c r="W9679" s="503"/>
    </row>
    <row r="9680" spans="23:23">
      <c r="W9680" s="503"/>
    </row>
    <row r="9681" spans="23:23">
      <c r="W9681" s="503"/>
    </row>
    <row r="9682" spans="23:23">
      <c r="W9682" s="503"/>
    </row>
    <row r="9683" spans="23:23">
      <c r="W9683" s="503"/>
    </row>
    <row r="9684" spans="23:23">
      <c r="W9684" s="503"/>
    </row>
    <row r="9685" spans="23:23">
      <c r="W9685" s="503"/>
    </row>
    <row r="9686" spans="23:23">
      <c r="W9686" s="503"/>
    </row>
    <row r="9687" spans="23:23">
      <c r="W9687" s="503"/>
    </row>
    <row r="9688" spans="23:23">
      <c r="W9688" s="503"/>
    </row>
    <row r="9689" spans="23:23">
      <c r="W9689" s="503"/>
    </row>
    <row r="9690" spans="23:23">
      <c r="W9690" s="503"/>
    </row>
    <row r="9691" spans="23:23">
      <c r="W9691" s="503"/>
    </row>
    <row r="9692" spans="23:23">
      <c r="W9692" s="503"/>
    </row>
    <row r="9693" spans="23:23">
      <c r="W9693" s="503"/>
    </row>
    <row r="9694" spans="23:23">
      <c r="W9694" s="503"/>
    </row>
    <row r="9695" spans="23:23">
      <c r="W9695" s="503"/>
    </row>
    <row r="9696" spans="23:23">
      <c r="W9696" s="503"/>
    </row>
    <row r="9697" spans="23:23">
      <c r="W9697" s="503"/>
    </row>
    <row r="9698" spans="23:23">
      <c r="W9698" s="503"/>
    </row>
    <row r="9699" spans="23:23">
      <c r="W9699" s="503"/>
    </row>
    <row r="9700" spans="23:23">
      <c r="W9700" s="503"/>
    </row>
    <row r="9701" spans="23:23">
      <c r="W9701" s="503"/>
    </row>
    <row r="9702" spans="23:23">
      <c r="W9702" s="503"/>
    </row>
    <row r="9703" spans="23:23">
      <c r="W9703" s="503"/>
    </row>
    <row r="9704" spans="23:23">
      <c r="W9704" s="503"/>
    </row>
    <row r="9705" spans="23:23">
      <c r="W9705" s="503"/>
    </row>
    <row r="9706" spans="23:23">
      <c r="W9706" s="503"/>
    </row>
    <row r="9707" spans="23:23">
      <c r="W9707" s="503"/>
    </row>
    <row r="9708" spans="23:23">
      <c r="W9708" s="503"/>
    </row>
    <row r="9709" spans="23:23">
      <c r="W9709" s="503"/>
    </row>
    <row r="9710" spans="23:23">
      <c r="W9710" s="503"/>
    </row>
    <row r="9711" spans="23:23">
      <c r="W9711" s="503"/>
    </row>
    <row r="9712" spans="23:23">
      <c r="W9712" s="503"/>
    </row>
    <row r="9713" spans="23:23">
      <c r="W9713" s="503"/>
    </row>
    <row r="9714" spans="23:23">
      <c r="W9714" s="503"/>
    </row>
    <row r="9715" spans="23:23">
      <c r="W9715" s="503"/>
    </row>
    <row r="9716" spans="23:23">
      <c r="W9716" s="503"/>
    </row>
    <row r="9717" spans="23:23">
      <c r="W9717" s="503"/>
    </row>
    <row r="9718" spans="23:23">
      <c r="W9718" s="503"/>
    </row>
    <row r="9719" spans="23:23">
      <c r="W9719" s="503"/>
    </row>
    <row r="9720" spans="23:23">
      <c r="W9720" s="503"/>
    </row>
    <row r="9721" spans="23:23">
      <c r="W9721" s="503"/>
    </row>
    <row r="9722" spans="23:23">
      <c r="W9722" s="503"/>
    </row>
    <row r="9723" spans="23:23">
      <c r="W9723" s="503"/>
    </row>
    <row r="9724" spans="23:23">
      <c r="W9724" s="503"/>
    </row>
    <row r="9725" spans="23:23">
      <c r="W9725" s="503"/>
    </row>
    <row r="9726" spans="23:23">
      <c r="W9726" s="503"/>
    </row>
    <row r="9727" spans="23:23">
      <c r="W9727" s="503"/>
    </row>
    <row r="9728" spans="23:23">
      <c r="W9728" s="503"/>
    </row>
    <row r="9729" spans="23:23">
      <c r="W9729" s="503"/>
    </row>
    <row r="9730" spans="23:23">
      <c r="W9730" s="503"/>
    </row>
    <row r="9731" spans="23:23">
      <c r="W9731" s="503"/>
    </row>
    <row r="9732" spans="23:23">
      <c r="W9732" s="503"/>
    </row>
    <row r="9733" spans="23:23">
      <c r="W9733" s="503"/>
    </row>
    <row r="9734" spans="23:23">
      <c r="W9734" s="503"/>
    </row>
    <row r="9735" spans="23:23">
      <c r="W9735" s="503"/>
    </row>
    <row r="9736" spans="23:23">
      <c r="W9736" s="503"/>
    </row>
    <row r="9737" spans="23:23">
      <c r="W9737" s="503"/>
    </row>
    <row r="9738" spans="23:23">
      <c r="W9738" s="503"/>
    </row>
    <row r="9739" spans="23:23">
      <c r="W9739" s="503"/>
    </row>
    <row r="9740" spans="23:23">
      <c r="W9740" s="503"/>
    </row>
    <row r="9741" spans="23:23">
      <c r="W9741" s="503"/>
    </row>
    <row r="9742" spans="23:23">
      <c r="W9742" s="503"/>
    </row>
    <row r="9743" spans="23:23">
      <c r="W9743" s="503"/>
    </row>
    <row r="9744" spans="23:23">
      <c r="W9744" s="503"/>
    </row>
    <row r="9745" spans="23:23">
      <c r="W9745" s="503"/>
    </row>
    <row r="9746" spans="23:23">
      <c r="W9746" s="503"/>
    </row>
    <row r="9747" spans="23:23">
      <c r="W9747" s="503"/>
    </row>
    <row r="9748" spans="23:23">
      <c r="W9748" s="503"/>
    </row>
    <row r="9749" spans="23:23">
      <c r="W9749" s="503"/>
    </row>
    <row r="9750" spans="23:23">
      <c r="W9750" s="503"/>
    </row>
    <row r="9751" spans="23:23">
      <c r="W9751" s="503"/>
    </row>
    <row r="9752" spans="23:23">
      <c r="W9752" s="503"/>
    </row>
    <row r="9753" spans="23:23">
      <c r="W9753" s="503"/>
    </row>
    <row r="9754" spans="23:23">
      <c r="W9754" s="503"/>
    </row>
    <row r="9755" spans="23:23">
      <c r="W9755" s="503"/>
    </row>
    <row r="9756" spans="23:23">
      <c r="W9756" s="503"/>
    </row>
    <row r="9757" spans="23:23">
      <c r="W9757" s="503"/>
    </row>
    <row r="9758" spans="23:23">
      <c r="W9758" s="503"/>
    </row>
    <row r="9759" spans="23:23">
      <c r="W9759" s="503"/>
    </row>
    <row r="9760" spans="23:23">
      <c r="W9760" s="503"/>
    </row>
    <row r="9761" spans="23:23">
      <c r="W9761" s="503"/>
    </row>
    <row r="9762" spans="23:23">
      <c r="W9762" s="503"/>
    </row>
    <row r="9763" spans="23:23">
      <c r="W9763" s="503"/>
    </row>
    <row r="9764" spans="23:23">
      <c r="W9764" s="503"/>
    </row>
    <row r="9765" spans="23:23">
      <c r="W9765" s="503"/>
    </row>
    <row r="9766" spans="23:23">
      <c r="W9766" s="503"/>
    </row>
    <row r="9767" spans="23:23">
      <c r="W9767" s="503"/>
    </row>
    <row r="9768" spans="23:23">
      <c r="W9768" s="503"/>
    </row>
    <row r="9769" spans="23:23">
      <c r="W9769" s="503"/>
    </row>
    <row r="9770" spans="23:23">
      <c r="W9770" s="503"/>
    </row>
    <row r="9771" spans="23:23">
      <c r="W9771" s="503"/>
    </row>
    <row r="9772" spans="23:23">
      <c r="W9772" s="503"/>
    </row>
    <row r="9773" spans="23:23">
      <c r="W9773" s="503"/>
    </row>
    <row r="9774" spans="23:23">
      <c r="W9774" s="503"/>
    </row>
    <row r="9775" spans="23:23">
      <c r="W9775" s="503"/>
    </row>
    <row r="9776" spans="23:23">
      <c r="W9776" s="503"/>
    </row>
    <row r="9777" spans="23:23">
      <c r="W9777" s="503"/>
    </row>
    <row r="9778" spans="23:23">
      <c r="W9778" s="503"/>
    </row>
    <row r="9779" spans="23:23">
      <c r="W9779" s="503"/>
    </row>
    <row r="9780" spans="23:23">
      <c r="W9780" s="503"/>
    </row>
    <row r="9781" spans="23:23">
      <c r="W9781" s="503"/>
    </row>
    <row r="9782" spans="23:23">
      <c r="W9782" s="503"/>
    </row>
    <row r="9783" spans="23:23">
      <c r="W9783" s="503"/>
    </row>
    <row r="9784" spans="23:23">
      <c r="W9784" s="503"/>
    </row>
    <row r="9785" spans="23:23">
      <c r="W9785" s="503"/>
    </row>
    <row r="9786" spans="23:23">
      <c r="W9786" s="503"/>
    </row>
    <row r="9787" spans="23:23">
      <c r="W9787" s="503"/>
    </row>
    <row r="9788" spans="23:23">
      <c r="W9788" s="503"/>
    </row>
    <row r="9789" spans="23:23">
      <c r="W9789" s="503"/>
    </row>
    <row r="9790" spans="23:23">
      <c r="W9790" s="503"/>
    </row>
    <row r="9791" spans="23:23">
      <c r="W9791" s="503"/>
    </row>
    <row r="9792" spans="23:23">
      <c r="W9792" s="503"/>
    </row>
    <row r="9793" spans="23:23">
      <c r="W9793" s="503"/>
    </row>
    <row r="9794" spans="23:23">
      <c r="W9794" s="503"/>
    </row>
    <row r="9795" spans="23:23">
      <c r="W9795" s="503"/>
    </row>
    <row r="9796" spans="23:23">
      <c r="W9796" s="503"/>
    </row>
    <row r="9797" spans="23:23">
      <c r="W9797" s="503"/>
    </row>
    <row r="9798" spans="23:23">
      <c r="W9798" s="503"/>
    </row>
    <row r="9799" spans="23:23">
      <c r="W9799" s="503"/>
    </row>
    <row r="9800" spans="23:23">
      <c r="W9800" s="503"/>
    </row>
    <row r="9801" spans="23:23">
      <c r="W9801" s="503"/>
    </row>
    <row r="9802" spans="23:23">
      <c r="W9802" s="503"/>
    </row>
    <row r="9803" spans="23:23">
      <c r="W9803" s="503"/>
    </row>
    <row r="9804" spans="23:23">
      <c r="W9804" s="503"/>
    </row>
    <row r="9805" spans="23:23">
      <c r="W9805" s="503"/>
    </row>
    <row r="9806" spans="23:23">
      <c r="W9806" s="503"/>
    </row>
    <row r="9807" spans="23:23">
      <c r="W9807" s="503"/>
    </row>
    <row r="9808" spans="23:23">
      <c r="W9808" s="503"/>
    </row>
    <row r="9809" spans="23:23">
      <c r="W9809" s="503"/>
    </row>
    <row r="9810" spans="23:23">
      <c r="W9810" s="503"/>
    </row>
    <row r="9811" spans="23:23">
      <c r="W9811" s="503"/>
    </row>
    <row r="9812" spans="23:23">
      <c r="W9812" s="503"/>
    </row>
    <row r="9813" spans="23:23">
      <c r="W9813" s="503"/>
    </row>
    <row r="9814" spans="23:23">
      <c r="W9814" s="503"/>
    </row>
    <row r="9815" spans="23:23">
      <c r="W9815" s="503"/>
    </row>
    <row r="9816" spans="23:23">
      <c r="W9816" s="503"/>
    </row>
    <row r="9817" spans="23:23">
      <c r="W9817" s="503"/>
    </row>
    <row r="9818" spans="23:23">
      <c r="W9818" s="503"/>
    </row>
    <row r="9819" spans="23:23">
      <c r="W9819" s="503"/>
    </row>
    <row r="9820" spans="23:23">
      <c r="W9820" s="503"/>
    </row>
    <row r="9821" spans="23:23">
      <c r="W9821" s="503"/>
    </row>
    <row r="9822" spans="23:23">
      <c r="W9822" s="503"/>
    </row>
    <row r="9823" spans="23:23">
      <c r="W9823" s="503"/>
    </row>
    <row r="9824" spans="23:23">
      <c r="W9824" s="503"/>
    </row>
    <row r="9825" spans="23:23">
      <c r="W9825" s="503"/>
    </row>
    <row r="9826" spans="23:23">
      <c r="W9826" s="503"/>
    </row>
    <row r="9827" spans="23:23">
      <c r="W9827" s="503"/>
    </row>
    <row r="9828" spans="23:23">
      <c r="W9828" s="503"/>
    </row>
    <row r="9829" spans="23:23">
      <c r="W9829" s="503"/>
    </row>
    <row r="9830" spans="23:23">
      <c r="W9830" s="503"/>
    </row>
    <row r="9831" spans="23:23">
      <c r="W9831" s="503"/>
    </row>
    <row r="9832" spans="23:23">
      <c r="W9832" s="503"/>
    </row>
    <row r="9833" spans="23:23">
      <c r="W9833" s="503"/>
    </row>
    <row r="9834" spans="23:23">
      <c r="W9834" s="503"/>
    </row>
    <row r="9835" spans="23:23">
      <c r="W9835" s="503"/>
    </row>
    <row r="9836" spans="23:23">
      <c r="W9836" s="503"/>
    </row>
    <row r="9837" spans="23:23">
      <c r="W9837" s="503"/>
    </row>
    <row r="9838" spans="23:23">
      <c r="W9838" s="503"/>
    </row>
    <row r="9839" spans="23:23">
      <c r="W9839" s="503"/>
    </row>
    <row r="9840" spans="23:23">
      <c r="W9840" s="503"/>
    </row>
    <row r="9841" spans="23:23">
      <c r="W9841" s="503"/>
    </row>
    <row r="9842" spans="23:23">
      <c r="W9842" s="503"/>
    </row>
    <row r="9843" spans="23:23">
      <c r="W9843" s="503"/>
    </row>
    <row r="9844" spans="23:23">
      <c r="W9844" s="503"/>
    </row>
    <row r="9845" spans="23:23">
      <c r="W9845" s="503"/>
    </row>
    <row r="9846" spans="23:23">
      <c r="W9846" s="503"/>
    </row>
    <row r="9847" spans="23:23">
      <c r="W9847" s="503"/>
    </row>
    <row r="9848" spans="23:23">
      <c r="W9848" s="503"/>
    </row>
    <row r="9849" spans="23:23">
      <c r="W9849" s="503"/>
    </row>
    <row r="9850" spans="23:23">
      <c r="W9850" s="503"/>
    </row>
    <row r="9851" spans="23:23">
      <c r="W9851" s="503"/>
    </row>
    <row r="9852" spans="23:23">
      <c r="W9852" s="503"/>
    </row>
    <row r="9853" spans="23:23">
      <c r="W9853" s="503"/>
    </row>
    <row r="9854" spans="23:23">
      <c r="W9854" s="503"/>
    </row>
    <row r="9855" spans="23:23">
      <c r="W9855" s="503"/>
    </row>
    <row r="9856" spans="23:23">
      <c r="W9856" s="503"/>
    </row>
    <row r="9857" spans="23:23">
      <c r="W9857" s="503"/>
    </row>
    <row r="9858" spans="23:23">
      <c r="W9858" s="503"/>
    </row>
    <row r="9859" spans="23:23">
      <c r="W9859" s="503"/>
    </row>
    <row r="9860" spans="23:23">
      <c r="W9860" s="503"/>
    </row>
    <row r="9861" spans="23:23">
      <c r="W9861" s="503"/>
    </row>
    <row r="9862" spans="23:23">
      <c r="W9862" s="503"/>
    </row>
    <row r="9863" spans="23:23">
      <c r="W9863" s="503"/>
    </row>
    <row r="9864" spans="23:23">
      <c r="W9864" s="503"/>
    </row>
    <row r="9865" spans="23:23">
      <c r="W9865" s="503"/>
    </row>
    <row r="9866" spans="23:23">
      <c r="W9866" s="503"/>
    </row>
    <row r="9867" spans="23:23">
      <c r="W9867" s="503"/>
    </row>
    <row r="9868" spans="23:23">
      <c r="W9868" s="503"/>
    </row>
    <row r="9869" spans="23:23">
      <c r="W9869" s="503"/>
    </row>
    <row r="9870" spans="23:23">
      <c r="W9870" s="503"/>
    </row>
    <row r="9871" spans="23:23">
      <c r="W9871" s="503"/>
    </row>
    <row r="9872" spans="23:23">
      <c r="W9872" s="503"/>
    </row>
    <row r="9873" spans="23:23">
      <c r="W9873" s="503"/>
    </row>
    <row r="9874" spans="23:23">
      <c r="W9874" s="503"/>
    </row>
    <row r="9875" spans="23:23">
      <c r="W9875" s="503"/>
    </row>
    <row r="9876" spans="23:23">
      <c r="W9876" s="503"/>
    </row>
    <row r="9877" spans="23:23">
      <c r="W9877" s="503"/>
    </row>
    <row r="9878" spans="23:23">
      <c r="W9878" s="503"/>
    </row>
    <row r="9879" spans="23:23">
      <c r="W9879" s="503"/>
    </row>
    <row r="9880" spans="23:23">
      <c r="W9880" s="503"/>
    </row>
    <row r="9881" spans="23:23">
      <c r="W9881" s="503"/>
    </row>
    <row r="9882" spans="23:23">
      <c r="W9882" s="503"/>
    </row>
    <row r="9883" spans="23:23">
      <c r="W9883" s="503"/>
    </row>
    <row r="9884" spans="23:23">
      <c r="W9884" s="503"/>
    </row>
    <row r="9885" spans="23:23">
      <c r="W9885" s="503"/>
    </row>
    <row r="9886" spans="23:23">
      <c r="W9886" s="503"/>
    </row>
    <row r="9887" spans="23:23">
      <c r="W9887" s="503"/>
    </row>
    <row r="9888" spans="23:23">
      <c r="W9888" s="503"/>
    </row>
    <row r="9889" spans="23:23">
      <c r="W9889" s="503"/>
    </row>
    <row r="9890" spans="23:23">
      <c r="W9890" s="503"/>
    </row>
    <row r="9891" spans="23:23">
      <c r="W9891" s="503"/>
    </row>
    <row r="9892" spans="23:23">
      <c r="W9892" s="503"/>
    </row>
    <row r="9893" spans="23:23">
      <c r="W9893" s="503"/>
    </row>
    <row r="9894" spans="23:23">
      <c r="W9894" s="503"/>
    </row>
    <row r="9895" spans="23:23">
      <c r="W9895" s="503"/>
    </row>
    <row r="9896" spans="23:23">
      <c r="W9896" s="503"/>
    </row>
    <row r="9897" spans="23:23">
      <c r="W9897" s="503"/>
    </row>
    <row r="9898" spans="23:23">
      <c r="W9898" s="503"/>
    </row>
    <row r="9899" spans="23:23">
      <c r="W9899" s="503"/>
    </row>
    <row r="9900" spans="23:23">
      <c r="W9900" s="503"/>
    </row>
    <row r="9901" spans="23:23">
      <c r="W9901" s="503"/>
    </row>
    <row r="9902" spans="23:23">
      <c r="W9902" s="503"/>
    </row>
    <row r="9903" spans="23:23">
      <c r="W9903" s="503"/>
    </row>
    <row r="9904" spans="23:23">
      <c r="W9904" s="503"/>
    </row>
    <row r="9905" spans="23:23">
      <c r="W9905" s="503"/>
    </row>
    <row r="9906" spans="23:23">
      <c r="W9906" s="503"/>
    </row>
    <row r="9907" spans="23:23">
      <c r="W9907" s="503"/>
    </row>
    <row r="9908" spans="23:23">
      <c r="W9908" s="503"/>
    </row>
    <row r="9909" spans="23:23">
      <c r="W9909" s="503"/>
    </row>
    <row r="9910" spans="23:23">
      <c r="W9910" s="503"/>
    </row>
    <row r="9911" spans="23:23">
      <c r="W9911" s="503"/>
    </row>
    <row r="9912" spans="23:23">
      <c r="W9912" s="503"/>
    </row>
    <row r="9913" spans="23:23">
      <c r="W9913" s="503"/>
    </row>
    <row r="9914" spans="23:23">
      <c r="W9914" s="503"/>
    </row>
    <row r="9915" spans="23:23">
      <c r="W9915" s="503"/>
    </row>
    <row r="9916" spans="23:23">
      <c r="W9916" s="503"/>
    </row>
    <row r="9917" spans="23:23">
      <c r="W9917" s="503"/>
    </row>
    <row r="9918" spans="23:23">
      <c r="W9918" s="503"/>
    </row>
    <row r="9919" spans="23:23">
      <c r="W9919" s="503"/>
    </row>
    <row r="9920" spans="23:23">
      <c r="W9920" s="503"/>
    </row>
    <row r="9921" spans="23:23">
      <c r="W9921" s="503"/>
    </row>
    <row r="9922" spans="23:23">
      <c r="W9922" s="503"/>
    </row>
    <row r="9923" spans="23:23">
      <c r="W9923" s="503"/>
    </row>
    <row r="9924" spans="23:23">
      <c r="W9924" s="503"/>
    </row>
    <row r="9925" spans="23:23">
      <c r="W9925" s="503"/>
    </row>
    <row r="9926" spans="23:23">
      <c r="W9926" s="503"/>
    </row>
    <row r="9927" spans="23:23">
      <c r="W9927" s="503"/>
    </row>
    <row r="9928" spans="23:23">
      <c r="W9928" s="503"/>
    </row>
    <row r="9929" spans="23:23">
      <c r="W9929" s="503"/>
    </row>
    <row r="9930" spans="23:23">
      <c r="W9930" s="503"/>
    </row>
    <row r="9931" spans="23:23">
      <c r="W9931" s="503"/>
    </row>
    <row r="9932" spans="23:23">
      <c r="W9932" s="503"/>
    </row>
    <row r="9933" spans="23:23">
      <c r="W9933" s="503"/>
    </row>
    <row r="9934" spans="23:23">
      <c r="W9934" s="503"/>
    </row>
    <row r="9935" spans="23:23">
      <c r="W9935" s="503"/>
    </row>
    <row r="9936" spans="23:23">
      <c r="W9936" s="503"/>
    </row>
    <row r="9937" spans="23:23">
      <c r="W9937" s="503"/>
    </row>
    <row r="9938" spans="23:23">
      <c r="W9938" s="503"/>
    </row>
    <row r="9939" spans="23:23">
      <c r="W9939" s="503"/>
    </row>
    <row r="9940" spans="23:23">
      <c r="W9940" s="503"/>
    </row>
    <row r="9941" spans="23:23">
      <c r="W9941" s="503"/>
    </row>
    <row r="9942" spans="23:23">
      <c r="W9942" s="503"/>
    </row>
    <row r="9943" spans="23:23">
      <c r="W9943" s="503"/>
    </row>
    <row r="9944" spans="23:23">
      <c r="W9944" s="503"/>
    </row>
    <row r="9945" spans="23:23">
      <c r="W9945" s="503"/>
    </row>
    <row r="9946" spans="23:23">
      <c r="W9946" s="503"/>
    </row>
    <row r="9947" spans="23:23">
      <c r="W9947" s="503"/>
    </row>
    <row r="9948" spans="23:23">
      <c r="W9948" s="503"/>
    </row>
    <row r="9949" spans="23:23">
      <c r="W9949" s="503"/>
    </row>
    <row r="9950" spans="23:23">
      <c r="W9950" s="503"/>
    </row>
    <row r="9951" spans="23:23">
      <c r="W9951" s="503"/>
    </row>
    <row r="9952" spans="23:23">
      <c r="W9952" s="503"/>
    </row>
    <row r="9953" spans="23:23">
      <c r="W9953" s="503"/>
    </row>
    <row r="9954" spans="23:23">
      <c r="W9954" s="503"/>
    </row>
    <row r="9955" spans="23:23">
      <c r="W9955" s="503"/>
    </row>
    <row r="9956" spans="23:23">
      <c r="W9956" s="503"/>
    </row>
    <row r="9957" spans="23:23">
      <c r="W9957" s="503"/>
    </row>
    <row r="9958" spans="23:23">
      <c r="W9958" s="503"/>
    </row>
    <row r="9959" spans="23:23">
      <c r="W9959" s="503"/>
    </row>
    <row r="9960" spans="23:23">
      <c r="W9960" s="503"/>
    </row>
    <row r="9961" spans="23:23">
      <c r="W9961" s="503"/>
    </row>
    <row r="9962" spans="23:23">
      <c r="W9962" s="503"/>
    </row>
    <row r="9963" spans="23:23">
      <c r="W9963" s="503"/>
    </row>
    <row r="9964" spans="23:23">
      <c r="W9964" s="503"/>
    </row>
    <row r="9965" spans="23:23">
      <c r="W9965" s="503"/>
    </row>
    <row r="9966" spans="23:23">
      <c r="W9966" s="503"/>
    </row>
    <row r="9967" spans="23:23">
      <c r="W9967" s="503"/>
    </row>
    <row r="9968" spans="23:23">
      <c r="W9968" s="503"/>
    </row>
    <row r="9969" spans="23:23">
      <c r="W9969" s="503"/>
    </row>
    <row r="9970" spans="23:23">
      <c r="W9970" s="503"/>
    </row>
    <row r="9971" spans="23:23">
      <c r="W9971" s="503"/>
    </row>
    <row r="9972" spans="23:23">
      <c r="W9972" s="503"/>
    </row>
    <row r="9973" spans="23:23">
      <c r="W9973" s="503"/>
    </row>
    <row r="9974" spans="23:23">
      <c r="W9974" s="503"/>
    </row>
    <row r="9975" spans="23:23">
      <c r="W9975" s="503"/>
    </row>
    <row r="9976" spans="23:23">
      <c r="W9976" s="503"/>
    </row>
    <row r="9977" spans="23:23">
      <c r="W9977" s="503"/>
    </row>
    <row r="9978" spans="23:23">
      <c r="W9978" s="503"/>
    </row>
    <row r="9979" spans="23:23">
      <c r="W9979" s="503"/>
    </row>
    <row r="9980" spans="23:23">
      <c r="W9980" s="503"/>
    </row>
    <row r="9981" spans="23:23">
      <c r="W9981" s="503"/>
    </row>
    <row r="9982" spans="23:23">
      <c r="W9982" s="503"/>
    </row>
    <row r="9983" spans="23:23">
      <c r="W9983" s="503"/>
    </row>
    <row r="9984" spans="23:23">
      <c r="W9984" s="503"/>
    </row>
    <row r="9985" spans="23:23">
      <c r="W9985" s="503"/>
    </row>
    <row r="9986" spans="23:23">
      <c r="W9986" s="503"/>
    </row>
    <row r="9987" spans="23:23">
      <c r="W9987" s="503"/>
    </row>
    <row r="9988" spans="23:23">
      <c r="W9988" s="503"/>
    </row>
    <row r="9989" spans="23:23">
      <c r="W9989" s="503"/>
    </row>
    <row r="9990" spans="23:23">
      <c r="W9990" s="503"/>
    </row>
    <row r="9991" spans="23:23">
      <c r="W9991" s="503"/>
    </row>
    <row r="9992" spans="23:23">
      <c r="W9992" s="503"/>
    </row>
    <row r="9993" spans="23:23">
      <c r="W9993" s="503"/>
    </row>
    <row r="9994" spans="23:23">
      <c r="W9994" s="503"/>
    </row>
    <row r="9995" spans="23:23">
      <c r="W9995" s="503"/>
    </row>
    <row r="9996" spans="23:23">
      <c r="W9996" s="503"/>
    </row>
    <row r="9997" spans="23:23">
      <c r="W9997" s="503"/>
    </row>
    <row r="9998" spans="23:23">
      <c r="W9998" s="503"/>
    </row>
    <row r="9999" spans="23:23">
      <c r="W9999" s="503"/>
    </row>
    <row r="10000" spans="23:23">
      <c r="W10000" s="503"/>
    </row>
    <row r="10001" spans="23:23">
      <c r="W10001" s="503"/>
    </row>
    <row r="10002" spans="23:23">
      <c r="W10002" s="503"/>
    </row>
    <row r="10003" spans="23:23">
      <c r="W10003" s="503"/>
    </row>
    <row r="10004" spans="23:23">
      <c r="W10004" s="503"/>
    </row>
    <row r="10005" spans="23:23">
      <c r="W10005" s="503"/>
    </row>
    <row r="10006" spans="23:23">
      <c r="W10006" s="503"/>
    </row>
    <row r="10007" spans="23:23">
      <c r="W10007" s="503"/>
    </row>
    <row r="10008" spans="23:23">
      <c r="W10008" s="503"/>
    </row>
    <row r="10009" spans="23:23">
      <c r="W10009" s="503"/>
    </row>
    <row r="10010" spans="23:23">
      <c r="W10010" s="503"/>
    </row>
    <row r="10011" spans="23:23">
      <c r="W10011" s="503"/>
    </row>
    <row r="10012" spans="23:23">
      <c r="W10012" s="503"/>
    </row>
    <row r="10013" spans="23:23">
      <c r="W10013" s="503"/>
    </row>
    <row r="10014" spans="23:23">
      <c r="W10014" s="503"/>
    </row>
    <row r="10015" spans="23:23">
      <c r="W10015" s="503"/>
    </row>
    <row r="10016" spans="23:23">
      <c r="W10016" s="503"/>
    </row>
    <row r="10017" spans="23:23">
      <c r="W10017" s="503"/>
    </row>
    <row r="10018" spans="23:23">
      <c r="W10018" s="503"/>
    </row>
    <row r="10019" spans="23:23">
      <c r="W10019" s="503"/>
    </row>
    <row r="10020" spans="23:23">
      <c r="W10020" s="503"/>
    </row>
    <row r="10021" spans="23:23">
      <c r="W10021" s="503"/>
    </row>
    <row r="10022" spans="23:23">
      <c r="W10022" s="503"/>
    </row>
    <row r="10023" spans="23:23">
      <c r="W10023" s="503"/>
    </row>
    <row r="10024" spans="23:23">
      <c r="W10024" s="503"/>
    </row>
    <row r="10025" spans="23:23">
      <c r="W10025" s="503"/>
    </row>
    <row r="10026" spans="23:23">
      <c r="W10026" s="503"/>
    </row>
    <row r="10027" spans="23:23">
      <c r="W10027" s="503"/>
    </row>
    <row r="10028" spans="23:23">
      <c r="W10028" s="503"/>
    </row>
    <row r="10029" spans="23:23">
      <c r="W10029" s="503"/>
    </row>
    <row r="10030" spans="23:23">
      <c r="W10030" s="503"/>
    </row>
    <row r="10031" spans="23:23">
      <c r="W10031" s="503"/>
    </row>
    <row r="10032" spans="23:23">
      <c r="W10032" s="503"/>
    </row>
    <row r="10033" spans="23:23">
      <c r="W10033" s="503"/>
    </row>
    <row r="10034" spans="23:23">
      <c r="W10034" s="503"/>
    </row>
    <row r="10035" spans="23:23">
      <c r="W10035" s="503"/>
    </row>
    <row r="10036" spans="23:23">
      <c r="W10036" s="503"/>
    </row>
    <row r="10037" spans="23:23">
      <c r="W10037" s="503"/>
    </row>
    <row r="10038" spans="23:23">
      <c r="W10038" s="503"/>
    </row>
    <row r="10039" spans="23:23">
      <c r="W10039" s="503"/>
    </row>
    <row r="10040" spans="23:23">
      <c r="W10040" s="503"/>
    </row>
    <row r="10041" spans="23:23">
      <c r="W10041" s="503"/>
    </row>
    <row r="10042" spans="23:23">
      <c r="W10042" s="503"/>
    </row>
    <row r="10043" spans="23:23">
      <c r="W10043" s="503"/>
    </row>
    <row r="10044" spans="23:23">
      <c r="W10044" s="503"/>
    </row>
    <row r="10045" spans="23:23">
      <c r="W10045" s="503"/>
    </row>
    <row r="10046" spans="23:23">
      <c r="W10046" s="503"/>
    </row>
    <row r="10047" spans="23:23">
      <c r="W10047" s="503"/>
    </row>
    <row r="10048" spans="23:23">
      <c r="W10048" s="503"/>
    </row>
    <row r="10049" spans="23:23">
      <c r="W10049" s="503"/>
    </row>
    <row r="10050" spans="23:23">
      <c r="W10050" s="503"/>
    </row>
    <row r="10051" spans="23:23">
      <c r="W10051" s="503"/>
    </row>
    <row r="10052" spans="23:23">
      <c r="W10052" s="503"/>
    </row>
    <row r="10053" spans="23:23">
      <c r="W10053" s="503"/>
    </row>
    <row r="10054" spans="23:23">
      <c r="W10054" s="503"/>
    </row>
    <row r="10055" spans="23:23">
      <c r="W10055" s="503"/>
    </row>
    <row r="10056" spans="23:23">
      <c r="W10056" s="503"/>
    </row>
    <row r="10057" spans="23:23">
      <c r="W10057" s="503"/>
    </row>
    <row r="10058" spans="23:23">
      <c r="W10058" s="503"/>
    </row>
    <row r="10059" spans="23:23">
      <c r="W10059" s="503"/>
    </row>
    <row r="10060" spans="23:23">
      <c r="W10060" s="503"/>
    </row>
    <row r="10061" spans="23:23">
      <c r="W10061" s="503"/>
    </row>
    <row r="10062" spans="23:23">
      <c r="W10062" s="503"/>
    </row>
    <row r="10063" spans="23:23">
      <c r="W10063" s="503"/>
    </row>
    <row r="10064" spans="23:23">
      <c r="W10064" s="503"/>
    </row>
    <row r="10065" spans="23:23">
      <c r="W10065" s="503"/>
    </row>
    <row r="10066" spans="23:23">
      <c r="W10066" s="503"/>
    </row>
    <row r="10067" spans="23:23">
      <c r="W10067" s="503"/>
    </row>
    <row r="10068" spans="23:23">
      <c r="W10068" s="503"/>
    </row>
    <row r="10069" spans="23:23">
      <c r="W10069" s="503"/>
    </row>
    <row r="10070" spans="23:23">
      <c r="W10070" s="503"/>
    </row>
    <row r="10071" spans="23:23">
      <c r="W10071" s="503"/>
    </row>
    <row r="10072" spans="23:23">
      <c r="W10072" s="503"/>
    </row>
    <row r="10073" spans="23:23">
      <c r="W10073" s="503"/>
    </row>
    <row r="10074" spans="23:23">
      <c r="W10074" s="503"/>
    </row>
    <row r="10075" spans="23:23">
      <c r="W10075" s="503"/>
    </row>
    <row r="10076" spans="23:23">
      <c r="W10076" s="503"/>
    </row>
    <row r="10077" spans="23:23">
      <c r="W10077" s="503"/>
    </row>
    <row r="10078" spans="23:23">
      <c r="W10078" s="503"/>
    </row>
    <row r="10079" spans="23:23">
      <c r="W10079" s="503"/>
    </row>
    <row r="10080" spans="23:23">
      <c r="W10080" s="503"/>
    </row>
    <row r="10081" spans="23:23">
      <c r="W10081" s="503"/>
    </row>
    <row r="10082" spans="23:23">
      <c r="W10082" s="503"/>
    </row>
    <row r="10083" spans="23:23">
      <c r="W10083" s="503"/>
    </row>
    <row r="10084" spans="23:23">
      <c r="W10084" s="503"/>
    </row>
    <row r="10085" spans="23:23">
      <c r="W10085" s="503"/>
    </row>
    <row r="10086" spans="23:23">
      <c r="W10086" s="503"/>
    </row>
    <row r="10087" spans="23:23">
      <c r="W10087" s="503"/>
    </row>
    <row r="10088" spans="23:23">
      <c r="W10088" s="503"/>
    </row>
    <row r="10089" spans="23:23">
      <c r="W10089" s="503"/>
    </row>
    <row r="10090" spans="23:23">
      <c r="W10090" s="503"/>
    </row>
    <row r="10091" spans="23:23">
      <c r="W10091" s="503"/>
    </row>
    <row r="10092" spans="23:23">
      <c r="W10092" s="503"/>
    </row>
    <row r="10093" spans="23:23">
      <c r="W10093" s="503"/>
    </row>
    <row r="10094" spans="23:23">
      <c r="W10094" s="503"/>
    </row>
    <row r="10095" spans="23:23">
      <c r="W10095" s="503"/>
    </row>
    <row r="10096" spans="23:23">
      <c r="W10096" s="503"/>
    </row>
    <row r="10097" spans="23:23">
      <c r="W10097" s="503"/>
    </row>
    <row r="10098" spans="23:23">
      <c r="W10098" s="503"/>
    </row>
    <row r="10099" spans="23:23">
      <c r="W10099" s="503"/>
    </row>
    <row r="10100" spans="23:23">
      <c r="W10100" s="503"/>
    </row>
    <row r="10101" spans="23:23">
      <c r="W10101" s="503"/>
    </row>
    <row r="10102" spans="23:23">
      <c r="W10102" s="503"/>
    </row>
    <row r="10103" spans="23:23">
      <c r="W10103" s="503"/>
    </row>
    <row r="10104" spans="23:23">
      <c r="W10104" s="503"/>
    </row>
    <row r="10105" spans="23:23">
      <c r="W10105" s="503"/>
    </row>
    <row r="10106" spans="23:23">
      <c r="W10106" s="503"/>
    </row>
    <row r="10107" spans="23:23">
      <c r="W10107" s="503"/>
    </row>
    <row r="10108" spans="23:23">
      <c r="W10108" s="503"/>
    </row>
    <row r="10109" spans="23:23">
      <c r="W10109" s="503"/>
    </row>
    <row r="10110" spans="23:23">
      <c r="W10110" s="503"/>
    </row>
    <row r="10111" spans="23:23">
      <c r="W10111" s="503"/>
    </row>
    <row r="10112" spans="23:23">
      <c r="W10112" s="503"/>
    </row>
    <row r="10113" spans="23:23">
      <c r="W10113" s="503"/>
    </row>
    <row r="10114" spans="23:23">
      <c r="W10114" s="503"/>
    </row>
    <row r="10115" spans="23:23">
      <c r="W10115" s="503"/>
    </row>
    <row r="10116" spans="23:23">
      <c r="W10116" s="503"/>
    </row>
    <row r="10117" spans="23:23">
      <c r="W10117" s="503"/>
    </row>
    <row r="10118" spans="23:23">
      <c r="W10118" s="503"/>
    </row>
    <row r="10119" spans="23:23">
      <c r="W10119" s="503"/>
    </row>
    <row r="10120" spans="23:23">
      <c r="W10120" s="503"/>
    </row>
    <row r="10121" spans="23:23">
      <c r="W10121" s="503"/>
    </row>
    <row r="10122" spans="23:23">
      <c r="W10122" s="503"/>
    </row>
    <row r="10123" spans="23:23">
      <c r="W10123" s="503"/>
    </row>
    <row r="10124" spans="23:23">
      <c r="W10124" s="503"/>
    </row>
    <row r="10125" spans="23:23">
      <c r="W10125" s="503"/>
    </row>
    <row r="10126" spans="23:23">
      <c r="W10126" s="503"/>
    </row>
    <row r="10127" spans="23:23">
      <c r="W10127" s="503"/>
    </row>
    <row r="10128" spans="23:23">
      <c r="W10128" s="503"/>
    </row>
    <row r="10129" spans="23:23">
      <c r="W10129" s="503"/>
    </row>
    <row r="10130" spans="23:23">
      <c r="W10130" s="503"/>
    </row>
    <row r="10131" spans="23:23">
      <c r="W10131" s="503"/>
    </row>
    <row r="10132" spans="23:23">
      <c r="W10132" s="503"/>
    </row>
    <row r="10133" spans="23:23">
      <c r="W10133" s="503"/>
    </row>
    <row r="10134" spans="23:23">
      <c r="W10134" s="503"/>
    </row>
    <row r="10135" spans="23:23">
      <c r="W10135" s="503"/>
    </row>
    <row r="10136" spans="23:23">
      <c r="W10136" s="503"/>
    </row>
    <row r="10137" spans="23:23">
      <c r="W10137" s="503"/>
    </row>
    <row r="10138" spans="23:23">
      <c r="W10138" s="503"/>
    </row>
    <row r="10139" spans="23:23">
      <c r="W10139" s="503"/>
    </row>
    <row r="10140" spans="23:23">
      <c r="W10140" s="503"/>
    </row>
    <row r="10141" spans="23:23">
      <c r="W10141" s="503"/>
    </row>
    <row r="10142" spans="23:23">
      <c r="W10142" s="503"/>
    </row>
    <row r="10143" spans="23:23">
      <c r="W10143" s="503"/>
    </row>
    <row r="10144" spans="23:23">
      <c r="W10144" s="503"/>
    </row>
    <row r="10145" spans="23:23">
      <c r="W10145" s="503"/>
    </row>
    <row r="10146" spans="23:23">
      <c r="W10146" s="503"/>
    </row>
    <row r="10147" spans="23:23">
      <c r="W10147" s="503"/>
    </row>
    <row r="10148" spans="23:23">
      <c r="W10148" s="503"/>
    </row>
    <row r="10149" spans="23:23">
      <c r="W10149" s="503"/>
    </row>
    <row r="10150" spans="23:23">
      <c r="W10150" s="503"/>
    </row>
    <row r="10151" spans="23:23">
      <c r="W10151" s="503"/>
    </row>
    <row r="10152" spans="23:23">
      <c r="W10152" s="503"/>
    </row>
    <row r="10153" spans="23:23">
      <c r="W10153" s="503"/>
    </row>
    <row r="10154" spans="23:23">
      <c r="W10154" s="503"/>
    </row>
    <row r="10155" spans="23:23">
      <c r="W10155" s="503"/>
    </row>
    <row r="10156" spans="23:23">
      <c r="W10156" s="503"/>
    </row>
    <row r="10157" spans="23:23">
      <c r="W10157" s="503"/>
    </row>
    <row r="10158" spans="23:23">
      <c r="W10158" s="503"/>
    </row>
    <row r="10159" spans="23:23">
      <c r="W10159" s="503"/>
    </row>
    <row r="10160" spans="23:23">
      <c r="W10160" s="503"/>
    </row>
    <row r="10161" spans="23:23">
      <c r="W10161" s="503"/>
    </row>
    <row r="10162" spans="23:23">
      <c r="W10162" s="503"/>
    </row>
    <row r="10163" spans="23:23">
      <c r="W10163" s="503"/>
    </row>
    <row r="10164" spans="23:23">
      <c r="W10164" s="503"/>
    </row>
    <row r="10165" spans="23:23">
      <c r="W10165" s="503"/>
    </row>
    <row r="10166" spans="23:23">
      <c r="W10166" s="503"/>
    </row>
    <row r="10167" spans="23:23">
      <c r="W10167" s="503"/>
    </row>
    <row r="10168" spans="23:23">
      <c r="W10168" s="503"/>
    </row>
    <row r="10169" spans="23:23">
      <c r="W10169" s="503"/>
    </row>
    <row r="10170" spans="23:23">
      <c r="W10170" s="503"/>
    </row>
    <row r="10171" spans="23:23">
      <c r="W10171" s="503"/>
    </row>
    <row r="10172" spans="23:23">
      <c r="W10172" s="503"/>
    </row>
    <row r="10173" spans="23:23">
      <c r="W10173" s="503"/>
    </row>
    <row r="10174" spans="23:23">
      <c r="W10174" s="503"/>
    </row>
    <row r="10175" spans="23:23">
      <c r="W10175" s="503"/>
    </row>
    <row r="10176" spans="23:23">
      <c r="W10176" s="503"/>
    </row>
    <row r="10177" spans="23:23">
      <c r="W10177" s="503"/>
    </row>
    <row r="10178" spans="23:23">
      <c r="W10178" s="503"/>
    </row>
    <row r="10179" spans="23:23">
      <c r="W10179" s="503"/>
    </row>
    <row r="10180" spans="23:23">
      <c r="W10180" s="503"/>
    </row>
    <row r="10181" spans="23:23">
      <c r="W10181" s="503"/>
    </row>
    <row r="10182" spans="23:23">
      <c r="W10182" s="503"/>
    </row>
    <row r="10183" spans="23:23">
      <c r="W10183" s="503"/>
    </row>
    <row r="10184" spans="23:23">
      <c r="W10184" s="503"/>
    </row>
    <row r="10185" spans="23:23">
      <c r="W10185" s="503"/>
    </row>
    <row r="10186" spans="23:23">
      <c r="W10186" s="503"/>
    </row>
    <row r="10187" spans="23:23">
      <c r="W10187" s="503"/>
    </row>
    <row r="10188" spans="23:23">
      <c r="W10188" s="503"/>
    </row>
    <row r="10189" spans="23:23">
      <c r="W10189" s="503"/>
    </row>
    <row r="10190" spans="23:23">
      <c r="W10190" s="503"/>
    </row>
    <row r="10191" spans="23:23">
      <c r="W10191" s="503"/>
    </row>
    <row r="10192" spans="23:23">
      <c r="W10192" s="503"/>
    </row>
    <row r="10193" spans="23:23">
      <c r="W10193" s="503"/>
    </row>
    <row r="10194" spans="23:23">
      <c r="W10194" s="503"/>
    </row>
    <row r="10195" spans="23:23">
      <c r="W10195" s="503"/>
    </row>
    <row r="10196" spans="23:23">
      <c r="W10196" s="503"/>
    </row>
    <row r="10197" spans="23:23">
      <c r="W10197" s="503"/>
    </row>
    <row r="10198" spans="23:23">
      <c r="W10198" s="503"/>
    </row>
    <row r="10199" spans="23:23">
      <c r="W10199" s="503"/>
    </row>
    <row r="10200" spans="23:23">
      <c r="W10200" s="503"/>
    </row>
    <row r="10201" spans="23:23">
      <c r="W10201" s="503"/>
    </row>
    <row r="10202" spans="23:23">
      <c r="W10202" s="503"/>
    </row>
    <row r="10203" spans="23:23">
      <c r="W10203" s="503"/>
    </row>
    <row r="10204" spans="23:23">
      <c r="W10204" s="503"/>
    </row>
    <row r="10205" spans="23:23">
      <c r="W10205" s="503"/>
    </row>
    <row r="10206" spans="23:23">
      <c r="W10206" s="503"/>
    </row>
    <row r="10207" spans="23:23">
      <c r="W10207" s="503"/>
    </row>
    <row r="10208" spans="23:23">
      <c r="W10208" s="503"/>
    </row>
    <row r="10209" spans="23:23">
      <c r="W10209" s="503"/>
    </row>
    <row r="10210" spans="23:23">
      <c r="W10210" s="503"/>
    </row>
    <row r="10211" spans="23:23">
      <c r="W10211" s="503"/>
    </row>
    <row r="10212" spans="23:23">
      <c r="W10212" s="503"/>
    </row>
    <row r="10213" spans="23:23">
      <c r="W10213" s="503"/>
    </row>
    <row r="10214" spans="23:23">
      <c r="W10214" s="503"/>
    </row>
    <row r="10215" spans="23:23">
      <c r="W10215" s="503"/>
    </row>
    <row r="10216" spans="23:23">
      <c r="W10216" s="503"/>
    </row>
    <row r="10217" spans="23:23">
      <c r="W10217" s="503"/>
    </row>
    <row r="10218" spans="23:23">
      <c r="W10218" s="503"/>
    </row>
    <row r="10219" spans="23:23">
      <c r="W10219" s="503"/>
    </row>
    <row r="10220" spans="23:23">
      <c r="W10220" s="503"/>
    </row>
    <row r="10221" spans="23:23">
      <c r="W10221" s="503"/>
    </row>
    <row r="10222" spans="23:23">
      <c r="W10222" s="503"/>
    </row>
    <row r="10223" spans="23:23">
      <c r="W10223" s="503"/>
    </row>
    <row r="10224" spans="23:23">
      <c r="W10224" s="503"/>
    </row>
    <row r="10225" spans="23:23">
      <c r="W10225" s="503"/>
    </row>
    <row r="10226" spans="23:23">
      <c r="W10226" s="503"/>
    </row>
    <row r="10227" spans="23:23">
      <c r="W10227" s="503"/>
    </row>
    <row r="10228" spans="23:23">
      <c r="W10228" s="503"/>
    </row>
    <row r="10229" spans="23:23">
      <c r="W10229" s="503"/>
    </row>
    <row r="10230" spans="23:23">
      <c r="W10230" s="503"/>
    </row>
    <row r="10231" spans="23:23">
      <c r="W10231" s="503"/>
    </row>
    <row r="10232" spans="23:23">
      <c r="W10232" s="503"/>
    </row>
    <row r="10233" spans="23:23">
      <c r="W10233" s="503"/>
    </row>
    <row r="10234" spans="23:23">
      <c r="W10234" s="503"/>
    </row>
    <row r="10235" spans="23:23">
      <c r="W10235" s="503"/>
    </row>
    <row r="10236" spans="23:23">
      <c r="W10236" s="503"/>
    </row>
    <row r="10237" spans="23:23">
      <c r="W10237" s="503"/>
    </row>
    <row r="10238" spans="23:23">
      <c r="W10238" s="503"/>
    </row>
    <row r="10239" spans="23:23">
      <c r="W10239" s="503"/>
    </row>
    <row r="10240" spans="23:23">
      <c r="W10240" s="503"/>
    </row>
    <row r="10241" spans="23:23">
      <c r="W10241" s="503"/>
    </row>
    <row r="10242" spans="23:23">
      <c r="W10242" s="503"/>
    </row>
    <row r="10243" spans="23:23">
      <c r="W10243" s="503"/>
    </row>
    <row r="10244" spans="23:23">
      <c r="W10244" s="503"/>
    </row>
    <row r="10245" spans="23:23">
      <c r="W10245" s="503"/>
    </row>
    <row r="10246" spans="23:23">
      <c r="W10246" s="503"/>
    </row>
    <row r="10247" spans="23:23">
      <c r="W10247" s="503"/>
    </row>
    <row r="10248" spans="23:23">
      <c r="W10248" s="503"/>
    </row>
    <row r="10249" spans="23:23">
      <c r="W10249" s="503"/>
    </row>
    <row r="10250" spans="23:23">
      <c r="W10250" s="503"/>
    </row>
    <row r="10251" spans="23:23">
      <c r="W10251" s="503"/>
    </row>
    <row r="10252" spans="23:23">
      <c r="W10252" s="503"/>
    </row>
    <row r="10253" spans="23:23">
      <c r="W10253" s="503"/>
    </row>
    <row r="10254" spans="23:23">
      <c r="W10254" s="503"/>
    </row>
    <row r="10255" spans="23:23">
      <c r="W10255" s="503"/>
    </row>
    <row r="10256" spans="23:23">
      <c r="W10256" s="503"/>
    </row>
    <row r="10257" spans="23:23">
      <c r="W10257" s="503"/>
    </row>
    <row r="10258" spans="23:23">
      <c r="W10258" s="503"/>
    </row>
    <row r="10259" spans="23:23">
      <c r="W10259" s="503"/>
    </row>
    <row r="10260" spans="23:23">
      <c r="W10260" s="503"/>
    </row>
    <row r="10261" spans="23:23">
      <c r="W10261" s="503"/>
    </row>
    <row r="10262" spans="23:23">
      <c r="W10262" s="503"/>
    </row>
    <row r="10263" spans="23:23">
      <c r="W10263" s="503"/>
    </row>
    <row r="10264" spans="23:23">
      <c r="W10264" s="503"/>
    </row>
    <row r="10265" spans="23:23">
      <c r="W10265" s="503"/>
    </row>
    <row r="10266" spans="23:23">
      <c r="W10266" s="503"/>
    </row>
    <row r="10267" spans="23:23">
      <c r="W10267" s="503"/>
    </row>
    <row r="10268" spans="23:23">
      <c r="W10268" s="503"/>
    </row>
    <row r="10269" spans="23:23">
      <c r="W10269" s="503"/>
    </row>
    <row r="10270" spans="23:23">
      <c r="W10270" s="503"/>
    </row>
    <row r="10271" spans="23:23">
      <c r="W10271" s="503"/>
    </row>
    <row r="10272" spans="23:23">
      <c r="W10272" s="503"/>
    </row>
    <row r="10273" spans="23:23">
      <c r="W10273" s="503"/>
    </row>
    <row r="10274" spans="23:23">
      <c r="W10274" s="503"/>
    </row>
    <row r="10275" spans="23:23">
      <c r="W10275" s="503"/>
    </row>
    <row r="10276" spans="23:23">
      <c r="W10276" s="503"/>
    </row>
    <row r="10277" spans="23:23">
      <c r="W10277" s="503"/>
    </row>
    <row r="10278" spans="23:23">
      <c r="W10278" s="503"/>
    </row>
    <row r="10279" spans="23:23">
      <c r="W10279" s="503"/>
    </row>
    <row r="10280" spans="23:23">
      <c r="W10280" s="503"/>
    </row>
    <row r="10281" spans="23:23">
      <c r="W10281" s="503"/>
    </row>
    <row r="10282" spans="23:23">
      <c r="W10282" s="503"/>
    </row>
    <row r="10283" spans="23:23">
      <c r="W10283" s="503"/>
    </row>
    <row r="10284" spans="23:23">
      <c r="W10284" s="503"/>
    </row>
    <row r="10285" spans="23:23">
      <c r="W10285" s="503"/>
    </row>
    <row r="10286" spans="23:23">
      <c r="W10286" s="503"/>
    </row>
    <row r="10287" spans="23:23">
      <c r="W10287" s="503"/>
    </row>
    <row r="10288" spans="23:23">
      <c r="W10288" s="503"/>
    </row>
    <row r="10289" spans="23:23">
      <c r="W10289" s="503"/>
    </row>
    <row r="10290" spans="23:23">
      <c r="W10290" s="503"/>
    </row>
    <row r="10291" spans="23:23">
      <c r="W10291" s="503"/>
    </row>
    <row r="10292" spans="23:23">
      <c r="W10292" s="503"/>
    </row>
    <row r="10293" spans="23:23">
      <c r="W10293" s="503"/>
    </row>
    <row r="10294" spans="23:23">
      <c r="W10294" s="503"/>
    </row>
    <row r="10295" spans="23:23">
      <c r="W10295" s="503"/>
    </row>
    <row r="10296" spans="23:23">
      <c r="W10296" s="503"/>
    </row>
    <row r="10297" spans="23:23">
      <c r="W10297" s="503"/>
    </row>
    <row r="10298" spans="23:23">
      <c r="W10298" s="503"/>
    </row>
    <row r="10299" spans="23:23">
      <c r="W10299" s="503"/>
    </row>
    <row r="10300" spans="23:23">
      <c r="W10300" s="503"/>
    </row>
    <row r="10301" spans="23:23">
      <c r="W10301" s="503"/>
    </row>
    <row r="10302" spans="23:23">
      <c r="W10302" s="503"/>
    </row>
    <row r="10303" spans="23:23">
      <c r="W10303" s="503"/>
    </row>
    <row r="10304" spans="23:23">
      <c r="W10304" s="503"/>
    </row>
    <row r="10305" spans="23:23">
      <c r="W10305" s="503"/>
    </row>
    <row r="10306" spans="23:23">
      <c r="W10306" s="503"/>
    </row>
    <row r="10307" spans="23:23">
      <c r="W10307" s="503"/>
    </row>
    <row r="10308" spans="23:23">
      <c r="W10308" s="503"/>
    </row>
    <row r="10309" spans="23:23">
      <c r="W10309" s="503"/>
    </row>
    <row r="10310" spans="23:23">
      <c r="W10310" s="503"/>
    </row>
    <row r="10311" spans="23:23">
      <c r="W10311" s="503"/>
    </row>
    <row r="10312" spans="23:23">
      <c r="W10312" s="503"/>
    </row>
    <row r="10313" spans="23:23">
      <c r="W10313" s="503"/>
    </row>
    <row r="10314" spans="23:23">
      <c r="W10314" s="503"/>
    </row>
    <row r="10315" spans="23:23">
      <c r="W10315" s="503"/>
    </row>
    <row r="10316" spans="23:23">
      <c r="W10316" s="503"/>
    </row>
    <row r="10317" spans="23:23">
      <c r="W10317" s="503"/>
    </row>
    <row r="10318" spans="23:23">
      <c r="W10318" s="503"/>
    </row>
    <row r="10319" spans="23:23">
      <c r="W10319" s="503"/>
    </row>
    <row r="10320" spans="23:23">
      <c r="W10320" s="503"/>
    </row>
    <row r="10321" spans="23:23">
      <c r="W10321" s="503"/>
    </row>
    <row r="10322" spans="23:23">
      <c r="W10322" s="503"/>
    </row>
    <row r="10323" spans="23:23">
      <c r="W10323" s="503"/>
    </row>
    <row r="10324" spans="23:23">
      <c r="W10324" s="503"/>
    </row>
    <row r="10325" spans="23:23">
      <c r="W10325" s="503"/>
    </row>
    <row r="10326" spans="23:23">
      <c r="W10326" s="503"/>
    </row>
    <row r="10327" spans="23:23">
      <c r="W10327" s="503"/>
    </row>
    <row r="10328" spans="23:23">
      <c r="W10328" s="503"/>
    </row>
    <row r="10329" spans="23:23">
      <c r="W10329" s="503"/>
    </row>
    <row r="10330" spans="23:23">
      <c r="W10330" s="503"/>
    </row>
    <row r="10331" spans="23:23">
      <c r="W10331" s="503"/>
    </row>
    <row r="10332" spans="23:23">
      <c r="W10332" s="503"/>
    </row>
    <row r="10333" spans="23:23">
      <c r="W10333" s="503"/>
    </row>
    <row r="10334" spans="23:23">
      <c r="W10334" s="503"/>
    </row>
    <row r="10335" spans="23:23">
      <c r="W10335" s="503"/>
    </row>
    <row r="10336" spans="23:23">
      <c r="W10336" s="503"/>
    </row>
    <row r="10337" spans="23:23">
      <c r="W10337" s="503"/>
    </row>
    <row r="10338" spans="23:23">
      <c r="W10338" s="503"/>
    </row>
    <row r="10339" spans="23:23">
      <c r="W10339" s="503"/>
    </row>
    <row r="10340" spans="23:23">
      <c r="W10340" s="503"/>
    </row>
    <row r="10341" spans="23:23">
      <c r="W10341" s="503"/>
    </row>
    <row r="10342" spans="23:23">
      <c r="W10342" s="503"/>
    </row>
    <row r="10343" spans="23:23">
      <c r="W10343" s="503"/>
    </row>
    <row r="10344" spans="23:23">
      <c r="W10344" s="503"/>
    </row>
    <row r="10345" spans="23:23">
      <c r="W10345" s="503"/>
    </row>
    <row r="10346" spans="23:23">
      <c r="W10346" s="503"/>
    </row>
    <row r="10347" spans="23:23">
      <c r="W10347" s="503"/>
    </row>
    <row r="10348" spans="23:23">
      <c r="W10348" s="503"/>
    </row>
    <row r="10349" spans="23:23">
      <c r="W10349" s="503"/>
    </row>
    <row r="10350" spans="23:23">
      <c r="W10350" s="503"/>
    </row>
    <row r="10351" spans="23:23">
      <c r="W10351" s="503"/>
    </row>
    <row r="10352" spans="23:23">
      <c r="W10352" s="503"/>
    </row>
    <row r="10353" spans="23:23">
      <c r="W10353" s="503"/>
    </row>
    <row r="10354" spans="23:23">
      <c r="W10354" s="503"/>
    </row>
    <row r="10355" spans="23:23">
      <c r="W10355" s="503"/>
    </row>
    <row r="10356" spans="23:23">
      <c r="W10356" s="503"/>
    </row>
    <row r="10357" spans="23:23">
      <c r="W10357" s="503"/>
    </row>
    <row r="10358" spans="23:23">
      <c r="W10358" s="503"/>
    </row>
    <row r="10359" spans="23:23">
      <c r="W10359" s="503"/>
    </row>
    <row r="10360" spans="23:23">
      <c r="W10360" s="503"/>
    </row>
    <row r="10361" spans="23:23">
      <c r="W10361" s="503"/>
    </row>
    <row r="10362" spans="23:23">
      <c r="W10362" s="503"/>
    </row>
    <row r="10363" spans="23:23">
      <c r="W10363" s="503"/>
    </row>
    <row r="10364" spans="23:23">
      <c r="W10364" s="503"/>
    </row>
    <row r="10365" spans="23:23">
      <c r="W10365" s="503"/>
    </row>
    <row r="10366" spans="23:23">
      <c r="W10366" s="503"/>
    </row>
    <row r="10367" spans="23:23">
      <c r="W10367" s="503"/>
    </row>
    <row r="10368" spans="23:23">
      <c r="W10368" s="503"/>
    </row>
    <row r="10369" spans="23:23">
      <c r="W10369" s="503"/>
    </row>
    <row r="10370" spans="23:23">
      <c r="W10370" s="503"/>
    </row>
    <row r="10371" spans="23:23">
      <c r="W10371" s="503"/>
    </row>
    <row r="10372" spans="23:23">
      <c r="W10372" s="503"/>
    </row>
    <row r="10373" spans="23:23">
      <c r="W10373" s="503"/>
    </row>
    <row r="10374" spans="23:23">
      <c r="W10374" s="503"/>
    </row>
    <row r="10375" spans="23:23">
      <c r="W10375" s="503"/>
    </row>
    <row r="10376" spans="23:23">
      <c r="W10376" s="503"/>
    </row>
    <row r="10377" spans="23:23">
      <c r="W10377" s="503"/>
    </row>
    <row r="10378" spans="23:23">
      <c r="W10378" s="503"/>
    </row>
    <row r="10379" spans="23:23">
      <c r="W10379" s="503"/>
    </row>
    <row r="10380" spans="23:23">
      <c r="W10380" s="503"/>
    </row>
    <row r="10381" spans="23:23">
      <c r="W10381" s="503"/>
    </row>
    <row r="10382" spans="23:23">
      <c r="W10382" s="503"/>
    </row>
    <row r="10383" spans="23:23">
      <c r="W10383" s="503"/>
    </row>
    <row r="10384" spans="23:23">
      <c r="W10384" s="503"/>
    </row>
    <row r="10385" spans="23:23">
      <c r="W10385" s="503"/>
    </row>
    <row r="10386" spans="23:23">
      <c r="W10386" s="503"/>
    </row>
    <row r="10387" spans="23:23">
      <c r="W10387" s="503"/>
    </row>
    <row r="10388" spans="23:23">
      <c r="W10388" s="503"/>
    </row>
    <row r="10389" spans="23:23">
      <c r="W10389" s="503"/>
    </row>
    <row r="10390" spans="23:23">
      <c r="W10390" s="503"/>
    </row>
    <row r="10391" spans="23:23">
      <c r="W10391" s="503"/>
    </row>
    <row r="10392" spans="23:23">
      <c r="W10392" s="503"/>
    </row>
    <row r="10393" spans="23:23">
      <c r="W10393" s="503"/>
    </row>
    <row r="10394" spans="23:23">
      <c r="W10394" s="503"/>
    </row>
    <row r="10395" spans="23:23">
      <c r="W10395" s="503"/>
    </row>
    <row r="10396" spans="23:23">
      <c r="W10396" s="503"/>
    </row>
    <row r="10397" spans="23:23">
      <c r="W10397" s="503"/>
    </row>
    <row r="10398" spans="23:23">
      <c r="W10398" s="503"/>
    </row>
    <row r="10399" spans="23:23">
      <c r="W10399" s="503"/>
    </row>
    <row r="10400" spans="23:23">
      <c r="W10400" s="503"/>
    </row>
    <row r="10401" spans="23:23">
      <c r="W10401" s="503"/>
    </row>
    <row r="10402" spans="23:23">
      <c r="W10402" s="503"/>
    </row>
    <row r="10403" spans="23:23">
      <c r="W10403" s="503"/>
    </row>
    <row r="10404" spans="23:23">
      <c r="W10404" s="503"/>
    </row>
    <row r="10405" spans="23:23">
      <c r="W10405" s="503"/>
    </row>
    <row r="10406" spans="23:23">
      <c r="W10406" s="503"/>
    </row>
    <row r="10407" spans="23:23">
      <c r="W10407" s="503"/>
    </row>
    <row r="10408" spans="23:23">
      <c r="W10408" s="503"/>
    </row>
    <row r="10409" spans="23:23">
      <c r="W10409" s="503"/>
    </row>
    <row r="10410" spans="23:23">
      <c r="W10410" s="503"/>
    </row>
    <row r="10411" spans="23:23">
      <c r="W10411" s="503"/>
    </row>
    <row r="10412" spans="23:23">
      <c r="W10412" s="503"/>
    </row>
    <row r="10413" spans="23:23">
      <c r="W10413" s="503"/>
    </row>
    <row r="10414" spans="23:23">
      <c r="W10414" s="503"/>
    </row>
    <row r="10415" spans="23:23">
      <c r="W10415" s="503"/>
    </row>
    <row r="10416" spans="23:23">
      <c r="W10416" s="503"/>
    </row>
    <row r="10417" spans="23:23">
      <c r="W10417" s="503"/>
    </row>
    <row r="10418" spans="23:23">
      <c r="W10418" s="503"/>
    </row>
    <row r="10419" spans="23:23">
      <c r="W10419" s="503"/>
    </row>
    <row r="10420" spans="23:23">
      <c r="W10420" s="503"/>
    </row>
    <row r="10421" spans="23:23">
      <c r="W10421" s="503"/>
    </row>
    <row r="10422" spans="23:23">
      <c r="W10422" s="503"/>
    </row>
    <row r="10423" spans="23:23">
      <c r="W10423" s="503"/>
    </row>
    <row r="10424" spans="23:23">
      <c r="W10424" s="503"/>
    </row>
    <row r="10425" spans="23:23">
      <c r="W10425" s="503"/>
    </row>
    <row r="10426" spans="23:23">
      <c r="W10426" s="503"/>
    </row>
    <row r="10427" spans="23:23">
      <c r="W10427" s="503"/>
    </row>
    <row r="10428" spans="23:23">
      <c r="W10428" s="503"/>
    </row>
    <row r="10429" spans="23:23">
      <c r="W10429" s="503"/>
    </row>
    <row r="10430" spans="23:23">
      <c r="W10430" s="503"/>
    </row>
    <row r="10431" spans="23:23">
      <c r="W10431" s="503"/>
    </row>
    <row r="10432" spans="23:23">
      <c r="W10432" s="503"/>
    </row>
    <row r="10433" spans="23:23">
      <c r="W10433" s="503"/>
    </row>
    <row r="10434" spans="23:23">
      <c r="W10434" s="503"/>
    </row>
    <row r="10435" spans="23:23">
      <c r="W10435" s="503"/>
    </row>
    <row r="10436" spans="23:23">
      <c r="W10436" s="503"/>
    </row>
    <row r="10437" spans="23:23">
      <c r="W10437" s="503"/>
    </row>
    <row r="10438" spans="23:23">
      <c r="W10438" s="503"/>
    </row>
    <row r="10439" spans="23:23">
      <c r="W10439" s="503"/>
    </row>
    <row r="10440" spans="23:23">
      <c r="W10440" s="503"/>
    </row>
    <row r="10441" spans="23:23">
      <c r="W10441" s="503"/>
    </row>
    <row r="10442" spans="23:23">
      <c r="W10442" s="503"/>
    </row>
    <row r="10443" spans="23:23">
      <c r="W10443" s="503"/>
    </row>
    <row r="10444" spans="23:23">
      <c r="W10444" s="503"/>
    </row>
    <row r="10445" spans="23:23">
      <c r="W10445" s="503"/>
    </row>
    <row r="10446" spans="23:23">
      <c r="W10446" s="503"/>
    </row>
    <row r="10447" spans="23:23">
      <c r="W10447" s="503"/>
    </row>
    <row r="10448" spans="23:23">
      <c r="W10448" s="503"/>
    </row>
    <row r="10449" spans="23:23">
      <c r="W10449" s="503"/>
    </row>
    <row r="10450" spans="23:23">
      <c r="W10450" s="503"/>
    </row>
    <row r="10451" spans="23:23">
      <c r="W10451" s="503"/>
    </row>
    <row r="10452" spans="23:23">
      <c r="W10452" s="503"/>
    </row>
    <row r="10453" spans="23:23">
      <c r="W10453" s="503"/>
    </row>
    <row r="10454" spans="23:23">
      <c r="W10454" s="503"/>
    </row>
    <row r="10455" spans="23:23">
      <c r="W10455" s="503"/>
    </row>
    <row r="10456" spans="23:23">
      <c r="W10456" s="503"/>
    </row>
    <row r="10457" spans="23:23">
      <c r="W10457" s="503"/>
    </row>
    <row r="10458" spans="23:23">
      <c r="W10458" s="503"/>
    </row>
    <row r="10459" spans="23:23">
      <c r="W10459" s="503"/>
    </row>
    <row r="10460" spans="23:23">
      <c r="W10460" s="503"/>
    </row>
    <row r="10461" spans="23:23">
      <c r="W10461" s="503"/>
    </row>
    <row r="10462" spans="23:23">
      <c r="W10462" s="503"/>
    </row>
    <row r="10463" spans="23:23">
      <c r="W10463" s="503"/>
    </row>
    <row r="10464" spans="23:23">
      <c r="W10464" s="503"/>
    </row>
    <row r="10465" spans="23:23">
      <c r="W10465" s="503"/>
    </row>
    <row r="10466" spans="23:23">
      <c r="W10466" s="503"/>
    </row>
    <row r="10467" spans="23:23">
      <c r="W10467" s="503"/>
    </row>
    <row r="10468" spans="23:23">
      <c r="W10468" s="503"/>
    </row>
    <row r="10469" spans="23:23">
      <c r="W10469" s="503"/>
    </row>
    <row r="10470" spans="23:23">
      <c r="W10470" s="503"/>
    </row>
    <row r="10471" spans="23:23">
      <c r="W10471" s="503"/>
    </row>
    <row r="10472" spans="23:23">
      <c r="W10472" s="503"/>
    </row>
    <row r="10473" spans="23:23">
      <c r="W10473" s="503"/>
    </row>
    <row r="10474" spans="23:23">
      <c r="W10474" s="503"/>
    </row>
    <row r="10475" spans="23:23">
      <c r="W10475" s="503"/>
    </row>
    <row r="10476" spans="23:23">
      <c r="W10476" s="503"/>
    </row>
    <row r="10477" spans="23:23">
      <c r="W10477" s="503"/>
    </row>
    <row r="10478" spans="23:23">
      <c r="W10478" s="503"/>
    </row>
    <row r="10479" spans="23:23">
      <c r="W10479" s="503"/>
    </row>
    <row r="10480" spans="23:23">
      <c r="W10480" s="503"/>
    </row>
    <row r="10481" spans="23:23">
      <c r="W10481" s="503"/>
    </row>
    <row r="10482" spans="23:23">
      <c r="W10482" s="503"/>
    </row>
    <row r="10483" spans="23:23">
      <c r="W10483" s="503"/>
    </row>
    <row r="10484" spans="23:23">
      <c r="W10484" s="503"/>
    </row>
    <row r="10485" spans="23:23">
      <c r="W10485" s="503"/>
    </row>
    <row r="10486" spans="23:23">
      <c r="W10486" s="503"/>
    </row>
    <row r="10487" spans="23:23">
      <c r="W10487" s="503"/>
    </row>
    <row r="10488" spans="23:23">
      <c r="W10488" s="503"/>
    </row>
    <row r="10489" spans="23:23">
      <c r="W10489" s="503"/>
    </row>
    <row r="10490" spans="23:23">
      <c r="W10490" s="503"/>
    </row>
    <row r="10491" spans="23:23">
      <c r="W10491" s="503"/>
    </row>
    <row r="10492" spans="23:23">
      <c r="W10492" s="503"/>
    </row>
    <row r="10493" spans="23:23">
      <c r="W10493" s="503"/>
    </row>
    <row r="10494" spans="23:23">
      <c r="W10494" s="503"/>
    </row>
    <row r="10495" spans="23:23">
      <c r="W10495" s="503"/>
    </row>
    <row r="10496" spans="23:23">
      <c r="W10496" s="503"/>
    </row>
    <row r="10497" spans="23:23">
      <c r="W10497" s="503"/>
    </row>
    <row r="10498" spans="23:23">
      <c r="W10498" s="503"/>
    </row>
    <row r="10499" spans="23:23">
      <c r="W10499" s="503"/>
    </row>
    <row r="10500" spans="23:23">
      <c r="W10500" s="503"/>
    </row>
    <row r="10501" spans="23:23">
      <c r="W10501" s="503"/>
    </row>
    <row r="10502" spans="23:23">
      <c r="W10502" s="503"/>
    </row>
    <row r="10503" spans="23:23">
      <c r="W10503" s="503"/>
    </row>
    <row r="10504" spans="23:23">
      <c r="W10504" s="503"/>
    </row>
    <row r="10505" spans="23:23">
      <c r="W10505" s="503"/>
    </row>
    <row r="10506" spans="23:23">
      <c r="W10506" s="503"/>
    </row>
    <row r="10507" spans="23:23">
      <c r="W10507" s="503"/>
    </row>
    <row r="10508" spans="23:23">
      <c r="W10508" s="503"/>
    </row>
    <row r="10509" spans="23:23">
      <c r="W10509" s="503"/>
    </row>
    <row r="10510" spans="23:23">
      <c r="W10510" s="503"/>
    </row>
    <row r="10511" spans="23:23">
      <c r="W10511" s="503"/>
    </row>
    <row r="10512" spans="23:23">
      <c r="W10512" s="503"/>
    </row>
    <row r="10513" spans="23:23">
      <c r="W10513" s="503"/>
    </row>
    <row r="10514" spans="23:23">
      <c r="W10514" s="503"/>
    </row>
    <row r="10515" spans="23:23">
      <c r="W10515" s="503"/>
    </row>
    <row r="10516" spans="23:23">
      <c r="W10516" s="503"/>
    </row>
    <row r="10517" spans="23:23">
      <c r="W10517" s="503"/>
    </row>
    <row r="10518" spans="23:23">
      <c r="W10518" s="503"/>
    </row>
    <row r="10519" spans="23:23">
      <c r="W10519" s="503"/>
    </row>
    <row r="10520" spans="23:23">
      <c r="W10520" s="503"/>
    </row>
    <row r="10521" spans="23:23">
      <c r="W10521" s="503"/>
    </row>
    <row r="10522" spans="23:23">
      <c r="W10522" s="503"/>
    </row>
    <row r="10523" spans="23:23">
      <c r="W10523" s="503"/>
    </row>
    <row r="10524" spans="23:23">
      <c r="W10524" s="503"/>
    </row>
    <row r="10525" spans="23:23">
      <c r="W10525" s="503"/>
    </row>
    <row r="10526" spans="23:23">
      <c r="W10526" s="503"/>
    </row>
    <row r="10527" spans="23:23">
      <c r="W10527" s="503"/>
    </row>
    <row r="10528" spans="23:23">
      <c r="W10528" s="503"/>
    </row>
    <row r="10529" spans="23:23">
      <c r="W10529" s="503"/>
    </row>
    <row r="10530" spans="23:23">
      <c r="W10530" s="503"/>
    </row>
    <row r="10531" spans="23:23">
      <c r="W10531" s="503"/>
    </row>
    <row r="10532" spans="23:23">
      <c r="W10532" s="503"/>
    </row>
    <row r="10533" spans="23:23">
      <c r="W10533" s="503"/>
    </row>
    <row r="10534" spans="23:23">
      <c r="W10534" s="503"/>
    </row>
    <row r="10535" spans="23:23">
      <c r="W10535" s="503"/>
    </row>
    <row r="10536" spans="23:23">
      <c r="W10536" s="503"/>
    </row>
    <row r="10537" spans="23:23">
      <c r="W10537" s="503"/>
    </row>
    <row r="10538" spans="23:23">
      <c r="W10538" s="503"/>
    </row>
    <row r="10539" spans="23:23">
      <c r="W10539" s="503"/>
    </row>
    <row r="10540" spans="23:23">
      <c r="W10540" s="503"/>
    </row>
    <row r="10541" spans="23:23">
      <c r="W10541" s="503"/>
    </row>
    <row r="10542" spans="23:23">
      <c r="W10542" s="503"/>
    </row>
    <row r="10543" spans="23:23">
      <c r="W10543" s="503"/>
    </row>
    <row r="10544" spans="23:23">
      <c r="W10544" s="503"/>
    </row>
    <row r="10545" spans="23:23">
      <c r="W10545" s="503"/>
    </row>
    <row r="10546" spans="23:23">
      <c r="W10546" s="503"/>
    </row>
    <row r="10547" spans="23:23">
      <c r="W10547" s="503"/>
    </row>
    <row r="10548" spans="23:23">
      <c r="W10548" s="503"/>
    </row>
    <row r="10549" spans="23:23">
      <c r="W10549" s="503"/>
    </row>
    <row r="10550" spans="23:23">
      <c r="W10550" s="503"/>
    </row>
    <row r="10551" spans="23:23">
      <c r="W10551" s="503"/>
    </row>
    <row r="10552" spans="23:23">
      <c r="W10552" s="503"/>
    </row>
    <row r="10553" spans="23:23">
      <c r="W10553" s="503"/>
    </row>
    <row r="10554" spans="23:23">
      <c r="W10554" s="503"/>
    </row>
    <row r="10555" spans="23:23">
      <c r="W10555" s="503"/>
    </row>
    <row r="10556" spans="23:23">
      <c r="W10556" s="503"/>
    </row>
    <row r="10557" spans="23:23">
      <c r="W10557" s="503"/>
    </row>
    <row r="10558" spans="23:23">
      <c r="W10558" s="503"/>
    </row>
    <row r="10559" spans="23:23">
      <c r="W10559" s="503"/>
    </row>
    <row r="10560" spans="23:23">
      <c r="W10560" s="503"/>
    </row>
    <row r="10561" spans="23:23">
      <c r="W10561" s="503"/>
    </row>
    <row r="10562" spans="23:23">
      <c r="W10562" s="503"/>
    </row>
    <row r="10563" spans="23:23">
      <c r="W10563" s="503"/>
    </row>
    <row r="10564" spans="23:23">
      <c r="W10564" s="503"/>
    </row>
    <row r="10565" spans="23:23">
      <c r="W10565" s="503"/>
    </row>
    <row r="10566" spans="23:23">
      <c r="W10566" s="503"/>
    </row>
    <row r="10567" spans="23:23">
      <c r="W10567" s="503"/>
    </row>
    <row r="10568" spans="23:23">
      <c r="W10568" s="503"/>
    </row>
    <row r="10569" spans="23:23">
      <c r="W10569" s="503"/>
    </row>
    <row r="10570" spans="23:23">
      <c r="W10570" s="503"/>
    </row>
    <row r="10571" spans="23:23">
      <c r="W10571" s="503"/>
    </row>
    <row r="10572" spans="23:23">
      <c r="W10572" s="503"/>
    </row>
    <row r="10573" spans="23:23">
      <c r="W10573" s="503"/>
    </row>
    <row r="10574" spans="23:23">
      <c r="W10574" s="503"/>
    </row>
    <row r="10575" spans="23:23">
      <c r="W10575" s="503"/>
    </row>
    <row r="10576" spans="23:23">
      <c r="W10576" s="503"/>
    </row>
    <row r="10577" spans="23:23">
      <c r="W10577" s="503"/>
    </row>
    <row r="10578" spans="23:23">
      <c r="W10578" s="503"/>
    </row>
    <row r="10579" spans="23:23">
      <c r="W10579" s="503"/>
    </row>
    <row r="10580" spans="23:23">
      <c r="W10580" s="503"/>
    </row>
    <row r="10581" spans="23:23">
      <c r="W10581" s="503"/>
    </row>
    <row r="10582" spans="23:23">
      <c r="W10582" s="503"/>
    </row>
    <row r="10583" spans="23:23">
      <c r="W10583" s="503"/>
    </row>
    <row r="10584" spans="23:23">
      <c r="W10584" s="503"/>
    </row>
    <row r="10585" spans="23:23">
      <c r="W10585" s="503"/>
    </row>
    <row r="10586" spans="23:23">
      <c r="W10586" s="503"/>
    </row>
    <row r="10587" spans="23:23">
      <c r="W10587" s="503"/>
    </row>
    <row r="10588" spans="23:23">
      <c r="W10588" s="503"/>
    </row>
    <row r="10589" spans="23:23">
      <c r="W10589" s="503"/>
    </row>
    <row r="10590" spans="23:23">
      <c r="W10590" s="503"/>
    </row>
    <row r="10591" spans="23:23">
      <c r="W10591" s="503"/>
    </row>
    <row r="10592" spans="23:23">
      <c r="W10592" s="503"/>
    </row>
    <row r="10593" spans="23:23">
      <c r="W10593" s="503"/>
    </row>
    <row r="10594" spans="23:23">
      <c r="W10594" s="503"/>
    </row>
    <row r="10595" spans="23:23">
      <c r="W10595" s="503"/>
    </row>
    <row r="10596" spans="23:23">
      <c r="W10596" s="503"/>
    </row>
    <row r="10597" spans="23:23">
      <c r="W10597" s="503"/>
    </row>
    <row r="10598" spans="23:23">
      <c r="W10598" s="503"/>
    </row>
    <row r="10599" spans="23:23">
      <c r="W10599" s="503"/>
    </row>
    <row r="10600" spans="23:23">
      <c r="W10600" s="503"/>
    </row>
    <row r="10601" spans="23:23">
      <c r="W10601" s="503"/>
    </row>
    <row r="10602" spans="23:23">
      <c r="W10602" s="503"/>
    </row>
    <row r="10603" spans="23:23">
      <c r="W10603" s="503"/>
    </row>
    <row r="10604" spans="23:23">
      <c r="W10604" s="503"/>
    </row>
    <row r="10605" spans="23:23">
      <c r="W10605" s="503"/>
    </row>
    <row r="10606" spans="23:23">
      <c r="W10606" s="503"/>
    </row>
    <row r="10607" spans="23:23">
      <c r="W10607" s="503"/>
    </row>
    <row r="10608" spans="23:23">
      <c r="W10608" s="503"/>
    </row>
    <row r="10609" spans="23:23">
      <c r="W10609" s="503"/>
    </row>
    <row r="10610" spans="23:23">
      <c r="W10610" s="503"/>
    </row>
    <row r="10611" spans="23:23">
      <c r="W10611" s="503"/>
    </row>
    <row r="10612" spans="23:23">
      <c r="W10612" s="503"/>
    </row>
    <row r="10613" spans="23:23">
      <c r="W10613" s="503"/>
    </row>
    <row r="10614" spans="23:23">
      <c r="W10614" s="503"/>
    </row>
    <row r="10615" spans="23:23">
      <c r="W10615" s="503"/>
    </row>
    <row r="10616" spans="23:23">
      <c r="W10616" s="503"/>
    </row>
    <row r="10617" spans="23:23">
      <c r="W10617" s="503"/>
    </row>
    <row r="10618" spans="23:23">
      <c r="W10618" s="503"/>
    </row>
    <row r="10619" spans="23:23">
      <c r="W10619" s="503"/>
    </row>
    <row r="10620" spans="23:23">
      <c r="W10620" s="503"/>
    </row>
    <row r="10621" spans="23:23">
      <c r="W10621" s="503"/>
    </row>
    <row r="10622" spans="23:23">
      <c r="W10622" s="503"/>
    </row>
    <row r="10623" spans="23:23">
      <c r="W10623" s="503"/>
    </row>
    <row r="10624" spans="23:23">
      <c r="W10624" s="503"/>
    </row>
    <row r="10625" spans="23:23">
      <c r="W10625" s="503"/>
    </row>
    <row r="10626" spans="23:23">
      <c r="W10626" s="503"/>
    </row>
    <row r="10627" spans="23:23">
      <c r="W10627" s="503"/>
    </row>
    <row r="10628" spans="23:23">
      <c r="W10628" s="503"/>
    </row>
    <row r="10629" spans="23:23">
      <c r="W10629" s="503"/>
    </row>
    <row r="10630" spans="23:23">
      <c r="W10630" s="503"/>
    </row>
    <row r="10631" spans="23:23">
      <c r="W10631" s="503"/>
    </row>
    <row r="10632" spans="23:23">
      <c r="W10632" s="503"/>
    </row>
    <row r="10633" spans="23:23">
      <c r="W10633" s="503"/>
    </row>
    <row r="10634" spans="23:23">
      <c r="W10634" s="503"/>
    </row>
    <row r="10635" spans="23:23">
      <c r="W10635" s="503"/>
    </row>
    <row r="10636" spans="23:23">
      <c r="W10636" s="503"/>
    </row>
    <row r="10637" spans="23:23">
      <c r="W10637" s="503"/>
    </row>
    <row r="10638" spans="23:23">
      <c r="W10638" s="503"/>
    </row>
    <row r="10639" spans="23:23">
      <c r="W10639" s="503"/>
    </row>
    <row r="10640" spans="23:23">
      <c r="W10640" s="503"/>
    </row>
    <row r="10641" spans="23:23">
      <c r="W10641" s="503"/>
    </row>
    <row r="10642" spans="23:23">
      <c r="W10642" s="503"/>
    </row>
    <row r="10643" spans="23:23">
      <c r="W10643" s="503"/>
    </row>
    <row r="10644" spans="23:23">
      <c r="W10644" s="503"/>
    </row>
    <row r="10645" spans="23:23">
      <c r="W10645" s="503"/>
    </row>
    <row r="10646" spans="23:23">
      <c r="W10646" s="503"/>
    </row>
    <row r="10647" spans="23:23">
      <c r="W10647" s="503"/>
    </row>
    <row r="10648" spans="23:23">
      <c r="W10648" s="503"/>
    </row>
    <row r="10649" spans="23:23">
      <c r="W10649" s="503"/>
    </row>
    <row r="10650" spans="23:23">
      <c r="W10650" s="503"/>
    </row>
    <row r="10651" spans="23:23">
      <c r="W10651" s="503"/>
    </row>
    <row r="10652" spans="23:23">
      <c r="W10652" s="503"/>
    </row>
    <row r="10653" spans="23:23">
      <c r="W10653" s="503"/>
    </row>
    <row r="10654" spans="23:23">
      <c r="W10654" s="503"/>
    </row>
    <row r="10655" spans="23:23">
      <c r="W10655" s="503"/>
    </row>
    <row r="10656" spans="23:23">
      <c r="W10656" s="503"/>
    </row>
    <row r="10657" spans="23:23">
      <c r="W10657" s="503"/>
    </row>
    <row r="10658" spans="23:23">
      <c r="W10658" s="503"/>
    </row>
    <row r="10659" spans="23:23">
      <c r="W10659" s="503"/>
    </row>
    <row r="10660" spans="23:23">
      <c r="W10660" s="503"/>
    </row>
    <row r="10661" spans="23:23">
      <c r="W10661" s="503"/>
    </row>
    <row r="10662" spans="23:23">
      <c r="W10662" s="503"/>
    </row>
    <row r="10663" spans="23:23">
      <c r="W10663" s="503"/>
    </row>
    <row r="10664" spans="23:23">
      <c r="W10664" s="503"/>
    </row>
    <row r="10665" spans="23:23">
      <c r="W10665" s="503"/>
    </row>
    <row r="10666" spans="23:23">
      <c r="W10666" s="503"/>
    </row>
    <row r="10667" spans="23:23">
      <c r="W10667" s="503"/>
    </row>
    <row r="10668" spans="23:23">
      <c r="W10668" s="503"/>
    </row>
    <row r="10669" spans="23:23">
      <c r="W10669" s="503"/>
    </row>
    <row r="10670" spans="23:23">
      <c r="W10670" s="503"/>
    </row>
    <row r="10671" spans="23:23">
      <c r="W10671" s="503"/>
    </row>
    <row r="10672" spans="23:23">
      <c r="W10672" s="503"/>
    </row>
    <row r="10673" spans="23:23">
      <c r="W10673" s="503"/>
    </row>
    <row r="10674" spans="23:23">
      <c r="W10674" s="503"/>
    </row>
    <row r="10675" spans="23:23">
      <c r="W10675" s="503"/>
    </row>
    <row r="10676" spans="23:23">
      <c r="W10676" s="503"/>
    </row>
    <row r="10677" spans="23:23">
      <c r="W10677" s="503"/>
    </row>
    <row r="10678" spans="23:23">
      <c r="W10678" s="503"/>
    </row>
    <row r="10679" spans="23:23">
      <c r="W10679" s="503"/>
    </row>
    <row r="10680" spans="23:23">
      <c r="W10680" s="503"/>
    </row>
    <row r="10681" spans="23:23">
      <c r="W10681" s="503"/>
    </row>
    <row r="10682" spans="23:23">
      <c r="W10682" s="503"/>
    </row>
    <row r="10683" spans="23:23">
      <c r="W10683" s="503"/>
    </row>
    <row r="10684" spans="23:23">
      <c r="W10684" s="503"/>
    </row>
    <row r="10685" spans="23:23">
      <c r="W10685" s="503"/>
    </row>
    <row r="10686" spans="23:23">
      <c r="W10686" s="503"/>
    </row>
    <row r="10687" spans="23:23">
      <c r="W10687" s="503"/>
    </row>
    <row r="10688" spans="23:23">
      <c r="W10688" s="503"/>
    </row>
    <row r="10689" spans="23:23">
      <c r="W10689" s="503"/>
    </row>
    <row r="10690" spans="23:23">
      <c r="W10690" s="503"/>
    </row>
    <row r="10691" spans="23:23">
      <c r="W10691" s="503"/>
    </row>
    <row r="10692" spans="23:23">
      <c r="W10692" s="503"/>
    </row>
    <row r="10693" spans="23:23">
      <c r="W10693" s="503"/>
    </row>
    <row r="10694" spans="23:23">
      <c r="W10694" s="503"/>
    </row>
    <row r="10695" spans="23:23">
      <c r="W10695" s="503"/>
    </row>
    <row r="10696" spans="23:23">
      <c r="W10696" s="503"/>
    </row>
    <row r="10697" spans="23:23">
      <c r="W10697" s="503"/>
    </row>
    <row r="10698" spans="23:23">
      <c r="W10698" s="503"/>
    </row>
    <row r="10699" spans="23:23">
      <c r="W10699" s="503"/>
    </row>
    <row r="10700" spans="23:23">
      <c r="W10700" s="503"/>
    </row>
    <row r="10701" spans="23:23">
      <c r="W10701" s="503"/>
    </row>
    <row r="10702" spans="23:23">
      <c r="W10702" s="503"/>
    </row>
    <row r="10703" spans="23:23">
      <c r="W10703" s="503"/>
    </row>
    <row r="10704" spans="23:23">
      <c r="W10704" s="503"/>
    </row>
    <row r="10705" spans="23:23">
      <c r="W10705" s="503"/>
    </row>
    <row r="10706" spans="23:23">
      <c r="W10706" s="503"/>
    </row>
    <row r="10707" spans="23:23">
      <c r="W10707" s="503"/>
    </row>
    <row r="10708" spans="23:23">
      <c r="W10708" s="503"/>
    </row>
    <row r="10709" spans="23:23">
      <c r="W10709" s="503"/>
    </row>
    <row r="10710" spans="23:23">
      <c r="W10710" s="503"/>
    </row>
    <row r="10711" spans="23:23">
      <c r="W10711" s="503"/>
    </row>
    <row r="10712" spans="23:23">
      <c r="W10712" s="503"/>
    </row>
    <row r="10713" spans="23:23">
      <c r="W10713" s="503"/>
    </row>
    <row r="10714" spans="23:23">
      <c r="W10714" s="503"/>
    </row>
    <row r="10715" spans="23:23">
      <c r="W10715" s="503"/>
    </row>
    <row r="10716" spans="23:23">
      <c r="W10716" s="503"/>
    </row>
    <row r="10717" spans="23:23">
      <c r="W10717" s="503"/>
    </row>
    <row r="10718" spans="23:23">
      <c r="W10718" s="503"/>
    </row>
    <row r="10719" spans="23:23">
      <c r="W10719" s="503"/>
    </row>
    <row r="10720" spans="23:23">
      <c r="W10720" s="503"/>
    </row>
    <row r="10721" spans="23:23">
      <c r="W10721" s="503"/>
    </row>
    <row r="10722" spans="23:23">
      <c r="W10722" s="503"/>
    </row>
    <row r="10723" spans="23:23">
      <c r="W10723" s="503"/>
    </row>
    <row r="10724" spans="23:23">
      <c r="W10724" s="503"/>
    </row>
    <row r="10725" spans="23:23">
      <c r="W10725" s="503"/>
    </row>
    <row r="10726" spans="23:23">
      <c r="W10726" s="503"/>
    </row>
    <row r="10727" spans="23:23">
      <c r="W10727" s="503"/>
    </row>
    <row r="10728" spans="23:23">
      <c r="W10728" s="503"/>
    </row>
    <row r="10729" spans="23:23">
      <c r="W10729" s="503"/>
    </row>
    <row r="10730" spans="23:23">
      <c r="W10730" s="503"/>
    </row>
    <row r="10731" spans="23:23">
      <c r="W10731" s="503"/>
    </row>
    <row r="10732" spans="23:23">
      <c r="W10732" s="503"/>
    </row>
    <row r="10733" spans="23:23">
      <c r="W10733" s="503"/>
    </row>
    <row r="10734" spans="23:23">
      <c r="W10734" s="503"/>
    </row>
    <row r="10735" spans="23:23">
      <c r="W10735" s="503"/>
    </row>
    <row r="10736" spans="23:23">
      <c r="W10736" s="503"/>
    </row>
    <row r="10737" spans="23:23">
      <c r="W10737" s="503"/>
    </row>
    <row r="10738" spans="23:23">
      <c r="W10738" s="503"/>
    </row>
    <row r="10739" spans="23:23">
      <c r="W10739" s="503"/>
    </row>
    <row r="10740" spans="23:23">
      <c r="W10740" s="503"/>
    </row>
    <row r="10741" spans="23:23">
      <c r="W10741" s="503"/>
    </row>
    <row r="10742" spans="23:23">
      <c r="W10742" s="503"/>
    </row>
    <row r="10743" spans="23:23">
      <c r="W10743" s="503"/>
    </row>
    <row r="10744" spans="23:23">
      <c r="W10744" s="503"/>
    </row>
    <row r="10745" spans="23:23">
      <c r="W10745" s="503"/>
    </row>
    <row r="10746" spans="23:23">
      <c r="W10746" s="503"/>
    </row>
    <row r="10747" spans="23:23">
      <c r="W10747" s="503"/>
    </row>
    <row r="10748" spans="23:23">
      <c r="W10748" s="503"/>
    </row>
    <row r="10749" spans="23:23">
      <c r="W10749" s="503"/>
    </row>
    <row r="10750" spans="23:23">
      <c r="W10750" s="503"/>
    </row>
    <row r="10751" spans="23:23">
      <c r="W10751" s="503"/>
    </row>
    <row r="10752" spans="23:23">
      <c r="W10752" s="503"/>
    </row>
    <row r="10753" spans="23:23">
      <c r="W10753" s="503"/>
    </row>
    <row r="10754" spans="23:23">
      <c r="W10754" s="503"/>
    </row>
    <row r="10755" spans="23:23">
      <c r="W10755" s="503"/>
    </row>
    <row r="10756" spans="23:23">
      <c r="W10756" s="503"/>
    </row>
    <row r="10757" spans="23:23">
      <c r="W10757" s="503"/>
    </row>
    <row r="10758" spans="23:23">
      <c r="W10758" s="503"/>
    </row>
    <row r="10759" spans="23:23">
      <c r="W10759" s="503"/>
    </row>
    <row r="10760" spans="23:23">
      <c r="W10760" s="503"/>
    </row>
    <row r="10761" spans="23:23">
      <c r="W10761" s="503"/>
    </row>
    <row r="10762" spans="23:23">
      <c r="W10762" s="503"/>
    </row>
    <row r="10763" spans="23:23">
      <c r="W10763" s="503"/>
    </row>
    <row r="10764" spans="23:23">
      <c r="W10764" s="503"/>
    </row>
    <row r="10765" spans="23:23">
      <c r="W10765" s="503"/>
    </row>
    <row r="10766" spans="23:23">
      <c r="W10766" s="503"/>
    </row>
    <row r="10767" spans="23:23">
      <c r="W10767" s="503"/>
    </row>
    <row r="10768" spans="23:23">
      <c r="W10768" s="503"/>
    </row>
    <row r="10769" spans="23:23">
      <c r="W10769" s="503"/>
    </row>
    <row r="10770" spans="23:23">
      <c r="W10770" s="503"/>
    </row>
    <row r="10771" spans="23:23">
      <c r="W10771" s="503"/>
    </row>
    <row r="10772" spans="23:23">
      <c r="W10772" s="503"/>
    </row>
    <row r="10773" spans="23:23">
      <c r="W10773" s="503"/>
    </row>
    <row r="10774" spans="23:23">
      <c r="W10774" s="503"/>
    </row>
    <row r="10775" spans="23:23">
      <c r="W10775" s="503"/>
    </row>
    <row r="10776" spans="23:23">
      <c r="W10776" s="503"/>
    </row>
    <row r="10777" spans="23:23">
      <c r="W10777" s="503"/>
    </row>
    <row r="10778" spans="23:23">
      <c r="W10778" s="503"/>
    </row>
    <row r="10779" spans="23:23">
      <c r="W10779" s="503"/>
    </row>
    <row r="10780" spans="23:23">
      <c r="W10780" s="503"/>
    </row>
    <row r="10781" spans="23:23">
      <c r="W10781" s="503"/>
    </row>
    <row r="10782" spans="23:23">
      <c r="W10782" s="503"/>
    </row>
    <row r="10783" spans="23:23">
      <c r="W10783" s="503"/>
    </row>
    <row r="10784" spans="23:23">
      <c r="W10784" s="503"/>
    </row>
    <row r="10785" spans="23:23">
      <c r="W10785" s="503"/>
    </row>
    <row r="10786" spans="23:23">
      <c r="W10786" s="503"/>
    </row>
    <row r="10787" spans="23:23">
      <c r="W10787" s="503"/>
    </row>
    <row r="10788" spans="23:23">
      <c r="W10788" s="503"/>
    </row>
    <row r="10789" spans="23:23">
      <c r="W10789" s="503"/>
    </row>
    <row r="10790" spans="23:23">
      <c r="W10790" s="503"/>
    </row>
    <row r="10791" spans="23:23">
      <c r="W10791" s="503"/>
    </row>
    <row r="10792" spans="23:23">
      <c r="W10792" s="503"/>
    </row>
    <row r="10793" spans="23:23">
      <c r="W10793" s="503"/>
    </row>
    <row r="10794" spans="23:23">
      <c r="W10794" s="503"/>
    </row>
    <row r="10795" spans="23:23">
      <c r="W10795" s="503"/>
    </row>
    <row r="10796" spans="23:23">
      <c r="W10796" s="503"/>
    </row>
    <row r="10797" spans="23:23">
      <c r="W10797" s="503"/>
    </row>
    <row r="10798" spans="23:23">
      <c r="W10798" s="503"/>
    </row>
    <row r="10799" spans="23:23">
      <c r="W10799" s="503"/>
    </row>
    <row r="10800" spans="23:23">
      <c r="W10800" s="503"/>
    </row>
    <row r="10801" spans="23:23">
      <c r="W10801" s="503"/>
    </row>
    <row r="10802" spans="23:23">
      <c r="W10802" s="503"/>
    </row>
    <row r="10803" spans="23:23">
      <c r="W10803" s="503"/>
    </row>
    <row r="10804" spans="23:23">
      <c r="W10804" s="503"/>
    </row>
    <row r="10805" spans="23:23">
      <c r="W10805" s="503"/>
    </row>
    <row r="10806" spans="23:23">
      <c r="W10806" s="503"/>
    </row>
    <row r="10807" spans="23:23">
      <c r="W10807" s="503"/>
    </row>
    <row r="10808" spans="23:23">
      <c r="W10808" s="503"/>
    </row>
    <row r="10809" spans="23:23">
      <c r="W10809" s="503"/>
    </row>
    <row r="10810" spans="23:23">
      <c r="W10810" s="503"/>
    </row>
    <row r="10811" spans="23:23">
      <c r="W10811" s="503"/>
    </row>
    <row r="10812" spans="23:23">
      <c r="W10812" s="503"/>
    </row>
    <row r="10813" spans="23:23">
      <c r="W10813" s="503"/>
    </row>
    <row r="10814" spans="23:23">
      <c r="W10814" s="503"/>
    </row>
    <row r="10815" spans="23:23">
      <c r="W10815" s="503"/>
    </row>
    <row r="10816" spans="23:23">
      <c r="W10816" s="503"/>
    </row>
    <row r="10817" spans="23:23">
      <c r="W10817" s="503"/>
    </row>
    <row r="10818" spans="23:23">
      <c r="W10818" s="503"/>
    </row>
    <row r="10819" spans="23:23">
      <c r="W10819" s="503"/>
    </row>
    <row r="10820" spans="23:23">
      <c r="W10820" s="503"/>
    </row>
    <row r="10821" spans="23:23">
      <c r="W10821" s="503"/>
    </row>
    <row r="10822" spans="23:23">
      <c r="W10822" s="503"/>
    </row>
    <row r="10823" spans="23:23">
      <c r="W10823" s="503"/>
    </row>
    <row r="10824" spans="23:23">
      <c r="W10824" s="503"/>
    </row>
    <row r="10825" spans="23:23">
      <c r="W10825" s="503"/>
    </row>
    <row r="10826" spans="23:23">
      <c r="W10826" s="503"/>
    </row>
    <row r="10827" spans="23:23">
      <c r="W10827" s="503"/>
    </row>
    <row r="10828" spans="23:23">
      <c r="W10828" s="503"/>
    </row>
    <row r="10829" spans="23:23">
      <c r="W10829" s="503"/>
    </row>
    <row r="10830" spans="23:23">
      <c r="W10830" s="503"/>
    </row>
    <row r="10831" spans="23:23">
      <c r="W10831" s="503"/>
    </row>
    <row r="10832" spans="23:23">
      <c r="W10832" s="503"/>
    </row>
    <row r="10833" spans="23:23">
      <c r="W10833" s="503"/>
    </row>
    <row r="10834" spans="23:23">
      <c r="W10834" s="503"/>
    </row>
    <row r="10835" spans="23:23">
      <c r="W10835" s="503"/>
    </row>
    <row r="10836" spans="23:23">
      <c r="W10836" s="503"/>
    </row>
    <row r="10837" spans="23:23">
      <c r="W10837" s="503"/>
    </row>
    <row r="10838" spans="23:23">
      <c r="W10838" s="503"/>
    </row>
    <row r="10839" spans="23:23">
      <c r="W10839" s="503"/>
    </row>
    <row r="10840" spans="23:23">
      <c r="W10840" s="503"/>
    </row>
    <row r="10841" spans="23:23">
      <c r="W10841" s="503"/>
    </row>
    <row r="10842" spans="23:23">
      <c r="W10842" s="503"/>
    </row>
    <row r="10843" spans="23:23">
      <c r="W10843" s="503"/>
    </row>
    <row r="10844" spans="23:23">
      <c r="W10844" s="503"/>
    </row>
    <row r="10845" spans="23:23">
      <c r="W10845" s="503"/>
    </row>
    <row r="10846" spans="23:23">
      <c r="W10846" s="503"/>
    </row>
    <row r="10847" spans="23:23">
      <c r="W10847" s="503"/>
    </row>
    <row r="10848" spans="23:23">
      <c r="W10848" s="503"/>
    </row>
    <row r="10849" spans="23:23">
      <c r="W10849" s="503"/>
    </row>
    <row r="10850" spans="23:23">
      <c r="W10850" s="503"/>
    </row>
    <row r="10851" spans="23:23">
      <c r="W10851" s="503"/>
    </row>
    <row r="10852" spans="23:23">
      <c r="W10852" s="503"/>
    </row>
    <row r="10853" spans="23:23">
      <c r="W10853" s="503"/>
    </row>
    <row r="10854" spans="23:23">
      <c r="W10854" s="503"/>
    </row>
    <row r="10855" spans="23:23">
      <c r="W10855" s="503"/>
    </row>
    <row r="10856" spans="23:23">
      <c r="W10856" s="503"/>
    </row>
    <row r="10857" spans="23:23">
      <c r="W10857" s="503"/>
    </row>
    <row r="10858" spans="23:23">
      <c r="W10858" s="503"/>
    </row>
    <row r="10859" spans="23:23">
      <c r="W10859" s="503"/>
    </row>
    <row r="10860" spans="23:23">
      <c r="W10860" s="503"/>
    </row>
    <row r="10861" spans="23:23">
      <c r="W10861" s="503"/>
    </row>
    <row r="10862" spans="23:23">
      <c r="W10862" s="503"/>
    </row>
    <row r="10863" spans="23:23">
      <c r="W10863" s="503"/>
    </row>
    <row r="10864" spans="23:23">
      <c r="W10864" s="503"/>
    </row>
    <row r="10865" spans="23:23">
      <c r="W10865" s="503"/>
    </row>
    <row r="10866" spans="23:23">
      <c r="W10866" s="503"/>
    </row>
    <row r="10867" spans="23:23">
      <c r="W10867" s="503"/>
    </row>
    <row r="10868" spans="23:23">
      <c r="W10868" s="503"/>
    </row>
    <row r="10869" spans="23:23">
      <c r="W10869" s="503"/>
    </row>
    <row r="10870" spans="23:23">
      <c r="W10870" s="503"/>
    </row>
    <row r="10871" spans="23:23">
      <c r="W10871" s="503"/>
    </row>
    <row r="10872" spans="23:23">
      <c r="W10872" s="503"/>
    </row>
    <row r="10873" spans="23:23">
      <c r="W10873" s="503"/>
    </row>
    <row r="10874" spans="23:23">
      <c r="W10874" s="503"/>
    </row>
    <row r="10875" spans="23:23">
      <c r="W10875" s="503"/>
    </row>
    <row r="10876" spans="23:23">
      <c r="W10876" s="503"/>
    </row>
    <row r="10877" spans="23:23">
      <c r="W10877" s="503"/>
    </row>
    <row r="10878" spans="23:23">
      <c r="W10878" s="503"/>
    </row>
    <row r="10879" spans="23:23">
      <c r="W10879" s="503"/>
    </row>
    <row r="10880" spans="23:23">
      <c r="W10880" s="503"/>
    </row>
    <row r="10881" spans="23:23">
      <c r="W10881" s="503"/>
    </row>
    <row r="10882" spans="23:23">
      <c r="W10882" s="503"/>
    </row>
    <row r="10883" spans="23:23">
      <c r="W10883" s="503"/>
    </row>
    <row r="10884" spans="23:23">
      <c r="W10884" s="503"/>
    </row>
    <row r="10885" spans="23:23">
      <c r="W10885" s="503"/>
    </row>
    <row r="10886" spans="23:23">
      <c r="W10886" s="503"/>
    </row>
    <row r="10887" spans="23:23">
      <c r="W10887" s="503"/>
    </row>
    <row r="10888" spans="23:23">
      <c r="W10888" s="503"/>
    </row>
    <row r="10889" spans="23:23">
      <c r="W10889" s="503"/>
    </row>
    <row r="10890" spans="23:23">
      <c r="W10890" s="503"/>
    </row>
    <row r="10891" spans="23:23">
      <c r="W10891" s="503"/>
    </row>
    <row r="10892" spans="23:23">
      <c r="W10892" s="503"/>
    </row>
    <row r="10893" spans="23:23">
      <c r="W10893" s="503"/>
    </row>
    <row r="10894" spans="23:23">
      <c r="W10894" s="503"/>
    </row>
    <row r="10895" spans="23:23">
      <c r="W10895" s="503"/>
    </row>
    <row r="10896" spans="23:23">
      <c r="W10896" s="503"/>
    </row>
    <row r="10897" spans="23:23">
      <c r="W10897" s="503"/>
    </row>
    <row r="10898" spans="23:23">
      <c r="W10898" s="503"/>
    </row>
    <row r="10899" spans="23:23">
      <c r="W10899" s="503"/>
    </row>
    <row r="10900" spans="23:23">
      <c r="W10900" s="503"/>
    </row>
    <row r="10901" spans="23:23">
      <c r="W10901" s="503"/>
    </row>
    <row r="10902" spans="23:23">
      <c r="W10902" s="503"/>
    </row>
    <row r="10903" spans="23:23">
      <c r="W10903" s="503"/>
    </row>
    <row r="10904" spans="23:23">
      <c r="W10904" s="503"/>
    </row>
    <row r="10905" spans="23:23">
      <c r="W10905" s="503"/>
    </row>
    <row r="10906" spans="23:23">
      <c r="W10906" s="503"/>
    </row>
    <row r="10907" spans="23:23">
      <c r="W10907" s="503"/>
    </row>
    <row r="10908" spans="23:23">
      <c r="W10908" s="503"/>
    </row>
    <row r="10909" spans="23:23">
      <c r="W10909" s="503"/>
    </row>
    <row r="10910" spans="23:23">
      <c r="W10910" s="503"/>
    </row>
    <row r="10911" spans="23:23">
      <c r="W10911" s="503"/>
    </row>
    <row r="10912" spans="23:23">
      <c r="W10912" s="503"/>
    </row>
    <row r="10913" spans="23:23">
      <c r="W10913" s="503"/>
    </row>
    <row r="10914" spans="23:23">
      <c r="W10914" s="503"/>
    </row>
    <row r="10915" spans="23:23">
      <c r="W10915" s="503"/>
    </row>
    <row r="10916" spans="23:23">
      <c r="W10916" s="503"/>
    </row>
    <row r="10917" spans="23:23">
      <c r="W10917" s="503"/>
    </row>
    <row r="10918" spans="23:23">
      <c r="W10918" s="503"/>
    </row>
    <row r="10919" spans="23:23">
      <c r="W10919" s="503"/>
    </row>
    <row r="10920" spans="23:23">
      <c r="W10920" s="503"/>
    </row>
    <row r="10921" spans="23:23">
      <c r="W10921" s="503"/>
    </row>
    <row r="10922" spans="23:23">
      <c r="W10922" s="503"/>
    </row>
    <row r="10923" spans="23:23">
      <c r="W10923" s="503"/>
    </row>
    <row r="10924" spans="23:23">
      <c r="W10924" s="503"/>
    </row>
    <row r="10925" spans="23:23">
      <c r="W10925" s="503"/>
    </row>
    <row r="10926" spans="23:23">
      <c r="W10926" s="503"/>
    </row>
    <row r="10927" spans="23:23">
      <c r="W10927" s="503"/>
    </row>
    <row r="10928" spans="23:23">
      <c r="W10928" s="503"/>
    </row>
    <row r="10929" spans="23:23">
      <c r="W10929" s="503"/>
    </row>
    <row r="10930" spans="23:23">
      <c r="W10930" s="503"/>
    </row>
    <row r="10931" spans="23:23">
      <c r="W10931" s="503"/>
    </row>
    <row r="10932" spans="23:23">
      <c r="W10932" s="503"/>
    </row>
    <row r="10933" spans="23:23">
      <c r="W10933" s="503"/>
    </row>
    <row r="10934" spans="23:23">
      <c r="W10934" s="503"/>
    </row>
    <row r="10935" spans="23:23">
      <c r="W10935" s="503"/>
    </row>
    <row r="10936" spans="23:23">
      <c r="W10936" s="503"/>
    </row>
    <row r="10937" spans="23:23">
      <c r="W10937" s="503"/>
    </row>
    <row r="10938" spans="23:23">
      <c r="W10938" s="503"/>
    </row>
    <row r="10939" spans="23:23">
      <c r="W10939" s="503"/>
    </row>
    <row r="10940" spans="23:23">
      <c r="W10940" s="503"/>
    </row>
    <row r="10941" spans="23:23">
      <c r="W10941" s="503"/>
    </row>
    <row r="10942" spans="23:23">
      <c r="W10942" s="503"/>
    </row>
    <row r="10943" spans="23:23">
      <c r="W10943" s="503"/>
    </row>
    <row r="10944" spans="23:23">
      <c r="W10944" s="503"/>
    </row>
    <row r="10945" spans="23:23">
      <c r="W10945" s="503"/>
    </row>
    <row r="10946" spans="23:23">
      <c r="W10946" s="503"/>
    </row>
    <row r="10947" spans="23:23">
      <c r="W10947" s="503"/>
    </row>
    <row r="10948" spans="23:23">
      <c r="W10948" s="503"/>
    </row>
    <row r="10949" spans="23:23">
      <c r="W10949" s="503"/>
    </row>
    <row r="10950" spans="23:23">
      <c r="W10950" s="503"/>
    </row>
    <row r="10951" spans="23:23">
      <c r="W10951" s="503"/>
    </row>
    <row r="10952" spans="23:23">
      <c r="W10952" s="503"/>
    </row>
    <row r="10953" spans="23:23">
      <c r="W10953" s="503"/>
    </row>
    <row r="10954" spans="23:23">
      <c r="W10954" s="503"/>
    </row>
    <row r="10955" spans="23:23">
      <c r="W10955" s="503"/>
    </row>
    <row r="10956" spans="23:23">
      <c r="W10956" s="503"/>
    </row>
    <row r="10957" spans="23:23">
      <c r="W10957" s="503"/>
    </row>
    <row r="10958" spans="23:23">
      <c r="W10958" s="503"/>
    </row>
    <row r="10959" spans="23:23">
      <c r="W10959" s="503"/>
    </row>
    <row r="10960" spans="23:23">
      <c r="W10960" s="503"/>
    </row>
    <row r="10961" spans="23:23">
      <c r="W10961" s="503"/>
    </row>
    <row r="10962" spans="23:23">
      <c r="W10962" s="503"/>
    </row>
    <row r="10963" spans="23:23">
      <c r="W10963" s="503"/>
    </row>
    <row r="10964" spans="23:23">
      <c r="W10964" s="503"/>
    </row>
    <row r="10965" spans="23:23">
      <c r="W10965" s="503"/>
    </row>
    <row r="10966" spans="23:23">
      <c r="W10966" s="503"/>
    </row>
    <row r="10967" spans="23:23">
      <c r="W10967" s="503"/>
    </row>
    <row r="10968" spans="23:23">
      <c r="W10968" s="503"/>
    </row>
    <row r="10969" spans="23:23">
      <c r="W10969" s="503"/>
    </row>
    <row r="10970" spans="23:23">
      <c r="W10970" s="503"/>
    </row>
    <row r="10971" spans="23:23">
      <c r="W10971" s="503"/>
    </row>
    <row r="10972" spans="23:23">
      <c r="W10972" s="503"/>
    </row>
    <row r="10973" spans="23:23">
      <c r="W10973" s="503"/>
    </row>
    <row r="10974" spans="23:23">
      <c r="W10974" s="503"/>
    </row>
    <row r="10975" spans="23:23">
      <c r="W10975" s="503"/>
    </row>
    <row r="10976" spans="23:23">
      <c r="W10976" s="503"/>
    </row>
    <row r="10977" spans="23:23">
      <c r="W10977" s="503"/>
    </row>
    <row r="10978" spans="23:23">
      <c r="W10978" s="503"/>
    </row>
    <row r="10979" spans="23:23">
      <c r="W10979" s="503"/>
    </row>
    <row r="10980" spans="23:23">
      <c r="W10980" s="503"/>
    </row>
    <row r="10981" spans="23:23">
      <c r="W10981" s="503"/>
    </row>
    <row r="10982" spans="23:23">
      <c r="W10982" s="503"/>
    </row>
    <row r="10983" spans="23:23">
      <c r="W10983" s="503"/>
    </row>
    <row r="10984" spans="23:23">
      <c r="W10984" s="503"/>
    </row>
    <row r="10985" spans="23:23">
      <c r="W10985" s="503"/>
    </row>
    <row r="10986" spans="23:23">
      <c r="W10986" s="503"/>
    </row>
    <row r="10987" spans="23:23">
      <c r="W10987" s="503"/>
    </row>
    <row r="10988" spans="23:23">
      <c r="W10988" s="503"/>
    </row>
    <row r="10989" spans="23:23">
      <c r="W10989" s="503"/>
    </row>
    <row r="10990" spans="23:23">
      <c r="W10990" s="503"/>
    </row>
    <row r="10991" spans="23:23">
      <c r="W10991" s="503"/>
    </row>
    <row r="10992" spans="23:23">
      <c r="W10992" s="503"/>
    </row>
    <row r="10993" spans="23:23">
      <c r="W10993" s="503"/>
    </row>
    <row r="10994" spans="23:23">
      <c r="W10994" s="503"/>
    </row>
    <row r="10995" spans="23:23">
      <c r="W10995" s="503"/>
    </row>
    <row r="10996" spans="23:23">
      <c r="W10996" s="503"/>
    </row>
    <row r="10997" spans="23:23">
      <c r="W10997" s="503"/>
    </row>
    <row r="10998" spans="23:23">
      <c r="W10998" s="503"/>
    </row>
    <row r="10999" spans="23:23">
      <c r="W10999" s="503"/>
    </row>
    <row r="11000" spans="23:23">
      <c r="W11000" s="503"/>
    </row>
    <row r="11001" spans="23:23">
      <c r="W11001" s="503"/>
    </row>
    <row r="11002" spans="23:23">
      <c r="W11002" s="503"/>
    </row>
    <row r="11003" spans="23:23">
      <c r="W11003" s="503"/>
    </row>
    <row r="11004" spans="23:23">
      <c r="W11004" s="503"/>
    </row>
    <row r="11005" spans="23:23">
      <c r="W11005" s="503"/>
    </row>
    <row r="11006" spans="23:23">
      <c r="W11006" s="503"/>
    </row>
    <row r="11007" spans="23:23">
      <c r="W11007" s="503"/>
    </row>
    <row r="11008" spans="23:23">
      <c r="W11008" s="503"/>
    </row>
    <row r="11009" spans="23:23">
      <c r="W11009" s="503"/>
    </row>
    <row r="11010" spans="23:23">
      <c r="W11010" s="503"/>
    </row>
    <row r="11011" spans="23:23">
      <c r="W11011" s="503"/>
    </row>
    <row r="11012" spans="23:23">
      <c r="W11012" s="503"/>
    </row>
    <row r="11013" spans="23:23">
      <c r="W11013" s="503"/>
    </row>
    <row r="11014" spans="23:23">
      <c r="W11014" s="503"/>
    </row>
    <row r="11015" spans="23:23">
      <c r="W11015" s="503"/>
    </row>
    <row r="11016" spans="23:23">
      <c r="W11016" s="503"/>
    </row>
    <row r="11017" spans="23:23">
      <c r="W11017" s="503"/>
    </row>
    <row r="11018" spans="23:23">
      <c r="W11018" s="503"/>
    </row>
    <row r="11019" spans="23:23">
      <c r="W11019" s="503"/>
    </row>
    <row r="11020" spans="23:23">
      <c r="W11020" s="503"/>
    </row>
    <row r="11021" spans="23:23">
      <c r="W11021" s="503"/>
    </row>
    <row r="11022" spans="23:23">
      <c r="W11022" s="503"/>
    </row>
    <row r="11023" spans="23:23">
      <c r="W11023" s="503"/>
    </row>
    <row r="11024" spans="23:23">
      <c r="W11024" s="503"/>
    </row>
    <row r="11025" spans="23:23">
      <c r="W11025" s="503"/>
    </row>
    <row r="11026" spans="23:23">
      <c r="W11026" s="503"/>
    </row>
    <row r="11027" spans="23:23">
      <c r="W11027" s="503"/>
    </row>
    <row r="11028" spans="23:23">
      <c r="W11028" s="503"/>
    </row>
    <row r="11029" spans="23:23">
      <c r="W11029" s="503"/>
    </row>
    <row r="11030" spans="23:23">
      <c r="W11030" s="503"/>
    </row>
    <row r="11031" spans="23:23">
      <c r="W11031" s="503"/>
    </row>
    <row r="11032" spans="23:23">
      <c r="W11032" s="503"/>
    </row>
    <row r="11033" spans="23:23">
      <c r="W11033" s="503"/>
    </row>
    <row r="11034" spans="23:23">
      <c r="W11034" s="503"/>
    </row>
    <row r="11035" spans="23:23">
      <c r="W11035" s="503"/>
    </row>
    <row r="11036" spans="23:23">
      <c r="W11036" s="503"/>
    </row>
    <row r="11037" spans="23:23">
      <c r="W11037" s="503"/>
    </row>
    <row r="11038" spans="23:23">
      <c r="W11038" s="503"/>
    </row>
    <row r="11039" spans="23:23">
      <c r="W11039" s="503"/>
    </row>
    <row r="11040" spans="23:23">
      <c r="W11040" s="503"/>
    </row>
    <row r="11041" spans="23:23">
      <c r="W11041" s="503"/>
    </row>
    <row r="11042" spans="23:23">
      <c r="W11042" s="503"/>
    </row>
    <row r="11043" spans="23:23">
      <c r="W11043" s="503"/>
    </row>
    <row r="11044" spans="23:23">
      <c r="W11044" s="503"/>
    </row>
    <row r="11045" spans="23:23">
      <c r="W11045" s="503"/>
    </row>
    <row r="11046" spans="23:23">
      <c r="W11046" s="503"/>
    </row>
    <row r="11047" spans="23:23">
      <c r="W11047" s="503"/>
    </row>
    <row r="11048" spans="23:23">
      <c r="W11048" s="503"/>
    </row>
    <row r="11049" spans="23:23">
      <c r="W11049" s="503"/>
    </row>
    <row r="11050" spans="23:23">
      <c r="W11050" s="503"/>
    </row>
    <row r="11051" spans="23:23">
      <c r="W11051" s="503"/>
    </row>
    <row r="11052" spans="23:23">
      <c r="W11052" s="503"/>
    </row>
    <row r="11053" spans="23:23">
      <c r="W11053" s="503"/>
    </row>
    <row r="11054" spans="23:23">
      <c r="W11054" s="503"/>
    </row>
    <row r="11055" spans="23:23">
      <c r="W11055" s="503"/>
    </row>
    <row r="11056" spans="23:23">
      <c r="W11056" s="503"/>
    </row>
    <row r="11057" spans="23:23">
      <c r="W11057" s="503"/>
    </row>
    <row r="11058" spans="23:23">
      <c r="W11058" s="503"/>
    </row>
    <row r="11059" spans="23:23">
      <c r="W11059" s="503"/>
    </row>
    <row r="11060" spans="23:23">
      <c r="W11060" s="503"/>
    </row>
    <row r="11061" spans="23:23">
      <c r="W11061" s="503"/>
    </row>
    <row r="11062" spans="23:23">
      <c r="W11062" s="503"/>
    </row>
    <row r="11063" spans="23:23">
      <c r="W11063" s="503"/>
    </row>
    <row r="11064" spans="23:23">
      <c r="W11064" s="503"/>
    </row>
    <row r="11065" spans="23:23">
      <c r="W11065" s="503"/>
    </row>
    <row r="11066" spans="23:23">
      <c r="W11066" s="503"/>
    </row>
    <row r="11067" spans="23:23">
      <c r="W11067" s="503"/>
    </row>
    <row r="11068" spans="23:23">
      <c r="W11068" s="503"/>
    </row>
    <row r="11069" spans="23:23">
      <c r="W11069" s="503"/>
    </row>
    <row r="11070" spans="23:23">
      <c r="W11070" s="503"/>
    </row>
    <row r="11071" spans="23:23">
      <c r="W11071" s="503"/>
    </row>
    <row r="11072" spans="23:23">
      <c r="W11072" s="503"/>
    </row>
    <row r="11073" spans="23:23">
      <c r="W11073" s="503"/>
    </row>
    <row r="11074" spans="23:23">
      <c r="W11074" s="503"/>
    </row>
    <row r="11075" spans="23:23">
      <c r="W11075" s="503"/>
    </row>
    <row r="11076" spans="23:23">
      <c r="W11076" s="503"/>
    </row>
    <row r="11077" spans="23:23">
      <c r="W11077" s="503"/>
    </row>
    <row r="11078" spans="23:23">
      <c r="W11078" s="503"/>
    </row>
    <row r="11079" spans="23:23">
      <c r="W11079" s="503"/>
    </row>
    <row r="11080" spans="23:23">
      <c r="W11080" s="503"/>
    </row>
    <row r="11081" spans="23:23">
      <c r="W11081" s="503"/>
    </row>
    <row r="11082" spans="23:23">
      <c r="W11082" s="503"/>
    </row>
    <row r="11083" spans="23:23">
      <c r="W11083" s="503"/>
    </row>
    <row r="11084" spans="23:23">
      <c r="W11084" s="503"/>
    </row>
    <row r="11085" spans="23:23">
      <c r="W11085" s="503"/>
    </row>
    <row r="11086" spans="23:23">
      <c r="W11086" s="503"/>
    </row>
    <row r="11087" spans="23:23">
      <c r="W11087" s="503"/>
    </row>
    <row r="11088" spans="23:23">
      <c r="W11088" s="503"/>
    </row>
    <row r="11089" spans="23:23">
      <c r="W11089" s="503"/>
    </row>
    <row r="11090" spans="23:23">
      <c r="W11090" s="503"/>
    </row>
    <row r="11091" spans="23:23">
      <c r="W11091" s="503"/>
    </row>
    <row r="11092" spans="23:23">
      <c r="W11092" s="503"/>
    </row>
    <row r="11093" spans="23:23">
      <c r="W11093" s="503"/>
    </row>
    <row r="11094" spans="23:23">
      <c r="W11094" s="503"/>
    </row>
    <row r="11095" spans="23:23">
      <c r="W11095" s="503"/>
    </row>
    <row r="11096" spans="23:23">
      <c r="W11096" s="503"/>
    </row>
    <row r="11097" spans="23:23">
      <c r="W11097" s="503"/>
    </row>
    <row r="11098" spans="23:23">
      <c r="W11098" s="503"/>
    </row>
    <row r="11099" spans="23:23">
      <c r="W11099" s="503"/>
    </row>
    <row r="11100" spans="23:23">
      <c r="W11100" s="503"/>
    </row>
    <row r="11101" spans="23:23">
      <c r="W11101" s="503"/>
    </row>
    <row r="11102" spans="23:23">
      <c r="W11102" s="503"/>
    </row>
    <row r="11103" spans="23:23">
      <c r="W11103" s="503"/>
    </row>
    <row r="11104" spans="23:23">
      <c r="W11104" s="503"/>
    </row>
    <row r="11105" spans="23:23">
      <c r="W11105" s="503"/>
    </row>
    <row r="11106" spans="23:23">
      <c r="W11106" s="503"/>
    </row>
    <row r="11107" spans="23:23">
      <c r="W11107" s="503"/>
    </row>
    <row r="11108" spans="23:23">
      <c r="W11108" s="503"/>
    </row>
    <row r="11109" spans="23:23">
      <c r="W11109" s="503"/>
    </row>
    <row r="11110" spans="23:23">
      <c r="W11110" s="503"/>
    </row>
    <row r="11111" spans="23:23">
      <c r="W11111" s="503"/>
    </row>
    <row r="11112" spans="23:23">
      <c r="W11112" s="503"/>
    </row>
    <row r="11113" spans="23:23">
      <c r="W11113" s="503"/>
    </row>
    <row r="11114" spans="23:23">
      <c r="W11114" s="503"/>
    </row>
    <row r="11115" spans="23:23">
      <c r="W11115" s="503"/>
    </row>
    <row r="11116" spans="23:23">
      <c r="W11116" s="503"/>
    </row>
    <row r="11117" spans="23:23">
      <c r="W11117" s="503"/>
    </row>
    <row r="11118" spans="23:23">
      <c r="W11118" s="503"/>
    </row>
    <row r="11119" spans="23:23">
      <c r="W11119" s="503"/>
    </row>
    <row r="11120" spans="23:23">
      <c r="W11120" s="503"/>
    </row>
    <row r="11121" spans="23:23">
      <c r="W11121" s="503"/>
    </row>
    <row r="11122" spans="23:23">
      <c r="W11122" s="503"/>
    </row>
    <row r="11123" spans="23:23">
      <c r="W11123" s="503"/>
    </row>
    <row r="11124" spans="23:23">
      <c r="W11124" s="503"/>
    </row>
    <row r="11125" spans="23:23">
      <c r="W11125" s="503"/>
    </row>
    <row r="11126" spans="23:23">
      <c r="W11126" s="503"/>
    </row>
    <row r="11127" spans="23:23">
      <c r="W11127" s="503"/>
    </row>
    <row r="11128" spans="23:23">
      <c r="W11128" s="503"/>
    </row>
    <row r="11129" spans="23:23">
      <c r="W11129" s="503"/>
    </row>
    <row r="11130" spans="23:23">
      <c r="W11130" s="503"/>
    </row>
    <row r="11131" spans="23:23">
      <c r="W11131" s="503"/>
    </row>
    <row r="11132" spans="23:23">
      <c r="W11132" s="503"/>
    </row>
    <row r="11133" spans="23:23">
      <c r="W11133" s="503"/>
    </row>
    <row r="11134" spans="23:23">
      <c r="W11134" s="503"/>
    </row>
    <row r="11135" spans="23:23">
      <c r="W11135" s="503"/>
    </row>
    <row r="11136" spans="23:23">
      <c r="W11136" s="503"/>
    </row>
    <row r="11137" spans="23:23">
      <c r="W11137" s="503"/>
    </row>
    <row r="11138" spans="23:23">
      <c r="W11138" s="503"/>
    </row>
    <row r="11139" spans="23:23">
      <c r="W11139" s="503"/>
    </row>
    <row r="11140" spans="23:23">
      <c r="W11140" s="503"/>
    </row>
    <row r="11141" spans="23:23">
      <c r="W11141" s="503"/>
    </row>
    <row r="11142" spans="23:23">
      <c r="W11142" s="503"/>
    </row>
    <row r="11143" spans="23:23">
      <c r="W11143" s="503"/>
    </row>
    <row r="11144" spans="23:23">
      <c r="W11144" s="503"/>
    </row>
    <row r="11145" spans="23:23">
      <c r="W11145" s="503"/>
    </row>
    <row r="11146" spans="23:23">
      <c r="W11146" s="503"/>
    </row>
    <row r="11147" spans="23:23">
      <c r="W11147" s="503"/>
    </row>
    <row r="11148" spans="23:23">
      <c r="W11148" s="503"/>
    </row>
    <row r="11149" spans="23:23">
      <c r="W11149" s="503"/>
    </row>
    <row r="11150" spans="23:23">
      <c r="W11150" s="503"/>
    </row>
    <row r="11151" spans="23:23">
      <c r="W11151" s="503"/>
    </row>
    <row r="11152" spans="23:23">
      <c r="W11152" s="503"/>
    </row>
    <row r="11153" spans="23:23">
      <c r="W11153" s="503"/>
    </row>
    <row r="11154" spans="23:23">
      <c r="W11154" s="503"/>
    </row>
    <row r="11155" spans="23:23">
      <c r="W11155" s="503"/>
    </row>
    <row r="11156" spans="23:23">
      <c r="W11156" s="503"/>
    </row>
    <row r="11157" spans="23:23">
      <c r="W11157" s="503"/>
    </row>
    <row r="11158" spans="23:23">
      <c r="W11158" s="503"/>
    </row>
    <row r="11159" spans="23:23">
      <c r="W11159" s="503"/>
    </row>
    <row r="11160" spans="23:23">
      <c r="W11160" s="503"/>
    </row>
    <row r="11161" spans="23:23">
      <c r="W11161" s="503"/>
    </row>
    <row r="11162" spans="23:23">
      <c r="W11162" s="503"/>
    </row>
    <row r="11163" spans="23:23">
      <c r="W11163" s="503"/>
    </row>
    <row r="11164" spans="23:23">
      <c r="W11164" s="503"/>
    </row>
    <row r="11165" spans="23:23">
      <c r="W11165" s="503"/>
    </row>
    <row r="11166" spans="23:23">
      <c r="W11166" s="503"/>
    </row>
    <row r="11167" spans="23:23">
      <c r="W11167" s="503"/>
    </row>
    <row r="11168" spans="23:23">
      <c r="W11168" s="503"/>
    </row>
    <row r="11169" spans="23:23">
      <c r="W11169" s="503"/>
    </row>
    <row r="11170" spans="23:23">
      <c r="W11170" s="503"/>
    </row>
    <row r="11171" spans="23:23">
      <c r="W11171" s="503"/>
    </row>
    <row r="11172" spans="23:23">
      <c r="W11172" s="503"/>
    </row>
    <row r="11173" spans="23:23">
      <c r="W11173" s="503"/>
    </row>
    <row r="11174" spans="23:23">
      <c r="W11174" s="503"/>
    </row>
    <row r="11175" spans="23:23">
      <c r="W11175" s="503"/>
    </row>
    <row r="11176" spans="23:23">
      <c r="W11176" s="503"/>
    </row>
    <row r="11177" spans="23:23">
      <c r="W11177" s="503"/>
    </row>
    <row r="11178" spans="23:23">
      <c r="W11178" s="503"/>
    </row>
    <row r="11179" spans="23:23">
      <c r="W11179" s="503"/>
    </row>
    <row r="11180" spans="23:23">
      <c r="W11180" s="503"/>
    </row>
    <row r="11181" spans="23:23">
      <c r="W11181" s="503"/>
    </row>
    <row r="11182" spans="23:23">
      <c r="W11182" s="503"/>
    </row>
    <row r="11183" spans="23:23">
      <c r="W11183" s="503"/>
    </row>
    <row r="11184" spans="23:23">
      <c r="W11184" s="503"/>
    </row>
    <row r="11185" spans="23:23">
      <c r="W11185" s="503"/>
    </row>
    <row r="11186" spans="23:23">
      <c r="W11186" s="503"/>
    </row>
    <row r="11187" spans="23:23">
      <c r="W11187" s="503"/>
    </row>
    <row r="11188" spans="23:23">
      <c r="W11188" s="503"/>
    </row>
    <row r="11189" spans="23:23">
      <c r="W11189" s="503"/>
    </row>
    <row r="11190" spans="23:23">
      <c r="W11190" s="503"/>
    </row>
    <row r="11191" spans="23:23">
      <c r="W11191" s="503"/>
    </row>
    <row r="11192" spans="23:23">
      <c r="W11192" s="503"/>
    </row>
    <row r="11193" spans="23:23">
      <c r="W11193" s="503"/>
    </row>
    <row r="11194" spans="23:23">
      <c r="W11194" s="503"/>
    </row>
    <row r="11195" spans="23:23">
      <c r="W11195" s="503"/>
    </row>
    <row r="11196" spans="23:23">
      <c r="W11196" s="503"/>
    </row>
    <row r="11197" spans="23:23">
      <c r="W11197" s="503"/>
    </row>
    <row r="11198" spans="23:23">
      <c r="W11198" s="503"/>
    </row>
    <row r="11199" spans="23:23">
      <c r="W11199" s="503"/>
    </row>
    <row r="11200" spans="23:23">
      <c r="W11200" s="503"/>
    </row>
    <row r="11201" spans="23:23">
      <c r="W11201" s="503"/>
    </row>
    <row r="11202" spans="23:23">
      <c r="W11202" s="503"/>
    </row>
    <row r="11203" spans="23:23">
      <c r="W11203" s="503"/>
    </row>
    <row r="11204" spans="23:23">
      <c r="W11204" s="503"/>
    </row>
    <row r="11205" spans="23:23">
      <c r="W11205" s="503"/>
    </row>
    <row r="11206" spans="23:23">
      <c r="W11206" s="503"/>
    </row>
    <row r="11207" spans="23:23">
      <c r="W11207" s="503"/>
    </row>
    <row r="11208" spans="23:23">
      <c r="W11208" s="503"/>
    </row>
    <row r="11209" spans="23:23">
      <c r="W11209" s="503"/>
    </row>
    <row r="11210" spans="23:23">
      <c r="W11210" s="503"/>
    </row>
    <row r="11211" spans="23:23">
      <c r="W11211" s="503"/>
    </row>
    <row r="11212" spans="23:23">
      <c r="W11212" s="503"/>
    </row>
    <row r="11213" spans="23:23">
      <c r="W11213" s="503"/>
    </row>
    <row r="11214" spans="23:23">
      <c r="W11214" s="503"/>
    </row>
    <row r="11215" spans="23:23">
      <c r="W11215" s="503"/>
    </row>
    <row r="11216" spans="23:23">
      <c r="W11216" s="503"/>
    </row>
    <row r="11217" spans="23:23">
      <c r="W11217" s="503"/>
    </row>
    <row r="11218" spans="23:23">
      <c r="W11218" s="503"/>
    </row>
    <row r="11219" spans="23:23">
      <c r="W11219" s="503"/>
    </row>
    <row r="11220" spans="23:23">
      <c r="W11220" s="503"/>
    </row>
    <row r="11221" spans="23:23">
      <c r="W11221" s="503"/>
    </row>
    <row r="11222" spans="23:23">
      <c r="W11222" s="503"/>
    </row>
    <row r="11223" spans="23:23">
      <c r="W11223" s="503"/>
    </row>
    <row r="11224" spans="23:23">
      <c r="W11224" s="503"/>
    </row>
    <row r="11225" spans="23:23">
      <c r="W11225" s="503"/>
    </row>
    <row r="11226" spans="23:23">
      <c r="W11226" s="503"/>
    </row>
    <row r="11227" spans="23:23">
      <c r="W11227" s="503"/>
    </row>
    <row r="11228" spans="23:23">
      <c r="W11228" s="503"/>
    </row>
    <row r="11229" spans="23:23">
      <c r="W11229" s="503"/>
    </row>
    <row r="11230" spans="23:23">
      <c r="W11230" s="503"/>
    </row>
    <row r="11231" spans="23:23">
      <c r="W11231" s="503"/>
    </row>
    <row r="11232" spans="23:23">
      <c r="W11232" s="503"/>
    </row>
    <row r="11233" spans="23:23">
      <c r="W11233" s="503"/>
    </row>
    <row r="11234" spans="23:23">
      <c r="W11234" s="503"/>
    </row>
    <row r="11235" spans="23:23">
      <c r="W11235" s="503"/>
    </row>
    <row r="11236" spans="23:23">
      <c r="W11236" s="503"/>
    </row>
    <row r="11237" spans="23:23">
      <c r="W11237" s="503"/>
    </row>
    <row r="11238" spans="23:23">
      <c r="W11238" s="503"/>
    </row>
    <row r="11239" spans="23:23">
      <c r="W11239" s="503"/>
    </row>
    <row r="11240" spans="23:23">
      <c r="W11240" s="503"/>
    </row>
    <row r="11241" spans="23:23">
      <c r="W11241" s="503"/>
    </row>
    <row r="11242" spans="23:23">
      <c r="W11242" s="503"/>
    </row>
    <row r="11243" spans="23:23">
      <c r="W11243" s="503"/>
    </row>
    <row r="11244" spans="23:23">
      <c r="W11244" s="503"/>
    </row>
    <row r="11245" spans="23:23">
      <c r="W11245" s="503"/>
    </row>
    <row r="11246" spans="23:23">
      <c r="W11246" s="503"/>
    </row>
    <row r="11247" spans="23:23">
      <c r="W11247" s="503"/>
    </row>
    <row r="11248" spans="23:23">
      <c r="W11248" s="503"/>
    </row>
    <row r="11249" spans="23:23">
      <c r="W11249" s="503"/>
    </row>
    <row r="11250" spans="23:23">
      <c r="W11250" s="503"/>
    </row>
    <row r="11251" spans="23:23">
      <c r="W11251" s="503"/>
    </row>
    <row r="11252" spans="23:23">
      <c r="W11252" s="503"/>
    </row>
    <row r="11253" spans="23:23">
      <c r="W11253" s="503"/>
    </row>
    <row r="11254" spans="23:23">
      <c r="W11254" s="503"/>
    </row>
    <row r="11255" spans="23:23">
      <c r="W11255" s="503"/>
    </row>
    <row r="11256" spans="23:23">
      <c r="W11256" s="503"/>
    </row>
    <row r="11257" spans="23:23">
      <c r="W11257" s="503"/>
    </row>
    <row r="11258" spans="23:23">
      <c r="W11258" s="503"/>
    </row>
    <row r="11259" spans="23:23">
      <c r="W11259" s="503"/>
    </row>
    <row r="11260" spans="23:23">
      <c r="W11260" s="503"/>
    </row>
    <row r="11261" spans="23:23">
      <c r="W11261" s="503"/>
    </row>
    <row r="11262" spans="23:23">
      <c r="W11262" s="503"/>
    </row>
    <row r="11263" spans="23:23">
      <c r="W11263" s="503"/>
    </row>
    <row r="11264" spans="23:23">
      <c r="W11264" s="503"/>
    </row>
    <row r="11265" spans="23:23">
      <c r="W11265" s="503"/>
    </row>
    <row r="11266" spans="23:23">
      <c r="W11266" s="503"/>
    </row>
    <row r="11267" spans="23:23">
      <c r="W11267" s="503"/>
    </row>
    <row r="11268" spans="23:23">
      <c r="W11268" s="503"/>
    </row>
    <row r="11269" spans="23:23">
      <c r="W11269" s="503"/>
    </row>
    <row r="11270" spans="23:23">
      <c r="W11270" s="503"/>
    </row>
    <row r="11271" spans="23:23">
      <c r="W11271" s="503"/>
    </row>
    <row r="11272" spans="23:23">
      <c r="W11272" s="503"/>
    </row>
    <row r="11273" spans="23:23">
      <c r="W11273" s="503"/>
    </row>
    <row r="11274" spans="23:23">
      <c r="W11274" s="503"/>
    </row>
    <row r="11275" spans="23:23">
      <c r="W11275" s="503"/>
    </row>
    <row r="11276" spans="23:23">
      <c r="W11276" s="503"/>
    </row>
    <row r="11277" spans="23:23">
      <c r="W11277" s="503"/>
    </row>
    <row r="11278" spans="23:23">
      <c r="W11278" s="503"/>
    </row>
    <row r="11279" spans="23:23">
      <c r="W11279" s="503"/>
    </row>
    <row r="11280" spans="23:23">
      <c r="W11280" s="503"/>
    </row>
    <row r="11281" spans="23:23">
      <c r="W11281" s="503"/>
    </row>
    <row r="11282" spans="23:23">
      <c r="W11282" s="503"/>
    </row>
    <row r="11283" spans="23:23">
      <c r="W11283" s="503"/>
    </row>
    <row r="11284" spans="23:23">
      <c r="W11284" s="503"/>
    </row>
    <row r="11285" spans="23:23">
      <c r="W11285" s="503"/>
    </row>
    <row r="11286" spans="23:23">
      <c r="W11286" s="503"/>
    </row>
    <row r="11287" spans="23:23">
      <c r="W11287" s="503"/>
    </row>
    <row r="11288" spans="23:23">
      <c r="W11288" s="503"/>
    </row>
    <row r="11289" spans="23:23">
      <c r="W11289" s="503"/>
    </row>
    <row r="11290" spans="23:23">
      <c r="W11290" s="503"/>
    </row>
    <row r="11291" spans="23:23">
      <c r="W11291" s="503"/>
    </row>
    <row r="11292" spans="23:23">
      <c r="W11292" s="503"/>
    </row>
    <row r="11293" spans="23:23">
      <c r="W11293" s="503"/>
    </row>
    <row r="11294" spans="23:23">
      <c r="W11294" s="503"/>
    </row>
    <row r="11295" spans="23:23">
      <c r="W11295" s="503"/>
    </row>
    <row r="11296" spans="23:23">
      <c r="W11296" s="503"/>
    </row>
    <row r="11297" spans="23:23">
      <c r="W11297" s="503"/>
    </row>
    <row r="11298" spans="23:23">
      <c r="W11298" s="503"/>
    </row>
    <row r="11299" spans="23:23">
      <c r="W11299" s="503"/>
    </row>
    <row r="11300" spans="23:23">
      <c r="W11300" s="503"/>
    </row>
    <row r="11301" spans="23:23">
      <c r="W11301" s="503"/>
    </row>
    <row r="11302" spans="23:23">
      <c r="W11302" s="503"/>
    </row>
    <row r="11303" spans="23:23">
      <c r="W11303" s="503"/>
    </row>
    <row r="11304" spans="23:23">
      <c r="W11304" s="503"/>
    </row>
    <row r="11305" spans="23:23">
      <c r="W11305" s="503"/>
    </row>
    <row r="11306" spans="23:23">
      <c r="W11306" s="503"/>
    </row>
    <row r="11307" spans="23:23">
      <c r="W11307" s="503"/>
    </row>
    <row r="11308" spans="23:23">
      <c r="W11308" s="503"/>
    </row>
    <row r="11309" spans="23:23">
      <c r="W11309" s="503"/>
    </row>
    <row r="11310" spans="23:23">
      <c r="W11310" s="503"/>
    </row>
    <row r="11311" spans="23:23">
      <c r="W11311" s="503"/>
    </row>
    <row r="11312" spans="23:23">
      <c r="W11312" s="503"/>
    </row>
    <row r="11313" spans="23:23">
      <c r="W11313" s="503"/>
    </row>
    <row r="11314" spans="23:23">
      <c r="W11314" s="503"/>
    </row>
    <row r="11315" spans="23:23">
      <c r="W11315" s="503"/>
    </row>
    <row r="11316" spans="23:23">
      <c r="W11316" s="503"/>
    </row>
    <row r="11317" spans="23:23">
      <c r="W11317" s="503"/>
    </row>
    <row r="11318" spans="23:23">
      <c r="W11318" s="503"/>
    </row>
    <row r="11319" spans="23:23">
      <c r="W11319" s="503"/>
    </row>
    <row r="11320" spans="23:23">
      <c r="W11320" s="503"/>
    </row>
    <row r="11321" spans="23:23">
      <c r="W11321" s="503"/>
    </row>
    <row r="11322" spans="23:23">
      <c r="W11322" s="503"/>
    </row>
    <row r="11323" spans="23:23">
      <c r="W11323" s="503"/>
    </row>
    <row r="11324" spans="23:23">
      <c r="W11324" s="503"/>
    </row>
    <row r="11325" spans="23:23">
      <c r="W11325" s="503"/>
    </row>
    <row r="11326" spans="23:23">
      <c r="W11326" s="503"/>
    </row>
    <row r="11327" spans="23:23">
      <c r="W11327" s="503"/>
    </row>
    <row r="11328" spans="23:23">
      <c r="W11328" s="503"/>
    </row>
    <row r="11329" spans="23:23">
      <c r="W11329" s="503"/>
    </row>
    <row r="11330" spans="23:23">
      <c r="W11330" s="503"/>
    </row>
    <row r="11331" spans="23:23">
      <c r="W11331" s="503"/>
    </row>
    <row r="11332" spans="23:23">
      <c r="W11332" s="503"/>
    </row>
    <row r="11333" spans="23:23">
      <c r="W11333" s="503"/>
    </row>
    <row r="11334" spans="23:23">
      <c r="W11334" s="503"/>
    </row>
    <row r="11335" spans="23:23">
      <c r="W11335" s="503"/>
    </row>
    <row r="11336" spans="23:23">
      <c r="W11336" s="503"/>
    </row>
    <row r="11337" spans="23:23">
      <c r="W11337" s="503"/>
    </row>
    <row r="11338" spans="23:23">
      <c r="W11338" s="503"/>
    </row>
    <row r="11339" spans="23:23">
      <c r="W11339" s="503"/>
    </row>
    <row r="11340" spans="23:23">
      <c r="W11340" s="503"/>
    </row>
    <row r="11341" spans="23:23">
      <c r="W11341" s="503"/>
    </row>
    <row r="11342" spans="23:23">
      <c r="W11342" s="503"/>
    </row>
    <row r="11343" spans="23:23">
      <c r="W11343" s="503"/>
    </row>
    <row r="11344" spans="23:23">
      <c r="W11344" s="503"/>
    </row>
    <row r="11345" spans="23:23">
      <c r="W11345" s="503"/>
    </row>
    <row r="11346" spans="23:23">
      <c r="W11346" s="503"/>
    </row>
    <row r="11347" spans="23:23">
      <c r="W11347" s="503"/>
    </row>
    <row r="11348" spans="23:23">
      <c r="W11348" s="503"/>
    </row>
    <row r="11349" spans="23:23">
      <c r="W11349" s="503"/>
    </row>
    <row r="11350" spans="23:23">
      <c r="W11350" s="503"/>
    </row>
    <row r="11351" spans="23:23">
      <c r="W11351" s="503"/>
    </row>
    <row r="11352" spans="23:23">
      <c r="W11352" s="503"/>
    </row>
    <row r="11353" spans="23:23">
      <c r="W11353" s="503"/>
    </row>
    <row r="11354" spans="23:23">
      <c r="W11354" s="503"/>
    </row>
    <row r="11355" spans="23:23">
      <c r="W11355" s="503"/>
    </row>
    <row r="11356" spans="23:23">
      <c r="W11356" s="503"/>
    </row>
    <row r="11357" spans="23:23">
      <c r="W11357" s="503"/>
    </row>
    <row r="11358" spans="23:23">
      <c r="W11358" s="503"/>
    </row>
    <row r="11359" spans="23:23">
      <c r="W11359" s="503"/>
    </row>
    <row r="11360" spans="23:23">
      <c r="W11360" s="503"/>
    </row>
    <row r="11361" spans="23:23">
      <c r="W11361" s="503"/>
    </row>
    <row r="11362" spans="23:23">
      <c r="W11362" s="503"/>
    </row>
    <row r="11363" spans="23:23">
      <c r="W11363" s="503"/>
    </row>
    <row r="11364" spans="23:23">
      <c r="W11364" s="503"/>
    </row>
    <row r="11365" spans="23:23">
      <c r="W11365" s="503"/>
    </row>
    <row r="11366" spans="23:23">
      <c r="W11366" s="503"/>
    </row>
    <row r="11367" spans="23:23">
      <c r="W11367" s="503"/>
    </row>
    <row r="11368" spans="23:23">
      <c r="W11368" s="503"/>
    </row>
    <row r="11369" spans="23:23">
      <c r="W11369" s="503"/>
    </row>
    <row r="11370" spans="23:23">
      <c r="W11370" s="503"/>
    </row>
    <row r="11371" spans="23:23">
      <c r="W11371" s="503"/>
    </row>
    <row r="11372" spans="23:23">
      <c r="W11372" s="503"/>
    </row>
    <row r="11373" spans="23:23">
      <c r="W11373" s="503"/>
    </row>
    <row r="11374" spans="23:23">
      <c r="W11374" s="503"/>
    </row>
    <row r="11375" spans="23:23">
      <c r="W11375" s="503"/>
    </row>
    <row r="11376" spans="23:23">
      <c r="W11376" s="503"/>
    </row>
    <row r="11377" spans="23:23">
      <c r="W11377" s="503"/>
    </row>
    <row r="11378" spans="23:23">
      <c r="W11378" s="503"/>
    </row>
    <row r="11379" spans="23:23">
      <c r="W11379" s="503"/>
    </row>
    <row r="11380" spans="23:23">
      <c r="W11380" s="503"/>
    </row>
    <row r="11381" spans="23:23">
      <c r="W11381" s="503"/>
    </row>
    <row r="11382" spans="23:23">
      <c r="W11382" s="503"/>
    </row>
    <row r="11383" spans="23:23">
      <c r="W11383" s="503"/>
    </row>
    <row r="11384" spans="23:23">
      <c r="W11384" s="503"/>
    </row>
    <row r="11385" spans="23:23">
      <c r="W11385" s="503"/>
    </row>
    <row r="11386" spans="23:23">
      <c r="W11386" s="503"/>
    </row>
    <row r="11387" spans="23:23">
      <c r="W11387" s="503"/>
    </row>
    <row r="11388" spans="23:23">
      <c r="W11388" s="503"/>
    </row>
    <row r="11389" spans="23:23">
      <c r="W11389" s="503"/>
    </row>
    <row r="11390" spans="23:23">
      <c r="W11390" s="503"/>
    </row>
    <row r="11391" spans="23:23">
      <c r="W11391" s="503"/>
    </row>
    <row r="11392" spans="23:23">
      <c r="W11392" s="503"/>
    </row>
    <row r="11393" spans="23:23">
      <c r="W11393" s="503"/>
    </row>
    <row r="11394" spans="23:23">
      <c r="W11394" s="503"/>
    </row>
    <row r="11395" spans="23:23">
      <c r="W11395" s="503"/>
    </row>
    <row r="11396" spans="23:23">
      <c r="W11396" s="503"/>
    </row>
    <row r="11397" spans="23:23">
      <c r="W11397" s="503"/>
    </row>
    <row r="11398" spans="23:23">
      <c r="W11398" s="503"/>
    </row>
    <row r="11399" spans="23:23">
      <c r="W11399" s="503"/>
    </row>
    <row r="11400" spans="23:23">
      <c r="W11400" s="503"/>
    </row>
    <row r="11401" spans="23:23">
      <c r="W11401" s="503"/>
    </row>
    <row r="11402" spans="23:23">
      <c r="W11402" s="503"/>
    </row>
    <row r="11403" spans="23:23">
      <c r="W11403" s="503"/>
    </row>
    <row r="11404" spans="23:23">
      <c r="W11404" s="503"/>
    </row>
    <row r="11405" spans="23:23">
      <c r="W11405" s="503"/>
    </row>
    <row r="11406" spans="23:23">
      <c r="W11406" s="503"/>
    </row>
    <row r="11407" spans="23:23">
      <c r="W11407" s="503"/>
    </row>
    <row r="11408" spans="23:23">
      <c r="W11408" s="503"/>
    </row>
    <row r="11409" spans="23:23">
      <c r="W11409" s="503"/>
    </row>
    <row r="11410" spans="23:23">
      <c r="W11410" s="503"/>
    </row>
    <row r="11411" spans="23:23">
      <c r="W11411" s="503"/>
    </row>
    <row r="11412" spans="23:23">
      <c r="W11412" s="503"/>
    </row>
    <row r="11413" spans="23:23">
      <c r="W11413" s="503"/>
    </row>
    <row r="11414" spans="23:23">
      <c r="W11414" s="503"/>
    </row>
    <row r="11415" spans="23:23">
      <c r="W11415" s="503"/>
    </row>
    <row r="11416" spans="23:23">
      <c r="W11416" s="503"/>
    </row>
    <row r="11417" spans="23:23">
      <c r="W11417" s="503"/>
    </row>
    <row r="11418" spans="23:23">
      <c r="W11418" s="503"/>
    </row>
    <row r="11419" spans="23:23">
      <c r="W11419" s="503"/>
    </row>
    <row r="11420" spans="23:23">
      <c r="W11420" s="503"/>
    </row>
    <row r="11421" spans="23:23">
      <c r="W11421" s="503"/>
    </row>
    <row r="11422" spans="23:23">
      <c r="W11422" s="503"/>
    </row>
    <row r="11423" spans="23:23">
      <c r="W11423" s="503"/>
    </row>
    <row r="11424" spans="23:23">
      <c r="W11424" s="503"/>
    </row>
    <row r="11425" spans="23:23">
      <c r="W11425" s="503"/>
    </row>
    <row r="11426" spans="23:23">
      <c r="W11426" s="503"/>
    </row>
    <row r="11427" spans="23:23">
      <c r="W11427" s="503"/>
    </row>
    <row r="11428" spans="23:23">
      <c r="W11428" s="503"/>
    </row>
    <row r="11429" spans="23:23">
      <c r="W11429" s="503"/>
    </row>
    <row r="11430" spans="23:23">
      <c r="W11430" s="503"/>
    </row>
    <row r="11431" spans="23:23">
      <c r="W11431" s="503"/>
    </row>
    <row r="11432" spans="23:23">
      <c r="W11432" s="503"/>
    </row>
    <row r="11433" spans="23:23">
      <c r="W11433" s="503"/>
    </row>
    <row r="11434" spans="23:23">
      <c r="W11434" s="503"/>
    </row>
    <row r="11435" spans="23:23">
      <c r="W11435" s="503"/>
    </row>
    <row r="11436" spans="23:23">
      <c r="W11436" s="503"/>
    </row>
    <row r="11437" spans="23:23">
      <c r="W11437" s="503"/>
    </row>
    <row r="11438" spans="23:23">
      <c r="W11438" s="503"/>
    </row>
    <row r="11439" spans="23:23">
      <c r="W11439" s="503"/>
    </row>
    <row r="11440" spans="23:23">
      <c r="W11440" s="503"/>
    </row>
    <row r="11441" spans="23:23">
      <c r="W11441" s="503"/>
    </row>
    <row r="11442" spans="23:23">
      <c r="W11442" s="503"/>
    </row>
    <row r="11443" spans="23:23">
      <c r="W11443" s="503"/>
    </row>
    <row r="11444" spans="23:23">
      <c r="W11444" s="503"/>
    </row>
    <row r="11445" spans="23:23">
      <c r="W11445" s="503"/>
    </row>
    <row r="11446" spans="23:23">
      <c r="W11446" s="503"/>
    </row>
    <row r="11447" spans="23:23">
      <c r="W11447" s="503"/>
    </row>
    <row r="11448" spans="23:23">
      <c r="W11448" s="503"/>
    </row>
    <row r="11449" spans="23:23">
      <c r="W11449" s="503"/>
    </row>
    <row r="11450" spans="23:23">
      <c r="W11450" s="503"/>
    </row>
    <row r="11451" spans="23:23">
      <c r="W11451" s="503"/>
    </row>
    <row r="11452" spans="23:23">
      <c r="W11452" s="503"/>
    </row>
    <row r="11453" spans="23:23">
      <c r="W11453" s="503"/>
    </row>
    <row r="11454" spans="23:23">
      <c r="W11454" s="503"/>
    </row>
    <row r="11455" spans="23:23">
      <c r="W11455" s="503"/>
    </row>
    <row r="11456" spans="23:23">
      <c r="W11456" s="503"/>
    </row>
    <row r="11457" spans="23:23">
      <c r="W11457" s="503"/>
    </row>
    <row r="11458" spans="23:23">
      <c r="W11458" s="503"/>
    </row>
    <row r="11459" spans="23:23">
      <c r="W11459" s="503"/>
    </row>
    <row r="11460" spans="23:23">
      <c r="W11460" s="503"/>
    </row>
    <row r="11461" spans="23:23">
      <c r="W11461" s="503"/>
    </row>
    <row r="11462" spans="23:23">
      <c r="W11462" s="503"/>
    </row>
    <row r="11463" spans="23:23">
      <c r="W11463" s="503"/>
    </row>
    <row r="11464" spans="23:23">
      <c r="W11464" s="503"/>
    </row>
    <row r="11465" spans="23:23">
      <c r="W11465" s="503"/>
    </row>
    <row r="11466" spans="23:23">
      <c r="W11466" s="503"/>
    </row>
    <row r="11467" spans="23:23">
      <c r="W11467" s="503"/>
    </row>
    <row r="11468" spans="23:23">
      <c r="W11468" s="503"/>
    </row>
    <row r="11469" spans="23:23">
      <c r="W11469" s="503"/>
    </row>
    <row r="11470" spans="23:23">
      <c r="W11470" s="503"/>
    </row>
    <row r="11471" spans="23:23">
      <c r="W11471" s="503"/>
    </row>
    <row r="11472" spans="23:23">
      <c r="W11472" s="503"/>
    </row>
    <row r="11473" spans="23:23">
      <c r="W11473" s="503"/>
    </row>
    <row r="11474" spans="23:23">
      <c r="W11474" s="503"/>
    </row>
    <row r="11475" spans="23:23">
      <c r="W11475" s="503"/>
    </row>
    <row r="11476" spans="23:23">
      <c r="W11476" s="503"/>
    </row>
    <row r="11477" spans="23:23">
      <c r="W11477" s="503"/>
    </row>
    <row r="11478" spans="23:23">
      <c r="W11478" s="503"/>
    </row>
    <row r="11479" spans="23:23">
      <c r="W11479" s="503"/>
    </row>
    <row r="11480" spans="23:23">
      <c r="W11480" s="503"/>
    </row>
    <row r="11481" spans="23:23">
      <c r="W11481" s="503"/>
    </row>
    <row r="11482" spans="23:23">
      <c r="W11482" s="503"/>
    </row>
    <row r="11483" spans="23:23">
      <c r="W11483" s="503"/>
    </row>
    <row r="11484" spans="23:23">
      <c r="W11484" s="503"/>
    </row>
    <row r="11485" spans="23:23">
      <c r="W11485" s="503"/>
    </row>
    <row r="11486" spans="23:23">
      <c r="W11486" s="503"/>
    </row>
    <row r="11487" spans="23:23">
      <c r="W11487" s="503"/>
    </row>
    <row r="11488" spans="23:23">
      <c r="W11488" s="503"/>
    </row>
    <row r="11489" spans="23:23">
      <c r="W11489" s="503"/>
    </row>
    <row r="11490" spans="23:23">
      <c r="W11490" s="503"/>
    </row>
    <row r="11491" spans="23:23">
      <c r="W11491" s="503"/>
    </row>
    <row r="11492" spans="23:23">
      <c r="W11492" s="503"/>
    </row>
    <row r="11493" spans="23:23">
      <c r="W11493" s="503"/>
    </row>
    <row r="11494" spans="23:23">
      <c r="W11494" s="503"/>
    </row>
    <row r="11495" spans="23:23">
      <c r="W11495" s="503"/>
    </row>
    <row r="11496" spans="23:23">
      <c r="W11496" s="503"/>
    </row>
    <row r="11497" spans="23:23">
      <c r="W11497" s="503"/>
    </row>
    <row r="11498" spans="23:23">
      <c r="W11498" s="503"/>
    </row>
    <row r="11499" spans="23:23">
      <c r="W11499" s="503"/>
    </row>
    <row r="11500" spans="23:23">
      <c r="W11500" s="503"/>
    </row>
    <row r="11501" spans="23:23">
      <c r="W11501" s="503"/>
    </row>
    <row r="11502" spans="23:23">
      <c r="W11502" s="503"/>
    </row>
    <row r="11503" spans="23:23">
      <c r="W11503" s="503"/>
    </row>
    <row r="11504" spans="23:23">
      <c r="W11504" s="503"/>
    </row>
    <row r="11505" spans="23:23">
      <c r="W11505" s="503"/>
    </row>
    <row r="11506" spans="23:23">
      <c r="W11506" s="503"/>
    </row>
    <row r="11507" spans="23:23">
      <c r="W11507" s="503"/>
    </row>
    <row r="11508" spans="23:23">
      <c r="W11508" s="503"/>
    </row>
    <row r="11509" spans="23:23">
      <c r="W11509" s="503"/>
    </row>
    <row r="11510" spans="23:23">
      <c r="W11510" s="503"/>
    </row>
    <row r="11511" spans="23:23">
      <c r="W11511" s="503"/>
    </row>
    <row r="11512" spans="23:23">
      <c r="W11512" s="503"/>
    </row>
    <row r="11513" spans="23:23">
      <c r="W11513" s="503"/>
    </row>
    <row r="11514" spans="23:23">
      <c r="W11514" s="503"/>
    </row>
    <row r="11515" spans="23:23">
      <c r="W11515" s="503"/>
    </row>
    <row r="11516" spans="23:23">
      <c r="W11516" s="503"/>
    </row>
    <row r="11517" spans="23:23">
      <c r="W11517" s="503"/>
    </row>
    <row r="11518" spans="23:23">
      <c r="W11518" s="503"/>
    </row>
    <row r="11519" spans="23:23">
      <c r="W11519" s="503"/>
    </row>
    <row r="11520" spans="23:23">
      <c r="W11520" s="503"/>
    </row>
    <row r="11521" spans="23:23">
      <c r="W11521" s="503"/>
    </row>
    <row r="11522" spans="23:23">
      <c r="W11522" s="503"/>
    </row>
    <row r="11523" spans="23:23">
      <c r="W11523" s="503"/>
    </row>
    <row r="11524" spans="23:23">
      <c r="W11524" s="503"/>
    </row>
    <row r="11525" spans="23:23">
      <c r="W11525" s="503"/>
    </row>
    <row r="11526" spans="23:23">
      <c r="W11526" s="503"/>
    </row>
    <row r="11527" spans="23:23">
      <c r="W11527" s="503"/>
    </row>
    <row r="11528" spans="23:23">
      <c r="W11528" s="503"/>
    </row>
    <row r="11529" spans="23:23">
      <c r="W11529" s="503"/>
    </row>
    <row r="11530" spans="23:23">
      <c r="W11530" s="503"/>
    </row>
    <row r="11531" spans="23:23">
      <c r="W11531" s="503"/>
    </row>
    <row r="11532" spans="23:23">
      <c r="W11532" s="503"/>
    </row>
    <row r="11533" spans="23:23">
      <c r="W11533" s="503"/>
    </row>
    <row r="11534" spans="23:23">
      <c r="W11534" s="503"/>
    </row>
    <row r="11535" spans="23:23">
      <c r="W11535" s="503"/>
    </row>
    <row r="11536" spans="23:23">
      <c r="W11536" s="503"/>
    </row>
    <row r="11537" spans="23:23">
      <c r="W11537" s="503"/>
    </row>
    <row r="11538" spans="23:23">
      <c r="W11538" s="503"/>
    </row>
    <row r="11539" spans="23:23">
      <c r="W11539" s="503"/>
    </row>
    <row r="11540" spans="23:23">
      <c r="W11540" s="503"/>
    </row>
    <row r="11541" spans="23:23">
      <c r="W11541" s="503"/>
    </row>
    <row r="11542" spans="23:23">
      <c r="W11542" s="503"/>
    </row>
    <row r="11543" spans="23:23">
      <c r="W11543" s="503"/>
    </row>
    <row r="11544" spans="23:23">
      <c r="W11544" s="503"/>
    </row>
    <row r="11545" spans="23:23">
      <c r="W11545" s="503"/>
    </row>
    <row r="11546" spans="23:23">
      <c r="W11546" s="503"/>
    </row>
    <row r="11547" spans="23:23">
      <c r="W11547" s="503"/>
    </row>
    <row r="11548" spans="23:23">
      <c r="W11548" s="503"/>
    </row>
    <row r="11549" spans="23:23">
      <c r="W11549" s="503"/>
    </row>
    <row r="11550" spans="23:23">
      <c r="W11550" s="503"/>
    </row>
    <row r="11551" spans="23:23">
      <c r="W11551" s="503"/>
    </row>
    <row r="11552" spans="23:23">
      <c r="W11552" s="503"/>
    </row>
    <row r="11553" spans="23:23">
      <c r="W11553" s="503"/>
    </row>
    <row r="11554" spans="23:23">
      <c r="W11554" s="503"/>
    </row>
    <row r="11555" spans="23:23">
      <c r="W11555" s="503"/>
    </row>
    <row r="11556" spans="23:23">
      <c r="W11556" s="503"/>
    </row>
    <row r="11557" spans="23:23">
      <c r="W11557" s="503"/>
    </row>
    <row r="11558" spans="23:23">
      <c r="W11558" s="503"/>
    </row>
    <row r="11559" spans="23:23">
      <c r="W11559" s="503"/>
    </row>
    <row r="11560" spans="23:23">
      <c r="W11560" s="503"/>
    </row>
    <row r="11561" spans="23:23">
      <c r="W11561" s="503"/>
    </row>
    <row r="11562" spans="23:23">
      <c r="W11562" s="503"/>
    </row>
    <row r="11563" spans="23:23">
      <c r="W11563" s="503"/>
    </row>
    <row r="11564" spans="23:23">
      <c r="W11564" s="503"/>
    </row>
    <row r="11565" spans="23:23">
      <c r="W11565" s="503"/>
    </row>
    <row r="11566" spans="23:23">
      <c r="W11566" s="503"/>
    </row>
    <row r="11567" spans="23:23">
      <c r="W11567" s="503"/>
    </row>
    <row r="11568" spans="23:23">
      <c r="W11568" s="503"/>
    </row>
    <row r="11569" spans="23:23">
      <c r="W11569" s="503"/>
    </row>
    <row r="11570" spans="23:23">
      <c r="W11570" s="503"/>
    </row>
    <row r="11571" spans="23:23">
      <c r="W11571" s="503"/>
    </row>
    <row r="11572" spans="23:23">
      <c r="W11572" s="503"/>
    </row>
    <row r="11573" spans="23:23">
      <c r="W11573" s="503"/>
    </row>
    <row r="11574" spans="23:23">
      <c r="W11574" s="503"/>
    </row>
    <row r="11575" spans="23:23">
      <c r="W11575" s="503"/>
    </row>
    <row r="11576" spans="23:23">
      <c r="W11576" s="503"/>
    </row>
    <row r="11577" spans="23:23">
      <c r="W11577" s="503"/>
    </row>
    <row r="11578" spans="23:23">
      <c r="W11578" s="503"/>
    </row>
    <row r="11579" spans="23:23">
      <c r="W11579" s="503"/>
    </row>
    <row r="11580" spans="23:23">
      <c r="W11580" s="503"/>
    </row>
    <row r="11581" spans="23:23">
      <c r="W11581" s="503"/>
    </row>
    <row r="11582" spans="23:23">
      <c r="W11582" s="503"/>
    </row>
    <row r="11583" spans="23:23">
      <c r="W11583" s="503"/>
    </row>
    <row r="11584" spans="23:23">
      <c r="W11584" s="503"/>
    </row>
    <row r="11585" spans="23:23">
      <c r="W11585" s="503"/>
    </row>
    <row r="11586" spans="23:23">
      <c r="W11586" s="503"/>
    </row>
    <row r="11587" spans="23:23">
      <c r="W11587" s="503"/>
    </row>
    <row r="11588" spans="23:23">
      <c r="W11588" s="503"/>
    </row>
    <row r="11589" spans="23:23">
      <c r="W11589" s="503"/>
    </row>
    <row r="11590" spans="23:23">
      <c r="W11590" s="503"/>
    </row>
    <row r="11591" spans="23:23">
      <c r="W11591" s="503"/>
    </row>
    <row r="11592" spans="23:23">
      <c r="W11592" s="503"/>
    </row>
    <row r="11593" spans="23:23">
      <c r="W11593" s="503"/>
    </row>
    <row r="11594" spans="23:23">
      <c r="W11594" s="503"/>
    </row>
    <row r="11595" spans="23:23">
      <c r="W11595" s="503"/>
    </row>
    <row r="11596" spans="23:23">
      <c r="W11596" s="503"/>
    </row>
    <row r="11597" spans="23:23">
      <c r="W11597" s="503"/>
    </row>
    <row r="11598" spans="23:23">
      <c r="W11598" s="503"/>
    </row>
    <row r="11599" spans="23:23">
      <c r="W11599" s="503"/>
    </row>
    <row r="11600" spans="23:23">
      <c r="W11600" s="503"/>
    </row>
    <row r="11601" spans="23:23">
      <c r="W11601" s="503"/>
    </row>
    <row r="11602" spans="23:23">
      <c r="W11602" s="503"/>
    </row>
    <row r="11603" spans="23:23">
      <c r="W11603" s="503"/>
    </row>
    <row r="11604" spans="23:23">
      <c r="W11604" s="503"/>
    </row>
    <row r="11605" spans="23:23">
      <c r="W11605" s="503"/>
    </row>
    <row r="11606" spans="23:23">
      <c r="W11606" s="503"/>
    </row>
    <row r="11607" spans="23:23">
      <c r="W11607" s="503"/>
    </row>
    <row r="11608" spans="23:23">
      <c r="W11608" s="503"/>
    </row>
    <row r="11609" spans="23:23">
      <c r="W11609" s="503"/>
    </row>
    <row r="11610" spans="23:23">
      <c r="W11610" s="503"/>
    </row>
    <row r="11611" spans="23:23">
      <c r="W11611" s="503"/>
    </row>
    <row r="11612" spans="23:23">
      <c r="W11612" s="503"/>
    </row>
    <row r="11613" spans="23:23">
      <c r="W11613" s="503"/>
    </row>
    <row r="11614" spans="23:23">
      <c r="W11614" s="503"/>
    </row>
    <row r="11615" spans="23:23">
      <c r="W11615" s="503"/>
    </row>
    <row r="11616" spans="23:23">
      <c r="W11616" s="503"/>
    </row>
    <row r="11617" spans="23:23">
      <c r="W11617" s="503"/>
    </row>
    <row r="11618" spans="23:23">
      <c r="W11618" s="503"/>
    </row>
    <row r="11619" spans="23:23">
      <c r="W11619" s="503"/>
    </row>
    <row r="11620" spans="23:23">
      <c r="W11620" s="503"/>
    </row>
    <row r="11621" spans="23:23">
      <c r="W11621" s="503"/>
    </row>
    <row r="11622" spans="23:23">
      <c r="W11622" s="503"/>
    </row>
    <row r="11623" spans="23:23">
      <c r="W11623" s="503"/>
    </row>
    <row r="11624" spans="23:23">
      <c r="W11624" s="503"/>
    </row>
    <row r="11625" spans="23:23">
      <c r="W11625" s="503"/>
    </row>
    <row r="11626" spans="23:23">
      <c r="W11626" s="503"/>
    </row>
    <row r="11627" spans="23:23">
      <c r="W11627" s="503"/>
    </row>
    <row r="11628" spans="23:23">
      <c r="W11628" s="503"/>
    </row>
    <row r="11629" spans="23:23">
      <c r="W11629" s="503"/>
    </row>
    <row r="11630" spans="23:23">
      <c r="W11630" s="503"/>
    </row>
    <row r="11631" spans="23:23">
      <c r="W11631" s="503"/>
    </row>
    <row r="11632" spans="23:23">
      <c r="W11632" s="503"/>
    </row>
    <row r="11633" spans="23:23">
      <c r="W11633" s="503"/>
    </row>
    <row r="11634" spans="23:23">
      <c r="W11634" s="503"/>
    </row>
    <row r="11635" spans="23:23">
      <c r="W11635" s="503"/>
    </row>
    <row r="11636" spans="23:23">
      <c r="W11636" s="503"/>
    </row>
    <row r="11637" spans="23:23">
      <c r="W11637" s="503"/>
    </row>
    <row r="11638" spans="23:23">
      <c r="W11638" s="503"/>
    </row>
    <row r="11639" spans="23:23">
      <c r="W11639" s="503"/>
    </row>
    <row r="11640" spans="23:23">
      <c r="W11640" s="503"/>
    </row>
    <row r="11641" spans="23:23">
      <c r="W11641" s="503"/>
    </row>
    <row r="11642" spans="23:23">
      <c r="W11642" s="503"/>
    </row>
    <row r="11643" spans="23:23">
      <c r="W11643" s="503"/>
    </row>
    <row r="11644" spans="23:23">
      <c r="W11644" s="503"/>
    </row>
    <row r="11645" spans="23:23">
      <c r="W11645" s="503"/>
    </row>
    <row r="11646" spans="23:23">
      <c r="W11646" s="503"/>
    </row>
    <row r="11647" spans="23:23">
      <c r="W11647" s="503"/>
    </row>
    <row r="11648" spans="23:23">
      <c r="W11648" s="503"/>
    </row>
    <row r="11649" spans="23:23">
      <c r="W11649" s="503"/>
    </row>
    <row r="11650" spans="23:23">
      <c r="W11650" s="503"/>
    </row>
    <row r="11651" spans="23:23">
      <c r="W11651" s="503"/>
    </row>
    <row r="11652" spans="23:23">
      <c r="W11652" s="503"/>
    </row>
    <row r="11653" spans="23:23">
      <c r="W11653" s="503"/>
    </row>
    <row r="11654" spans="23:23">
      <c r="W11654" s="503"/>
    </row>
    <row r="11655" spans="23:23">
      <c r="W11655" s="503"/>
    </row>
    <row r="11656" spans="23:23">
      <c r="W11656" s="503"/>
    </row>
    <row r="11657" spans="23:23">
      <c r="W11657" s="503"/>
    </row>
    <row r="11658" spans="23:23">
      <c r="W11658" s="503"/>
    </row>
    <row r="11659" spans="23:23">
      <c r="W11659" s="503"/>
    </row>
    <row r="11660" spans="23:23">
      <c r="W11660" s="503"/>
    </row>
    <row r="11661" spans="23:23">
      <c r="W11661" s="503"/>
    </row>
    <row r="11662" spans="23:23">
      <c r="W11662" s="503"/>
    </row>
    <row r="11663" spans="23:23">
      <c r="W11663" s="503"/>
    </row>
    <row r="11664" spans="23:23">
      <c r="W11664" s="503"/>
    </row>
    <row r="11665" spans="23:23">
      <c r="W11665" s="503"/>
    </row>
    <row r="11666" spans="23:23">
      <c r="W11666" s="503"/>
    </row>
    <row r="11667" spans="23:23">
      <c r="W11667" s="503"/>
    </row>
    <row r="11668" spans="23:23">
      <c r="W11668" s="503"/>
    </row>
    <row r="11669" spans="23:23">
      <c r="W11669" s="503"/>
    </row>
    <row r="11670" spans="23:23">
      <c r="W11670" s="503"/>
    </row>
    <row r="11671" spans="23:23">
      <c r="W11671" s="503"/>
    </row>
    <row r="11672" spans="23:23">
      <c r="W11672" s="503"/>
    </row>
    <row r="11673" spans="23:23">
      <c r="W11673" s="503"/>
    </row>
    <row r="11674" spans="23:23">
      <c r="W11674" s="503"/>
    </row>
    <row r="11675" spans="23:23">
      <c r="W11675" s="503"/>
    </row>
    <row r="11676" spans="23:23">
      <c r="W11676" s="503"/>
    </row>
    <row r="11677" spans="23:23">
      <c r="W11677" s="503"/>
    </row>
    <row r="11678" spans="23:23">
      <c r="W11678" s="503"/>
    </row>
    <row r="11679" spans="23:23">
      <c r="W11679" s="503"/>
    </row>
    <row r="11680" spans="23:23">
      <c r="W11680" s="503"/>
    </row>
    <row r="11681" spans="23:23">
      <c r="W11681" s="503"/>
    </row>
    <row r="11682" spans="23:23">
      <c r="W11682" s="503"/>
    </row>
    <row r="11683" spans="23:23">
      <c r="W11683" s="503"/>
    </row>
    <row r="11684" spans="23:23">
      <c r="W11684" s="503"/>
    </row>
    <row r="11685" spans="23:23">
      <c r="W11685" s="503"/>
    </row>
    <row r="11686" spans="23:23">
      <c r="W11686" s="503"/>
    </row>
    <row r="11687" spans="23:23">
      <c r="W11687" s="503"/>
    </row>
    <row r="11688" spans="23:23">
      <c r="W11688" s="503"/>
    </row>
    <row r="11689" spans="23:23">
      <c r="W11689" s="503"/>
    </row>
    <row r="11690" spans="23:23">
      <c r="W11690" s="503"/>
    </row>
    <row r="11691" spans="23:23">
      <c r="W11691" s="503"/>
    </row>
    <row r="11692" spans="23:23">
      <c r="W11692" s="503"/>
    </row>
    <row r="11693" spans="23:23">
      <c r="W11693" s="503"/>
    </row>
    <row r="11694" spans="23:23">
      <c r="W11694" s="503"/>
    </row>
    <row r="11695" spans="23:23">
      <c r="W11695" s="503"/>
    </row>
    <row r="11696" spans="23:23">
      <c r="W11696" s="503"/>
    </row>
    <row r="11697" spans="23:23">
      <c r="W11697" s="503"/>
    </row>
    <row r="11698" spans="23:23">
      <c r="W11698" s="503"/>
    </row>
    <row r="11699" spans="23:23">
      <c r="W11699" s="503"/>
    </row>
    <row r="11700" spans="23:23">
      <c r="W11700" s="503"/>
    </row>
    <row r="11701" spans="23:23">
      <c r="W11701" s="503"/>
    </row>
    <row r="11702" spans="23:23">
      <c r="W11702" s="503"/>
    </row>
    <row r="11703" spans="23:23">
      <c r="W11703" s="503"/>
    </row>
    <row r="11704" spans="23:23">
      <c r="W11704" s="503"/>
    </row>
    <row r="11705" spans="23:23">
      <c r="W11705" s="503"/>
    </row>
    <row r="11706" spans="23:23">
      <c r="W11706" s="503"/>
    </row>
    <row r="11707" spans="23:23">
      <c r="W11707" s="503"/>
    </row>
    <row r="11708" spans="23:23">
      <c r="W11708" s="503"/>
    </row>
    <row r="11709" spans="23:23">
      <c r="W11709" s="503"/>
    </row>
    <row r="11710" spans="23:23">
      <c r="W11710" s="503"/>
    </row>
    <row r="11711" spans="23:23">
      <c r="W11711" s="503"/>
    </row>
    <row r="11712" spans="23:23">
      <c r="W11712" s="503"/>
    </row>
    <row r="11713" spans="23:23">
      <c r="W11713" s="503"/>
    </row>
    <row r="11714" spans="23:23">
      <c r="W11714" s="503"/>
    </row>
    <row r="11715" spans="23:23">
      <c r="W11715" s="503"/>
    </row>
    <row r="11716" spans="23:23">
      <c r="W11716" s="503"/>
    </row>
    <row r="11717" spans="23:23">
      <c r="W11717" s="503"/>
    </row>
    <row r="11718" spans="23:23">
      <c r="W11718" s="503"/>
    </row>
    <row r="11719" spans="23:23">
      <c r="W11719" s="503"/>
    </row>
    <row r="11720" spans="23:23">
      <c r="W11720" s="503"/>
    </row>
    <row r="11721" spans="23:23">
      <c r="W11721" s="503"/>
    </row>
    <row r="11722" spans="23:23">
      <c r="W11722" s="503"/>
    </row>
    <row r="11723" spans="23:23">
      <c r="W11723" s="503"/>
    </row>
    <row r="11724" spans="23:23">
      <c r="W11724" s="503"/>
    </row>
    <row r="11725" spans="23:23">
      <c r="W11725" s="503"/>
    </row>
    <row r="11726" spans="23:23">
      <c r="W11726" s="503"/>
    </row>
    <row r="11727" spans="23:23">
      <c r="W11727" s="503"/>
    </row>
    <row r="11728" spans="23:23">
      <c r="W11728" s="503"/>
    </row>
    <row r="11729" spans="23:23">
      <c r="W11729" s="503"/>
    </row>
    <row r="11730" spans="23:23">
      <c r="W11730" s="503"/>
    </row>
    <row r="11731" spans="23:23">
      <c r="W11731" s="503"/>
    </row>
    <row r="11732" spans="23:23">
      <c r="W11732" s="503"/>
    </row>
    <row r="11733" spans="23:23">
      <c r="W11733" s="503"/>
    </row>
    <row r="11734" spans="23:23">
      <c r="W11734" s="503"/>
    </row>
    <row r="11735" spans="23:23">
      <c r="W11735" s="503"/>
    </row>
    <row r="11736" spans="23:23">
      <c r="W11736" s="503"/>
    </row>
    <row r="11737" spans="23:23">
      <c r="W11737" s="503"/>
    </row>
    <row r="11738" spans="23:23">
      <c r="W11738" s="503"/>
    </row>
    <row r="11739" spans="23:23">
      <c r="W11739" s="503"/>
    </row>
    <row r="11740" spans="23:23">
      <c r="W11740" s="503"/>
    </row>
    <row r="11741" spans="23:23">
      <c r="W11741" s="503"/>
    </row>
    <row r="11742" spans="23:23">
      <c r="W11742" s="503"/>
    </row>
    <row r="11743" spans="23:23">
      <c r="W11743" s="503"/>
    </row>
    <row r="11744" spans="23:23">
      <c r="W11744" s="503"/>
    </row>
    <row r="11745" spans="23:23">
      <c r="W11745" s="503"/>
    </row>
    <row r="11746" spans="23:23">
      <c r="W11746" s="503"/>
    </row>
    <row r="11747" spans="23:23">
      <c r="W11747" s="503"/>
    </row>
    <row r="11748" spans="23:23">
      <c r="W11748" s="503"/>
    </row>
    <row r="11749" spans="23:23">
      <c r="W11749" s="503"/>
    </row>
    <row r="11750" spans="23:23">
      <c r="W11750" s="503"/>
    </row>
    <row r="11751" spans="23:23">
      <c r="W11751" s="503"/>
    </row>
    <row r="11752" spans="23:23">
      <c r="W11752" s="503"/>
    </row>
    <row r="11753" spans="23:23">
      <c r="W11753" s="503"/>
    </row>
    <row r="11754" spans="23:23">
      <c r="W11754" s="503"/>
    </row>
    <row r="11755" spans="23:23">
      <c r="W11755" s="503"/>
    </row>
    <row r="11756" spans="23:23">
      <c r="W11756" s="503"/>
    </row>
    <row r="11757" spans="23:23">
      <c r="W11757" s="503"/>
    </row>
    <row r="11758" spans="23:23">
      <c r="W11758" s="503"/>
    </row>
    <row r="11759" spans="23:23">
      <c r="W11759" s="503"/>
    </row>
    <row r="11760" spans="23:23">
      <c r="W11760" s="503"/>
    </row>
    <row r="11761" spans="23:23">
      <c r="W11761" s="503"/>
    </row>
    <row r="11762" spans="23:23">
      <c r="W11762" s="503"/>
    </row>
    <row r="11763" spans="23:23">
      <c r="W11763" s="503"/>
    </row>
    <row r="11764" spans="23:23">
      <c r="W11764" s="503"/>
    </row>
    <row r="11765" spans="23:23">
      <c r="W11765" s="503"/>
    </row>
    <row r="11766" spans="23:23">
      <c r="W11766" s="503"/>
    </row>
    <row r="11767" spans="23:23">
      <c r="W11767" s="503"/>
    </row>
    <row r="11768" spans="23:23">
      <c r="W11768" s="503"/>
    </row>
    <row r="11769" spans="23:23">
      <c r="W11769" s="503"/>
    </row>
    <row r="11770" spans="23:23">
      <c r="W11770" s="503"/>
    </row>
    <row r="11771" spans="23:23">
      <c r="W11771" s="503"/>
    </row>
    <row r="11772" spans="23:23">
      <c r="W11772" s="503"/>
    </row>
    <row r="11773" spans="23:23">
      <c r="W11773" s="503"/>
    </row>
    <row r="11774" spans="23:23">
      <c r="W11774" s="503"/>
    </row>
    <row r="11775" spans="23:23">
      <c r="W11775" s="503"/>
    </row>
    <row r="11776" spans="23:23">
      <c r="W11776" s="503"/>
    </row>
    <row r="11777" spans="23:23">
      <c r="W11777" s="503"/>
    </row>
    <row r="11778" spans="23:23">
      <c r="W11778" s="503"/>
    </row>
    <row r="11779" spans="23:23">
      <c r="W11779" s="503"/>
    </row>
    <row r="11780" spans="23:23">
      <c r="W11780" s="503"/>
    </row>
    <row r="11781" spans="23:23">
      <c r="W11781" s="503"/>
    </row>
    <row r="11782" spans="23:23">
      <c r="W11782" s="503"/>
    </row>
    <row r="11783" spans="23:23">
      <c r="W11783" s="503"/>
    </row>
    <row r="11784" spans="23:23">
      <c r="W11784" s="503"/>
    </row>
    <row r="11785" spans="23:23">
      <c r="W11785" s="503"/>
    </row>
    <row r="11786" spans="23:23">
      <c r="W11786" s="503"/>
    </row>
    <row r="11787" spans="23:23">
      <c r="W11787" s="503"/>
    </row>
    <row r="11788" spans="23:23">
      <c r="W11788" s="503"/>
    </row>
    <row r="11789" spans="23:23">
      <c r="W11789" s="503"/>
    </row>
    <row r="11790" spans="23:23">
      <c r="W11790" s="503"/>
    </row>
    <row r="11791" spans="23:23">
      <c r="W11791" s="503"/>
    </row>
    <row r="11792" spans="23:23">
      <c r="W11792" s="503"/>
    </row>
    <row r="11793" spans="23:23">
      <c r="W11793" s="503"/>
    </row>
    <row r="11794" spans="23:23">
      <c r="W11794" s="503"/>
    </row>
    <row r="11795" spans="23:23">
      <c r="W11795" s="503"/>
    </row>
    <row r="11796" spans="23:23">
      <c r="W11796" s="503"/>
    </row>
    <row r="11797" spans="23:23">
      <c r="W11797" s="503"/>
    </row>
    <row r="11798" spans="23:23">
      <c r="W11798" s="503"/>
    </row>
    <row r="11799" spans="23:23">
      <c r="W11799" s="503"/>
    </row>
    <row r="11800" spans="23:23">
      <c r="W11800" s="503"/>
    </row>
    <row r="11801" spans="23:23">
      <c r="W11801" s="503"/>
    </row>
    <row r="11802" spans="23:23">
      <c r="W11802" s="503"/>
    </row>
    <row r="11803" spans="23:23">
      <c r="W11803" s="503"/>
    </row>
    <row r="11804" spans="23:23">
      <c r="W11804" s="503"/>
    </row>
    <row r="11805" spans="23:23">
      <c r="W11805" s="503"/>
    </row>
    <row r="11806" spans="23:23">
      <c r="W11806" s="503"/>
    </row>
    <row r="11807" spans="23:23">
      <c r="W11807" s="503"/>
    </row>
    <row r="11808" spans="23:23">
      <c r="W11808" s="503"/>
    </row>
    <row r="11809" spans="23:23">
      <c r="W11809" s="503"/>
    </row>
    <row r="11810" spans="23:23">
      <c r="W11810" s="503"/>
    </row>
    <row r="11811" spans="23:23">
      <c r="W11811" s="503"/>
    </row>
    <row r="11812" spans="23:23">
      <c r="W11812" s="503"/>
    </row>
    <row r="11813" spans="23:23">
      <c r="W11813" s="503"/>
    </row>
    <row r="11814" spans="23:23">
      <c r="W11814" s="503"/>
    </row>
    <row r="11815" spans="23:23">
      <c r="W11815" s="503"/>
    </row>
    <row r="11816" spans="23:23">
      <c r="W11816" s="503"/>
    </row>
    <row r="11817" spans="23:23">
      <c r="W11817" s="503"/>
    </row>
    <row r="11818" spans="23:23">
      <c r="W11818" s="503"/>
    </row>
    <row r="11819" spans="23:23">
      <c r="W11819" s="503"/>
    </row>
    <row r="11820" spans="23:23">
      <c r="W11820" s="503"/>
    </row>
    <row r="11821" spans="23:23">
      <c r="W11821" s="503"/>
    </row>
    <row r="11822" spans="23:23">
      <c r="W11822" s="503"/>
    </row>
    <row r="11823" spans="23:23">
      <c r="W11823" s="503"/>
    </row>
    <row r="11824" spans="23:23">
      <c r="W11824" s="503"/>
    </row>
    <row r="11825" spans="23:23">
      <c r="W11825" s="503"/>
    </row>
    <row r="11826" spans="23:23">
      <c r="W11826" s="503"/>
    </row>
    <row r="11827" spans="23:23">
      <c r="W11827" s="503"/>
    </row>
    <row r="11828" spans="23:23">
      <c r="W11828" s="503"/>
    </row>
    <row r="11829" spans="23:23">
      <c r="W11829" s="503"/>
    </row>
    <row r="11830" spans="23:23">
      <c r="W11830" s="503"/>
    </row>
    <row r="11831" spans="23:23">
      <c r="W11831" s="503"/>
    </row>
    <row r="11832" spans="23:23">
      <c r="W11832" s="503"/>
    </row>
    <row r="11833" spans="23:23">
      <c r="W11833" s="503"/>
    </row>
    <row r="11834" spans="23:23">
      <c r="W11834" s="503"/>
    </row>
    <row r="11835" spans="23:23">
      <c r="W11835" s="503"/>
    </row>
    <row r="11836" spans="23:23">
      <c r="W11836" s="503"/>
    </row>
    <row r="11837" spans="23:23">
      <c r="W11837" s="503"/>
    </row>
    <row r="11838" spans="23:23">
      <c r="W11838" s="503"/>
    </row>
    <row r="11839" spans="23:23">
      <c r="W11839" s="503"/>
    </row>
    <row r="11840" spans="23:23">
      <c r="W11840" s="503"/>
    </row>
    <row r="11841" spans="23:23">
      <c r="W11841" s="503"/>
    </row>
    <row r="11842" spans="23:23">
      <c r="W11842" s="503"/>
    </row>
    <row r="11843" spans="23:23">
      <c r="W11843" s="503"/>
    </row>
    <row r="11844" spans="23:23">
      <c r="W11844" s="503"/>
    </row>
    <row r="11845" spans="23:23">
      <c r="W11845" s="503"/>
    </row>
    <row r="11846" spans="23:23">
      <c r="W11846" s="503"/>
    </row>
    <row r="11847" spans="23:23">
      <c r="W11847" s="503"/>
    </row>
    <row r="11848" spans="23:23">
      <c r="W11848" s="503"/>
    </row>
    <row r="11849" spans="23:23">
      <c r="W11849" s="503"/>
    </row>
    <row r="11850" spans="23:23">
      <c r="W11850" s="503"/>
    </row>
    <row r="11851" spans="23:23">
      <c r="W11851" s="503"/>
    </row>
    <row r="11852" spans="23:23">
      <c r="W11852" s="503"/>
    </row>
    <row r="11853" spans="23:23">
      <c r="W11853" s="503"/>
    </row>
    <row r="11854" spans="23:23">
      <c r="W11854" s="503"/>
    </row>
    <row r="11855" spans="23:23">
      <c r="W11855" s="503"/>
    </row>
    <row r="11856" spans="23:23">
      <c r="W11856" s="503"/>
    </row>
    <row r="11857" spans="23:23">
      <c r="W11857" s="503"/>
    </row>
    <row r="11858" spans="23:23">
      <c r="W11858" s="503"/>
    </row>
    <row r="11859" spans="23:23">
      <c r="W11859" s="503"/>
    </row>
    <row r="11860" spans="23:23">
      <c r="W11860" s="503"/>
    </row>
    <row r="11861" spans="23:23">
      <c r="W11861" s="503"/>
    </row>
    <row r="11862" spans="23:23">
      <c r="W11862" s="503"/>
    </row>
    <row r="11863" spans="23:23">
      <c r="W11863" s="503"/>
    </row>
    <row r="11864" spans="23:23">
      <c r="W11864" s="503"/>
    </row>
    <row r="11865" spans="23:23">
      <c r="W11865" s="503"/>
    </row>
    <row r="11866" spans="23:23">
      <c r="W11866" s="503"/>
    </row>
    <row r="11867" spans="23:23">
      <c r="W11867" s="503"/>
    </row>
    <row r="11868" spans="23:23">
      <c r="W11868" s="503"/>
    </row>
    <row r="11869" spans="23:23">
      <c r="W11869" s="503"/>
    </row>
    <row r="11870" spans="23:23">
      <c r="W11870" s="503"/>
    </row>
    <row r="11871" spans="23:23">
      <c r="W11871" s="503"/>
    </row>
    <row r="11872" spans="23:23">
      <c r="W11872" s="503"/>
    </row>
    <row r="11873" spans="23:23">
      <c r="W11873" s="503"/>
    </row>
    <row r="11874" spans="23:23">
      <c r="W11874" s="503"/>
    </row>
    <row r="11875" spans="23:23">
      <c r="W11875" s="503"/>
    </row>
    <row r="11876" spans="23:23">
      <c r="W11876" s="503"/>
    </row>
    <row r="11877" spans="23:23">
      <c r="W11877" s="503"/>
    </row>
    <row r="11878" spans="23:23">
      <c r="W11878" s="503"/>
    </row>
    <row r="11879" spans="23:23">
      <c r="W11879" s="503"/>
    </row>
    <row r="11880" spans="23:23">
      <c r="W11880" s="503"/>
    </row>
    <row r="11881" spans="23:23">
      <c r="W11881" s="503"/>
    </row>
    <row r="11882" spans="23:23">
      <c r="W11882" s="503"/>
    </row>
    <row r="11883" spans="23:23">
      <c r="W11883" s="503"/>
    </row>
    <row r="11884" spans="23:23">
      <c r="W11884" s="503"/>
    </row>
    <row r="11885" spans="23:23">
      <c r="W11885" s="503"/>
    </row>
    <row r="11886" spans="23:23">
      <c r="W11886" s="503"/>
    </row>
    <row r="11887" spans="23:23">
      <c r="W11887" s="503"/>
    </row>
    <row r="11888" spans="23:23">
      <c r="W11888" s="503"/>
    </row>
    <row r="11889" spans="23:23">
      <c r="W11889" s="503"/>
    </row>
    <row r="11890" spans="23:23">
      <c r="W11890" s="503"/>
    </row>
    <row r="11891" spans="23:23">
      <c r="W11891" s="503"/>
    </row>
    <row r="11892" spans="23:23">
      <c r="W11892" s="503"/>
    </row>
    <row r="11893" spans="23:23">
      <c r="W11893" s="503"/>
    </row>
    <row r="11894" spans="23:23">
      <c r="W11894" s="503"/>
    </row>
    <row r="11895" spans="23:23">
      <c r="W11895" s="503"/>
    </row>
    <row r="11896" spans="23:23">
      <c r="W11896" s="503"/>
    </row>
    <row r="11897" spans="23:23">
      <c r="W11897" s="503"/>
    </row>
    <row r="11898" spans="23:23">
      <c r="W11898" s="503"/>
    </row>
    <row r="11899" spans="23:23">
      <c r="W11899" s="503"/>
    </row>
    <row r="11900" spans="23:23">
      <c r="W11900" s="503"/>
    </row>
    <row r="11901" spans="23:23">
      <c r="W11901" s="503"/>
    </row>
    <row r="11902" spans="23:23">
      <c r="W11902" s="503"/>
    </row>
    <row r="11903" spans="23:23">
      <c r="W11903" s="503"/>
    </row>
    <row r="11904" spans="23:23">
      <c r="W11904" s="503"/>
    </row>
    <row r="11905" spans="23:23">
      <c r="W11905" s="503"/>
    </row>
    <row r="11906" spans="23:23">
      <c r="W11906" s="503"/>
    </row>
    <row r="11907" spans="23:23">
      <c r="W11907" s="503"/>
    </row>
    <row r="11908" spans="23:23">
      <c r="W11908" s="503"/>
    </row>
    <row r="11909" spans="23:23">
      <c r="W11909" s="503"/>
    </row>
    <row r="11910" spans="23:23">
      <c r="W11910" s="503"/>
    </row>
    <row r="11911" spans="23:23">
      <c r="W11911" s="503"/>
    </row>
    <row r="11912" spans="23:23">
      <c r="W11912" s="503"/>
    </row>
    <row r="11913" spans="23:23">
      <c r="W11913" s="503"/>
    </row>
    <row r="11914" spans="23:23">
      <c r="W11914" s="503"/>
    </row>
    <row r="11915" spans="23:23">
      <c r="W11915" s="503"/>
    </row>
    <row r="11916" spans="23:23">
      <c r="W11916" s="503"/>
    </row>
    <row r="11917" spans="23:23">
      <c r="W11917" s="503"/>
    </row>
    <row r="11918" spans="23:23">
      <c r="W11918" s="503"/>
    </row>
    <row r="11919" spans="23:23">
      <c r="W11919" s="503"/>
    </row>
    <row r="11920" spans="23:23">
      <c r="W11920" s="503"/>
    </row>
    <row r="11921" spans="23:23">
      <c r="W11921" s="503"/>
    </row>
    <row r="11922" spans="23:23">
      <c r="W11922" s="503"/>
    </row>
    <row r="11923" spans="23:23">
      <c r="W11923" s="503"/>
    </row>
    <row r="11924" spans="23:23">
      <c r="W11924" s="503"/>
    </row>
    <row r="11925" spans="23:23">
      <c r="W11925" s="503"/>
    </row>
    <row r="11926" spans="23:23">
      <c r="W11926" s="503"/>
    </row>
    <row r="11927" spans="23:23">
      <c r="W11927" s="503"/>
    </row>
    <row r="11928" spans="23:23">
      <c r="W11928" s="503"/>
    </row>
    <row r="11929" spans="23:23">
      <c r="W11929" s="503"/>
    </row>
    <row r="11930" spans="23:23">
      <c r="W11930" s="503"/>
    </row>
    <row r="11931" spans="23:23">
      <c r="W11931" s="503"/>
    </row>
    <row r="11932" spans="23:23">
      <c r="W11932" s="503"/>
    </row>
    <row r="11933" spans="23:23">
      <c r="W11933" s="503"/>
    </row>
    <row r="11934" spans="23:23">
      <c r="W11934" s="503"/>
    </row>
    <row r="11935" spans="23:23">
      <c r="W11935" s="503"/>
    </row>
    <row r="11936" spans="23:23">
      <c r="W11936" s="503"/>
    </row>
    <row r="11937" spans="23:23">
      <c r="W11937" s="503"/>
    </row>
    <row r="11938" spans="23:23">
      <c r="W11938" s="503"/>
    </row>
    <row r="11939" spans="23:23">
      <c r="W11939" s="503"/>
    </row>
    <row r="11940" spans="23:23">
      <c r="W11940" s="503"/>
    </row>
    <row r="11941" spans="23:23">
      <c r="W11941" s="503"/>
    </row>
    <row r="11942" spans="23:23">
      <c r="W11942" s="503"/>
    </row>
    <row r="11943" spans="23:23">
      <c r="W11943" s="503"/>
    </row>
    <row r="11944" spans="23:23">
      <c r="W11944" s="503"/>
    </row>
    <row r="11945" spans="23:23">
      <c r="W11945" s="503"/>
    </row>
    <row r="11946" spans="23:23">
      <c r="W11946" s="503"/>
    </row>
    <row r="11947" spans="23:23">
      <c r="W11947" s="503"/>
    </row>
    <row r="11948" spans="23:23">
      <c r="W11948" s="503"/>
    </row>
    <row r="11949" spans="23:23">
      <c r="W11949" s="503"/>
    </row>
    <row r="11950" spans="23:23">
      <c r="W11950" s="503"/>
    </row>
    <row r="11951" spans="23:23">
      <c r="W11951" s="503"/>
    </row>
    <row r="11952" spans="23:23">
      <c r="W11952" s="503"/>
    </row>
    <row r="11953" spans="23:23">
      <c r="W11953" s="503"/>
    </row>
    <row r="11954" spans="23:23">
      <c r="W11954" s="503"/>
    </row>
    <row r="11955" spans="23:23">
      <c r="W11955" s="503"/>
    </row>
    <row r="11956" spans="23:23">
      <c r="W11956" s="503"/>
    </row>
    <row r="11957" spans="23:23">
      <c r="W11957" s="503"/>
    </row>
    <row r="11958" spans="23:23">
      <c r="W11958" s="503"/>
    </row>
    <row r="11959" spans="23:23">
      <c r="W11959" s="503"/>
    </row>
    <row r="11960" spans="23:23">
      <c r="W11960" s="503"/>
    </row>
    <row r="11961" spans="23:23">
      <c r="W11961" s="503"/>
    </row>
    <row r="11962" spans="23:23">
      <c r="W11962" s="503"/>
    </row>
    <row r="11963" spans="23:23">
      <c r="W11963" s="503"/>
    </row>
    <row r="11964" spans="23:23">
      <c r="W11964" s="503"/>
    </row>
    <row r="11965" spans="23:23">
      <c r="W11965" s="503"/>
    </row>
    <row r="11966" spans="23:23">
      <c r="W11966" s="503"/>
    </row>
    <row r="11967" spans="23:23">
      <c r="W11967" s="503"/>
    </row>
    <row r="11968" spans="23:23">
      <c r="W11968" s="503"/>
    </row>
    <row r="11969" spans="23:23">
      <c r="W11969" s="503"/>
    </row>
    <row r="11970" spans="23:23">
      <c r="W11970" s="503"/>
    </row>
    <row r="11971" spans="23:23">
      <c r="W11971" s="503"/>
    </row>
    <row r="11972" spans="23:23">
      <c r="W11972" s="503"/>
    </row>
    <row r="11973" spans="23:23">
      <c r="W11973" s="503"/>
    </row>
    <row r="11974" spans="23:23">
      <c r="W11974" s="503"/>
    </row>
    <row r="11975" spans="23:23">
      <c r="W11975" s="503"/>
    </row>
    <row r="11976" spans="23:23">
      <c r="W11976" s="503"/>
    </row>
    <row r="11977" spans="23:23">
      <c r="W11977" s="503"/>
    </row>
    <row r="11978" spans="23:23">
      <c r="W11978" s="503"/>
    </row>
    <row r="11979" spans="23:23">
      <c r="W11979" s="503"/>
    </row>
    <row r="11980" spans="23:23">
      <c r="W11980" s="503"/>
    </row>
    <row r="11981" spans="23:23">
      <c r="W11981" s="503"/>
    </row>
    <row r="11982" spans="23:23">
      <c r="W11982" s="503"/>
    </row>
    <row r="11983" spans="23:23">
      <c r="W11983" s="503"/>
    </row>
    <row r="11984" spans="23:23">
      <c r="W11984" s="503"/>
    </row>
    <row r="11985" spans="23:23">
      <c r="W11985" s="503"/>
    </row>
    <row r="11986" spans="23:23">
      <c r="W11986" s="503"/>
    </row>
    <row r="11987" spans="23:23">
      <c r="W11987" s="503"/>
    </row>
    <row r="11988" spans="23:23">
      <c r="W11988" s="503"/>
    </row>
    <row r="11989" spans="23:23">
      <c r="W11989" s="503"/>
    </row>
    <row r="11990" spans="23:23">
      <c r="W11990" s="503"/>
    </row>
    <row r="11991" spans="23:23">
      <c r="W11991" s="503"/>
    </row>
    <row r="11992" spans="23:23">
      <c r="W11992" s="503"/>
    </row>
    <row r="11993" spans="23:23">
      <c r="W11993" s="503"/>
    </row>
    <row r="11994" spans="23:23">
      <c r="W11994" s="503"/>
    </row>
    <row r="11995" spans="23:23">
      <c r="W11995" s="503"/>
    </row>
    <row r="11996" spans="23:23">
      <c r="W11996" s="503"/>
    </row>
    <row r="11997" spans="23:23">
      <c r="W11997" s="503"/>
    </row>
    <row r="11998" spans="23:23">
      <c r="W11998" s="503"/>
    </row>
    <row r="11999" spans="23:23">
      <c r="W11999" s="503"/>
    </row>
    <row r="12000" spans="23:23">
      <c r="W12000" s="503"/>
    </row>
    <row r="12001" spans="23:23">
      <c r="W12001" s="503"/>
    </row>
    <row r="12002" spans="23:23">
      <c r="W12002" s="503"/>
    </row>
    <row r="12003" spans="23:23">
      <c r="W12003" s="503"/>
    </row>
    <row r="12004" spans="23:23">
      <c r="W12004" s="503"/>
    </row>
    <row r="12005" spans="23:23">
      <c r="W12005" s="503"/>
    </row>
    <row r="12006" spans="23:23">
      <c r="W12006" s="503"/>
    </row>
    <row r="12007" spans="23:23">
      <c r="W12007" s="503"/>
    </row>
    <row r="12008" spans="23:23">
      <c r="W12008" s="503"/>
    </row>
    <row r="12009" spans="23:23">
      <c r="W12009" s="503"/>
    </row>
    <row r="12010" spans="23:23">
      <c r="W12010" s="503"/>
    </row>
    <row r="12011" spans="23:23">
      <c r="W12011" s="503"/>
    </row>
    <row r="12012" spans="23:23">
      <c r="W12012" s="503"/>
    </row>
    <row r="12013" spans="23:23">
      <c r="W12013" s="503"/>
    </row>
    <row r="12014" spans="23:23">
      <c r="W12014" s="503"/>
    </row>
    <row r="12015" spans="23:23">
      <c r="W12015" s="503"/>
    </row>
    <row r="12016" spans="23:23">
      <c r="W12016" s="503"/>
    </row>
    <row r="12017" spans="23:23">
      <c r="W12017" s="503"/>
    </row>
    <row r="12018" spans="23:23">
      <c r="W12018" s="503"/>
    </row>
    <row r="12019" spans="23:23">
      <c r="W12019" s="503"/>
    </row>
    <row r="12020" spans="23:23">
      <c r="W12020" s="503"/>
    </row>
    <row r="12021" spans="23:23">
      <c r="W12021" s="503"/>
    </row>
    <row r="12022" spans="23:23">
      <c r="W12022" s="503"/>
    </row>
    <row r="12023" spans="23:23">
      <c r="W12023" s="503"/>
    </row>
    <row r="12024" spans="23:23">
      <c r="W12024" s="503"/>
    </row>
    <row r="12025" spans="23:23">
      <c r="W12025" s="503"/>
    </row>
    <row r="12026" spans="23:23">
      <c r="W12026" s="503"/>
    </row>
    <row r="12027" spans="23:23">
      <c r="W12027" s="503"/>
    </row>
    <row r="12028" spans="23:23">
      <c r="W12028" s="503"/>
    </row>
    <row r="12029" spans="23:23">
      <c r="W12029" s="503"/>
    </row>
    <row r="12030" spans="23:23">
      <c r="W12030" s="503"/>
    </row>
    <row r="12031" spans="23:23">
      <c r="W12031" s="503"/>
    </row>
    <row r="12032" spans="23:23">
      <c r="W12032" s="503"/>
    </row>
    <row r="12033" spans="23:23">
      <c r="W12033" s="503"/>
    </row>
    <row r="12034" spans="23:23">
      <c r="W12034" s="503"/>
    </row>
    <row r="12035" spans="23:23">
      <c r="W12035" s="503"/>
    </row>
    <row r="12036" spans="23:23">
      <c r="W12036" s="503"/>
    </row>
    <row r="12037" spans="23:23">
      <c r="W12037" s="503"/>
    </row>
    <row r="12038" spans="23:23">
      <c r="W12038" s="503"/>
    </row>
    <row r="12039" spans="23:23">
      <c r="W12039" s="503"/>
    </row>
    <row r="12040" spans="23:23">
      <c r="W12040" s="503"/>
    </row>
    <row r="12041" spans="23:23">
      <c r="W12041" s="503"/>
    </row>
    <row r="12042" spans="23:23">
      <c r="W12042" s="503"/>
    </row>
    <row r="12043" spans="23:23">
      <c r="W12043" s="503"/>
    </row>
    <row r="12044" spans="23:23">
      <c r="W12044" s="503"/>
    </row>
    <row r="12045" spans="23:23">
      <c r="W12045" s="503"/>
    </row>
    <row r="12046" spans="23:23">
      <c r="W12046" s="503"/>
    </row>
    <row r="12047" spans="23:23">
      <c r="W12047" s="503"/>
    </row>
    <row r="12048" spans="23:23">
      <c r="W12048" s="503"/>
    </row>
    <row r="12049" spans="23:23">
      <c r="W12049" s="503"/>
    </row>
    <row r="12050" spans="23:23">
      <c r="W12050" s="503"/>
    </row>
    <row r="12051" spans="23:23">
      <c r="W12051" s="503"/>
    </row>
    <row r="12052" spans="23:23">
      <c r="W12052" s="503"/>
    </row>
    <row r="12053" spans="23:23">
      <c r="W12053" s="503"/>
    </row>
    <row r="12054" spans="23:23">
      <c r="W12054" s="503"/>
    </row>
    <row r="12055" spans="23:23">
      <c r="W12055" s="503"/>
    </row>
    <row r="12056" spans="23:23">
      <c r="W12056" s="503"/>
    </row>
    <row r="12057" spans="23:23">
      <c r="W12057" s="503"/>
    </row>
    <row r="12058" spans="23:23">
      <c r="W12058" s="503"/>
    </row>
    <row r="12059" spans="23:23">
      <c r="W12059" s="503"/>
    </row>
    <row r="12060" spans="23:23">
      <c r="W12060" s="503"/>
    </row>
    <row r="12061" spans="23:23">
      <c r="W12061" s="503"/>
    </row>
    <row r="12062" spans="23:23">
      <c r="W12062" s="503"/>
    </row>
    <row r="12063" spans="23:23">
      <c r="W12063" s="503"/>
    </row>
    <row r="12064" spans="23:23">
      <c r="W12064" s="503"/>
    </row>
    <row r="12065" spans="23:23">
      <c r="W12065" s="503"/>
    </row>
    <row r="12066" spans="23:23">
      <c r="W12066" s="503"/>
    </row>
    <row r="12067" spans="23:23">
      <c r="W12067" s="503"/>
    </row>
    <row r="12068" spans="23:23">
      <c r="W12068" s="503"/>
    </row>
    <row r="12069" spans="23:23">
      <c r="W12069" s="503"/>
    </row>
    <row r="12070" spans="23:23">
      <c r="W12070" s="503"/>
    </row>
    <row r="12071" spans="23:23">
      <c r="W12071" s="503"/>
    </row>
    <row r="12072" spans="23:23">
      <c r="W12072" s="503"/>
    </row>
    <row r="12073" spans="23:23">
      <c r="W12073" s="503"/>
    </row>
    <row r="12074" spans="23:23">
      <c r="W12074" s="503"/>
    </row>
    <row r="12075" spans="23:23">
      <c r="W12075" s="503"/>
    </row>
    <row r="12076" spans="23:23">
      <c r="W12076" s="503"/>
    </row>
    <row r="12077" spans="23:23">
      <c r="W12077" s="503"/>
    </row>
    <row r="12078" spans="23:23">
      <c r="W12078" s="503"/>
    </row>
    <row r="12079" spans="23:23">
      <c r="W12079" s="503"/>
    </row>
    <row r="12080" spans="23:23">
      <c r="W12080" s="503"/>
    </row>
    <row r="12081" spans="23:23">
      <c r="W12081" s="503"/>
    </row>
    <row r="12082" spans="23:23">
      <c r="W12082" s="503"/>
    </row>
    <row r="12083" spans="23:23">
      <c r="W12083" s="503"/>
    </row>
    <row r="12084" spans="23:23">
      <c r="W12084" s="503"/>
    </row>
    <row r="12085" spans="23:23">
      <c r="W12085" s="503"/>
    </row>
    <row r="12086" spans="23:23">
      <c r="W12086" s="503"/>
    </row>
    <row r="12087" spans="23:23">
      <c r="W12087" s="503"/>
    </row>
    <row r="12088" spans="23:23">
      <c r="W12088" s="503"/>
    </row>
    <row r="12089" spans="23:23">
      <c r="W12089" s="503"/>
    </row>
    <row r="12090" spans="23:23">
      <c r="W12090" s="503"/>
    </row>
    <row r="12091" spans="23:23">
      <c r="W12091" s="503"/>
    </row>
    <row r="12092" spans="23:23">
      <c r="W12092" s="503"/>
    </row>
    <row r="12093" spans="23:23">
      <c r="W12093" s="503"/>
    </row>
    <row r="12094" spans="23:23">
      <c r="W12094" s="503"/>
    </row>
    <row r="12095" spans="23:23">
      <c r="W12095" s="503"/>
    </row>
    <row r="12096" spans="23:23">
      <c r="W12096" s="503"/>
    </row>
    <row r="12097" spans="23:23">
      <c r="W12097" s="503"/>
    </row>
    <row r="12098" spans="23:23">
      <c r="W12098" s="503"/>
    </row>
    <row r="12099" spans="23:23">
      <c r="W12099" s="503"/>
    </row>
    <row r="12100" spans="23:23">
      <c r="W12100" s="503"/>
    </row>
    <row r="12101" spans="23:23">
      <c r="W12101" s="503"/>
    </row>
    <row r="12102" spans="23:23">
      <c r="W12102" s="503"/>
    </row>
    <row r="12103" spans="23:23">
      <c r="W12103" s="503"/>
    </row>
    <row r="12104" spans="23:23">
      <c r="W12104" s="503"/>
    </row>
    <row r="12105" spans="23:23">
      <c r="W12105" s="503"/>
    </row>
    <row r="12106" spans="23:23">
      <c r="W12106" s="503"/>
    </row>
    <row r="12107" spans="23:23">
      <c r="W12107" s="503"/>
    </row>
    <row r="12108" spans="23:23">
      <c r="W12108" s="503"/>
    </row>
    <row r="12109" spans="23:23">
      <c r="W12109" s="503"/>
    </row>
    <row r="12110" spans="23:23">
      <c r="W12110" s="503"/>
    </row>
    <row r="12111" spans="23:23">
      <c r="W12111" s="503"/>
    </row>
    <row r="12112" spans="23:23">
      <c r="W12112" s="503"/>
    </row>
    <row r="12113" spans="23:23">
      <c r="W12113" s="503"/>
    </row>
    <row r="12114" spans="23:23">
      <c r="W12114" s="503"/>
    </row>
    <row r="12115" spans="23:23">
      <c r="W12115" s="503"/>
    </row>
    <row r="12116" spans="23:23">
      <c r="W12116" s="503"/>
    </row>
    <row r="12117" spans="23:23">
      <c r="W12117" s="503"/>
    </row>
    <row r="12118" spans="23:23">
      <c r="W12118" s="503"/>
    </row>
    <row r="12119" spans="23:23">
      <c r="W12119" s="503"/>
    </row>
    <row r="12120" spans="23:23">
      <c r="W12120" s="503"/>
    </row>
    <row r="12121" spans="23:23">
      <c r="W12121" s="503"/>
    </row>
    <row r="12122" spans="23:23">
      <c r="W12122" s="503"/>
    </row>
    <row r="12123" spans="23:23">
      <c r="W12123" s="503"/>
    </row>
    <row r="12124" spans="23:23">
      <c r="W12124" s="503"/>
    </row>
    <row r="12125" spans="23:23">
      <c r="W12125" s="503"/>
    </row>
    <row r="12126" spans="23:23">
      <c r="W12126" s="503"/>
    </row>
    <row r="12127" spans="23:23">
      <c r="W12127" s="503"/>
    </row>
    <row r="12128" spans="23:23">
      <c r="W12128" s="503"/>
    </row>
    <row r="12129" spans="23:23">
      <c r="W12129" s="503"/>
    </row>
    <row r="12130" spans="23:23">
      <c r="W12130" s="503"/>
    </row>
    <row r="12131" spans="23:23">
      <c r="W12131" s="503"/>
    </row>
    <row r="12132" spans="23:23">
      <c r="W12132" s="503"/>
    </row>
    <row r="12133" spans="23:23">
      <c r="W12133" s="503"/>
    </row>
    <row r="12134" spans="23:23">
      <c r="W12134" s="503"/>
    </row>
    <row r="12135" spans="23:23">
      <c r="W12135" s="503"/>
    </row>
    <row r="12136" spans="23:23">
      <c r="W12136" s="503"/>
    </row>
    <row r="12137" spans="23:23">
      <c r="W12137" s="503"/>
    </row>
    <row r="12138" spans="23:23">
      <c r="W12138" s="503"/>
    </row>
    <row r="12139" spans="23:23">
      <c r="W12139" s="503"/>
    </row>
    <row r="12140" spans="23:23">
      <c r="W12140" s="503"/>
    </row>
    <row r="12141" spans="23:23">
      <c r="W12141" s="503"/>
    </row>
    <row r="12142" spans="23:23">
      <c r="W12142" s="503"/>
    </row>
    <row r="12143" spans="23:23">
      <c r="W12143" s="503"/>
    </row>
    <row r="12144" spans="23:23">
      <c r="W12144" s="503"/>
    </row>
    <row r="12145" spans="23:23">
      <c r="W12145" s="503"/>
    </row>
    <row r="12146" spans="23:23">
      <c r="W12146" s="503"/>
    </row>
    <row r="12147" spans="23:23">
      <c r="W12147" s="503"/>
    </row>
    <row r="12148" spans="23:23">
      <c r="W12148" s="503"/>
    </row>
    <row r="12149" spans="23:23">
      <c r="W12149" s="503"/>
    </row>
    <row r="12150" spans="23:23">
      <c r="W12150" s="503"/>
    </row>
    <row r="12151" spans="23:23">
      <c r="W12151" s="503"/>
    </row>
    <row r="12152" spans="23:23">
      <c r="W12152" s="503"/>
    </row>
    <row r="12153" spans="23:23">
      <c r="W12153" s="503"/>
    </row>
    <row r="12154" spans="23:23">
      <c r="W12154" s="503"/>
    </row>
    <row r="12155" spans="23:23">
      <c r="W12155" s="503"/>
    </row>
    <row r="12156" spans="23:23">
      <c r="W12156" s="503"/>
    </row>
    <row r="12157" spans="23:23">
      <c r="W12157" s="503"/>
    </row>
    <row r="12158" spans="23:23">
      <c r="W12158" s="503"/>
    </row>
    <row r="12159" spans="23:23">
      <c r="W12159" s="503"/>
    </row>
    <row r="12160" spans="23:23">
      <c r="W12160" s="503"/>
    </row>
    <row r="12161" spans="23:23">
      <c r="W12161" s="503"/>
    </row>
    <row r="12162" spans="23:23">
      <c r="W12162" s="503"/>
    </row>
    <row r="12163" spans="23:23">
      <c r="W12163" s="503"/>
    </row>
    <row r="12164" spans="23:23">
      <c r="W12164" s="503"/>
    </row>
    <row r="12165" spans="23:23">
      <c r="W12165" s="503"/>
    </row>
    <row r="12166" spans="23:23">
      <c r="W12166" s="503"/>
    </row>
    <row r="12167" spans="23:23">
      <c r="W12167" s="503"/>
    </row>
    <row r="12168" spans="23:23">
      <c r="W12168" s="503"/>
    </row>
    <row r="12169" spans="23:23">
      <c r="W12169" s="503"/>
    </row>
    <row r="12170" spans="23:23">
      <c r="W12170" s="503"/>
    </row>
    <row r="12171" spans="23:23">
      <c r="W12171" s="503"/>
    </row>
    <row r="12172" spans="23:23">
      <c r="W12172" s="503"/>
    </row>
    <row r="12173" spans="23:23">
      <c r="W12173" s="503"/>
    </row>
    <row r="12174" spans="23:23">
      <c r="W12174" s="503"/>
    </row>
    <row r="12175" spans="23:23">
      <c r="W12175" s="503"/>
    </row>
    <row r="12176" spans="23:23">
      <c r="W12176" s="503"/>
    </row>
    <row r="12177" spans="23:23">
      <c r="W12177" s="503"/>
    </row>
    <row r="12178" spans="23:23">
      <c r="W12178" s="503"/>
    </row>
    <row r="12179" spans="23:23">
      <c r="W12179" s="503"/>
    </row>
    <row r="12180" spans="23:23">
      <c r="W12180" s="503"/>
    </row>
    <row r="12181" spans="23:23">
      <c r="W12181" s="503"/>
    </row>
    <row r="12182" spans="23:23">
      <c r="W12182" s="503"/>
    </row>
    <row r="12183" spans="23:23">
      <c r="W12183" s="503"/>
    </row>
    <row r="12184" spans="23:23">
      <c r="W12184" s="503"/>
    </row>
    <row r="12185" spans="23:23">
      <c r="W12185" s="503"/>
    </row>
    <row r="12186" spans="23:23">
      <c r="W12186" s="503"/>
    </row>
    <row r="12187" spans="23:23">
      <c r="W12187" s="503"/>
    </row>
    <row r="12188" spans="23:23">
      <c r="W12188" s="503"/>
    </row>
    <row r="12189" spans="23:23">
      <c r="W12189" s="503"/>
    </row>
    <row r="12190" spans="23:23">
      <c r="W12190" s="503"/>
    </row>
    <row r="12191" spans="23:23">
      <c r="W12191" s="503"/>
    </row>
    <row r="12192" spans="23:23">
      <c r="W12192" s="503"/>
    </row>
    <row r="12193" spans="23:23">
      <c r="W12193" s="503"/>
    </row>
    <row r="12194" spans="23:23">
      <c r="W12194" s="503"/>
    </row>
    <row r="12195" spans="23:23">
      <c r="W12195" s="503"/>
    </row>
    <row r="12196" spans="23:23">
      <c r="W12196" s="503"/>
    </row>
    <row r="12197" spans="23:23">
      <c r="W12197" s="503"/>
    </row>
    <row r="12198" spans="23:23">
      <c r="W12198" s="503"/>
    </row>
    <row r="12199" spans="23:23">
      <c r="W12199" s="503"/>
    </row>
    <row r="12200" spans="23:23">
      <c r="W12200" s="503"/>
    </row>
    <row r="12201" spans="23:23">
      <c r="W12201" s="503"/>
    </row>
    <row r="12202" spans="23:23">
      <c r="W12202" s="503"/>
    </row>
    <row r="12203" spans="23:23">
      <c r="W12203" s="503"/>
    </row>
    <row r="12204" spans="23:23">
      <c r="W12204" s="503"/>
    </row>
    <row r="12205" spans="23:23">
      <c r="W12205" s="503"/>
    </row>
    <row r="12206" spans="23:23">
      <c r="W12206" s="503"/>
    </row>
    <row r="12207" spans="23:23">
      <c r="W12207" s="503"/>
    </row>
    <row r="12208" spans="23:23">
      <c r="W12208" s="503"/>
    </row>
    <row r="12209" spans="23:23">
      <c r="W12209" s="503"/>
    </row>
    <row r="12210" spans="23:23">
      <c r="W12210" s="503"/>
    </row>
    <row r="12211" spans="23:23">
      <c r="W12211" s="503"/>
    </row>
    <row r="12212" spans="23:23">
      <c r="W12212" s="503"/>
    </row>
    <row r="12213" spans="23:23">
      <c r="W12213" s="503"/>
    </row>
    <row r="12214" spans="23:23">
      <c r="W12214" s="503"/>
    </row>
    <row r="12215" spans="23:23">
      <c r="W12215" s="503"/>
    </row>
    <row r="12216" spans="23:23">
      <c r="W12216" s="503"/>
    </row>
    <row r="12217" spans="23:23">
      <c r="W12217" s="503"/>
    </row>
    <row r="12218" spans="23:23">
      <c r="W12218" s="503"/>
    </row>
    <row r="12219" spans="23:23">
      <c r="W12219" s="503"/>
    </row>
    <row r="12220" spans="23:23">
      <c r="W12220" s="503"/>
    </row>
    <row r="12221" spans="23:23">
      <c r="W12221" s="503"/>
    </row>
    <row r="12222" spans="23:23">
      <c r="W12222" s="503"/>
    </row>
    <row r="12223" spans="23:23">
      <c r="W12223" s="503"/>
    </row>
    <row r="12224" spans="23:23">
      <c r="W12224" s="503"/>
    </row>
    <row r="12225" spans="23:23">
      <c r="W12225" s="503"/>
    </row>
    <row r="12226" spans="23:23">
      <c r="W12226" s="503"/>
    </row>
    <row r="12227" spans="23:23">
      <c r="W12227" s="503"/>
    </row>
    <row r="12228" spans="23:23">
      <c r="W12228" s="503"/>
    </row>
    <row r="12229" spans="23:23">
      <c r="W12229" s="503"/>
    </row>
    <row r="12230" spans="23:23">
      <c r="W12230" s="503"/>
    </row>
    <row r="12231" spans="23:23">
      <c r="W12231" s="503"/>
    </row>
    <row r="12232" spans="23:23">
      <c r="W12232" s="503"/>
    </row>
    <row r="12233" spans="23:23">
      <c r="W12233" s="503"/>
    </row>
    <row r="12234" spans="23:23">
      <c r="W12234" s="503"/>
    </row>
    <row r="12235" spans="23:23">
      <c r="W12235" s="503"/>
    </row>
    <row r="12236" spans="23:23">
      <c r="W12236" s="503"/>
    </row>
    <row r="12237" spans="23:23">
      <c r="W12237" s="503"/>
    </row>
    <row r="12238" spans="23:23">
      <c r="W12238" s="503"/>
    </row>
    <row r="12239" spans="23:23">
      <c r="W12239" s="503"/>
    </row>
    <row r="12240" spans="23:23">
      <c r="W12240" s="503"/>
    </row>
    <row r="12241" spans="23:23">
      <c r="W12241" s="503"/>
    </row>
    <row r="12242" spans="23:23">
      <c r="W12242" s="503"/>
    </row>
    <row r="12243" spans="23:23">
      <c r="W12243" s="503"/>
    </row>
    <row r="12244" spans="23:23">
      <c r="W12244" s="503"/>
    </row>
    <row r="12245" spans="23:23">
      <c r="W12245" s="503"/>
    </row>
    <row r="12246" spans="23:23">
      <c r="W12246" s="503"/>
    </row>
    <row r="12247" spans="23:23">
      <c r="W12247" s="503"/>
    </row>
    <row r="12248" spans="23:23">
      <c r="W12248" s="503"/>
    </row>
    <row r="12249" spans="23:23">
      <c r="W12249" s="503"/>
    </row>
    <row r="12250" spans="23:23">
      <c r="W12250" s="503"/>
    </row>
    <row r="12251" spans="23:23">
      <c r="W12251" s="503"/>
    </row>
    <row r="12252" spans="23:23">
      <c r="W12252" s="503"/>
    </row>
    <row r="12253" spans="23:23">
      <c r="W12253" s="503"/>
    </row>
    <row r="12254" spans="23:23">
      <c r="W12254" s="503"/>
    </row>
    <row r="12255" spans="23:23">
      <c r="W12255" s="503"/>
    </row>
    <row r="12256" spans="23:23">
      <c r="W12256" s="503"/>
    </row>
    <row r="12257" spans="23:23">
      <c r="W12257" s="503"/>
    </row>
    <row r="12258" spans="23:23">
      <c r="W12258" s="503"/>
    </row>
    <row r="12259" spans="23:23">
      <c r="W12259" s="503"/>
    </row>
    <row r="12260" spans="23:23">
      <c r="W12260" s="503"/>
    </row>
    <row r="12261" spans="23:23">
      <c r="W12261" s="503"/>
    </row>
    <row r="12262" spans="23:23">
      <c r="W12262" s="503"/>
    </row>
    <row r="12263" spans="23:23">
      <c r="W12263" s="503"/>
    </row>
    <row r="12264" spans="23:23">
      <c r="W12264" s="503"/>
    </row>
    <row r="12265" spans="23:23">
      <c r="W12265" s="503"/>
    </row>
    <row r="12266" spans="23:23">
      <c r="W12266" s="503"/>
    </row>
    <row r="12267" spans="23:23">
      <c r="W12267" s="503"/>
    </row>
    <row r="12268" spans="23:23">
      <c r="W12268" s="503"/>
    </row>
    <row r="12269" spans="23:23">
      <c r="W12269" s="503"/>
    </row>
    <row r="12270" spans="23:23">
      <c r="W12270" s="503"/>
    </row>
    <row r="12271" spans="23:23">
      <c r="W12271" s="503"/>
    </row>
    <row r="12272" spans="23:23">
      <c r="W12272" s="503"/>
    </row>
    <row r="12273" spans="23:23">
      <c r="W12273" s="503"/>
    </row>
    <row r="12274" spans="23:23">
      <c r="W12274" s="503"/>
    </row>
    <row r="12275" spans="23:23">
      <c r="W12275" s="503"/>
    </row>
    <row r="12276" spans="23:23">
      <c r="W12276" s="503"/>
    </row>
    <row r="12277" spans="23:23">
      <c r="W12277" s="503"/>
    </row>
    <row r="12278" spans="23:23">
      <c r="W12278" s="503"/>
    </row>
    <row r="12279" spans="23:23">
      <c r="W12279" s="503"/>
    </row>
    <row r="12280" spans="23:23">
      <c r="W12280" s="503"/>
    </row>
    <row r="12281" spans="23:23">
      <c r="W12281" s="503"/>
    </row>
    <row r="12282" spans="23:23">
      <c r="W12282" s="503"/>
    </row>
    <row r="12283" spans="23:23">
      <c r="W12283" s="503"/>
    </row>
    <row r="12284" spans="23:23">
      <c r="W12284" s="503"/>
    </row>
    <row r="12285" spans="23:23">
      <c r="W12285" s="503"/>
    </row>
    <row r="12286" spans="23:23">
      <c r="W12286" s="503"/>
    </row>
    <row r="12287" spans="23:23">
      <c r="W12287" s="503"/>
    </row>
    <row r="12288" spans="23:23">
      <c r="W12288" s="503"/>
    </row>
    <row r="12289" spans="23:23">
      <c r="W12289" s="503"/>
    </row>
    <row r="12290" spans="23:23">
      <c r="W12290" s="503"/>
    </row>
    <row r="12291" spans="23:23">
      <c r="W12291" s="503"/>
    </row>
    <row r="12292" spans="23:23">
      <c r="W12292" s="503"/>
    </row>
    <row r="12293" spans="23:23">
      <c r="W12293" s="503"/>
    </row>
    <row r="12294" spans="23:23">
      <c r="W12294" s="503"/>
    </row>
    <row r="12295" spans="23:23">
      <c r="W12295" s="503"/>
    </row>
    <row r="12296" spans="23:23">
      <c r="W12296" s="503"/>
    </row>
    <row r="12297" spans="23:23">
      <c r="W12297" s="503"/>
    </row>
    <row r="12298" spans="23:23">
      <c r="W12298" s="503"/>
    </row>
    <row r="12299" spans="23:23">
      <c r="W12299" s="503"/>
    </row>
    <row r="12300" spans="23:23">
      <c r="W12300" s="503"/>
    </row>
    <row r="12301" spans="23:23">
      <c r="W12301" s="503"/>
    </row>
    <row r="12302" spans="23:23">
      <c r="W12302" s="503"/>
    </row>
    <row r="12303" spans="23:23">
      <c r="W12303" s="503"/>
    </row>
    <row r="12304" spans="23:23">
      <c r="W12304" s="503"/>
    </row>
    <row r="12305" spans="23:23">
      <c r="W12305" s="503"/>
    </row>
    <row r="12306" spans="23:23">
      <c r="W12306" s="503"/>
    </row>
    <row r="12307" spans="23:23">
      <c r="W12307" s="503"/>
    </row>
    <row r="12308" spans="23:23">
      <c r="W12308" s="503"/>
    </row>
    <row r="12309" spans="23:23">
      <c r="W12309" s="503"/>
    </row>
    <row r="12310" spans="23:23">
      <c r="W12310" s="503"/>
    </row>
    <row r="12311" spans="23:23">
      <c r="W12311" s="503"/>
    </row>
    <row r="12312" spans="23:23">
      <c r="W12312" s="503"/>
    </row>
    <row r="12313" spans="23:23">
      <c r="W12313" s="503"/>
    </row>
    <row r="12314" spans="23:23">
      <c r="W12314" s="503"/>
    </row>
    <row r="12315" spans="23:23">
      <c r="W12315" s="503"/>
    </row>
    <row r="12316" spans="23:23">
      <c r="W12316" s="503"/>
    </row>
    <row r="12317" spans="23:23">
      <c r="W12317" s="503"/>
    </row>
    <row r="12318" spans="23:23">
      <c r="W12318" s="503"/>
    </row>
    <row r="12319" spans="23:23">
      <c r="W12319" s="503"/>
    </row>
    <row r="12320" spans="23:23">
      <c r="W12320" s="503"/>
    </row>
    <row r="12321" spans="23:23">
      <c r="W12321" s="503"/>
    </row>
    <row r="12322" spans="23:23">
      <c r="W12322" s="503"/>
    </row>
    <row r="12323" spans="23:23">
      <c r="W12323" s="503"/>
    </row>
    <row r="12324" spans="23:23">
      <c r="W12324" s="503"/>
    </row>
    <row r="12325" spans="23:23">
      <c r="W12325" s="503"/>
    </row>
    <row r="12326" spans="23:23">
      <c r="W12326" s="503"/>
    </row>
    <row r="12327" spans="23:23">
      <c r="W12327" s="503"/>
    </row>
    <row r="12328" spans="23:23">
      <c r="W12328" s="503"/>
    </row>
    <row r="12329" spans="23:23">
      <c r="W12329" s="503"/>
    </row>
    <row r="12330" spans="23:23">
      <c r="W12330" s="503"/>
    </row>
    <row r="12331" spans="23:23">
      <c r="W12331" s="503"/>
    </row>
    <row r="12332" spans="23:23">
      <c r="W12332" s="503"/>
    </row>
    <row r="12333" spans="23:23">
      <c r="W12333" s="503"/>
    </row>
    <row r="12334" spans="23:23">
      <c r="W12334" s="503"/>
    </row>
    <row r="12335" spans="23:23">
      <c r="W12335" s="503"/>
    </row>
    <row r="12336" spans="23:23">
      <c r="W12336" s="503"/>
    </row>
    <row r="12337" spans="23:23">
      <c r="W12337" s="503"/>
    </row>
    <row r="12338" spans="23:23">
      <c r="W12338" s="503"/>
    </row>
    <row r="12339" spans="23:23">
      <c r="W12339" s="503"/>
    </row>
    <row r="12340" spans="23:23">
      <c r="W12340" s="503"/>
    </row>
    <row r="12341" spans="23:23">
      <c r="W12341" s="503"/>
    </row>
    <row r="12342" spans="23:23">
      <c r="W12342" s="503"/>
    </row>
    <row r="12343" spans="23:23">
      <c r="W12343" s="503"/>
    </row>
    <row r="12344" spans="23:23">
      <c r="W12344" s="503"/>
    </row>
    <row r="12345" spans="23:23">
      <c r="W12345" s="503"/>
    </row>
    <row r="12346" spans="23:23">
      <c r="W12346" s="503"/>
    </row>
    <row r="12347" spans="23:23">
      <c r="W12347" s="503"/>
    </row>
    <row r="12348" spans="23:23">
      <c r="W12348" s="503"/>
    </row>
    <row r="12349" spans="23:23">
      <c r="W12349" s="503"/>
    </row>
    <row r="12350" spans="23:23">
      <c r="W12350" s="503"/>
    </row>
    <row r="12351" spans="23:23">
      <c r="W12351" s="503"/>
    </row>
    <row r="12352" spans="23:23">
      <c r="W12352" s="503"/>
    </row>
    <row r="12353" spans="23:23">
      <c r="W12353" s="503"/>
    </row>
    <row r="12354" spans="23:23">
      <c r="W12354" s="503"/>
    </row>
    <row r="12355" spans="23:23">
      <c r="W12355" s="503"/>
    </row>
    <row r="12356" spans="23:23">
      <c r="W12356" s="503"/>
    </row>
    <row r="12357" spans="23:23">
      <c r="W12357" s="503"/>
    </row>
    <row r="12358" spans="23:23">
      <c r="W12358" s="503"/>
    </row>
    <row r="12359" spans="23:23">
      <c r="W12359" s="503"/>
    </row>
    <row r="12360" spans="23:23">
      <c r="W12360" s="503"/>
    </row>
    <row r="12361" spans="23:23">
      <c r="W12361" s="503"/>
    </row>
    <row r="12362" spans="23:23">
      <c r="W12362" s="503"/>
    </row>
    <row r="12363" spans="23:23">
      <c r="W12363" s="503"/>
    </row>
    <row r="12364" spans="23:23">
      <c r="W12364" s="503"/>
    </row>
    <row r="12365" spans="23:23">
      <c r="W12365" s="503"/>
    </row>
    <row r="12366" spans="23:23">
      <c r="W12366" s="503"/>
    </row>
    <row r="12367" spans="23:23">
      <c r="W12367" s="503"/>
    </row>
    <row r="12368" spans="23:23">
      <c r="W12368" s="503"/>
    </row>
    <row r="12369" spans="23:23">
      <c r="W12369" s="503"/>
    </row>
    <row r="12370" spans="23:23">
      <c r="W12370" s="503"/>
    </row>
    <row r="12371" spans="23:23">
      <c r="W12371" s="503"/>
    </row>
    <row r="12372" spans="23:23">
      <c r="W12372" s="503"/>
    </row>
    <row r="12373" spans="23:23">
      <c r="W12373" s="503"/>
    </row>
    <row r="12374" spans="23:23">
      <c r="W12374" s="503"/>
    </row>
    <row r="12375" spans="23:23">
      <c r="W12375" s="503"/>
    </row>
    <row r="12376" spans="23:23">
      <c r="W12376" s="503"/>
    </row>
    <row r="12377" spans="23:23">
      <c r="W12377" s="503"/>
    </row>
    <row r="12378" spans="23:23">
      <c r="W12378" s="503"/>
    </row>
    <row r="12379" spans="23:23">
      <c r="W12379" s="503"/>
    </row>
    <row r="12380" spans="23:23">
      <c r="W12380" s="503"/>
    </row>
    <row r="12381" spans="23:23">
      <c r="W12381" s="503"/>
    </row>
    <row r="12382" spans="23:23">
      <c r="W12382" s="503"/>
    </row>
    <row r="12383" spans="23:23">
      <c r="W12383" s="503"/>
    </row>
    <row r="12384" spans="23:23">
      <c r="W12384" s="503"/>
    </row>
    <row r="12385" spans="23:23">
      <c r="W12385" s="503"/>
    </row>
    <row r="12386" spans="23:23">
      <c r="W12386" s="503"/>
    </row>
    <row r="12387" spans="23:23">
      <c r="W12387" s="503"/>
    </row>
    <row r="12388" spans="23:23">
      <c r="W12388" s="503"/>
    </row>
    <row r="12389" spans="23:23">
      <c r="W12389" s="503"/>
    </row>
    <row r="12390" spans="23:23">
      <c r="W12390" s="503"/>
    </row>
    <row r="12391" spans="23:23">
      <c r="W12391" s="503"/>
    </row>
    <row r="12392" spans="23:23">
      <c r="W12392" s="503"/>
    </row>
    <row r="12393" spans="23:23">
      <c r="W12393" s="503"/>
    </row>
    <row r="12394" spans="23:23">
      <c r="W12394" s="503"/>
    </row>
    <row r="12395" spans="23:23">
      <c r="W12395" s="503"/>
    </row>
    <row r="12396" spans="23:23">
      <c r="W12396" s="503"/>
    </row>
    <row r="12397" spans="23:23">
      <c r="W12397" s="503"/>
    </row>
    <row r="12398" spans="23:23">
      <c r="W12398" s="503"/>
    </row>
    <row r="12399" spans="23:23">
      <c r="W12399" s="503"/>
    </row>
    <row r="12400" spans="23:23">
      <c r="W12400" s="503"/>
    </row>
    <row r="12401" spans="23:23">
      <c r="W12401" s="503"/>
    </row>
    <row r="12402" spans="23:23">
      <c r="W12402" s="503"/>
    </row>
    <row r="12403" spans="23:23">
      <c r="W12403" s="503"/>
    </row>
    <row r="12404" spans="23:23">
      <c r="W12404" s="503"/>
    </row>
    <row r="12405" spans="23:23">
      <c r="W12405" s="503"/>
    </row>
    <row r="12406" spans="23:23">
      <c r="W12406" s="503"/>
    </row>
    <row r="12407" spans="23:23">
      <c r="W12407" s="503"/>
    </row>
    <row r="12408" spans="23:23">
      <c r="W12408" s="503"/>
    </row>
    <row r="12409" spans="23:23">
      <c r="W12409" s="503"/>
    </row>
    <row r="12410" spans="23:23">
      <c r="W12410" s="503"/>
    </row>
    <row r="12411" spans="23:23">
      <c r="W12411" s="503"/>
    </row>
    <row r="12412" spans="23:23">
      <c r="W12412" s="503"/>
    </row>
    <row r="12413" spans="23:23">
      <c r="W12413" s="503"/>
    </row>
    <row r="12414" spans="23:23">
      <c r="W12414" s="503"/>
    </row>
    <row r="12415" spans="23:23">
      <c r="W12415" s="503"/>
    </row>
    <row r="12416" spans="23:23">
      <c r="W12416" s="503"/>
    </row>
    <row r="12417" spans="23:23">
      <c r="W12417" s="503"/>
    </row>
    <row r="12418" spans="23:23">
      <c r="W12418" s="503"/>
    </row>
    <row r="12419" spans="23:23">
      <c r="W12419" s="503"/>
    </row>
    <row r="12420" spans="23:23">
      <c r="W12420" s="503"/>
    </row>
    <row r="12421" spans="23:23">
      <c r="W12421" s="503"/>
    </row>
    <row r="12422" spans="23:23">
      <c r="W12422" s="503"/>
    </row>
    <row r="12423" spans="23:23">
      <c r="W12423" s="503"/>
    </row>
    <row r="12424" spans="23:23">
      <c r="W12424" s="503"/>
    </row>
    <row r="12425" spans="23:23">
      <c r="W12425" s="503"/>
    </row>
    <row r="12426" spans="23:23">
      <c r="W12426" s="503"/>
    </row>
    <row r="12427" spans="23:23">
      <c r="W12427" s="503"/>
    </row>
    <row r="12428" spans="23:23">
      <c r="W12428" s="503"/>
    </row>
    <row r="12429" spans="23:23">
      <c r="W12429" s="503"/>
    </row>
    <row r="12430" spans="23:23">
      <c r="W12430" s="503"/>
    </row>
    <row r="12431" spans="23:23">
      <c r="W12431" s="503"/>
    </row>
    <row r="12432" spans="23:23">
      <c r="W12432" s="503"/>
    </row>
    <row r="12433" spans="23:23">
      <c r="W12433" s="503"/>
    </row>
    <row r="12434" spans="23:23">
      <c r="W12434" s="503"/>
    </row>
    <row r="12435" spans="23:23">
      <c r="W12435" s="503"/>
    </row>
    <row r="12436" spans="23:23">
      <c r="W12436" s="503"/>
    </row>
    <row r="12437" spans="23:23">
      <c r="W12437" s="503"/>
    </row>
    <row r="12438" spans="23:23">
      <c r="W12438" s="503"/>
    </row>
    <row r="12439" spans="23:23">
      <c r="W12439" s="503"/>
    </row>
    <row r="12440" spans="23:23">
      <c r="W12440" s="503"/>
    </row>
    <row r="12441" spans="23:23">
      <c r="W12441" s="503"/>
    </row>
    <row r="12442" spans="23:23">
      <c r="W12442" s="503"/>
    </row>
    <row r="12443" spans="23:23">
      <c r="W12443" s="503"/>
    </row>
    <row r="12444" spans="23:23">
      <c r="W12444" s="503"/>
    </row>
    <row r="12445" spans="23:23">
      <c r="W12445" s="503"/>
    </row>
    <row r="12446" spans="23:23">
      <c r="W12446" s="503"/>
    </row>
    <row r="12447" spans="23:23">
      <c r="W12447" s="503"/>
    </row>
    <row r="12448" spans="23:23">
      <c r="W12448" s="503"/>
    </row>
    <row r="12449" spans="23:23">
      <c r="W12449" s="503"/>
    </row>
    <row r="12450" spans="23:23">
      <c r="W12450" s="503"/>
    </row>
    <row r="12451" spans="23:23">
      <c r="W12451" s="503"/>
    </row>
    <row r="12452" spans="23:23">
      <c r="W12452" s="503"/>
    </row>
    <row r="12453" spans="23:23">
      <c r="W12453" s="503"/>
    </row>
    <row r="12454" spans="23:23">
      <c r="W12454" s="503"/>
    </row>
    <row r="12455" spans="23:23">
      <c r="W12455" s="503"/>
    </row>
    <row r="12456" spans="23:23">
      <c r="W12456" s="503"/>
    </row>
    <row r="12457" spans="23:23">
      <c r="W12457" s="503"/>
    </row>
    <row r="12458" spans="23:23">
      <c r="W12458" s="503"/>
    </row>
    <row r="12459" spans="23:23">
      <c r="W12459" s="503"/>
    </row>
    <row r="12460" spans="23:23">
      <c r="W12460" s="503"/>
    </row>
    <row r="12461" spans="23:23">
      <c r="W12461" s="503"/>
    </row>
    <row r="12462" spans="23:23">
      <c r="W12462" s="503"/>
    </row>
    <row r="12463" spans="23:23">
      <c r="W12463" s="503"/>
    </row>
    <row r="12464" spans="23:23">
      <c r="W12464" s="503"/>
    </row>
    <row r="12465" spans="23:23">
      <c r="W12465" s="503"/>
    </row>
    <row r="12466" spans="23:23">
      <c r="W12466" s="503"/>
    </row>
    <row r="12467" spans="23:23">
      <c r="W12467" s="503"/>
    </row>
    <row r="12468" spans="23:23">
      <c r="W12468" s="503"/>
    </row>
    <row r="12469" spans="23:23">
      <c r="W12469" s="503"/>
    </row>
    <row r="12470" spans="23:23">
      <c r="W12470" s="503"/>
    </row>
    <row r="12471" spans="23:23">
      <c r="W12471" s="503"/>
    </row>
    <row r="12472" spans="23:23">
      <c r="W12472" s="503"/>
    </row>
    <row r="12473" spans="23:23">
      <c r="W12473" s="503"/>
    </row>
    <row r="12474" spans="23:23">
      <c r="W12474" s="503"/>
    </row>
    <row r="12475" spans="23:23">
      <c r="W12475" s="503"/>
    </row>
    <row r="12476" spans="23:23">
      <c r="W12476" s="503"/>
    </row>
    <row r="12477" spans="23:23">
      <c r="W12477" s="503"/>
    </row>
    <row r="12478" spans="23:23">
      <c r="W12478" s="503"/>
    </row>
    <row r="12479" spans="23:23">
      <c r="W12479" s="503"/>
    </row>
    <row r="12480" spans="23:23">
      <c r="W12480" s="503"/>
    </row>
    <row r="12481" spans="23:23">
      <c r="W12481" s="503"/>
    </row>
    <row r="12482" spans="23:23">
      <c r="W12482" s="503"/>
    </row>
    <row r="12483" spans="23:23">
      <c r="W12483" s="503"/>
    </row>
    <row r="12484" spans="23:23">
      <c r="W12484" s="503"/>
    </row>
    <row r="12485" spans="23:23">
      <c r="W12485" s="503"/>
    </row>
    <row r="12486" spans="23:23">
      <c r="W12486" s="503"/>
    </row>
    <row r="12487" spans="23:23">
      <c r="W12487" s="503"/>
    </row>
    <row r="12488" spans="23:23">
      <c r="W12488" s="503"/>
    </row>
    <row r="12489" spans="23:23">
      <c r="W12489" s="503"/>
    </row>
    <row r="12490" spans="23:23">
      <c r="W12490" s="503"/>
    </row>
    <row r="12491" spans="23:23">
      <c r="W12491" s="503"/>
    </row>
    <row r="12492" spans="23:23">
      <c r="W12492" s="503"/>
    </row>
    <row r="12493" spans="23:23">
      <c r="W12493" s="503"/>
    </row>
    <row r="12494" spans="23:23">
      <c r="W12494" s="503"/>
    </row>
    <row r="12495" spans="23:23">
      <c r="W12495" s="503"/>
    </row>
    <row r="12496" spans="23:23">
      <c r="W12496" s="503"/>
    </row>
    <row r="12497" spans="23:23">
      <c r="W12497" s="503"/>
    </row>
    <row r="12498" spans="23:23">
      <c r="W12498" s="503"/>
    </row>
    <row r="12499" spans="23:23">
      <c r="W12499" s="503"/>
    </row>
    <row r="12500" spans="23:23">
      <c r="W12500" s="503"/>
    </row>
    <row r="12501" spans="23:23">
      <c r="W12501" s="503"/>
    </row>
    <row r="12502" spans="23:23">
      <c r="W12502" s="503"/>
    </row>
    <row r="12503" spans="23:23">
      <c r="W12503" s="503"/>
    </row>
    <row r="12504" spans="23:23">
      <c r="W12504" s="503"/>
    </row>
    <row r="12505" spans="23:23">
      <c r="W12505" s="503"/>
    </row>
    <row r="12506" spans="23:23">
      <c r="W12506" s="503"/>
    </row>
    <row r="12507" spans="23:23">
      <c r="W12507" s="503"/>
    </row>
    <row r="12508" spans="23:23">
      <c r="W12508" s="503"/>
    </row>
    <row r="12509" spans="23:23">
      <c r="W12509" s="503"/>
    </row>
    <row r="12510" spans="23:23">
      <c r="W12510" s="503"/>
    </row>
    <row r="12511" spans="23:23">
      <c r="W12511" s="503"/>
    </row>
    <row r="12512" spans="23:23">
      <c r="W12512" s="503"/>
    </row>
    <row r="12513" spans="23:23">
      <c r="W12513" s="503"/>
    </row>
    <row r="12514" spans="23:23">
      <c r="W12514" s="503"/>
    </row>
    <row r="12515" spans="23:23">
      <c r="W12515" s="503"/>
    </row>
    <row r="12516" spans="23:23">
      <c r="W12516" s="503"/>
    </row>
    <row r="12517" spans="23:23">
      <c r="W12517" s="503"/>
    </row>
    <row r="12518" spans="23:23">
      <c r="W12518" s="503"/>
    </row>
    <row r="12519" spans="23:23">
      <c r="W12519" s="503"/>
    </row>
    <row r="12520" spans="23:23">
      <c r="W12520" s="503"/>
    </row>
    <row r="12521" spans="23:23">
      <c r="W12521" s="503"/>
    </row>
    <row r="12522" spans="23:23">
      <c r="W12522" s="503"/>
    </row>
    <row r="12523" spans="23:23">
      <c r="W12523" s="503"/>
    </row>
    <row r="12524" spans="23:23">
      <c r="W12524" s="503"/>
    </row>
    <row r="12525" spans="23:23">
      <c r="W12525" s="503"/>
    </row>
    <row r="12526" spans="23:23">
      <c r="W12526" s="503"/>
    </row>
    <row r="12527" spans="23:23">
      <c r="W12527" s="503"/>
    </row>
    <row r="12528" spans="23:23">
      <c r="W12528" s="503"/>
    </row>
    <row r="12529" spans="23:23">
      <c r="W12529" s="503"/>
    </row>
    <row r="12530" spans="23:23">
      <c r="W12530" s="503"/>
    </row>
    <row r="12531" spans="23:23">
      <c r="W12531" s="503"/>
    </row>
    <row r="12532" spans="23:23">
      <c r="W12532" s="503"/>
    </row>
    <row r="12533" spans="23:23">
      <c r="W12533" s="503"/>
    </row>
    <row r="12534" spans="23:23">
      <c r="W12534" s="503"/>
    </row>
    <row r="12535" spans="23:23">
      <c r="W12535" s="503"/>
    </row>
    <row r="12536" spans="23:23">
      <c r="W12536" s="503"/>
    </row>
    <row r="12537" spans="23:23">
      <c r="W12537" s="503"/>
    </row>
    <row r="12538" spans="23:23">
      <c r="W12538" s="503"/>
    </row>
    <row r="12539" spans="23:23">
      <c r="W12539" s="503"/>
    </row>
    <row r="12540" spans="23:23">
      <c r="W12540" s="503"/>
    </row>
    <row r="12541" spans="23:23">
      <c r="W12541" s="503"/>
    </row>
    <row r="12542" spans="23:23">
      <c r="W12542" s="503"/>
    </row>
    <row r="12543" spans="23:23">
      <c r="W12543" s="503"/>
    </row>
    <row r="12544" spans="23:23">
      <c r="W12544" s="503"/>
    </row>
    <row r="12545" spans="23:23">
      <c r="W12545" s="503"/>
    </row>
    <row r="12546" spans="23:23">
      <c r="W12546" s="503"/>
    </row>
    <row r="12547" spans="23:23">
      <c r="W12547" s="503"/>
    </row>
    <row r="12548" spans="23:23">
      <c r="W12548" s="503"/>
    </row>
    <row r="12549" spans="23:23">
      <c r="W12549" s="503"/>
    </row>
    <row r="12550" spans="23:23">
      <c r="W12550" s="503"/>
    </row>
    <row r="12551" spans="23:23">
      <c r="W12551" s="503"/>
    </row>
    <row r="12552" spans="23:23">
      <c r="W12552" s="503"/>
    </row>
    <row r="12553" spans="23:23">
      <c r="W12553" s="503"/>
    </row>
    <row r="12554" spans="23:23">
      <c r="W12554" s="503"/>
    </row>
    <row r="12555" spans="23:23">
      <c r="W12555" s="503"/>
    </row>
    <row r="12556" spans="23:23">
      <c r="W12556" s="503"/>
    </row>
    <row r="12557" spans="23:23">
      <c r="W12557" s="503"/>
    </row>
    <row r="12558" spans="23:23">
      <c r="W12558" s="503"/>
    </row>
    <row r="12559" spans="23:23">
      <c r="W12559" s="503"/>
    </row>
    <row r="12560" spans="23:23">
      <c r="W12560" s="503"/>
    </row>
    <row r="12561" spans="23:23">
      <c r="W12561" s="503"/>
    </row>
    <row r="12562" spans="23:23">
      <c r="W12562" s="503"/>
    </row>
    <row r="12563" spans="23:23">
      <c r="W12563" s="503"/>
    </row>
    <row r="12564" spans="23:23">
      <c r="W12564" s="503"/>
    </row>
    <row r="12565" spans="23:23">
      <c r="W12565" s="503"/>
    </row>
    <row r="12566" spans="23:23">
      <c r="W12566" s="503"/>
    </row>
    <row r="12567" spans="23:23">
      <c r="W12567" s="503"/>
    </row>
    <row r="12568" spans="23:23">
      <c r="W12568" s="503"/>
    </row>
    <row r="12569" spans="23:23">
      <c r="W12569" s="503"/>
    </row>
    <row r="12570" spans="23:23">
      <c r="W12570" s="503"/>
    </row>
    <row r="12571" spans="23:23">
      <c r="W12571" s="503"/>
    </row>
    <row r="12572" spans="23:23">
      <c r="W12572" s="503"/>
    </row>
    <row r="12573" spans="23:23">
      <c r="W12573" s="503"/>
    </row>
    <row r="12574" spans="23:23">
      <c r="W12574" s="503"/>
    </row>
    <row r="12575" spans="23:23">
      <c r="W12575" s="503"/>
    </row>
    <row r="12576" spans="23:23">
      <c r="W12576" s="503"/>
    </row>
    <row r="12577" spans="23:23">
      <c r="W12577" s="503"/>
    </row>
    <row r="12578" spans="23:23">
      <c r="W12578" s="503"/>
    </row>
    <row r="12579" spans="23:23">
      <c r="W12579" s="503"/>
    </row>
    <row r="12580" spans="23:23">
      <c r="W12580" s="503"/>
    </row>
    <row r="12581" spans="23:23">
      <c r="W12581" s="503"/>
    </row>
    <row r="12582" spans="23:23">
      <c r="W12582" s="503"/>
    </row>
    <row r="12583" spans="23:23">
      <c r="W12583" s="503"/>
    </row>
    <row r="12584" spans="23:23">
      <c r="W12584" s="503"/>
    </row>
    <row r="12585" spans="23:23">
      <c r="W12585" s="503"/>
    </row>
    <row r="12586" spans="23:23">
      <c r="W12586" s="503"/>
    </row>
    <row r="12587" spans="23:23">
      <c r="W12587" s="503"/>
    </row>
    <row r="12588" spans="23:23">
      <c r="W12588" s="503"/>
    </row>
    <row r="12589" spans="23:23">
      <c r="W12589" s="503"/>
    </row>
    <row r="12590" spans="23:23">
      <c r="W12590" s="503"/>
    </row>
    <row r="12591" spans="23:23">
      <c r="W12591" s="503"/>
    </row>
    <row r="12592" spans="23:23">
      <c r="W12592" s="503"/>
    </row>
    <row r="12593" spans="23:23">
      <c r="W12593" s="503"/>
    </row>
    <row r="12594" spans="23:23">
      <c r="W12594" s="503"/>
    </row>
    <row r="12595" spans="23:23">
      <c r="W12595" s="503"/>
    </row>
    <row r="12596" spans="23:23">
      <c r="W12596" s="503"/>
    </row>
    <row r="12597" spans="23:23">
      <c r="W12597" s="503"/>
    </row>
    <row r="12598" spans="23:23">
      <c r="W12598" s="503"/>
    </row>
    <row r="12599" spans="23:23">
      <c r="W12599" s="503"/>
    </row>
    <row r="12600" spans="23:23">
      <c r="W12600" s="503"/>
    </row>
    <row r="12601" spans="23:23">
      <c r="W12601" s="503"/>
    </row>
    <row r="12602" spans="23:23">
      <c r="W12602" s="503"/>
    </row>
    <row r="12603" spans="23:23">
      <c r="W12603" s="503"/>
    </row>
    <row r="12604" spans="23:23">
      <c r="W12604" s="503"/>
    </row>
    <row r="12605" spans="23:23">
      <c r="W12605" s="503"/>
    </row>
    <row r="12606" spans="23:23">
      <c r="W12606" s="503"/>
    </row>
    <row r="12607" spans="23:23">
      <c r="W12607" s="503"/>
    </row>
    <row r="12608" spans="23:23">
      <c r="W12608" s="503"/>
    </row>
    <row r="12609" spans="23:23">
      <c r="W12609" s="503"/>
    </row>
    <row r="12610" spans="23:23">
      <c r="W12610" s="503"/>
    </row>
    <row r="12611" spans="23:23">
      <c r="W12611" s="503"/>
    </row>
    <row r="12612" spans="23:23">
      <c r="W12612" s="503"/>
    </row>
    <row r="12613" spans="23:23">
      <c r="W12613" s="503"/>
    </row>
    <row r="12614" spans="23:23">
      <c r="W12614" s="503"/>
    </row>
    <row r="12615" spans="23:23">
      <c r="W12615" s="503"/>
    </row>
    <row r="12616" spans="23:23">
      <c r="W12616" s="503"/>
    </row>
    <row r="12617" spans="23:23">
      <c r="W12617" s="503"/>
    </row>
    <row r="12618" spans="23:23">
      <c r="W12618" s="503"/>
    </row>
    <row r="12619" spans="23:23">
      <c r="W12619" s="503"/>
    </row>
    <row r="12620" spans="23:23">
      <c r="W12620" s="503"/>
    </row>
    <row r="12621" spans="23:23">
      <c r="W12621" s="503"/>
    </row>
    <row r="12622" spans="23:23">
      <c r="W12622" s="503"/>
    </row>
    <row r="12623" spans="23:23">
      <c r="W12623" s="503"/>
    </row>
    <row r="12624" spans="23:23">
      <c r="W12624" s="503"/>
    </row>
    <row r="12625" spans="23:23">
      <c r="W12625" s="503"/>
    </row>
    <row r="12626" spans="23:23">
      <c r="W12626" s="503"/>
    </row>
    <row r="12627" spans="23:23">
      <c r="W12627" s="503"/>
    </row>
    <row r="12628" spans="23:23">
      <c r="W12628" s="503"/>
    </row>
    <row r="12629" spans="23:23">
      <c r="W12629" s="503"/>
    </row>
    <row r="12630" spans="23:23">
      <c r="W12630" s="503"/>
    </row>
    <row r="12631" spans="23:23">
      <c r="W12631" s="503"/>
    </row>
    <row r="12632" spans="23:23">
      <c r="W12632" s="503"/>
    </row>
    <row r="12633" spans="23:23">
      <c r="W12633" s="503"/>
    </row>
    <row r="12634" spans="23:23">
      <c r="W12634" s="503"/>
    </row>
    <row r="12635" spans="23:23">
      <c r="W12635" s="503"/>
    </row>
    <row r="12636" spans="23:23">
      <c r="W12636" s="503"/>
    </row>
    <row r="12637" spans="23:23">
      <c r="W12637" s="503"/>
    </row>
    <row r="12638" spans="23:23">
      <c r="W12638" s="503"/>
    </row>
    <row r="12639" spans="23:23">
      <c r="W12639" s="503"/>
    </row>
    <row r="12640" spans="23:23">
      <c r="W12640" s="503"/>
    </row>
    <row r="12641" spans="23:23">
      <c r="W12641" s="503"/>
    </row>
    <row r="12642" spans="23:23">
      <c r="W12642" s="503"/>
    </row>
    <row r="12643" spans="23:23">
      <c r="W12643" s="503"/>
    </row>
    <row r="12644" spans="23:23">
      <c r="W12644" s="503"/>
    </row>
    <row r="12645" spans="23:23">
      <c r="W12645" s="503"/>
    </row>
    <row r="12646" spans="23:23">
      <c r="W12646" s="503"/>
    </row>
    <row r="12647" spans="23:23">
      <c r="W12647" s="503"/>
    </row>
    <row r="12648" spans="23:23">
      <c r="W12648" s="503"/>
    </row>
    <row r="12649" spans="23:23">
      <c r="W12649" s="503"/>
    </row>
    <row r="12650" spans="23:23">
      <c r="W12650" s="503"/>
    </row>
    <row r="12651" spans="23:23">
      <c r="W12651" s="503"/>
    </row>
    <row r="12652" spans="23:23">
      <c r="W12652" s="503"/>
    </row>
    <row r="12653" spans="23:23">
      <c r="W12653" s="503"/>
    </row>
    <row r="12654" spans="23:23">
      <c r="W12654" s="503"/>
    </row>
    <row r="12655" spans="23:23">
      <c r="W12655" s="503"/>
    </row>
    <row r="12656" spans="23:23">
      <c r="W12656" s="503"/>
    </row>
    <row r="12657" spans="23:23">
      <c r="W12657" s="503"/>
    </row>
    <row r="12658" spans="23:23">
      <c r="W12658" s="503"/>
    </row>
    <row r="12659" spans="23:23">
      <c r="W12659" s="503"/>
    </row>
    <row r="12660" spans="23:23">
      <c r="W12660" s="503"/>
    </row>
    <row r="12661" spans="23:23">
      <c r="W12661" s="503"/>
    </row>
    <row r="12662" spans="23:23">
      <c r="W12662" s="503"/>
    </row>
    <row r="12663" spans="23:23">
      <c r="W12663" s="503"/>
    </row>
    <row r="12664" spans="23:23">
      <c r="W12664" s="503"/>
    </row>
    <row r="12665" spans="23:23">
      <c r="W12665" s="503"/>
    </row>
    <row r="12666" spans="23:23">
      <c r="W12666" s="503"/>
    </row>
    <row r="12667" spans="23:23">
      <c r="W12667" s="503"/>
    </row>
    <row r="12668" spans="23:23">
      <c r="W12668" s="503"/>
    </row>
    <row r="12669" spans="23:23">
      <c r="W12669" s="503"/>
    </row>
    <row r="12670" spans="23:23">
      <c r="W12670" s="503"/>
    </row>
    <row r="12671" spans="23:23">
      <c r="W12671" s="503"/>
    </row>
    <row r="12672" spans="23:23">
      <c r="W12672" s="503"/>
    </row>
    <row r="12673" spans="23:23">
      <c r="W12673" s="503"/>
    </row>
    <row r="12674" spans="23:23">
      <c r="W12674" s="503"/>
    </row>
    <row r="12675" spans="23:23">
      <c r="W12675" s="503"/>
    </row>
    <row r="12676" spans="23:23">
      <c r="W12676" s="503"/>
    </row>
    <row r="12677" spans="23:23">
      <c r="W12677" s="503"/>
    </row>
    <row r="12678" spans="23:23">
      <c r="W12678" s="503"/>
    </row>
    <row r="12679" spans="23:23">
      <c r="W12679" s="503"/>
    </row>
    <row r="12680" spans="23:23">
      <c r="W12680" s="503"/>
    </row>
    <row r="12681" spans="23:23">
      <c r="W12681" s="503"/>
    </row>
    <row r="12682" spans="23:23">
      <c r="W12682" s="503"/>
    </row>
    <row r="12683" spans="23:23">
      <c r="W12683" s="503"/>
    </row>
    <row r="12684" spans="23:23">
      <c r="W12684" s="503"/>
    </row>
    <row r="12685" spans="23:23">
      <c r="W12685" s="503"/>
    </row>
    <row r="12686" spans="23:23">
      <c r="W12686" s="503"/>
    </row>
    <row r="12687" spans="23:23">
      <c r="W12687" s="503"/>
    </row>
    <row r="12688" spans="23:23">
      <c r="W12688" s="503"/>
    </row>
    <row r="12689" spans="23:23">
      <c r="W12689" s="503"/>
    </row>
    <row r="12690" spans="23:23">
      <c r="W12690" s="503"/>
    </row>
    <row r="12691" spans="23:23">
      <c r="W12691" s="503"/>
    </row>
    <row r="12692" spans="23:23">
      <c r="W12692" s="503"/>
    </row>
    <row r="12693" spans="23:23">
      <c r="W12693" s="503"/>
    </row>
    <row r="12694" spans="23:23">
      <c r="W12694" s="503"/>
    </row>
    <row r="12695" spans="23:23">
      <c r="W12695" s="503"/>
    </row>
    <row r="12696" spans="23:23">
      <c r="W12696" s="503"/>
    </row>
    <row r="12697" spans="23:23">
      <c r="W12697" s="503"/>
    </row>
    <row r="12698" spans="23:23">
      <c r="W12698" s="503"/>
    </row>
    <row r="12699" spans="23:23">
      <c r="W12699" s="503"/>
    </row>
    <row r="12700" spans="23:23">
      <c r="W12700" s="503"/>
    </row>
    <row r="12701" spans="23:23">
      <c r="W12701" s="503"/>
    </row>
    <row r="12702" spans="23:23">
      <c r="W12702" s="503"/>
    </row>
    <row r="12703" spans="23:23">
      <c r="W12703" s="503"/>
    </row>
    <row r="12704" spans="23:23">
      <c r="W12704" s="503"/>
    </row>
    <row r="12705" spans="23:23">
      <c r="W12705" s="503"/>
    </row>
    <row r="12706" spans="23:23">
      <c r="W12706" s="503"/>
    </row>
    <row r="12707" spans="23:23">
      <c r="W12707" s="503"/>
    </row>
    <row r="12708" spans="23:23">
      <c r="W12708" s="503"/>
    </row>
    <row r="12709" spans="23:23">
      <c r="W12709" s="503"/>
    </row>
    <row r="12710" spans="23:23">
      <c r="W12710" s="503"/>
    </row>
    <row r="12711" spans="23:23">
      <c r="W12711" s="503"/>
    </row>
    <row r="12712" spans="23:23">
      <c r="W12712" s="503"/>
    </row>
    <row r="12713" spans="23:23">
      <c r="W12713" s="503"/>
    </row>
    <row r="12714" spans="23:23">
      <c r="W12714" s="503"/>
    </row>
    <row r="12715" spans="23:23">
      <c r="W12715" s="503"/>
    </row>
    <row r="12716" spans="23:23">
      <c r="W12716" s="503"/>
    </row>
    <row r="12717" spans="23:23">
      <c r="W12717" s="503"/>
    </row>
    <row r="12718" spans="23:23">
      <c r="W12718" s="503"/>
    </row>
    <row r="12719" spans="23:23">
      <c r="W12719" s="503"/>
    </row>
    <row r="12720" spans="23:23">
      <c r="W12720" s="503"/>
    </row>
    <row r="12721" spans="23:23">
      <c r="W12721" s="503"/>
    </row>
    <row r="12722" spans="23:23">
      <c r="W12722" s="503"/>
    </row>
    <row r="12723" spans="23:23">
      <c r="W12723" s="503"/>
    </row>
    <row r="12724" spans="23:23">
      <c r="W12724" s="503"/>
    </row>
    <row r="12725" spans="23:23">
      <c r="W12725" s="503"/>
    </row>
    <row r="12726" spans="23:23">
      <c r="W12726" s="503"/>
    </row>
    <row r="12727" spans="23:23">
      <c r="W12727" s="503"/>
    </row>
    <row r="12728" spans="23:23">
      <c r="W12728" s="503"/>
    </row>
    <row r="12729" spans="23:23">
      <c r="W12729" s="503"/>
    </row>
    <row r="12730" spans="23:23">
      <c r="W12730" s="503"/>
    </row>
    <row r="12731" spans="23:23">
      <c r="W12731" s="503"/>
    </row>
    <row r="12732" spans="23:23">
      <c r="W12732" s="503"/>
    </row>
    <row r="12733" spans="23:23">
      <c r="W12733" s="503"/>
    </row>
    <row r="12734" spans="23:23">
      <c r="W12734" s="503"/>
    </row>
    <row r="12735" spans="23:23">
      <c r="W12735" s="503"/>
    </row>
    <row r="12736" spans="23:23">
      <c r="W12736" s="503"/>
    </row>
    <row r="12737" spans="23:23">
      <c r="W12737" s="503"/>
    </row>
    <row r="12738" spans="23:23">
      <c r="W12738" s="503"/>
    </row>
    <row r="12739" spans="23:23">
      <c r="W12739" s="503"/>
    </row>
    <row r="12740" spans="23:23">
      <c r="W12740" s="503"/>
    </row>
    <row r="12741" spans="23:23">
      <c r="W12741" s="503"/>
    </row>
    <row r="12742" spans="23:23">
      <c r="W12742" s="503"/>
    </row>
    <row r="12743" spans="23:23">
      <c r="W12743" s="503"/>
    </row>
    <row r="12744" spans="23:23">
      <c r="W12744" s="503"/>
    </row>
    <row r="12745" spans="23:23">
      <c r="W12745" s="503"/>
    </row>
    <row r="12746" spans="23:23">
      <c r="W12746" s="503"/>
    </row>
    <row r="12747" spans="23:23">
      <c r="W12747" s="503"/>
    </row>
    <row r="12748" spans="23:23">
      <c r="W12748" s="503"/>
    </row>
    <row r="12749" spans="23:23">
      <c r="W12749" s="503"/>
    </row>
    <row r="12750" spans="23:23">
      <c r="W12750" s="503"/>
    </row>
    <row r="12751" spans="23:23">
      <c r="W12751" s="503"/>
    </row>
    <row r="12752" spans="23:23">
      <c r="W12752" s="503"/>
    </row>
    <row r="12753" spans="23:23">
      <c r="W12753" s="503"/>
    </row>
    <row r="12754" spans="23:23">
      <c r="W12754" s="503"/>
    </row>
    <row r="12755" spans="23:23">
      <c r="W12755" s="503"/>
    </row>
    <row r="12756" spans="23:23">
      <c r="W12756" s="503"/>
    </row>
    <row r="12757" spans="23:23">
      <c r="W12757" s="503"/>
    </row>
    <row r="12758" spans="23:23">
      <c r="W12758" s="503"/>
    </row>
    <row r="12759" spans="23:23">
      <c r="W12759" s="503"/>
    </row>
    <row r="12760" spans="23:23">
      <c r="W12760" s="503"/>
    </row>
    <row r="12761" spans="23:23">
      <c r="W12761" s="503"/>
    </row>
    <row r="12762" spans="23:23">
      <c r="W12762" s="503"/>
    </row>
    <row r="12763" spans="23:23">
      <c r="W12763" s="503"/>
    </row>
    <row r="12764" spans="23:23">
      <c r="W12764" s="503"/>
    </row>
    <row r="12765" spans="23:23">
      <c r="W12765" s="503"/>
    </row>
    <row r="12766" spans="23:23">
      <c r="W12766" s="503"/>
    </row>
    <row r="12767" spans="23:23">
      <c r="W12767" s="503"/>
    </row>
    <row r="12768" spans="23:23">
      <c r="W12768" s="503"/>
    </row>
    <row r="12769" spans="23:23">
      <c r="W12769" s="503"/>
    </row>
    <row r="12770" spans="23:23">
      <c r="W12770" s="503"/>
    </row>
    <row r="12771" spans="23:23">
      <c r="W12771" s="503"/>
    </row>
    <row r="12772" spans="23:23">
      <c r="W12772" s="503"/>
    </row>
    <row r="12773" spans="23:23">
      <c r="W12773" s="503"/>
    </row>
    <row r="12774" spans="23:23">
      <c r="W12774" s="503"/>
    </row>
    <row r="12775" spans="23:23">
      <c r="W12775" s="503"/>
    </row>
    <row r="12776" spans="23:23">
      <c r="W12776" s="503"/>
    </row>
    <row r="12777" spans="23:23">
      <c r="W12777" s="503"/>
    </row>
    <row r="12778" spans="23:23">
      <c r="W12778" s="503"/>
    </row>
    <row r="12779" spans="23:23">
      <c r="W12779" s="503"/>
    </row>
    <row r="12780" spans="23:23">
      <c r="W12780" s="503"/>
    </row>
    <row r="12781" spans="23:23">
      <c r="W12781" s="503"/>
    </row>
    <row r="12782" spans="23:23">
      <c r="W12782" s="503"/>
    </row>
    <row r="12783" spans="23:23">
      <c r="W12783" s="503"/>
    </row>
    <row r="12784" spans="23:23">
      <c r="W12784" s="503"/>
    </row>
    <row r="12785" spans="23:23">
      <c r="W12785" s="503"/>
    </row>
    <row r="12786" spans="23:23">
      <c r="W12786" s="503"/>
    </row>
    <row r="12787" spans="23:23">
      <c r="W12787" s="503"/>
    </row>
    <row r="12788" spans="23:23">
      <c r="W12788" s="503"/>
    </row>
    <row r="12789" spans="23:23">
      <c r="W12789" s="503"/>
    </row>
    <row r="12790" spans="23:23">
      <c r="W12790" s="503"/>
    </row>
    <row r="12791" spans="23:23">
      <c r="W12791" s="503"/>
    </row>
    <row r="12792" spans="23:23">
      <c r="W12792" s="503"/>
    </row>
    <row r="12793" spans="23:23">
      <c r="W12793" s="503"/>
    </row>
    <row r="12794" spans="23:23">
      <c r="W12794" s="503"/>
    </row>
    <row r="12795" spans="23:23">
      <c r="W12795" s="503"/>
    </row>
    <row r="12796" spans="23:23">
      <c r="W12796" s="503"/>
    </row>
    <row r="12797" spans="23:23">
      <c r="W12797" s="503"/>
    </row>
    <row r="12798" spans="23:23">
      <c r="W12798" s="503"/>
    </row>
    <row r="12799" spans="23:23">
      <c r="W12799" s="503"/>
    </row>
    <row r="12800" spans="23:23">
      <c r="W12800" s="503"/>
    </row>
    <row r="12801" spans="23:23">
      <c r="W12801" s="503"/>
    </row>
    <row r="12802" spans="23:23">
      <c r="W12802" s="503"/>
    </row>
    <row r="12803" spans="23:23">
      <c r="W12803" s="503"/>
    </row>
    <row r="12804" spans="23:23">
      <c r="W12804" s="503"/>
    </row>
    <row r="12805" spans="23:23">
      <c r="W12805" s="503"/>
    </row>
    <row r="12806" spans="23:23">
      <c r="W12806" s="503"/>
    </row>
    <row r="12807" spans="23:23">
      <c r="W12807" s="503"/>
    </row>
    <row r="12808" spans="23:23">
      <c r="W12808" s="503"/>
    </row>
    <row r="12809" spans="23:23">
      <c r="W12809" s="503"/>
    </row>
    <row r="12810" spans="23:23">
      <c r="W12810" s="503"/>
    </row>
    <row r="12811" spans="23:23">
      <c r="W12811" s="503"/>
    </row>
    <row r="12812" spans="23:23">
      <c r="W12812" s="503"/>
    </row>
    <row r="12813" spans="23:23">
      <c r="W12813" s="503"/>
    </row>
    <row r="12814" spans="23:23">
      <c r="W12814" s="503"/>
    </row>
    <row r="12815" spans="23:23">
      <c r="W12815" s="503"/>
    </row>
    <row r="12816" spans="23:23">
      <c r="W12816" s="503"/>
    </row>
    <row r="12817" spans="23:23">
      <c r="W12817" s="503"/>
    </row>
    <row r="12818" spans="23:23">
      <c r="W12818" s="503"/>
    </row>
    <row r="12819" spans="23:23">
      <c r="W12819" s="503"/>
    </row>
    <row r="12820" spans="23:23">
      <c r="W12820" s="503"/>
    </row>
    <row r="12821" spans="23:23">
      <c r="W12821" s="503"/>
    </row>
    <row r="12822" spans="23:23">
      <c r="W12822" s="503"/>
    </row>
    <row r="12823" spans="23:23">
      <c r="W12823" s="503"/>
    </row>
    <row r="12824" spans="23:23">
      <c r="W12824" s="503"/>
    </row>
    <row r="12825" spans="23:23">
      <c r="W12825" s="503"/>
    </row>
    <row r="12826" spans="23:23">
      <c r="W12826" s="503"/>
    </row>
    <row r="12827" spans="23:23">
      <c r="W12827" s="503"/>
    </row>
    <row r="12828" spans="23:23">
      <c r="W12828" s="503"/>
    </row>
    <row r="12829" spans="23:23">
      <c r="W12829" s="503"/>
    </row>
    <row r="12830" spans="23:23">
      <c r="W12830" s="503"/>
    </row>
    <row r="12831" spans="23:23">
      <c r="W12831" s="503"/>
    </row>
    <row r="12832" spans="23:23">
      <c r="W12832" s="503"/>
    </row>
    <row r="12833" spans="23:23">
      <c r="W12833" s="503"/>
    </row>
    <row r="12834" spans="23:23">
      <c r="W12834" s="503"/>
    </row>
    <row r="12835" spans="23:23">
      <c r="W12835" s="503"/>
    </row>
    <row r="12836" spans="23:23">
      <c r="W12836" s="503"/>
    </row>
    <row r="12837" spans="23:23">
      <c r="W12837" s="503"/>
    </row>
    <row r="12838" spans="23:23">
      <c r="W12838" s="503"/>
    </row>
    <row r="12839" spans="23:23">
      <c r="W12839" s="503"/>
    </row>
    <row r="12840" spans="23:23">
      <c r="W12840" s="503"/>
    </row>
    <row r="12841" spans="23:23">
      <c r="W12841" s="503"/>
    </row>
    <row r="12842" spans="23:23">
      <c r="W12842" s="503"/>
    </row>
    <row r="12843" spans="23:23">
      <c r="W12843" s="503"/>
    </row>
    <row r="12844" spans="23:23">
      <c r="W12844" s="503"/>
    </row>
    <row r="12845" spans="23:23">
      <c r="W12845" s="503"/>
    </row>
    <row r="12846" spans="23:23">
      <c r="W12846" s="503"/>
    </row>
    <row r="12847" spans="23:23">
      <c r="W12847" s="503"/>
    </row>
    <row r="12848" spans="23:23">
      <c r="W12848" s="503"/>
    </row>
    <row r="12849" spans="23:23">
      <c r="W12849" s="503"/>
    </row>
    <row r="12850" spans="23:23">
      <c r="W12850" s="503"/>
    </row>
    <row r="12851" spans="23:23">
      <c r="W12851" s="503"/>
    </row>
    <row r="12852" spans="23:23">
      <c r="W12852" s="503"/>
    </row>
    <row r="12853" spans="23:23">
      <c r="W12853" s="503"/>
    </row>
    <row r="12854" spans="23:23">
      <c r="W12854" s="503"/>
    </row>
    <row r="12855" spans="23:23">
      <c r="W12855" s="503"/>
    </row>
    <row r="12856" spans="23:23">
      <c r="W12856" s="503"/>
    </row>
    <row r="12857" spans="23:23">
      <c r="W12857" s="503"/>
    </row>
    <row r="12858" spans="23:23">
      <c r="W12858" s="503"/>
    </row>
    <row r="12859" spans="23:23">
      <c r="W12859" s="503"/>
    </row>
    <row r="12860" spans="23:23">
      <c r="W12860" s="503"/>
    </row>
    <row r="12861" spans="23:23">
      <c r="W12861" s="503"/>
    </row>
    <row r="12862" spans="23:23">
      <c r="W12862" s="503"/>
    </row>
    <row r="12863" spans="23:23">
      <c r="W12863" s="503"/>
    </row>
    <row r="12864" spans="23:23">
      <c r="W12864" s="503"/>
    </row>
    <row r="12865" spans="23:23">
      <c r="W12865" s="503"/>
    </row>
    <row r="12866" spans="23:23">
      <c r="W12866" s="503"/>
    </row>
    <row r="12867" spans="23:23">
      <c r="W12867" s="503"/>
    </row>
    <row r="12868" spans="23:23">
      <c r="W12868" s="503"/>
    </row>
    <row r="12869" spans="23:23">
      <c r="W12869" s="503"/>
    </row>
    <row r="12870" spans="23:23">
      <c r="W12870" s="503"/>
    </row>
    <row r="12871" spans="23:23">
      <c r="W12871" s="503"/>
    </row>
    <row r="12872" spans="23:23">
      <c r="W12872" s="503"/>
    </row>
    <row r="12873" spans="23:23">
      <c r="W12873" s="503"/>
    </row>
    <row r="12874" spans="23:23">
      <c r="W12874" s="503"/>
    </row>
    <row r="12875" spans="23:23">
      <c r="W12875" s="503"/>
    </row>
    <row r="12876" spans="23:23">
      <c r="W12876" s="503"/>
    </row>
    <row r="12877" spans="23:23">
      <c r="W12877" s="503"/>
    </row>
    <row r="12878" spans="23:23">
      <c r="W12878" s="503"/>
    </row>
    <row r="12879" spans="23:23">
      <c r="W12879" s="503"/>
    </row>
    <row r="12880" spans="23:23">
      <c r="W12880" s="503"/>
    </row>
    <row r="12881" spans="23:23">
      <c r="W12881" s="503"/>
    </row>
    <row r="12882" spans="23:23">
      <c r="W12882" s="503"/>
    </row>
    <row r="12883" spans="23:23">
      <c r="W12883" s="503"/>
    </row>
    <row r="12884" spans="23:23">
      <c r="W12884" s="503"/>
    </row>
    <row r="12885" spans="23:23">
      <c r="W12885" s="503"/>
    </row>
    <row r="12886" spans="23:23">
      <c r="W12886" s="503"/>
    </row>
    <row r="12887" spans="23:23">
      <c r="W12887" s="503"/>
    </row>
    <row r="12888" spans="23:23">
      <c r="W12888" s="503"/>
    </row>
    <row r="12889" spans="23:23">
      <c r="W12889" s="503"/>
    </row>
    <row r="12890" spans="23:23">
      <c r="W12890" s="503"/>
    </row>
    <row r="12891" spans="23:23">
      <c r="W12891" s="503"/>
    </row>
    <row r="12892" spans="23:23">
      <c r="W12892" s="503"/>
    </row>
    <row r="12893" spans="23:23">
      <c r="W12893" s="503"/>
    </row>
    <row r="12894" spans="23:23">
      <c r="W12894" s="503"/>
    </row>
    <row r="12895" spans="23:23">
      <c r="W12895" s="503"/>
    </row>
    <row r="12896" spans="23:23">
      <c r="W12896" s="503"/>
    </row>
    <row r="12897" spans="23:23">
      <c r="W12897" s="503"/>
    </row>
    <row r="12898" spans="23:23">
      <c r="W12898" s="503"/>
    </row>
    <row r="12899" spans="23:23">
      <c r="W12899" s="503"/>
    </row>
    <row r="12900" spans="23:23">
      <c r="W12900" s="503"/>
    </row>
    <row r="12901" spans="23:23">
      <c r="W12901" s="503"/>
    </row>
    <row r="12902" spans="23:23">
      <c r="W12902" s="503"/>
    </row>
    <row r="12903" spans="23:23">
      <c r="W12903" s="503"/>
    </row>
    <row r="12904" spans="23:23">
      <c r="W12904" s="503"/>
    </row>
    <row r="12905" spans="23:23">
      <c r="W12905" s="503"/>
    </row>
    <row r="12906" spans="23:23">
      <c r="W12906" s="503"/>
    </row>
    <row r="12907" spans="23:23">
      <c r="W12907" s="503"/>
    </row>
    <row r="12908" spans="23:23">
      <c r="W12908" s="503"/>
    </row>
    <row r="12909" spans="23:23">
      <c r="W12909" s="503"/>
    </row>
    <row r="12910" spans="23:23">
      <c r="W12910" s="503"/>
    </row>
    <row r="12911" spans="23:23">
      <c r="W12911" s="503"/>
    </row>
    <row r="12912" spans="23:23">
      <c r="W12912" s="503"/>
    </row>
    <row r="12913" spans="23:23">
      <c r="W12913" s="503"/>
    </row>
    <row r="12914" spans="23:23">
      <c r="W12914" s="503"/>
    </row>
    <row r="12915" spans="23:23">
      <c r="W12915" s="503"/>
    </row>
    <row r="12916" spans="23:23">
      <c r="W12916" s="503"/>
    </row>
    <row r="12917" spans="23:23">
      <c r="W12917" s="503"/>
    </row>
    <row r="12918" spans="23:23">
      <c r="W12918" s="503"/>
    </row>
    <row r="12919" spans="23:23">
      <c r="W12919" s="503"/>
    </row>
    <row r="12920" spans="23:23">
      <c r="W12920" s="503"/>
    </row>
    <row r="12921" spans="23:23">
      <c r="W12921" s="503"/>
    </row>
    <row r="12922" spans="23:23">
      <c r="W12922" s="503"/>
    </row>
    <row r="12923" spans="23:23">
      <c r="W12923" s="503"/>
    </row>
    <row r="12924" spans="23:23">
      <c r="W12924" s="503"/>
    </row>
    <row r="12925" spans="23:23">
      <c r="W12925" s="503"/>
    </row>
    <row r="12926" spans="23:23">
      <c r="W12926" s="503"/>
    </row>
    <row r="12927" spans="23:23">
      <c r="W12927" s="503"/>
    </row>
    <row r="12928" spans="23:23">
      <c r="W12928" s="503"/>
    </row>
    <row r="12929" spans="23:23">
      <c r="W12929" s="503"/>
    </row>
    <row r="12930" spans="23:23">
      <c r="W12930" s="503"/>
    </row>
    <row r="12931" spans="23:23">
      <c r="W12931" s="503"/>
    </row>
    <row r="12932" spans="23:23">
      <c r="W12932" s="503"/>
    </row>
    <row r="12933" spans="23:23">
      <c r="W12933" s="503"/>
    </row>
    <row r="12934" spans="23:23">
      <c r="W12934" s="503"/>
    </row>
    <row r="12935" spans="23:23">
      <c r="W12935" s="503"/>
    </row>
    <row r="12936" spans="23:23">
      <c r="W12936" s="503"/>
    </row>
    <row r="12937" spans="23:23">
      <c r="W12937" s="503"/>
    </row>
    <row r="12938" spans="23:23">
      <c r="W12938" s="503"/>
    </row>
    <row r="12939" spans="23:23">
      <c r="W12939" s="503"/>
    </row>
    <row r="12940" spans="23:23">
      <c r="W12940" s="503"/>
    </row>
    <row r="12941" spans="23:23">
      <c r="W12941" s="503"/>
    </row>
    <row r="12942" spans="23:23">
      <c r="W12942" s="503"/>
    </row>
    <row r="12943" spans="23:23">
      <c r="W12943" s="503"/>
    </row>
    <row r="12944" spans="23:23">
      <c r="W12944" s="503"/>
    </row>
    <row r="12945" spans="23:23">
      <c r="W12945" s="503"/>
    </row>
    <row r="12946" spans="23:23">
      <c r="W12946" s="503"/>
    </row>
    <row r="12947" spans="23:23">
      <c r="W12947" s="503"/>
    </row>
    <row r="12948" spans="23:23">
      <c r="W12948" s="503"/>
    </row>
    <row r="12949" spans="23:23">
      <c r="W12949" s="503"/>
    </row>
    <row r="12950" spans="23:23">
      <c r="W12950" s="503"/>
    </row>
    <row r="12951" spans="23:23">
      <c r="W12951" s="503"/>
    </row>
    <row r="12952" spans="23:23">
      <c r="W12952" s="503"/>
    </row>
    <row r="12953" spans="23:23">
      <c r="W12953" s="503"/>
    </row>
    <row r="12954" spans="23:23">
      <c r="W12954" s="503"/>
    </row>
    <row r="12955" spans="23:23">
      <c r="W12955" s="503"/>
    </row>
    <row r="12956" spans="23:23">
      <c r="W12956" s="503"/>
    </row>
    <row r="12957" spans="23:23">
      <c r="W12957" s="503"/>
    </row>
    <row r="12958" spans="23:23">
      <c r="W12958" s="503"/>
    </row>
    <row r="12959" spans="23:23">
      <c r="W12959" s="503"/>
    </row>
    <row r="12960" spans="23:23">
      <c r="W12960" s="503"/>
    </row>
    <row r="12961" spans="23:23">
      <c r="W12961" s="503"/>
    </row>
    <row r="12962" spans="23:23">
      <c r="W12962" s="503"/>
    </row>
    <row r="12963" spans="23:23">
      <c r="W12963" s="503"/>
    </row>
    <row r="12964" spans="23:23">
      <c r="W12964" s="503"/>
    </row>
    <row r="12965" spans="23:23">
      <c r="W12965" s="503"/>
    </row>
    <row r="12966" spans="23:23">
      <c r="W12966" s="503"/>
    </row>
    <row r="12967" spans="23:23">
      <c r="W12967" s="503"/>
    </row>
    <row r="12968" spans="23:23">
      <c r="W12968" s="503"/>
    </row>
    <row r="12969" spans="23:23">
      <c r="W12969" s="503"/>
    </row>
    <row r="12970" spans="23:23">
      <c r="W12970" s="503"/>
    </row>
    <row r="12971" spans="23:23">
      <c r="W12971" s="503"/>
    </row>
    <row r="12972" spans="23:23">
      <c r="W12972" s="503"/>
    </row>
    <row r="12973" spans="23:23">
      <c r="W12973" s="503"/>
    </row>
    <row r="12974" spans="23:23">
      <c r="W12974" s="503"/>
    </row>
    <row r="12975" spans="23:23">
      <c r="W12975" s="503"/>
    </row>
    <row r="12976" spans="23:23">
      <c r="W12976" s="503"/>
    </row>
    <row r="12977" spans="23:23">
      <c r="W12977" s="503"/>
    </row>
    <row r="12978" spans="23:23">
      <c r="W12978" s="503"/>
    </row>
    <row r="12979" spans="23:23">
      <c r="W12979" s="503"/>
    </row>
    <row r="12980" spans="23:23">
      <c r="W12980" s="503"/>
    </row>
    <row r="12981" spans="23:23">
      <c r="W12981" s="503"/>
    </row>
    <row r="12982" spans="23:23">
      <c r="W12982" s="503"/>
    </row>
    <row r="12983" spans="23:23">
      <c r="W12983" s="503"/>
    </row>
    <row r="12984" spans="23:23">
      <c r="W12984" s="503"/>
    </row>
    <row r="12985" spans="23:23">
      <c r="W12985" s="503"/>
    </row>
    <row r="12986" spans="23:23">
      <c r="W12986" s="503"/>
    </row>
    <row r="12987" spans="23:23">
      <c r="W12987" s="503"/>
    </row>
    <row r="12988" spans="23:23">
      <c r="W12988" s="503"/>
    </row>
    <row r="12989" spans="23:23">
      <c r="W12989" s="503"/>
    </row>
    <row r="12990" spans="23:23">
      <c r="W12990" s="503"/>
    </row>
    <row r="12991" spans="23:23">
      <c r="W12991" s="503"/>
    </row>
    <row r="12992" spans="23:23">
      <c r="W12992" s="503"/>
    </row>
    <row r="12993" spans="23:23">
      <c r="W12993" s="503"/>
    </row>
    <row r="12994" spans="23:23">
      <c r="W12994" s="503"/>
    </row>
    <row r="12995" spans="23:23">
      <c r="W12995" s="503"/>
    </row>
    <row r="12996" spans="23:23">
      <c r="W12996" s="503"/>
    </row>
    <row r="12997" spans="23:23">
      <c r="W12997" s="503"/>
    </row>
    <row r="12998" spans="23:23">
      <c r="W12998" s="503"/>
    </row>
    <row r="12999" spans="23:23">
      <c r="W12999" s="503"/>
    </row>
    <row r="13000" spans="23:23">
      <c r="W13000" s="503"/>
    </row>
    <row r="13001" spans="23:23">
      <c r="W13001" s="503"/>
    </row>
    <row r="13002" spans="23:23">
      <c r="W13002" s="503"/>
    </row>
    <row r="13003" spans="23:23">
      <c r="W13003" s="503"/>
    </row>
    <row r="13004" spans="23:23">
      <c r="W13004" s="503"/>
    </row>
    <row r="13005" spans="23:23">
      <c r="W13005" s="503"/>
    </row>
    <row r="13006" spans="23:23">
      <c r="W13006" s="503"/>
    </row>
    <row r="13007" spans="23:23">
      <c r="W13007" s="503"/>
    </row>
    <row r="13008" spans="23:23">
      <c r="W13008" s="503"/>
    </row>
    <row r="13009" spans="23:23">
      <c r="W13009" s="503"/>
    </row>
    <row r="13010" spans="23:23">
      <c r="W13010" s="503"/>
    </row>
    <row r="13011" spans="23:23">
      <c r="W13011" s="503"/>
    </row>
    <row r="13012" spans="23:23">
      <c r="W13012" s="503"/>
    </row>
    <row r="13013" spans="23:23">
      <c r="W13013" s="503"/>
    </row>
    <row r="13014" spans="23:23">
      <c r="W13014" s="503"/>
    </row>
    <row r="13015" spans="23:23">
      <c r="W13015" s="503"/>
    </row>
    <row r="13016" spans="23:23">
      <c r="W13016" s="503"/>
    </row>
    <row r="13017" spans="23:23">
      <c r="W13017" s="503"/>
    </row>
    <row r="13018" spans="23:23">
      <c r="W13018" s="503"/>
    </row>
    <row r="13019" spans="23:23">
      <c r="W13019" s="503"/>
    </row>
    <row r="13020" spans="23:23">
      <c r="W13020" s="503"/>
    </row>
    <row r="13021" spans="23:23">
      <c r="W13021" s="503"/>
    </row>
    <row r="13022" spans="23:23">
      <c r="W13022" s="503"/>
    </row>
    <row r="13023" spans="23:23">
      <c r="W13023" s="503"/>
    </row>
    <row r="13024" spans="23:23">
      <c r="W13024" s="503"/>
    </row>
    <row r="13025" spans="23:23">
      <c r="W13025" s="503"/>
    </row>
    <row r="13026" spans="23:23">
      <c r="W13026" s="503"/>
    </row>
    <row r="13027" spans="23:23">
      <c r="W13027" s="503"/>
    </row>
    <row r="13028" spans="23:23">
      <c r="W13028" s="503"/>
    </row>
    <row r="13029" spans="23:23">
      <c r="W13029" s="503"/>
    </row>
    <row r="13030" spans="23:23">
      <c r="W13030" s="503"/>
    </row>
    <row r="13031" spans="23:23">
      <c r="W13031" s="503"/>
    </row>
    <row r="13032" spans="23:23">
      <c r="W13032" s="503"/>
    </row>
    <row r="13033" spans="23:23">
      <c r="W13033" s="503"/>
    </row>
    <row r="13034" spans="23:23">
      <c r="W13034" s="503"/>
    </row>
    <row r="13035" spans="23:23">
      <c r="W13035" s="503"/>
    </row>
    <row r="13036" spans="23:23">
      <c r="W13036" s="503"/>
    </row>
    <row r="13037" spans="23:23">
      <c r="W13037" s="503"/>
    </row>
    <row r="13038" spans="23:23">
      <c r="W13038" s="503"/>
    </row>
    <row r="13039" spans="23:23">
      <c r="W13039" s="503"/>
    </row>
    <row r="13040" spans="23:23">
      <c r="W13040" s="503"/>
    </row>
    <row r="13041" spans="23:23">
      <c r="W13041" s="503"/>
    </row>
    <row r="13042" spans="23:23">
      <c r="W13042" s="503"/>
    </row>
    <row r="13043" spans="23:23">
      <c r="W13043" s="503"/>
    </row>
    <row r="13044" spans="23:23">
      <c r="W13044" s="503"/>
    </row>
    <row r="13045" spans="23:23">
      <c r="W13045" s="503"/>
    </row>
    <row r="13046" spans="23:23">
      <c r="W13046" s="503"/>
    </row>
    <row r="13047" spans="23:23">
      <c r="W13047" s="503"/>
    </row>
    <row r="13048" spans="23:23">
      <c r="W13048" s="503"/>
    </row>
    <row r="13049" spans="23:23">
      <c r="W13049" s="503"/>
    </row>
    <row r="13050" spans="23:23">
      <c r="W13050" s="503"/>
    </row>
    <row r="13051" spans="23:23">
      <c r="W13051" s="503"/>
    </row>
    <row r="13052" spans="23:23">
      <c r="W13052" s="503"/>
    </row>
    <row r="13053" spans="23:23">
      <c r="W13053" s="503"/>
    </row>
    <row r="13054" spans="23:23">
      <c r="W13054" s="503"/>
    </row>
    <row r="13055" spans="23:23">
      <c r="W13055" s="503"/>
    </row>
    <row r="13056" spans="23:23">
      <c r="W13056" s="503"/>
    </row>
    <row r="13057" spans="23:23">
      <c r="W13057" s="503"/>
    </row>
    <row r="13058" spans="23:23">
      <c r="W13058" s="503"/>
    </row>
    <row r="13059" spans="23:23">
      <c r="W13059" s="503"/>
    </row>
    <row r="13060" spans="23:23">
      <c r="W13060" s="503"/>
    </row>
    <row r="13061" spans="23:23">
      <c r="W13061" s="503"/>
    </row>
    <row r="13062" spans="23:23">
      <c r="W13062" s="503"/>
    </row>
    <row r="13063" spans="23:23">
      <c r="W13063" s="503"/>
    </row>
    <row r="13064" spans="23:23">
      <c r="W13064" s="503"/>
    </row>
    <row r="13065" spans="23:23">
      <c r="W13065" s="503"/>
    </row>
    <row r="13066" spans="23:23">
      <c r="W13066" s="503"/>
    </row>
    <row r="13067" spans="23:23">
      <c r="W13067" s="503"/>
    </row>
    <row r="13068" spans="23:23">
      <c r="W13068" s="503"/>
    </row>
    <row r="13069" spans="23:23">
      <c r="W13069" s="503"/>
    </row>
    <row r="13070" spans="23:23">
      <c r="W13070" s="503"/>
    </row>
    <row r="13071" spans="23:23">
      <c r="W13071" s="503"/>
    </row>
    <row r="13072" spans="23:23">
      <c r="W13072" s="503"/>
    </row>
    <row r="13073" spans="23:23">
      <c r="W13073" s="503"/>
    </row>
    <row r="13074" spans="23:23">
      <c r="W13074" s="503"/>
    </row>
    <row r="13075" spans="23:23">
      <c r="W13075" s="503"/>
    </row>
    <row r="13076" spans="23:23">
      <c r="W13076" s="503"/>
    </row>
    <row r="13077" spans="23:23">
      <c r="W13077" s="503"/>
    </row>
    <row r="13078" spans="23:23">
      <c r="W13078" s="503"/>
    </row>
    <row r="13079" spans="23:23">
      <c r="W13079" s="503"/>
    </row>
    <row r="13080" spans="23:23">
      <c r="W13080" s="503"/>
    </row>
    <row r="13081" spans="23:23">
      <c r="W13081" s="503"/>
    </row>
    <row r="13082" spans="23:23">
      <c r="W13082" s="503"/>
    </row>
    <row r="13083" spans="23:23">
      <c r="W13083" s="503"/>
    </row>
    <row r="13084" spans="23:23">
      <c r="W13084" s="503"/>
    </row>
    <row r="13085" spans="23:23">
      <c r="W13085" s="503"/>
    </row>
    <row r="13086" spans="23:23">
      <c r="W13086" s="503"/>
    </row>
    <row r="13087" spans="23:23">
      <c r="W13087" s="503"/>
    </row>
    <row r="13088" spans="23:23">
      <c r="W13088" s="503"/>
    </row>
    <row r="13089" spans="23:23">
      <c r="W13089" s="503"/>
    </row>
    <row r="13090" spans="23:23">
      <c r="W13090" s="503"/>
    </row>
    <row r="13091" spans="23:23">
      <c r="W13091" s="503"/>
    </row>
    <row r="13092" spans="23:23">
      <c r="W13092" s="503"/>
    </row>
    <row r="13093" spans="23:23">
      <c r="W13093" s="503"/>
    </row>
    <row r="13094" spans="23:23">
      <c r="W13094" s="503"/>
    </row>
    <row r="13095" spans="23:23">
      <c r="W13095" s="503"/>
    </row>
    <row r="13096" spans="23:23">
      <c r="W13096" s="503"/>
    </row>
    <row r="13097" spans="23:23">
      <c r="W13097" s="503"/>
    </row>
    <row r="13098" spans="23:23">
      <c r="W13098" s="503"/>
    </row>
    <row r="13099" spans="23:23">
      <c r="W13099" s="503"/>
    </row>
    <row r="13100" spans="23:23">
      <c r="W13100" s="503"/>
    </row>
    <row r="13101" spans="23:23">
      <c r="W13101" s="503"/>
    </row>
    <row r="13102" spans="23:23">
      <c r="W13102" s="503"/>
    </row>
    <row r="13103" spans="23:23">
      <c r="W13103" s="503"/>
    </row>
    <row r="13104" spans="23:23">
      <c r="W13104" s="503"/>
    </row>
    <row r="13105" spans="23:23">
      <c r="W13105" s="503"/>
    </row>
    <row r="13106" spans="23:23">
      <c r="W13106" s="503"/>
    </row>
    <row r="13107" spans="23:23">
      <c r="W13107" s="503"/>
    </row>
    <row r="13108" spans="23:23">
      <c r="W13108" s="503"/>
    </row>
    <row r="13109" spans="23:23">
      <c r="W13109" s="503"/>
    </row>
    <row r="13110" spans="23:23">
      <c r="W13110" s="503"/>
    </row>
    <row r="13111" spans="23:23">
      <c r="W13111" s="503"/>
    </row>
    <row r="13112" spans="23:23">
      <c r="W13112" s="503"/>
    </row>
    <row r="13113" spans="23:23">
      <c r="W13113" s="503"/>
    </row>
    <row r="13114" spans="23:23">
      <c r="W13114" s="503"/>
    </row>
    <row r="13115" spans="23:23">
      <c r="W13115" s="503"/>
    </row>
    <row r="13116" spans="23:23">
      <c r="W13116" s="503"/>
    </row>
    <row r="13117" spans="23:23">
      <c r="W13117" s="503"/>
    </row>
    <row r="13118" spans="23:23">
      <c r="W13118" s="503"/>
    </row>
    <row r="13119" spans="23:23">
      <c r="W13119" s="503"/>
    </row>
    <row r="13120" spans="23:23">
      <c r="W13120" s="503"/>
    </row>
    <row r="13121" spans="23:23">
      <c r="W13121" s="503"/>
    </row>
    <row r="13122" spans="23:23">
      <c r="W13122" s="503"/>
    </row>
    <row r="13123" spans="23:23">
      <c r="W13123" s="503"/>
    </row>
    <row r="13124" spans="23:23">
      <c r="W13124" s="503"/>
    </row>
    <row r="13125" spans="23:23">
      <c r="W13125" s="503"/>
    </row>
    <row r="13126" spans="23:23">
      <c r="W13126" s="503"/>
    </row>
    <row r="13127" spans="23:23">
      <c r="W13127" s="503"/>
    </row>
    <row r="13128" spans="23:23">
      <c r="W13128" s="503"/>
    </row>
    <row r="13129" spans="23:23">
      <c r="W13129" s="503"/>
    </row>
    <row r="13130" spans="23:23">
      <c r="W13130" s="503"/>
    </row>
    <row r="13131" spans="23:23">
      <c r="W13131" s="503"/>
    </row>
    <row r="13132" spans="23:23">
      <c r="W13132" s="503"/>
    </row>
    <row r="13133" spans="23:23">
      <c r="W13133" s="503"/>
    </row>
    <row r="13134" spans="23:23">
      <c r="W13134" s="503"/>
    </row>
    <row r="13135" spans="23:23">
      <c r="W13135" s="503"/>
    </row>
    <row r="13136" spans="23:23">
      <c r="W13136" s="503"/>
    </row>
    <row r="13137" spans="23:23">
      <c r="W13137" s="503"/>
    </row>
    <row r="13138" spans="23:23">
      <c r="W13138" s="503"/>
    </row>
    <row r="13139" spans="23:23">
      <c r="W13139" s="503"/>
    </row>
    <row r="13140" spans="23:23">
      <c r="W13140" s="503"/>
    </row>
    <row r="13141" spans="23:23">
      <c r="W13141" s="503"/>
    </row>
    <row r="13142" spans="23:23">
      <c r="W13142" s="503"/>
    </row>
    <row r="13143" spans="23:23">
      <c r="W13143" s="503"/>
    </row>
    <row r="13144" spans="23:23">
      <c r="W13144" s="503"/>
    </row>
    <row r="13145" spans="23:23">
      <c r="W13145" s="503"/>
    </row>
    <row r="13146" spans="23:23">
      <c r="W13146" s="503"/>
    </row>
    <row r="13147" spans="23:23">
      <c r="W13147" s="503"/>
    </row>
    <row r="13148" spans="23:23">
      <c r="W13148" s="503"/>
    </row>
    <row r="13149" spans="23:23">
      <c r="W13149" s="503"/>
    </row>
    <row r="13150" spans="23:23">
      <c r="W13150" s="503"/>
    </row>
    <row r="13151" spans="23:23">
      <c r="W13151" s="503"/>
    </row>
    <row r="13152" spans="23:23">
      <c r="W13152" s="503"/>
    </row>
    <row r="13153" spans="23:23">
      <c r="W13153" s="503"/>
    </row>
    <row r="13154" spans="23:23">
      <c r="W13154" s="503"/>
    </row>
    <row r="13155" spans="23:23">
      <c r="W13155" s="503"/>
    </row>
    <row r="13156" spans="23:23">
      <c r="W13156" s="503"/>
    </row>
    <row r="13157" spans="23:23">
      <c r="W13157" s="503"/>
    </row>
    <row r="13158" spans="23:23">
      <c r="W13158" s="503"/>
    </row>
    <row r="13159" spans="23:23">
      <c r="W13159" s="503"/>
    </row>
    <row r="13160" spans="23:23">
      <c r="W13160" s="503"/>
    </row>
    <row r="13161" spans="23:23">
      <c r="W13161" s="503"/>
    </row>
    <row r="13162" spans="23:23">
      <c r="W13162" s="503"/>
    </row>
    <row r="13163" spans="23:23">
      <c r="W13163" s="503"/>
    </row>
    <row r="13164" spans="23:23">
      <c r="W13164" s="503"/>
    </row>
    <row r="13165" spans="23:23">
      <c r="W13165" s="503"/>
    </row>
    <row r="13166" spans="23:23">
      <c r="W13166" s="503"/>
    </row>
    <row r="13167" spans="23:23">
      <c r="W13167" s="503"/>
    </row>
    <row r="13168" spans="23:23">
      <c r="W13168" s="503"/>
    </row>
    <row r="13169" spans="23:23">
      <c r="W13169" s="503"/>
    </row>
    <row r="13170" spans="23:23">
      <c r="W13170" s="503"/>
    </row>
    <row r="13171" spans="23:23">
      <c r="W13171" s="503"/>
    </row>
    <row r="13172" spans="23:23">
      <c r="W13172" s="503"/>
    </row>
    <row r="13173" spans="23:23">
      <c r="W13173" s="503"/>
    </row>
    <row r="13174" spans="23:23">
      <c r="W13174" s="503"/>
    </row>
    <row r="13175" spans="23:23">
      <c r="W13175" s="503"/>
    </row>
    <row r="13176" spans="23:23">
      <c r="W13176" s="503"/>
    </row>
    <row r="13177" spans="23:23">
      <c r="W13177" s="503"/>
    </row>
    <row r="13178" spans="23:23">
      <c r="W13178" s="503"/>
    </row>
    <row r="13179" spans="23:23">
      <c r="W13179" s="503"/>
    </row>
    <row r="13180" spans="23:23">
      <c r="W13180" s="503"/>
    </row>
    <row r="13181" spans="23:23">
      <c r="W13181" s="503"/>
    </row>
    <row r="13182" spans="23:23">
      <c r="W13182" s="503"/>
    </row>
    <row r="13183" spans="23:23">
      <c r="W13183" s="503"/>
    </row>
    <row r="13184" spans="23:23">
      <c r="W13184" s="503"/>
    </row>
    <row r="13185" spans="23:23">
      <c r="W13185" s="503"/>
    </row>
    <row r="13186" spans="23:23">
      <c r="W13186" s="503"/>
    </row>
    <row r="13187" spans="23:23">
      <c r="W13187" s="503"/>
    </row>
    <row r="13188" spans="23:23">
      <c r="W13188" s="503"/>
    </row>
    <row r="13189" spans="23:23">
      <c r="W13189" s="503"/>
    </row>
    <row r="13190" spans="23:23">
      <c r="W13190" s="503"/>
    </row>
    <row r="13191" spans="23:23">
      <c r="W13191" s="503"/>
    </row>
    <row r="13192" spans="23:23">
      <c r="W13192" s="503"/>
    </row>
    <row r="13193" spans="23:23">
      <c r="W13193" s="503"/>
    </row>
    <row r="13194" spans="23:23">
      <c r="W13194" s="503"/>
    </row>
    <row r="13195" spans="23:23">
      <c r="W13195" s="503"/>
    </row>
    <row r="13196" spans="23:23">
      <c r="W13196" s="503"/>
    </row>
    <row r="13197" spans="23:23">
      <c r="W13197" s="503"/>
    </row>
    <row r="13198" spans="23:23">
      <c r="W13198" s="503"/>
    </row>
    <row r="13199" spans="23:23">
      <c r="W13199" s="503"/>
    </row>
    <row r="13200" spans="23:23">
      <c r="W13200" s="503"/>
    </row>
    <row r="13201" spans="23:23">
      <c r="W13201" s="503"/>
    </row>
    <row r="13202" spans="23:23">
      <c r="W13202" s="503"/>
    </row>
    <row r="13203" spans="23:23">
      <c r="W13203" s="503"/>
    </row>
    <row r="13204" spans="23:23">
      <c r="W13204" s="503"/>
    </row>
    <row r="13205" spans="23:23">
      <c r="W13205" s="503"/>
    </row>
    <row r="13206" spans="23:23">
      <c r="W13206" s="503"/>
    </row>
    <row r="13207" spans="23:23">
      <c r="W13207" s="503"/>
    </row>
    <row r="13208" spans="23:23">
      <c r="W13208" s="503"/>
    </row>
    <row r="13209" spans="23:23">
      <c r="W13209" s="503"/>
    </row>
    <row r="13210" spans="23:23">
      <c r="W13210" s="503"/>
    </row>
    <row r="13211" spans="23:23">
      <c r="W13211" s="503"/>
    </row>
    <row r="13212" spans="23:23">
      <c r="W13212" s="503"/>
    </row>
    <row r="13213" spans="23:23">
      <c r="W13213" s="503"/>
    </row>
    <row r="13214" spans="23:23">
      <c r="W13214" s="503"/>
    </row>
    <row r="13215" spans="23:23">
      <c r="W13215" s="503"/>
    </row>
    <row r="13216" spans="23:23">
      <c r="W13216" s="503"/>
    </row>
    <row r="13217" spans="23:23">
      <c r="W13217" s="503"/>
    </row>
    <row r="13218" spans="23:23">
      <c r="W13218" s="503"/>
    </row>
    <row r="13219" spans="23:23">
      <c r="W13219" s="503"/>
    </row>
    <row r="13220" spans="23:23">
      <c r="W13220" s="503"/>
    </row>
    <row r="13221" spans="23:23">
      <c r="W13221" s="503"/>
    </row>
    <row r="13222" spans="23:23">
      <c r="W13222" s="503"/>
    </row>
    <row r="13223" spans="23:23">
      <c r="W13223" s="503"/>
    </row>
    <row r="13224" spans="23:23">
      <c r="W13224" s="503"/>
    </row>
    <row r="13225" spans="23:23">
      <c r="W13225" s="503"/>
    </row>
    <row r="13226" spans="23:23">
      <c r="W13226" s="503"/>
    </row>
    <row r="13227" spans="23:23">
      <c r="W13227" s="503"/>
    </row>
    <row r="13228" spans="23:23">
      <c r="W13228" s="503"/>
    </row>
    <row r="13229" spans="23:23">
      <c r="W13229" s="503"/>
    </row>
    <row r="13230" spans="23:23">
      <c r="W13230" s="503"/>
    </row>
    <row r="13231" spans="23:23">
      <c r="W13231" s="503"/>
    </row>
    <row r="13232" spans="23:23">
      <c r="W13232" s="503"/>
    </row>
    <row r="13233" spans="23:23">
      <c r="W13233" s="503"/>
    </row>
    <row r="13234" spans="23:23">
      <c r="W13234" s="503"/>
    </row>
    <row r="13235" spans="23:23">
      <c r="W13235" s="503"/>
    </row>
    <row r="13236" spans="23:23">
      <c r="W13236" s="503"/>
    </row>
    <row r="13237" spans="23:23">
      <c r="W13237" s="503"/>
    </row>
    <row r="13238" spans="23:23">
      <c r="W13238" s="503"/>
    </row>
    <row r="13239" spans="23:23">
      <c r="W13239" s="503"/>
    </row>
    <row r="13240" spans="23:23">
      <c r="W13240" s="503"/>
    </row>
    <row r="13241" spans="23:23">
      <c r="W13241" s="503"/>
    </row>
    <row r="13242" spans="23:23">
      <c r="W13242" s="503"/>
    </row>
    <row r="13243" spans="23:23">
      <c r="W13243" s="503"/>
    </row>
    <row r="13244" spans="23:23">
      <c r="W13244" s="503"/>
    </row>
    <row r="13245" spans="23:23">
      <c r="W13245" s="503"/>
    </row>
    <row r="13246" spans="23:23">
      <c r="W13246" s="503"/>
    </row>
    <row r="13247" spans="23:23">
      <c r="W13247" s="503"/>
    </row>
    <row r="13248" spans="23:23">
      <c r="W13248" s="503"/>
    </row>
    <row r="13249" spans="23:23">
      <c r="W13249" s="503"/>
    </row>
    <row r="13250" spans="23:23">
      <c r="W13250" s="503"/>
    </row>
    <row r="13251" spans="23:23">
      <c r="W13251" s="503"/>
    </row>
    <row r="13252" spans="23:23">
      <c r="W13252" s="503"/>
    </row>
    <row r="13253" spans="23:23">
      <c r="W13253" s="503"/>
    </row>
    <row r="13254" spans="23:23">
      <c r="W13254" s="503"/>
    </row>
    <row r="13255" spans="23:23">
      <c r="W13255" s="503"/>
    </row>
    <row r="13256" spans="23:23">
      <c r="W13256" s="503"/>
    </row>
    <row r="13257" spans="23:23">
      <c r="W13257" s="503"/>
    </row>
    <row r="13258" spans="23:23">
      <c r="W13258" s="503"/>
    </row>
    <row r="13259" spans="23:23">
      <c r="W13259" s="503"/>
    </row>
    <row r="13260" spans="23:23">
      <c r="W13260" s="503"/>
    </row>
    <row r="13261" spans="23:23">
      <c r="W13261" s="503"/>
    </row>
    <row r="13262" spans="23:23">
      <c r="W13262" s="503"/>
    </row>
    <row r="13263" spans="23:23">
      <c r="W13263" s="503"/>
    </row>
    <row r="13264" spans="23:23">
      <c r="W13264" s="503"/>
    </row>
    <row r="13265" spans="23:23">
      <c r="W13265" s="503"/>
    </row>
    <row r="13266" spans="23:23">
      <c r="W13266" s="503"/>
    </row>
    <row r="13267" spans="23:23">
      <c r="W13267" s="503"/>
    </row>
    <row r="13268" spans="23:23">
      <c r="W13268" s="503"/>
    </row>
    <row r="13269" spans="23:23">
      <c r="W13269" s="503"/>
    </row>
    <row r="13270" spans="23:23">
      <c r="W13270" s="503"/>
    </row>
    <row r="13271" spans="23:23">
      <c r="W13271" s="503"/>
    </row>
    <row r="13272" spans="23:23">
      <c r="W13272" s="503"/>
    </row>
    <row r="13273" spans="23:23">
      <c r="W13273" s="503"/>
    </row>
    <row r="13274" spans="23:23">
      <c r="W13274" s="503"/>
    </row>
    <row r="13275" spans="23:23">
      <c r="W13275" s="503"/>
    </row>
    <row r="13276" spans="23:23">
      <c r="W13276" s="503"/>
    </row>
    <row r="13277" spans="23:23">
      <c r="W13277" s="503"/>
    </row>
    <row r="13278" spans="23:23">
      <c r="W13278" s="503"/>
    </row>
    <row r="13279" spans="23:23">
      <c r="W13279" s="503"/>
    </row>
    <row r="13280" spans="23:23">
      <c r="W13280" s="503"/>
    </row>
    <row r="13281" spans="23:23">
      <c r="W13281" s="503"/>
    </row>
    <row r="13282" spans="23:23">
      <c r="W13282" s="503"/>
    </row>
    <row r="13283" spans="23:23">
      <c r="W13283" s="503"/>
    </row>
    <row r="13284" spans="23:23">
      <c r="W13284" s="503"/>
    </row>
    <row r="13285" spans="23:23">
      <c r="W13285" s="503"/>
    </row>
    <row r="13286" spans="23:23">
      <c r="W13286" s="503"/>
    </row>
    <row r="13287" spans="23:23">
      <c r="W13287" s="503"/>
    </row>
    <row r="13288" spans="23:23">
      <c r="W13288" s="503"/>
    </row>
    <row r="13289" spans="23:23">
      <c r="W13289" s="503"/>
    </row>
    <row r="13290" spans="23:23">
      <c r="W13290" s="503"/>
    </row>
    <row r="13291" spans="23:23">
      <c r="W13291" s="503"/>
    </row>
    <row r="13292" spans="23:23">
      <c r="W13292" s="503"/>
    </row>
    <row r="13293" spans="23:23">
      <c r="W13293" s="503"/>
    </row>
    <row r="13294" spans="23:23">
      <c r="W13294" s="503"/>
    </row>
    <row r="13295" spans="23:23">
      <c r="W13295" s="503"/>
    </row>
    <row r="13296" spans="23:23">
      <c r="W13296" s="503"/>
    </row>
    <row r="13297" spans="23:23">
      <c r="W13297" s="503"/>
    </row>
    <row r="13298" spans="23:23">
      <c r="W13298" s="503"/>
    </row>
    <row r="13299" spans="23:23">
      <c r="W13299" s="503"/>
    </row>
    <row r="13300" spans="23:23">
      <c r="W13300" s="503"/>
    </row>
    <row r="13301" spans="23:23">
      <c r="W13301" s="503"/>
    </row>
    <row r="13302" spans="23:23">
      <c r="W13302" s="503"/>
    </row>
    <row r="13303" spans="23:23">
      <c r="W13303" s="503"/>
    </row>
    <row r="13304" spans="23:23">
      <c r="W13304" s="503"/>
    </row>
    <row r="13305" spans="23:23">
      <c r="W13305" s="503"/>
    </row>
    <row r="13306" spans="23:23">
      <c r="W13306" s="503"/>
    </row>
    <row r="13307" spans="23:23">
      <c r="W13307" s="503"/>
    </row>
    <row r="13308" spans="23:23">
      <c r="W13308" s="503"/>
    </row>
    <row r="13309" spans="23:23">
      <c r="W13309" s="503"/>
    </row>
    <row r="13310" spans="23:23">
      <c r="W13310" s="503"/>
    </row>
    <row r="13311" spans="23:23">
      <c r="W13311" s="503"/>
    </row>
    <row r="13312" spans="23:23">
      <c r="W13312" s="503"/>
    </row>
    <row r="13313" spans="23:23">
      <c r="W13313" s="503"/>
    </row>
    <row r="13314" spans="23:23">
      <c r="W13314" s="503"/>
    </row>
    <row r="13315" spans="23:23">
      <c r="W13315" s="503"/>
    </row>
    <row r="13316" spans="23:23">
      <c r="W13316" s="503"/>
    </row>
    <row r="13317" spans="23:23">
      <c r="W13317" s="503"/>
    </row>
    <row r="13318" spans="23:23">
      <c r="W13318" s="503"/>
    </row>
    <row r="13319" spans="23:23">
      <c r="W13319" s="503"/>
    </row>
    <row r="13320" spans="23:23">
      <c r="W13320" s="503"/>
    </row>
    <row r="13321" spans="23:23">
      <c r="W13321" s="503"/>
    </row>
    <row r="13322" spans="23:23">
      <c r="W13322" s="503"/>
    </row>
    <row r="13323" spans="23:23">
      <c r="W13323" s="503"/>
    </row>
    <row r="13324" spans="23:23">
      <c r="W13324" s="503"/>
    </row>
    <row r="13325" spans="23:23">
      <c r="W13325" s="503"/>
    </row>
    <row r="13326" spans="23:23">
      <c r="W13326" s="503"/>
    </row>
    <row r="13327" spans="23:23">
      <c r="W13327" s="503"/>
    </row>
    <row r="13328" spans="23:23">
      <c r="W13328" s="503"/>
    </row>
    <row r="13329" spans="23:23">
      <c r="W13329" s="503"/>
    </row>
    <row r="13330" spans="23:23">
      <c r="W13330" s="503"/>
    </row>
    <row r="13331" spans="23:23">
      <c r="W13331" s="503"/>
    </row>
    <row r="13332" spans="23:23">
      <c r="W13332" s="503"/>
    </row>
    <row r="13333" spans="23:23">
      <c r="W13333" s="503"/>
    </row>
    <row r="13334" spans="23:23">
      <c r="W13334" s="503"/>
    </row>
    <row r="13335" spans="23:23">
      <c r="W13335" s="503"/>
    </row>
    <row r="13336" spans="23:23">
      <c r="W13336" s="503"/>
    </row>
    <row r="13337" spans="23:23">
      <c r="W13337" s="503"/>
    </row>
    <row r="13338" spans="23:23">
      <c r="W13338" s="503"/>
    </row>
    <row r="13339" spans="23:23">
      <c r="W13339" s="503"/>
    </row>
    <row r="13340" spans="23:23">
      <c r="W13340" s="503"/>
    </row>
    <row r="13341" spans="23:23">
      <c r="W13341" s="503"/>
    </row>
    <row r="13342" spans="23:23">
      <c r="W13342" s="503"/>
    </row>
    <row r="13343" spans="23:23">
      <c r="W13343" s="503"/>
    </row>
    <row r="13344" spans="23:23">
      <c r="W13344" s="503"/>
    </row>
    <row r="13345" spans="23:23">
      <c r="W13345" s="503"/>
    </row>
    <row r="13346" spans="23:23">
      <c r="W13346" s="503"/>
    </row>
    <row r="13347" spans="23:23">
      <c r="W13347" s="503"/>
    </row>
    <row r="13348" spans="23:23">
      <c r="W13348" s="503"/>
    </row>
    <row r="13349" spans="23:23">
      <c r="W13349" s="503"/>
    </row>
    <row r="13350" spans="23:23">
      <c r="W13350" s="503"/>
    </row>
    <row r="13351" spans="23:23">
      <c r="W13351" s="503"/>
    </row>
    <row r="13352" spans="23:23">
      <c r="W13352" s="503"/>
    </row>
    <row r="13353" spans="23:23">
      <c r="W13353" s="503"/>
    </row>
    <row r="13354" spans="23:23">
      <c r="W13354" s="503"/>
    </row>
    <row r="13355" spans="23:23">
      <c r="W13355" s="503"/>
    </row>
    <row r="13356" spans="23:23">
      <c r="W13356" s="503"/>
    </row>
    <row r="13357" spans="23:23">
      <c r="W13357" s="503"/>
    </row>
    <row r="13358" spans="23:23">
      <c r="W13358" s="503"/>
    </row>
    <row r="13359" spans="23:23">
      <c r="W13359" s="503"/>
    </row>
    <row r="13360" spans="23:23">
      <c r="W13360" s="503"/>
    </row>
    <row r="13361" spans="23:23">
      <c r="W13361" s="503"/>
    </row>
    <row r="13362" spans="23:23">
      <c r="W13362" s="503"/>
    </row>
    <row r="13363" spans="23:23">
      <c r="W13363" s="503"/>
    </row>
    <row r="13364" spans="23:23">
      <c r="W13364" s="503"/>
    </row>
    <row r="13365" spans="23:23">
      <c r="W13365" s="503"/>
    </row>
    <row r="13366" spans="23:23">
      <c r="W13366" s="503"/>
    </row>
    <row r="13367" spans="23:23">
      <c r="W13367" s="503"/>
    </row>
    <row r="13368" spans="23:23">
      <c r="W13368" s="503"/>
    </row>
    <row r="13369" spans="23:23">
      <c r="W13369" s="503"/>
    </row>
    <row r="13370" spans="23:23">
      <c r="W13370" s="503"/>
    </row>
    <row r="13371" spans="23:23">
      <c r="W13371" s="503"/>
    </row>
    <row r="13372" spans="23:23">
      <c r="W13372" s="503"/>
    </row>
    <row r="13373" spans="23:23">
      <c r="W13373" s="503"/>
    </row>
    <row r="13374" spans="23:23">
      <c r="W13374" s="503"/>
    </row>
    <row r="13375" spans="23:23">
      <c r="W13375" s="503"/>
    </row>
    <row r="13376" spans="23:23">
      <c r="W13376" s="503"/>
    </row>
    <row r="13377" spans="23:23">
      <c r="W13377" s="503"/>
    </row>
    <row r="13378" spans="23:23">
      <c r="W13378" s="503"/>
    </row>
    <row r="13379" spans="23:23">
      <c r="W13379" s="503"/>
    </row>
    <row r="13380" spans="23:23">
      <c r="W13380" s="503"/>
    </row>
    <row r="13381" spans="23:23">
      <c r="W13381" s="503"/>
    </row>
    <row r="13382" spans="23:23">
      <c r="W13382" s="503"/>
    </row>
    <row r="13383" spans="23:23">
      <c r="W13383" s="503"/>
    </row>
    <row r="13384" spans="23:23">
      <c r="W13384" s="503"/>
    </row>
    <row r="13385" spans="23:23">
      <c r="W13385" s="503"/>
    </row>
    <row r="13386" spans="23:23">
      <c r="W13386" s="503"/>
    </row>
    <row r="13387" spans="23:23">
      <c r="W13387" s="503"/>
    </row>
    <row r="13388" spans="23:23">
      <c r="W13388" s="503"/>
    </row>
    <row r="13389" spans="23:23">
      <c r="W13389" s="503"/>
    </row>
    <row r="13390" spans="23:23">
      <c r="W13390" s="503"/>
    </row>
    <row r="13391" spans="23:23">
      <c r="W13391" s="503"/>
    </row>
    <row r="13392" spans="23:23">
      <c r="W13392" s="503"/>
    </row>
    <row r="13393" spans="23:23">
      <c r="W13393" s="503"/>
    </row>
    <row r="13394" spans="23:23">
      <c r="W13394" s="503"/>
    </row>
    <row r="13395" spans="23:23">
      <c r="W13395" s="503"/>
    </row>
    <row r="13396" spans="23:23">
      <c r="W13396" s="503"/>
    </row>
    <row r="13397" spans="23:23">
      <c r="W13397" s="503"/>
    </row>
    <row r="13398" spans="23:23">
      <c r="W13398" s="503"/>
    </row>
    <row r="13399" spans="23:23">
      <c r="W13399" s="503"/>
    </row>
    <row r="13400" spans="23:23">
      <c r="W13400" s="503"/>
    </row>
    <row r="13401" spans="23:23">
      <c r="W13401" s="503"/>
    </row>
    <row r="13402" spans="23:23">
      <c r="W13402" s="503"/>
    </row>
    <row r="13403" spans="23:23">
      <c r="W13403" s="503"/>
    </row>
    <row r="13404" spans="23:23">
      <c r="W13404" s="503"/>
    </row>
    <row r="13405" spans="23:23">
      <c r="W13405" s="503"/>
    </row>
    <row r="13406" spans="23:23">
      <c r="W13406" s="503"/>
    </row>
    <row r="13407" spans="23:23">
      <c r="W13407" s="503"/>
    </row>
    <row r="13408" spans="23:23">
      <c r="W13408" s="503"/>
    </row>
    <row r="13409" spans="23:23">
      <c r="W13409" s="503"/>
    </row>
    <row r="13410" spans="23:23">
      <c r="W13410" s="503"/>
    </row>
    <row r="13411" spans="23:23">
      <c r="W13411" s="503"/>
    </row>
    <row r="13412" spans="23:23">
      <c r="W13412" s="503"/>
    </row>
    <row r="13413" spans="23:23">
      <c r="W13413" s="503"/>
    </row>
    <row r="13414" spans="23:23">
      <c r="W13414" s="503"/>
    </row>
    <row r="13415" spans="23:23">
      <c r="W13415" s="503"/>
    </row>
    <row r="13416" spans="23:23">
      <c r="W13416" s="503"/>
    </row>
    <row r="13417" spans="23:23">
      <c r="W13417" s="503"/>
    </row>
    <row r="13418" spans="23:23">
      <c r="W13418" s="503"/>
    </row>
    <row r="13419" spans="23:23">
      <c r="W13419" s="503"/>
    </row>
    <row r="13420" spans="23:23">
      <c r="W13420" s="503"/>
    </row>
    <row r="13421" spans="23:23">
      <c r="W13421" s="503"/>
    </row>
    <row r="13422" spans="23:23">
      <c r="W13422" s="503"/>
    </row>
    <row r="13423" spans="23:23">
      <c r="W13423" s="503"/>
    </row>
    <row r="13424" spans="23:23">
      <c r="W13424" s="503"/>
    </row>
    <row r="13425" spans="23:23">
      <c r="W13425" s="503"/>
    </row>
    <row r="13426" spans="23:23">
      <c r="W13426" s="503"/>
    </row>
    <row r="13427" spans="23:23">
      <c r="W13427" s="503"/>
    </row>
    <row r="13428" spans="23:23">
      <c r="W13428" s="503"/>
    </row>
    <row r="13429" spans="23:23">
      <c r="W13429" s="503"/>
    </row>
    <row r="13430" spans="23:23">
      <c r="W13430" s="503"/>
    </row>
    <row r="13431" spans="23:23">
      <c r="W13431" s="503"/>
    </row>
    <row r="13432" spans="23:23">
      <c r="W13432" s="503"/>
    </row>
    <row r="13433" spans="23:23">
      <c r="W13433" s="503"/>
    </row>
    <row r="13434" spans="23:23">
      <c r="W13434" s="503"/>
    </row>
    <row r="13435" spans="23:23">
      <c r="W13435" s="503"/>
    </row>
    <row r="13436" spans="23:23">
      <c r="W13436" s="503"/>
    </row>
    <row r="13437" spans="23:23">
      <c r="W13437" s="503"/>
    </row>
    <row r="13438" spans="23:23">
      <c r="W13438" s="503"/>
    </row>
    <row r="13439" spans="23:23">
      <c r="W13439" s="503"/>
    </row>
    <row r="13440" spans="23:23">
      <c r="W13440" s="503"/>
    </row>
    <row r="13441" spans="23:23">
      <c r="W13441" s="503"/>
    </row>
    <row r="13442" spans="23:23">
      <c r="W13442" s="503"/>
    </row>
    <row r="13443" spans="23:23">
      <c r="W13443" s="503"/>
    </row>
    <row r="13444" spans="23:23">
      <c r="W13444" s="503"/>
    </row>
    <row r="13445" spans="23:23">
      <c r="W13445" s="503"/>
    </row>
    <row r="13446" spans="23:23">
      <c r="W13446" s="503"/>
    </row>
    <row r="13447" spans="23:23">
      <c r="W13447" s="503"/>
    </row>
    <row r="13448" spans="23:23">
      <c r="W13448" s="503"/>
    </row>
    <row r="13449" spans="23:23">
      <c r="W13449" s="503"/>
    </row>
    <row r="13450" spans="23:23">
      <c r="W13450" s="503"/>
    </row>
    <row r="13451" spans="23:23">
      <c r="W13451" s="503"/>
    </row>
    <row r="13452" spans="23:23">
      <c r="W13452" s="503"/>
    </row>
    <row r="13453" spans="23:23">
      <c r="W13453" s="503"/>
    </row>
    <row r="13454" spans="23:23">
      <c r="W13454" s="503"/>
    </row>
    <row r="13455" spans="23:23">
      <c r="W13455" s="503"/>
    </row>
    <row r="13456" spans="23:23">
      <c r="W13456" s="503"/>
    </row>
    <row r="13457" spans="23:23">
      <c r="W13457" s="503"/>
    </row>
    <row r="13458" spans="23:23">
      <c r="W13458" s="503"/>
    </row>
    <row r="13459" spans="23:23">
      <c r="W13459" s="503"/>
    </row>
    <row r="13460" spans="23:23">
      <c r="W13460" s="503"/>
    </row>
    <row r="13461" spans="23:23">
      <c r="W13461" s="503"/>
    </row>
    <row r="13462" spans="23:23">
      <c r="W13462" s="503"/>
    </row>
    <row r="13463" spans="23:23">
      <c r="W13463" s="503"/>
    </row>
    <row r="13464" spans="23:23">
      <c r="W13464" s="503"/>
    </row>
    <row r="13465" spans="23:23">
      <c r="W13465" s="503"/>
    </row>
    <row r="13466" spans="23:23">
      <c r="W13466" s="503"/>
    </row>
    <row r="13467" spans="23:23">
      <c r="W13467" s="503"/>
    </row>
    <row r="13468" spans="23:23">
      <c r="W13468" s="503"/>
    </row>
    <row r="13469" spans="23:23">
      <c r="W13469" s="503"/>
    </row>
    <row r="13470" spans="23:23">
      <c r="W13470" s="503"/>
    </row>
    <row r="13471" spans="23:23">
      <c r="W13471" s="503"/>
    </row>
    <row r="13472" spans="23:23">
      <c r="W13472" s="503"/>
    </row>
    <row r="13473" spans="23:23">
      <c r="W13473" s="503"/>
    </row>
    <row r="13474" spans="23:23">
      <c r="W13474" s="503"/>
    </row>
    <row r="13475" spans="23:23">
      <c r="W13475" s="503"/>
    </row>
    <row r="13476" spans="23:23">
      <c r="W13476" s="503"/>
    </row>
    <row r="13477" spans="23:23">
      <c r="W13477" s="503"/>
    </row>
    <row r="13478" spans="23:23">
      <c r="W13478" s="503"/>
    </row>
    <row r="13479" spans="23:23">
      <c r="W13479" s="503"/>
    </row>
    <row r="13480" spans="23:23">
      <c r="W13480" s="503"/>
    </row>
    <row r="13481" spans="23:23">
      <c r="W13481" s="503"/>
    </row>
    <row r="13482" spans="23:23">
      <c r="W13482" s="503"/>
    </row>
    <row r="13483" spans="23:23">
      <c r="W13483" s="503"/>
    </row>
    <row r="13484" spans="23:23">
      <c r="W13484" s="503"/>
    </row>
    <row r="13485" spans="23:23">
      <c r="W13485" s="503"/>
    </row>
    <row r="13486" spans="23:23">
      <c r="W13486" s="503"/>
    </row>
    <row r="13487" spans="23:23">
      <c r="W13487" s="503"/>
    </row>
    <row r="13488" spans="23:23">
      <c r="W13488" s="503"/>
    </row>
    <row r="13489" spans="23:23">
      <c r="W13489" s="503"/>
    </row>
    <row r="13490" spans="23:23">
      <c r="W13490" s="503"/>
    </row>
    <row r="13491" spans="23:23">
      <c r="W13491" s="503"/>
    </row>
    <row r="13492" spans="23:23">
      <c r="W13492" s="503"/>
    </row>
    <row r="13493" spans="23:23">
      <c r="W13493" s="503"/>
    </row>
    <row r="13494" spans="23:23">
      <c r="W13494" s="503"/>
    </row>
    <row r="13495" spans="23:23">
      <c r="W13495" s="503"/>
    </row>
    <row r="13496" spans="23:23">
      <c r="W13496" s="503"/>
    </row>
    <row r="13497" spans="23:23">
      <c r="W13497" s="503"/>
    </row>
    <row r="13498" spans="23:23">
      <c r="W13498" s="503"/>
    </row>
    <row r="13499" spans="23:23">
      <c r="W13499" s="503"/>
    </row>
    <row r="13500" spans="23:23">
      <c r="W13500" s="503"/>
    </row>
    <row r="13501" spans="23:23">
      <c r="W13501" s="503"/>
    </row>
    <row r="13502" spans="23:23">
      <c r="W13502" s="503"/>
    </row>
    <row r="13503" spans="23:23">
      <c r="W13503" s="503"/>
    </row>
    <row r="13504" spans="23:23">
      <c r="W13504" s="503"/>
    </row>
    <row r="13505" spans="23:23">
      <c r="W13505" s="503"/>
    </row>
    <row r="13506" spans="23:23">
      <c r="W13506" s="503"/>
    </row>
    <row r="13507" spans="23:23">
      <c r="W13507" s="503"/>
    </row>
    <row r="13508" spans="23:23">
      <c r="W13508" s="503"/>
    </row>
    <row r="13509" spans="23:23">
      <c r="W13509" s="503"/>
    </row>
    <row r="13510" spans="23:23">
      <c r="W13510" s="503"/>
    </row>
    <row r="13511" spans="23:23">
      <c r="W13511" s="503"/>
    </row>
    <row r="13512" spans="23:23">
      <c r="W13512" s="503"/>
    </row>
    <row r="13513" spans="23:23">
      <c r="W13513" s="503"/>
    </row>
    <row r="13514" spans="23:23">
      <c r="W13514" s="503"/>
    </row>
    <row r="13515" spans="23:23">
      <c r="W13515" s="503"/>
    </row>
    <row r="13516" spans="23:23">
      <c r="W13516" s="503"/>
    </row>
    <row r="13517" spans="23:23">
      <c r="W13517" s="503"/>
    </row>
    <row r="13518" spans="23:23">
      <c r="W13518" s="503"/>
    </row>
    <row r="13519" spans="23:23">
      <c r="W13519" s="503"/>
    </row>
    <row r="13520" spans="23:23">
      <c r="W13520" s="503"/>
    </row>
    <row r="13521" spans="23:23">
      <c r="W13521" s="503"/>
    </row>
    <row r="13522" spans="23:23">
      <c r="W13522" s="503"/>
    </row>
    <row r="13523" spans="23:23">
      <c r="W13523" s="503"/>
    </row>
    <row r="13524" spans="23:23">
      <c r="W13524" s="503"/>
    </row>
    <row r="13525" spans="23:23">
      <c r="W13525" s="503"/>
    </row>
    <row r="13526" spans="23:23">
      <c r="W13526" s="503"/>
    </row>
    <row r="13527" spans="23:23">
      <c r="W13527" s="503"/>
    </row>
    <row r="13528" spans="23:23">
      <c r="W13528" s="503"/>
    </row>
    <row r="13529" spans="23:23">
      <c r="W13529" s="503"/>
    </row>
    <row r="13530" spans="23:23">
      <c r="W13530" s="503"/>
    </row>
    <row r="13531" spans="23:23">
      <c r="W13531" s="503"/>
    </row>
    <row r="13532" spans="23:23">
      <c r="W13532" s="503"/>
    </row>
    <row r="13533" spans="23:23">
      <c r="W13533" s="503"/>
    </row>
    <row r="13534" spans="23:23">
      <c r="W13534" s="503"/>
    </row>
    <row r="13535" spans="23:23">
      <c r="W13535" s="503"/>
    </row>
    <row r="13536" spans="23:23">
      <c r="W13536" s="503"/>
    </row>
    <row r="13537" spans="23:23">
      <c r="W13537" s="503"/>
    </row>
    <row r="13538" spans="23:23">
      <c r="W13538" s="503"/>
    </row>
    <row r="13539" spans="23:23">
      <c r="W13539" s="503"/>
    </row>
    <row r="13540" spans="23:23">
      <c r="W13540" s="503"/>
    </row>
    <row r="13541" spans="23:23">
      <c r="W13541" s="503"/>
    </row>
    <row r="13542" spans="23:23">
      <c r="W13542" s="503"/>
    </row>
    <row r="13543" spans="23:23">
      <c r="W13543" s="503"/>
    </row>
    <row r="13544" spans="23:23">
      <c r="W13544" s="503"/>
    </row>
    <row r="13545" spans="23:23">
      <c r="W13545" s="503"/>
    </row>
    <row r="13546" spans="23:23">
      <c r="W13546" s="503"/>
    </row>
    <row r="13547" spans="23:23">
      <c r="W13547" s="503"/>
    </row>
    <row r="13548" spans="23:23">
      <c r="W13548" s="503"/>
    </row>
    <row r="13549" spans="23:23">
      <c r="W13549" s="503"/>
    </row>
    <row r="13550" spans="23:23">
      <c r="W13550" s="503"/>
    </row>
    <row r="13551" spans="23:23">
      <c r="W13551" s="503"/>
    </row>
    <row r="13552" spans="23:23">
      <c r="W13552" s="503"/>
    </row>
    <row r="13553" spans="23:23">
      <c r="W13553" s="503"/>
    </row>
    <row r="13554" spans="23:23">
      <c r="W13554" s="503"/>
    </row>
    <row r="13555" spans="23:23">
      <c r="W13555" s="503"/>
    </row>
    <row r="13556" spans="23:23">
      <c r="W13556" s="503"/>
    </row>
    <row r="13557" spans="23:23">
      <c r="W13557" s="503"/>
    </row>
    <row r="13558" spans="23:23">
      <c r="W13558" s="503"/>
    </row>
    <row r="13559" spans="23:23">
      <c r="W13559" s="503"/>
    </row>
    <row r="13560" spans="23:23">
      <c r="W13560" s="503"/>
    </row>
    <row r="13561" spans="23:23">
      <c r="W13561" s="503"/>
    </row>
    <row r="13562" spans="23:23">
      <c r="W13562" s="503"/>
    </row>
    <row r="13563" spans="23:23">
      <c r="W13563" s="503"/>
    </row>
    <row r="13564" spans="23:23">
      <c r="W13564" s="503"/>
    </row>
    <row r="13565" spans="23:23">
      <c r="W13565" s="503"/>
    </row>
    <row r="13566" spans="23:23">
      <c r="W13566" s="503"/>
    </row>
    <row r="13567" spans="23:23">
      <c r="W13567" s="503"/>
    </row>
    <row r="13568" spans="23:23">
      <c r="W13568" s="503"/>
    </row>
    <row r="13569" spans="23:23">
      <c r="W13569" s="503"/>
    </row>
    <row r="13570" spans="23:23">
      <c r="W13570" s="503"/>
    </row>
    <row r="13571" spans="23:23">
      <c r="W13571" s="503"/>
    </row>
    <row r="13572" spans="23:23">
      <c r="W13572" s="503"/>
    </row>
    <row r="13573" spans="23:23">
      <c r="W13573" s="503"/>
    </row>
    <row r="13574" spans="23:23">
      <c r="W13574" s="503"/>
    </row>
    <row r="13575" spans="23:23">
      <c r="W13575" s="503"/>
    </row>
    <row r="13576" spans="23:23">
      <c r="W13576" s="503"/>
    </row>
    <row r="13577" spans="23:23">
      <c r="W13577" s="503"/>
    </row>
    <row r="13578" spans="23:23">
      <c r="W13578" s="503"/>
    </row>
    <row r="13579" spans="23:23">
      <c r="W13579" s="503"/>
    </row>
    <row r="13580" spans="23:23">
      <c r="W13580" s="503"/>
    </row>
    <row r="13581" spans="23:23">
      <c r="W13581" s="503"/>
    </row>
    <row r="13582" spans="23:23">
      <c r="W13582" s="503"/>
    </row>
    <row r="13583" spans="23:23">
      <c r="W13583" s="503"/>
    </row>
    <row r="13584" spans="23:23">
      <c r="W13584" s="503"/>
    </row>
    <row r="13585" spans="23:23">
      <c r="W13585" s="503"/>
    </row>
    <row r="13586" spans="23:23">
      <c r="W13586" s="503"/>
    </row>
    <row r="13587" spans="23:23">
      <c r="W13587" s="503"/>
    </row>
    <row r="13588" spans="23:23">
      <c r="W13588" s="503"/>
    </row>
    <row r="13589" spans="23:23">
      <c r="W13589" s="503"/>
    </row>
    <row r="13590" spans="23:23">
      <c r="W13590" s="503"/>
    </row>
    <row r="13591" spans="23:23">
      <c r="W13591" s="503"/>
    </row>
    <row r="13592" spans="23:23">
      <c r="W13592" s="503"/>
    </row>
    <row r="13593" spans="23:23">
      <c r="W13593" s="503"/>
    </row>
    <row r="13594" spans="23:23">
      <c r="W13594" s="503"/>
    </row>
    <row r="13595" spans="23:23">
      <c r="W13595" s="503"/>
    </row>
    <row r="13596" spans="23:23">
      <c r="W13596" s="503"/>
    </row>
    <row r="13597" spans="23:23">
      <c r="W13597" s="503"/>
    </row>
    <row r="13598" spans="23:23">
      <c r="W13598" s="503"/>
    </row>
    <row r="13599" spans="23:23">
      <c r="W13599" s="503"/>
    </row>
    <row r="13600" spans="23:23">
      <c r="W13600" s="503"/>
    </row>
    <row r="13601" spans="23:23">
      <c r="W13601" s="503"/>
    </row>
    <row r="13602" spans="23:23">
      <c r="W13602" s="503"/>
    </row>
    <row r="13603" spans="23:23">
      <c r="W13603" s="503"/>
    </row>
    <row r="13604" spans="23:23">
      <c r="W13604" s="503"/>
    </row>
    <row r="13605" spans="23:23">
      <c r="W13605" s="503"/>
    </row>
    <row r="13606" spans="23:23">
      <c r="W13606" s="503"/>
    </row>
    <row r="13607" spans="23:23">
      <c r="W13607" s="503"/>
    </row>
    <row r="13608" spans="23:23">
      <c r="W13608" s="503"/>
    </row>
    <row r="13609" spans="23:23">
      <c r="W13609" s="503"/>
    </row>
    <row r="13610" spans="23:23">
      <c r="W13610" s="503"/>
    </row>
    <row r="13611" spans="23:23">
      <c r="W13611" s="503"/>
    </row>
    <row r="13612" spans="23:23">
      <c r="W13612" s="503"/>
    </row>
    <row r="13613" spans="23:23">
      <c r="W13613" s="503"/>
    </row>
    <row r="13614" spans="23:23">
      <c r="W13614" s="503"/>
    </row>
    <row r="13615" spans="23:23">
      <c r="W13615" s="503"/>
    </row>
    <row r="13616" spans="23:23">
      <c r="W13616" s="503"/>
    </row>
    <row r="13617" spans="23:23">
      <c r="W13617" s="503"/>
    </row>
    <row r="13618" spans="23:23">
      <c r="W13618" s="503"/>
    </row>
    <row r="13619" spans="23:23">
      <c r="W13619" s="503"/>
    </row>
    <row r="13620" spans="23:23">
      <c r="W13620" s="503"/>
    </row>
    <row r="13621" spans="23:23">
      <c r="W13621" s="503"/>
    </row>
    <row r="13622" spans="23:23">
      <c r="W13622" s="503"/>
    </row>
    <row r="13623" spans="23:23">
      <c r="W13623" s="503"/>
    </row>
    <row r="13624" spans="23:23">
      <c r="W13624" s="503"/>
    </row>
    <row r="13625" spans="23:23">
      <c r="W13625" s="503"/>
    </row>
    <row r="13626" spans="23:23">
      <c r="W13626" s="503"/>
    </row>
    <row r="13627" spans="23:23">
      <c r="W13627" s="503"/>
    </row>
    <row r="13628" spans="23:23">
      <c r="W13628" s="503"/>
    </row>
    <row r="13629" spans="23:23">
      <c r="W13629" s="503"/>
    </row>
    <row r="13630" spans="23:23">
      <c r="W13630" s="503"/>
    </row>
    <row r="13631" spans="23:23">
      <c r="W13631" s="503"/>
    </row>
    <row r="13632" spans="23:23">
      <c r="W13632" s="503"/>
    </row>
    <row r="13633" spans="23:23">
      <c r="W13633" s="503"/>
    </row>
    <row r="13634" spans="23:23">
      <c r="W13634" s="503"/>
    </row>
    <row r="13635" spans="23:23">
      <c r="W13635" s="503"/>
    </row>
    <row r="13636" spans="23:23">
      <c r="W13636" s="503"/>
    </row>
    <row r="13637" spans="23:23">
      <c r="W13637" s="503"/>
    </row>
    <row r="13638" spans="23:23">
      <c r="W13638" s="503"/>
    </row>
    <row r="13639" spans="23:23">
      <c r="W13639" s="503"/>
    </row>
    <row r="13640" spans="23:23">
      <c r="W13640" s="503"/>
    </row>
    <row r="13641" spans="23:23">
      <c r="W13641" s="503"/>
    </row>
    <row r="13642" spans="23:23">
      <c r="W13642" s="503"/>
    </row>
    <row r="13643" spans="23:23">
      <c r="W13643" s="503"/>
    </row>
    <row r="13644" spans="23:23">
      <c r="W13644" s="503"/>
    </row>
    <row r="13645" spans="23:23">
      <c r="W13645" s="503"/>
    </row>
    <row r="13646" spans="23:23">
      <c r="W13646" s="503"/>
    </row>
    <row r="13647" spans="23:23">
      <c r="W13647" s="503"/>
    </row>
    <row r="13648" spans="23:23">
      <c r="W13648" s="503"/>
    </row>
    <row r="13649" spans="23:23">
      <c r="W13649" s="503"/>
    </row>
    <row r="13650" spans="23:23">
      <c r="W13650" s="503"/>
    </row>
    <row r="13651" spans="23:23">
      <c r="W13651" s="503"/>
    </row>
    <row r="13652" spans="23:23">
      <c r="W13652" s="503"/>
    </row>
    <row r="13653" spans="23:23">
      <c r="W13653" s="503"/>
    </row>
    <row r="13654" spans="23:23">
      <c r="W13654" s="503"/>
    </row>
    <row r="13655" spans="23:23">
      <c r="W13655" s="503"/>
    </row>
    <row r="13656" spans="23:23">
      <c r="W13656" s="503"/>
    </row>
    <row r="13657" spans="23:23">
      <c r="W13657" s="503"/>
    </row>
    <row r="13658" spans="23:23">
      <c r="W13658" s="503"/>
    </row>
    <row r="13659" spans="23:23">
      <c r="W13659" s="503"/>
    </row>
    <row r="13660" spans="23:23">
      <c r="W13660" s="503"/>
    </row>
    <row r="13661" spans="23:23">
      <c r="W13661" s="503"/>
    </row>
    <row r="13662" spans="23:23">
      <c r="W13662" s="503"/>
    </row>
    <row r="13663" spans="23:23">
      <c r="W13663" s="503"/>
    </row>
    <row r="13664" spans="23:23">
      <c r="W13664" s="503"/>
    </row>
    <row r="13665" spans="23:23">
      <c r="W13665" s="503"/>
    </row>
    <row r="13666" spans="23:23">
      <c r="W13666" s="503"/>
    </row>
    <row r="13667" spans="23:23">
      <c r="W13667" s="503"/>
    </row>
    <row r="13668" spans="23:23">
      <c r="W13668" s="503"/>
    </row>
    <row r="13669" spans="23:23">
      <c r="W13669" s="503"/>
    </row>
    <row r="13670" spans="23:23">
      <c r="W13670" s="503"/>
    </row>
    <row r="13671" spans="23:23">
      <c r="W13671" s="503"/>
    </row>
    <row r="13672" spans="23:23">
      <c r="W13672" s="503"/>
    </row>
    <row r="13673" spans="23:23">
      <c r="W13673" s="503"/>
    </row>
    <row r="13674" spans="23:23">
      <c r="W13674" s="503"/>
    </row>
    <row r="13675" spans="23:23">
      <c r="W13675" s="503"/>
    </row>
    <row r="13676" spans="23:23">
      <c r="W13676" s="503"/>
    </row>
    <row r="13677" spans="23:23">
      <c r="W13677" s="503"/>
    </row>
    <row r="13678" spans="23:23">
      <c r="W13678" s="503"/>
    </row>
    <row r="13679" spans="23:23">
      <c r="W13679" s="503"/>
    </row>
    <row r="13680" spans="23:23">
      <c r="W13680" s="503"/>
    </row>
    <row r="13681" spans="23:23">
      <c r="W13681" s="503"/>
    </row>
    <row r="13682" spans="23:23">
      <c r="W13682" s="503"/>
    </row>
    <row r="13683" spans="23:23">
      <c r="W13683" s="503"/>
    </row>
    <row r="13684" spans="23:23">
      <c r="W13684" s="503"/>
    </row>
    <row r="13685" spans="23:23">
      <c r="W13685" s="503"/>
    </row>
    <row r="13686" spans="23:23">
      <c r="W13686" s="503"/>
    </row>
    <row r="13687" spans="23:23">
      <c r="W13687" s="503"/>
    </row>
    <row r="13688" spans="23:23">
      <c r="W13688" s="503"/>
    </row>
    <row r="13689" spans="23:23">
      <c r="W13689" s="503"/>
    </row>
    <row r="13690" spans="23:23">
      <c r="W13690" s="503"/>
    </row>
    <row r="13691" spans="23:23">
      <c r="W13691" s="503"/>
    </row>
    <row r="13692" spans="23:23">
      <c r="W13692" s="503"/>
    </row>
    <row r="13693" spans="23:23">
      <c r="W13693" s="503"/>
    </row>
    <row r="13694" spans="23:23">
      <c r="W13694" s="503"/>
    </row>
    <row r="13695" spans="23:23">
      <c r="W13695" s="503"/>
    </row>
    <row r="13696" spans="23:23">
      <c r="W13696" s="503"/>
    </row>
    <row r="13697" spans="23:23">
      <c r="W13697" s="503"/>
    </row>
    <row r="13698" spans="23:23">
      <c r="W13698" s="503"/>
    </row>
    <row r="13699" spans="23:23">
      <c r="W13699" s="503"/>
    </row>
    <row r="13700" spans="23:23">
      <c r="W13700" s="503"/>
    </row>
    <row r="13701" spans="23:23">
      <c r="W13701" s="503"/>
    </row>
    <row r="13702" spans="23:23">
      <c r="W13702" s="503"/>
    </row>
    <row r="13703" spans="23:23">
      <c r="W13703" s="503"/>
    </row>
    <row r="13704" spans="23:23">
      <c r="W13704" s="503"/>
    </row>
    <row r="13705" spans="23:23">
      <c r="W13705" s="503"/>
    </row>
    <row r="13706" spans="23:23">
      <c r="W13706" s="503"/>
    </row>
    <row r="13707" spans="23:23">
      <c r="W13707" s="503"/>
    </row>
    <row r="13708" spans="23:23">
      <c r="W13708" s="503"/>
    </row>
    <row r="13709" spans="23:23">
      <c r="W13709" s="503"/>
    </row>
    <row r="13710" spans="23:23">
      <c r="W13710" s="503"/>
    </row>
    <row r="13711" spans="23:23">
      <c r="W13711" s="503"/>
    </row>
    <row r="13712" spans="23:23">
      <c r="W13712" s="503"/>
    </row>
    <row r="13713" spans="23:23">
      <c r="W13713" s="503"/>
    </row>
    <row r="13714" spans="23:23">
      <c r="W13714" s="503"/>
    </row>
    <row r="13715" spans="23:23">
      <c r="W13715" s="503"/>
    </row>
    <row r="13716" spans="23:23">
      <c r="W13716" s="503"/>
    </row>
    <row r="13717" spans="23:23">
      <c r="W13717" s="503"/>
    </row>
    <row r="13718" spans="23:23">
      <c r="W13718" s="503"/>
    </row>
    <row r="13719" spans="23:23">
      <c r="W13719" s="503"/>
    </row>
    <row r="13720" spans="23:23">
      <c r="W13720" s="503"/>
    </row>
    <row r="13721" spans="23:23">
      <c r="W13721" s="503"/>
    </row>
    <row r="13722" spans="23:23">
      <c r="W13722" s="503"/>
    </row>
    <row r="13723" spans="23:23">
      <c r="W13723" s="503"/>
    </row>
    <row r="13724" spans="23:23">
      <c r="W13724" s="503"/>
    </row>
    <row r="13725" spans="23:23">
      <c r="W13725" s="503"/>
    </row>
    <row r="13726" spans="23:23">
      <c r="W13726" s="503"/>
    </row>
    <row r="13727" spans="23:23">
      <c r="W13727" s="503"/>
    </row>
    <row r="13728" spans="23:23">
      <c r="W13728" s="503"/>
    </row>
    <row r="13729" spans="23:23">
      <c r="W13729" s="503"/>
    </row>
    <row r="13730" spans="23:23">
      <c r="W13730" s="503"/>
    </row>
    <row r="13731" spans="23:23">
      <c r="W13731" s="503"/>
    </row>
    <row r="13732" spans="23:23">
      <c r="W13732" s="503"/>
    </row>
    <row r="13733" spans="23:23">
      <c r="W13733" s="503"/>
    </row>
    <row r="13734" spans="23:23">
      <c r="W13734" s="503"/>
    </row>
    <row r="13735" spans="23:23">
      <c r="W13735" s="503"/>
    </row>
    <row r="13736" spans="23:23">
      <c r="W13736" s="503"/>
    </row>
    <row r="13737" spans="23:23">
      <c r="W13737" s="503"/>
    </row>
    <row r="13738" spans="23:23">
      <c r="W13738" s="503"/>
    </row>
    <row r="13739" spans="23:23">
      <c r="W13739" s="503"/>
    </row>
    <row r="13740" spans="23:23">
      <c r="W13740" s="503"/>
    </row>
    <row r="13741" spans="23:23">
      <c r="W13741" s="503"/>
    </row>
    <row r="13742" spans="23:23">
      <c r="W13742" s="503"/>
    </row>
    <row r="13743" spans="23:23">
      <c r="W13743" s="503"/>
    </row>
    <row r="13744" spans="23:23">
      <c r="W13744" s="503"/>
    </row>
    <row r="13745" spans="23:23">
      <c r="W13745" s="503"/>
    </row>
    <row r="13746" spans="23:23">
      <c r="W13746" s="503"/>
    </row>
    <row r="13747" spans="23:23">
      <c r="W13747" s="503"/>
    </row>
    <row r="13748" spans="23:23">
      <c r="W13748" s="503"/>
    </row>
    <row r="13749" spans="23:23">
      <c r="W13749" s="503"/>
    </row>
    <row r="13750" spans="23:23">
      <c r="W13750" s="503"/>
    </row>
    <row r="13751" spans="23:23">
      <c r="W13751" s="503"/>
    </row>
    <row r="13752" spans="23:23">
      <c r="W13752" s="503"/>
    </row>
    <row r="13753" spans="23:23">
      <c r="W13753" s="503"/>
    </row>
    <row r="13754" spans="23:23">
      <c r="W13754" s="503"/>
    </row>
    <row r="13755" spans="23:23">
      <c r="W13755" s="503"/>
    </row>
    <row r="13756" spans="23:23">
      <c r="W13756" s="503"/>
    </row>
    <row r="13757" spans="23:23">
      <c r="W13757" s="503"/>
    </row>
    <row r="13758" spans="23:23">
      <c r="W13758" s="503"/>
    </row>
    <row r="13759" spans="23:23">
      <c r="W13759" s="503"/>
    </row>
    <row r="13760" spans="23:23">
      <c r="W13760" s="503"/>
    </row>
    <row r="13761" spans="23:23">
      <c r="W13761" s="503"/>
    </row>
    <row r="13762" spans="23:23">
      <c r="W13762" s="503"/>
    </row>
    <row r="13763" spans="23:23">
      <c r="W13763" s="503"/>
    </row>
    <row r="13764" spans="23:23">
      <c r="W13764" s="503"/>
    </row>
    <row r="13765" spans="23:23">
      <c r="W13765" s="503"/>
    </row>
    <row r="13766" spans="23:23">
      <c r="W13766" s="503"/>
    </row>
    <row r="13767" spans="23:23">
      <c r="W13767" s="503"/>
    </row>
    <row r="13768" spans="23:23">
      <c r="W13768" s="503"/>
    </row>
    <row r="13769" spans="23:23">
      <c r="W13769" s="503"/>
    </row>
    <row r="13770" spans="23:23">
      <c r="W13770" s="503"/>
    </row>
    <row r="13771" spans="23:23">
      <c r="W13771" s="503"/>
    </row>
    <row r="13772" spans="23:23">
      <c r="W13772" s="503"/>
    </row>
    <row r="13773" spans="23:23">
      <c r="W13773" s="503"/>
    </row>
    <row r="13774" spans="23:23">
      <c r="W13774" s="503"/>
    </row>
    <row r="13775" spans="23:23">
      <c r="W13775" s="503"/>
    </row>
    <row r="13776" spans="23:23">
      <c r="W13776" s="503"/>
    </row>
    <row r="13777" spans="23:23">
      <c r="W13777" s="503"/>
    </row>
    <row r="13778" spans="23:23">
      <c r="W13778" s="503"/>
    </row>
    <row r="13779" spans="23:23">
      <c r="W13779" s="503"/>
    </row>
    <row r="13780" spans="23:23">
      <c r="W13780" s="503"/>
    </row>
    <row r="13781" spans="23:23">
      <c r="W13781" s="503"/>
    </row>
    <row r="13782" spans="23:23">
      <c r="W13782" s="503"/>
    </row>
    <row r="13783" spans="23:23">
      <c r="W13783" s="503"/>
    </row>
    <row r="13784" spans="23:23">
      <c r="W13784" s="503"/>
    </row>
    <row r="13785" spans="23:23">
      <c r="W13785" s="503"/>
    </row>
    <row r="13786" spans="23:23">
      <c r="W13786" s="503"/>
    </row>
    <row r="13787" spans="23:23">
      <c r="W13787" s="503"/>
    </row>
    <row r="13788" spans="23:23">
      <c r="W13788" s="503"/>
    </row>
    <row r="13789" spans="23:23">
      <c r="W13789" s="503"/>
    </row>
    <row r="13790" spans="23:23">
      <c r="W13790" s="503"/>
    </row>
    <row r="13791" spans="23:23">
      <c r="W13791" s="503"/>
    </row>
    <row r="13792" spans="23:23">
      <c r="W13792" s="503"/>
    </row>
    <row r="13793" spans="23:23">
      <c r="W13793" s="503"/>
    </row>
    <row r="13794" spans="23:23">
      <c r="W13794" s="503"/>
    </row>
    <row r="13795" spans="23:23">
      <c r="W13795" s="503"/>
    </row>
    <row r="13796" spans="23:23">
      <c r="W13796" s="503"/>
    </row>
    <row r="13797" spans="23:23">
      <c r="W13797" s="503"/>
    </row>
    <row r="13798" spans="23:23">
      <c r="W13798" s="503"/>
    </row>
    <row r="13799" spans="23:23">
      <c r="W13799" s="503"/>
    </row>
    <row r="13800" spans="23:23">
      <c r="W13800" s="503"/>
    </row>
    <row r="13801" spans="23:23">
      <c r="W13801" s="503"/>
    </row>
    <row r="13802" spans="23:23">
      <c r="W13802" s="503"/>
    </row>
    <row r="13803" spans="23:23">
      <c r="W13803" s="503"/>
    </row>
    <row r="13804" spans="23:23">
      <c r="W13804" s="503"/>
    </row>
    <row r="13805" spans="23:23">
      <c r="W13805" s="503"/>
    </row>
    <row r="13806" spans="23:23">
      <c r="W13806" s="503"/>
    </row>
    <row r="13807" spans="23:23">
      <c r="W13807" s="503"/>
    </row>
    <row r="13808" spans="23:23">
      <c r="W13808" s="503"/>
    </row>
    <row r="13809" spans="23:23">
      <c r="W13809" s="503"/>
    </row>
    <row r="13810" spans="23:23">
      <c r="W13810" s="503"/>
    </row>
    <row r="13811" spans="23:23">
      <c r="W13811" s="503"/>
    </row>
    <row r="13812" spans="23:23">
      <c r="W13812" s="503"/>
    </row>
    <row r="13813" spans="23:23">
      <c r="W13813" s="503"/>
    </row>
    <row r="13814" spans="23:23">
      <c r="W13814" s="503"/>
    </row>
    <row r="13815" spans="23:23">
      <c r="W13815" s="503"/>
    </row>
    <row r="13816" spans="23:23">
      <c r="W13816" s="503"/>
    </row>
    <row r="13817" spans="23:23">
      <c r="W13817" s="503"/>
    </row>
    <row r="13818" spans="23:23">
      <c r="W13818" s="503"/>
    </row>
    <row r="13819" spans="23:23">
      <c r="W13819" s="503"/>
    </row>
    <row r="13820" spans="23:23">
      <c r="W13820" s="503"/>
    </row>
    <row r="13821" spans="23:23">
      <c r="W13821" s="503"/>
    </row>
    <row r="13822" spans="23:23">
      <c r="W13822" s="503"/>
    </row>
    <row r="13823" spans="23:23">
      <c r="W13823" s="503"/>
    </row>
    <row r="13824" spans="23:23">
      <c r="W13824" s="503"/>
    </row>
    <row r="13825" spans="23:23">
      <c r="W13825" s="503"/>
    </row>
    <row r="13826" spans="23:23">
      <c r="W13826" s="503"/>
    </row>
    <row r="13827" spans="23:23">
      <c r="W13827" s="503"/>
    </row>
    <row r="13828" spans="23:23">
      <c r="W13828" s="503"/>
    </row>
    <row r="13829" spans="23:23">
      <c r="W13829" s="503"/>
    </row>
    <row r="13830" spans="23:23">
      <c r="W13830" s="503"/>
    </row>
    <row r="13831" spans="23:23">
      <c r="W13831" s="503"/>
    </row>
    <row r="13832" spans="23:23">
      <c r="W13832" s="503"/>
    </row>
    <row r="13833" spans="23:23">
      <c r="W13833" s="503"/>
    </row>
    <row r="13834" spans="23:23">
      <c r="W13834" s="503"/>
    </row>
    <row r="13835" spans="23:23">
      <c r="W13835" s="503"/>
    </row>
    <row r="13836" spans="23:23">
      <c r="W13836" s="503"/>
    </row>
    <row r="13837" spans="23:23">
      <c r="W13837" s="503"/>
    </row>
    <row r="13838" spans="23:23">
      <c r="W13838" s="503"/>
    </row>
    <row r="13839" spans="23:23">
      <c r="W13839" s="503"/>
    </row>
    <row r="13840" spans="23:23">
      <c r="W13840" s="503"/>
    </row>
    <row r="13841" spans="23:23">
      <c r="W13841" s="503"/>
    </row>
    <row r="13842" spans="23:23">
      <c r="W13842" s="503"/>
    </row>
    <row r="13843" spans="23:23">
      <c r="W13843" s="503"/>
    </row>
    <row r="13844" spans="23:23">
      <c r="W13844" s="503"/>
    </row>
    <row r="13845" spans="23:23">
      <c r="W13845" s="503"/>
    </row>
    <row r="13846" spans="23:23">
      <c r="W13846" s="503"/>
    </row>
    <row r="13847" spans="23:23">
      <c r="W13847" s="503"/>
    </row>
    <row r="13848" spans="23:23">
      <c r="W13848" s="503"/>
    </row>
    <row r="13849" spans="23:23">
      <c r="W13849" s="503"/>
    </row>
    <row r="13850" spans="23:23">
      <c r="W13850" s="503"/>
    </row>
    <row r="13851" spans="23:23">
      <c r="W13851" s="503"/>
    </row>
    <row r="13852" spans="23:23">
      <c r="W13852" s="503"/>
    </row>
    <row r="13853" spans="23:23">
      <c r="W13853" s="503"/>
    </row>
    <row r="13854" spans="23:23">
      <c r="W13854" s="503"/>
    </row>
    <row r="13855" spans="23:23">
      <c r="W13855" s="503"/>
    </row>
    <row r="13856" spans="23:23">
      <c r="W13856" s="503"/>
    </row>
    <row r="13857" spans="23:23">
      <c r="W13857" s="503"/>
    </row>
    <row r="13858" spans="23:23">
      <c r="W13858" s="503"/>
    </row>
    <row r="13859" spans="23:23">
      <c r="W13859" s="503"/>
    </row>
    <row r="13860" spans="23:23">
      <c r="W13860" s="503"/>
    </row>
    <row r="13861" spans="23:23">
      <c r="W13861" s="503"/>
    </row>
    <row r="13862" spans="23:23">
      <c r="W13862" s="503"/>
    </row>
    <row r="13863" spans="23:23">
      <c r="W13863" s="503"/>
    </row>
    <row r="13864" spans="23:23">
      <c r="W13864" s="503"/>
    </row>
    <row r="13865" spans="23:23">
      <c r="W13865" s="503"/>
    </row>
    <row r="13866" spans="23:23">
      <c r="W13866" s="503"/>
    </row>
    <row r="13867" spans="23:23">
      <c r="W13867" s="503"/>
    </row>
    <row r="13868" spans="23:23">
      <c r="W13868" s="503"/>
    </row>
    <row r="13869" spans="23:23">
      <c r="W13869" s="503"/>
    </row>
    <row r="13870" spans="23:23">
      <c r="W13870" s="503"/>
    </row>
    <row r="13871" spans="23:23">
      <c r="W13871" s="503"/>
    </row>
    <row r="13872" spans="23:23">
      <c r="W13872" s="503"/>
    </row>
    <row r="13873" spans="23:23">
      <c r="W13873" s="503"/>
    </row>
    <row r="13874" spans="23:23">
      <c r="W13874" s="503"/>
    </row>
    <row r="13875" spans="23:23">
      <c r="W13875" s="503"/>
    </row>
    <row r="13876" spans="23:23">
      <c r="W13876" s="503"/>
    </row>
    <row r="13877" spans="23:23">
      <c r="W13877" s="503"/>
    </row>
    <row r="13878" spans="23:23">
      <c r="W13878" s="503"/>
    </row>
    <row r="13879" spans="23:23">
      <c r="W13879" s="503"/>
    </row>
    <row r="13880" spans="23:23">
      <c r="W13880" s="503"/>
    </row>
    <row r="13881" spans="23:23">
      <c r="W13881" s="503"/>
    </row>
    <row r="13882" spans="23:23">
      <c r="W13882" s="503"/>
    </row>
    <row r="13883" spans="23:23">
      <c r="W13883" s="503"/>
    </row>
    <row r="13884" spans="23:23">
      <c r="W13884" s="503"/>
    </row>
    <row r="13885" spans="23:23">
      <c r="W13885" s="503"/>
    </row>
    <row r="13886" spans="23:23">
      <c r="W13886" s="503"/>
    </row>
    <row r="13887" spans="23:23">
      <c r="W13887" s="503"/>
    </row>
    <row r="13888" spans="23:23">
      <c r="W13888" s="503"/>
    </row>
    <row r="13889" spans="23:23">
      <c r="W13889" s="503"/>
    </row>
    <row r="13890" spans="23:23">
      <c r="W13890" s="503"/>
    </row>
    <row r="13891" spans="23:23">
      <c r="W13891" s="503"/>
    </row>
    <row r="13892" spans="23:23">
      <c r="W13892" s="503"/>
    </row>
    <row r="13893" spans="23:23">
      <c r="W13893" s="503"/>
    </row>
    <row r="13894" spans="23:23">
      <c r="W13894" s="503"/>
    </row>
    <row r="13895" spans="23:23">
      <c r="W13895" s="503"/>
    </row>
    <row r="13896" spans="23:23">
      <c r="W13896" s="503"/>
    </row>
    <row r="13897" spans="23:23">
      <c r="W13897" s="503"/>
    </row>
    <row r="13898" spans="23:23">
      <c r="W13898" s="503"/>
    </row>
    <row r="13899" spans="23:23">
      <c r="W13899" s="503"/>
    </row>
    <row r="13900" spans="23:23">
      <c r="W13900" s="503"/>
    </row>
    <row r="13901" spans="23:23">
      <c r="W13901" s="503"/>
    </row>
    <row r="13902" spans="23:23">
      <c r="W13902" s="503"/>
    </row>
    <row r="13903" spans="23:23">
      <c r="W13903" s="503"/>
    </row>
    <row r="13904" spans="23:23">
      <c r="W13904" s="503"/>
    </row>
    <row r="13905" spans="23:23">
      <c r="W13905" s="503"/>
    </row>
    <row r="13906" spans="23:23">
      <c r="W13906" s="503"/>
    </row>
    <row r="13907" spans="23:23">
      <c r="W13907" s="503"/>
    </row>
    <row r="13908" spans="23:23">
      <c r="W13908" s="503"/>
    </row>
    <row r="13909" spans="23:23">
      <c r="W13909" s="503"/>
    </row>
    <row r="13910" spans="23:23">
      <c r="W13910" s="503"/>
    </row>
    <row r="13911" spans="23:23">
      <c r="W13911" s="503"/>
    </row>
    <row r="13912" spans="23:23">
      <c r="W13912" s="503"/>
    </row>
    <row r="13913" spans="23:23">
      <c r="W13913" s="503"/>
    </row>
    <row r="13914" spans="23:23">
      <c r="W13914" s="503"/>
    </row>
    <row r="13915" spans="23:23">
      <c r="W13915" s="503"/>
    </row>
    <row r="13916" spans="23:23">
      <c r="W13916" s="503"/>
    </row>
    <row r="13917" spans="23:23">
      <c r="W13917" s="503"/>
    </row>
    <row r="13918" spans="23:23">
      <c r="W13918" s="503"/>
    </row>
    <row r="13919" spans="23:23">
      <c r="W13919" s="503"/>
    </row>
    <row r="13920" spans="23:23">
      <c r="W13920" s="503"/>
    </row>
    <row r="13921" spans="23:23">
      <c r="W13921" s="503"/>
    </row>
    <row r="13922" spans="23:23">
      <c r="W13922" s="503"/>
    </row>
    <row r="13923" spans="23:23">
      <c r="W13923" s="503"/>
    </row>
    <row r="13924" spans="23:23">
      <c r="W13924" s="503"/>
    </row>
    <row r="13925" spans="23:23">
      <c r="W13925" s="503"/>
    </row>
    <row r="13926" spans="23:23">
      <c r="W13926" s="503"/>
    </row>
    <row r="13927" spans="23:23">
      <c r="W13927" s="503"/>
    </row>
    <row r="13928" spans="23:23">
      <c r="W13928" s="503"/>
    </row>
    <row r="13929" spans="23:23">
      <c r="W13929" s="503"/>
    </row>
    <row r="13930" spans="23:23">
      <c r="W13930" s="503"/>
    </row>
    <row r="13931" spans="23:23">
      <c r="W13931" s="503"/>
    </row>
    <row r="13932" spans="23:23">
      <c r="W13932" s="503"/>
    </row>
    <row r="13933" spans="23:23">
      <c r="W13933" s="503"/>
    </row>
    <row r="13934" spans="23:23">
      <c r="W13934" s="503"/>
    </row>
    <row r="13935" spans="23:23">
      <c r="W13935" s="503"/>
    </row>
    <row r="13936" spans="23:23">
      <c r="W13936" s="503"/>
    </row>
    <row r="13937" spans="23:23">
      <c r="W13937" s="503"/>
    </row>
    <row r="13938" spans="23:23">
      <c r="W13938" s="503"/>
    </row>
    <row r="13939" spans="23:23">
      <c r="W13939" s="503"/>
    </row>
    <row r="13940" spans="23:23">
      <c r="W13940" s="503"/>
    </row>
    <row r="13941" spans="23:23">
      <c r="W13941" s="503"/>
    </row>
    <row r="13942" spans="23:23">
      <c r="W13942" s="503"/>
    </row>
    <row r="13943" spans="23:23">
      <c r="W13943" s="503"/>
    </row>
    <row r="13944" spans="23:23">
      <c r="W13944" s="503"/>
    </row>
    <row r="13945" spans="23:23">
      <c r="W13945" s="503"/>
    </row>
    <row r="13946" spans="23:23">
      <c r="W13946" s="503"/>
    </row>
    <row r="13947" spans="23:23">
      <c r="W13947" s="503"/>
    </row>
    <row r="13948" spans="23:23">
      <c r="W13948" s="503"/>
    </row>
    <row r="13949" spans="23:23">
      <c r="W13949" s="503"/>
    </row>
    <row r="13950" spans="23:23">
      <c r="W13950" s="503"/>
    </row>
    <row r="13951" spans="23:23">
      <c r="W13951" s="503"/>
    </row>
    <row r="13952" spans="23:23">
      <c r="W13952" s="503"/>
    </row>
    <row r="13953" spans="23:23">
      <c r="W13953" s="503"/>
    </row>
    <row r="13954" spans="23:23">
      <c r="W13954" s="503"/>
    </row>
    <row r="13955" spans="23:23">
      <c r="W13955" s="503"/>
    </row>
    <row r="13956" spans="23:23">
      <c r="W13956" s="503"/>
    </row>
    <row r="13957" spans="23:23">
      <c r="W13957" s="503"/>
    </row>
    <row r="13958" spans="23:23">
      <c r="W13958" s="503"/>
    </row>
    <row r="13959" spans="23:23">
      <c r="W13959" s="503"/>
    </row>
    <row r="13960" spans="23:23">
      <c r="W13960" s="503"/>
    </row>
    <row r="13961" spans="23:23">
      <c r="W13961" s="503"/>
    </row>
    <row r="13962" spans="23:23">
      <c r="W13962" s="503"/>
    </row>
    <row r="13963" spans="23:23">
      <c r="W13963" s="503"/>
    </row>
    <row r="13964" spans="23:23">
      <c r="W13964" s="503"/>
    </row>
    <row r="13965" spans="23:23">
      <c r="W13965" s="503"/>
    </row>
    <row r="13966" spans="23:23">
      <c r="W13966" s="503"/>
    </row>
    <row r="13967" spans="23:23">
      <c r="W13967" s="503"/>
    </row>
    <row r="13968" spans="23:23">
      <c r="W13968" s="503"/>
    </row>
    <row r="13969" spans="23:23">
      <c r="W13969" s="503"/>
    </row>
    <row r="13970" spans="23:23">
      <c r="W13970" s="503"/>
    </row>
    <row r="13971" spans="23:23">
      <c r="W13971" s="503"/>
    </row>
    <row r="13972" spans="23:23">
      <c r="W13972" s="503"/>
    </row>
    <row r="13973" spans="23:23">
      <c r="W13973" s="503"/>
    </row>
    <row r="13974" spans="23:23">
      <c r="W13974" s="503"/>
    </row>
    <row r="13975" spans="23:23">
      <c r="W13975" s="503"/>
    </row>
    <row r="13976" spans="23:23">
      <c r="W13976" s="503"/>
    </row>
    <row r="13977" spans="23:23">
      <c r="W13977" s="503"/>
    </row>
    <row r="13978" spans="23:23">
      <c r="W13978" s="503"/>
    </row>
    <row r="13979" spans="23:23">
      <c r="W13979" s="503"/>
    </row>
    <row r="13980" spans="23:23">
      <c r="W13980" s="503"/>
    </row>
    <row r="13981" spans="23:23">
      <c r="W13981" s="503"/>
    </row>
    <row r="13982" spans="23:23">
      <c r="W13982" s="503"/>
    </row>
    <row r="13983" spans="23:23">
      <c r="W13983" s="503"/>
    </row>
    <row r="13984" spans="23:23">
      <c r="W13984" s="503"/>
    </row>
    <row r="13985" spans="23:23">
      <c r="W13985" s="503"/>
    </row>
    <row r="13986" spans="23:23">
      <c r="W13986" s="503"/>
    </row>
    <row r="13987" spans="23:23">
      <c r="W13987" s="503"/>
    </row>
    <row r="13988" spans="23:23">
      <c r="W13988" s="503"/>
    </row>
    <row r="13989" spans="23:23">
      <c r="W13989" s="503"/>
    </row>
    <row r="13990" spans="23:23">
      <c r="W13990" s="503"/>
    </row>
    <row r="13991" spans="23:23">
      <c r="W13991" s="503"/>
    </row>
    <row r="13992" spans="23:23">
      <c r="W13992" s="503"/>
    </row>
    <row r="13993" spans="23:23">
      <c r="W13993" s="503"/>
    </row>
    <row r="13994" spans="23:23">
      <c r="W13994" s="503"/>
    </row>
    <row r="13995" spans="23:23">
      <c r="W13995" s="503"/>
    </row>
    <row r="13996" spans="23:23">
      <c r="W13996" s="503"/>
    </row>
    <row r="13997" spans="23:23">
      <c r="W13997" s="503"/>
    </row>
    <row r="13998" spans="23:23">
      <c r="W13998" s="503"/>
    </row>
    <row r="13999" spans="23:23">
      <c r="W13999" s="503"/>
    </row>
    <row r="14000" spans="23:23">
      <c r="W14000" s="503"/>
    </row>
    <row r="14001" spans="23:23">
      <c r="W14001" s="503"/>
    </row>
    <row r="14002" spans="23:23">
      <c r="W14002" s="503"/>
    </row>
    <row r="14003" spans="23:23">
      <c r="W14003" s="503"/>
    </row>
    <row r="14004" spans="23:23">
      <c r="W14004" s="503"/>
    </row>
    <row r="14005" spans="23:23">
      <c r="W14005" s="503"/>
    </row>
    <row r="14006" spans="23:23">
      <c r="W14006" s="503"/>
    </row>
    <row r="14007" spans="23:23">
      <c r="W14007" s="503"/>
    </row>
    <row r="14008" spans="23:23">
      <c r="W14008" s="503"/>
    </row>
    <row r="14009" spans="23:23">
      <c r="W14009" s="503"/>
    </row>
    <row r="14010" spans="23:23">
      <c r="W14010" s="503"/>
    </row>
    <row r="14011" spans="23:23">
      <c r="W14011" s="503"/>
    </row>
    <row r="14012" spans="23:23">
      <c r="W14012" s="503"/>
    </row>
    <row r="14013" spans="23:23">
      <c r="W14013" s="503"/>
    </row>
    <row r="14014" spans="23:23">
      <c r="W14014" s="503"/>
    </row>
    <row r="14015" spans="23:23">
      <c r="W14015" s="503"/>
    </row>
    <row r="14016" spans="23:23">
      <c r="W14016" s="503"/>
    </row>
    <row r="14017" spans="23:23">
      <c r="W14017" s="503"/>
    </row>
    <row r="14018" spans="23:23">
      <c r="W14018" s="503"/>
    </row>
    <row r="14019" spans="23:23">
      <c r="W14019" s="503"/>
    </row>
    <row r="14020" spans="23:23">
      <c r="W14020" s="503"/>
    </row>
    <row r="14021" spans="23:23">
      <c r="W14021" s="503"/>
    </row>
    <row r="14022" spans="23:23">
      <c r="W14022" s="503"/>
    </row>
    <row r="14023" spans="23:23">
      <c r="W14023" s="503"/>
    </row>
    <row r="14024" spans="23:23">
      <c r="W14024" s="503"/>
    </row>
    <row r="14025" spans="23:23">
      <c r="W14025" s="503"/>
    </row>
    <row r="14026" spans="23:23">
      <c r="W14026" s="503"/>
    </row>
    <row r="14027" spans="23:23">
      <c r="W14027" s="503"/>
    </row>
    <row r="14028" spans="23:23">
      <c r="W14028" s="503"/>
    </row>
    <row r="14029" spans="23:23">
      <c r="W14029" s="503"/>
    </row>
    <row r="14030" spans="23:23">
      <c r="W14030" s="503"/>
    </row>
    <row r="14031" spans="23:23">
      <c r="W14031" s="503"/>
    </row>
    <row r="14032" spans="23:23">
      <c r="W14032" s="503"/>
    </row>
    <row r="14033" spans="23:23">
      <c r="W14033" s="503"/>
    </row>
    <row r="14034" spans="23:23">
      <c r="W14034" s="503"/>
    </row>
    <row r="14035" spans="23:23">
      <c r="W14035" s="503"/>
    </row>
    <row r="14036" spans="23:23">
      <c r="W14036" s="503"/>
    </row>
    <row r="14037" spans="23:23">
      <c r="W14037" s="503"/>
    </row>
    <row r="14038" spans="23:23">
      <c r="W14038" s="503"/>
    </row>
    <row r="14039" spans="23:23">
      <c r="W14039" s="503"/>
    </row>
    <row r="14040" spans="23:23">
      <c r="W14040" s="503"/>
    </row>
    <row r="14041" spans="23:23">
      <c r="W14041" s="503"/>
    </row>
    <row r="14042" spans="23:23">
      <c r="W14042" s="503"/>
    </row>
    <row r="14043" spans="23:23">
      <c r="W14043" s="503"/>
    </row>
    <row r="14044" spans="23:23">
      <c r="W14044" s="503"/>
    </row>
    <row r="14045" spans="23:23">
      <c r="W14045" s="503"/>
    </row>
    <row r="14046" spans="23:23">
      <c r="W14046" s="503"/>
    </row>
    <row r="14047" spans="23:23">
      <c r="W14047" s="503"/>
    </row>
    <row r="14048" spans="23:23">
      <c r="W14048" s="503"/>
    </row>
    <row r="14049" spans="23:23">
      <c r="W14049" s="503"/>
    </row>
    <row r="14050" spans="23:23">
      <c r="W14050" s="503"/>
    </row>
    <row r="14051" spans="23:23">
      <c r="W14051" s="503"/>
    </row>
    <row r="14052" spans="23:23">
      <c r="W14052" s="503"/>
    </row>
    <row r="14053" spans="23:23">
      <c r="W14053" s="503"/>
    </row>
    <row r="14054" spans="23:23">
      <c r="W14054" s="503"/>
    </row>
    <row r="14055" spans="23:23">
      <c r="W14055" s="503"/>
    </row>
    <row r="14056" spans="23:23">
      <c r="W14056" s="503"/>
    </row>
    <row r="14057" spans="23:23">
      <c r="W14057" s="503"/>
    </row>
    <row r="14058" spans="23:23">
      <c r="W14058" s="503"/>
    </row>
    <row r="14059" spans="23:23">
      <c r="W14059" s="503"/>
    </row>
    <row r="14060" spans="23:23">
      <c r="W14060" s="503"/>
    </row>
    <row r="14061" spans="23:23">
      <c r="W14061" s="503"/>
    </row>
    <row r="14062" spans="23:23">
      <c r="W14062" s="503"/>
    </row>
    <row r="14063" spans="23:23">
      <c r="W14063" s="503"/>
    </row>
    <row r="14064" spans="23:23">
      <c r="W14064" s="503"/>
    </row>
    <row r="14065" spans="23:23">
      <c r="W14065" s="503"/>
    </row>
    <row r="14066" spans="23:23">
      <c r="W14066" s="503"/>
    </row>
    <row r="14067" spans="23:23">
      <c r="W14067" s="503"/>
    </row>
    <row r="14068" spans="23:23">
      <c r="W14068" s="503"/>
    </row>
    <row r="14069" spans="23:23">
      <c r="W14069" s="503"/>
    </row>
    <row r="14070" spans="23:23">
      <c r="W14070" s="503"/>
    </row>
    <row r="14071" spans="23:23">
      <c r="W14071" s="503"/>
    </row>
    <row r="14072" spans="23:23">
      <c r="W14072" s="503"/>
    </row>
    <row r="14073" spans="23:23">
      <c r="W14073" s="503"/>
    </row>
    <row r="14074" spans="23:23">
      <c r="W14074" s="503"/>
    </row>
    <row r="14075" spans="23:23">
      <c r="W14075" s="503"/>
    </row>
    <row r="14076" spans="23:23">
      <c r="W14076" s="503"/>
    </row>
    <row r="14077" spans="23:23">
      <c r="W14077" s="503"/>
    </row>
    <row r="14078" spans="23:23">
      <c r="W14078" s="503"/>
    </row>
    <row r="14079" spans="23:23">
      <c r="W14079" s="503"/>
    </row>
    <row r="14080" spans="23:23">
      <c r="W14080" s="503"/>
    </row>
    <row r="14081" spans="23:23">
      <c r="W14081" s="503"/>
    </row>
    <row r="14082" spans="23:23">
      <c r="W14082" s="503"/>
    </row>
    <row r="14083" spans="23:23">
      <c r="W14083" s="503"/>
    </row>
    <row r="14084" spans="23:23">
      <c r="W14084" s="503"/>
    </row>
    <row r="14085" spans="23:23">
      <c r="W14085" s="503"/>
    </row>
    <row r="14086" spans="23:23">
      <c r="W14086" s="503"/>
    </row>
    <row r="14087" spans="23:23">
      <c r="W14087" s="503"/>
    </row>
    <row r="14088" spans="23:23">
      <c r="W14088" s="503"/>
    </row>
    <row r="14089" spans="23:23">
      <c r="W14089" s="503"/>
    </row>
    <row r="14090" spans="23:23">
      <c r="W14090" s="503"/>
    </row>
    <row r="14091" spans="23:23">
      <c r="W14091" s="503"/>
    </row>
    <row r="14092" spans="23:23">
      <c r="W14092" s="503"/>
    </row>
    <row r="14093" spans="23:23">
      <c r="W14093" s="503"/>
    </row>
    <row r="14094" spans="23:23">
      <c r="W14094" s="503"/>
    </row>
    <row r="14095" spans="23:23">
      <c r="W14095" s="503"/>
    </row>
    <row r="14096" spans="23:23">
      <c r="W14096" s="503"/>
    </row>
    <row r="14097" spans="23:23">
      <c r="W14097" s="503"/>
    </row>
    <row r="14098" spans="23:23">
      <c r="W14098" s="503"/>
    </row>
    <row r="14099" spans="23:23">
      <c r="W14099" s="503"/>
    </row>
    <row r="14100" spans="23:23">
      <c r="W14100" s="503"/>
    </row>
    <row r="14101" spans="23:23">
      <c r="W14101" s="503"/>
    </row>
    <row r="14102" spans="23:23">
      <c r="W14102" s="503"/>
    </row>
    <row r="14103" spans="23:23">
      <c r="W14103" s="503"/>
    </row>
    <row r="14104" spans="23:23">
      <c r="W14104" s="503"/>
    </row>
    <row r="14105" spans="23:23">
      <c r="W14105" s="503"/>
    </row>
    <row r="14106" spans="23:23">
      <c r="W14106" s="503"/>
    </row>
    <row r="14107" spans="23:23">
      <c r="W14107" s="503"/>
    </row>
    <row r="14108" spans="23:23">
      <c r="W14108" s="503"/>
    </row>
    <row r="14109" spans="23:23">
      <c r="W14109" s="503"/>
    </row>
    <row r="14110" spans="23:23">
      <c r="W14110" s="503"/>
    </row>
    <row r="14111" spans="23:23">
      <c r="W14111" s="503"/>
    </row>
    <row r="14112" spans="23:23">
      <c r="W14112" s="503"/>
    </row>
    <row r="14113" spans="23:23">
      <c r="W14113" s="503"/>
    </row>
    <row r="14114" spans="23:23">
      <c r="W14114" s="503"/>
    </row>
    <row r="14115" spans="23:23">
      <c r="W14115" s="503"/>
    </row>
    <row r="14116" spans="23:23">
      <c r="W14116" s="503"/>
    </row>
    <row r="14117" spans="23:23">
      <c r="W14117" s="503"/>
    </row>
    <row r="14118" spans="23:23">
      <c r="W14118" s="503"/>
    </row>
    <row r="14119" spans="23:23">
      <c r="W14119" s="503"/>
    </row>
    <row r="14120" spans="23:23">
      <c r="W14120" s="503"/>
    </row>
    <row r="14121" spans="23:23">
      <c r="W14121" s="503"/>
    </row>
    <row r="14122" spans="23:23">
      <c r="W14122" s="503"/>
    </row>
    <row r="14123" spans="23:23">
      <c r="W14123" s="503"/>
    </row>
    <row r="14124" spans="23:23">
      <c r="W14124" s="503"/>
    </row>
    <row r="14125" spans="23:23">
      <c r="W14125" s="503"/>
    </row>
    <row r="14126" spans="23:23">
      <c r="W14126" s="503"/>
    </row>
    <row r="14127" spans="23:23">
      <c r="W14127" s="503"/>
    </row>
    <row r="14128" spans="23:23">
      <c r="W14128" s="503"/>
    </row>
    <row r="14129" spans="23:23">
      <c r="W14129" s="503"/>
    </row>
    <row r="14130" spans="23:23">
      <c r="W14130" s="503"/>
    </row>
    <row r="14131" spans="23:23">
      <c r="W14131" s="503"/>
    </row>
    <row r="14132" spans="23:23">
      <c r="W14132" s="503"/>
    </row>
    <row r="14133" spans="23:23">
      <c r="W14133" s="503"/>
    </row>
    <row r="14134" spans="23:23">
      <c r="W14134" s="503"/>
    </row>
    <row r="14135" spans="23:23">
      <c r="W14135" s="503"/>
    </row>
    <row r="14136" spans="23:23">
      <c r="W14136" s="503"/>
    </row>
    <row r="14137" spans="23:23">
      <c r="W14137" s="503"/>
    </row>
    <row r="14138" spans="23:23">
      <c r="W14138" s="503"/>
    </row>
    <row r="14139" spans="23:23">
      <c r="W14139" s="503"/>
    </row>
    <row r="14140" spans="23:23">
      <c r="W14140" s="503"/>
    </row>
    <row r="14141" spans="23:23">
      <c r="W14141" s="503"/>
    </row>
    <row r="14142" spans="23:23">
      <c r="W14142" s="503"/>
    </row>
    <row r="14143" spans="23:23">
      <c r="W14143" s="503"/>
    </row>
    <row r="14144" spans="23:23">
      <c r="W14144" s="503"/>
    </row>
    <row r="14145" spans="23:23">
      <c r="W14145" s="503"/>
    </row>
    <row r="14146" spans="23:23">
      <c r="W14146" s="503"/>
    </row>
    <row r="14147" spans="23:23">
      <c r="W14147" s="503"/>
    </row>
    <row r="14148" spans="23:23">
      <c r="W14148" s="503"/>
    </row>
    <row r="14149" spans="23:23">
      <c r="W14149" s="503"/>
    </row>
    <row r="14150" spans="23:23">
      <c r="W14150" s="503"/>
    </row>
    <row r="14151" spans="23:23">
      <c r="W14151" s="503"/>
    </row>
    <row r="14152" spans="23:23">
      <c r="W14152" s="503"/>
    </row>
    <row r="14153" spans="23:23">
      <c r="W14153" s="503"/>
    </row>
    <row r="14154" spans="23:23">
      <c r="W14154" s="503"/>
    </row>
    <row r="14155" spans="23:23">
      <c r="W14155" s="503"/>
    </row>
    <row r="14156" spans="23:23">
      <c r="W14156" s="503"/>
    </row>
    <row r="14157" spans="23:23">
      <c r="W14157" s="503"/>
    </row>
    <row r="14158" spans="23:23">
      <c r="W14158" s="503"/>
    </row>
    <row r="14159" spans="23:23">
      <c r="W14159" s="503"/>
    </row>
    <row r="14160" spans="23:23">
      <c r="W14160" s="503"/>
    </row>
    <row r="14161" spans="23:23">
      <c r="W14161" s="503"/>
    </row>
    <row r="14162" spans="23:23">
      <c r="W14162" s="503"/>
    </row>
    <row r="14163" spans="23:23">
      <c r="W14163" s="503"/>
    </row>
    <row r="14164" spans="23:23">
      <c r="W14164" s="503"/>
    </row>
    <row r="14165" spans="23:23">
      <c r="W14165" s="503"/>
    </row>
    <row r="14166" spans="23:23">
      <c r="W14166" s="503"/>
    </row>
    <row r="14167" spans="23:23">
      <c r="W14167" s="503"/>
    </row>
    <row r="14168" spans="23:23">
      <c r="W14168" s="503"/>
    </row>
    <row r="14169" spans="23:23">
      <c r="W14169" s="503"/>
    </row>
    <row r="14170" spans="23:23">
      <c r="W14170" s="503"/>
    </row>
    <row r="14171" spans="23:23">
      <c r="W14171" s="503"/>
    </row>
    <row r="14172" spans="23:23">
      <c r="W14172" s="503"/>
    </row>
    <row r="14173" spans="23:23">
      <c r="W14173" s="503"/>
    </row>
    <row r="14174" spans="23:23">
      <c r="W14174" s="503"/>
    </row>
    <row r="14175" spans="23:23">
      <c r="W14175" s="503"/>
    </row>
    <row r="14176" spans="23:23">
      <c r="W14176" s="503"/>
    </row>
    <row r="14177" spans="23:23">
      <c r="W14177" s="503"/>
    </row>
    <row r="14178" spans="23:23">
      <c r="W14178" s="503"/>
    </row>
    <row r="14179" spans="23:23">
      <c r="W14179" s="503"/>
    </row>
    <row r="14180" spans="23:23">
      <c r="W14180" s="503"/>
    </row>
    <row r="14181" spans="23:23">
      <c r="W14181" s="503"/>
    </row>
    <row r="14182" spans="23:23">
      <c r="W14182" s="503"/>
    </row>
    <row r="14183" spans="23:23">
      <c r="W14183" s="503"/>
    </row>
    <row r="14184" spans="23:23">
      <c r="W14184" s="503"/>
    </row>
    <row r="14185" spans="23:23">
      <c r="W14185" s="503"/>
    </row>
    <row r="14186" spans="23:23">
      <c r="W14186" s="503"/>
    </row>
    <row r="14187" spans="23:23">
      <c r="W14187" s="503"/>
    </row>
    <row r="14188" spans="23:23">
      <c r="W14188" s="503"/>
    </row>
    <row r="14189" spans="23:23">
      <c r="W14189" s="503"/>
    </row>
    <row r="14190" spans="23:23">
      <c r="W14190" s="503"/>
    </row>
    <row r="14191" spans="23:23">
      <c r="W14191" s="503"/>
    </row>
    <row r="14192" spans="23:23">
      <c r="W14192" s="503"/>
    </row>
    <row r="14193" spans="23:23">
      <c r="W14193" s="503"/>
    </row>
    <row r="14194" spans="23:23">
      <c r="W14194" s="503"/>
    </row>
    <row r="14195" spans="23:23">
      <c r="W14195" s="503"/>
    </row>
    <row r="14196" spans="23:23">
      <c r="W14196" s="503"/>
    </row>
    <row r="14197" spans="23:23">
      <c r="W14197" s="503"/>
    </row>
    <row r="14198" spans="23:23">
      <c r="W14198" s="503"/>
    </row>
    <row r="14199" spans="23:23">
      <c r="W14199" s="503"/>
    </row>
    <row r="14200" spans="23:23">
      <c r="W14200" s="503"/>
    </row>
    <row r="14201" spans="23:23">
      <c r="W14201" s="503"/>
    </row>
    <row r="14202" spans="23:23">
      <c r="W14202" s="503"/>
    </row>
    <row r="14203" spans="23:23">
      <c r="W14203" s="503"/>
    </row>
    <row r="14204" spans="23:23">
      <c r="W14204" s="503"/>
    </row>
    <row r="14205" spans="23:23">
      <c r="W14205" s="503"/>
    </row>
    <row r="14206" spans="23:23">
      <c r="W14206" s="503"/>
    </row>
    <row r="14207" spans="23:23">
      <c r="W14207" s="503"/>
    </row>
    <row r="14208" spans="23:23">
      <c r="W14208" s="503"/>
    </row>
    <row r="14209" spans="23:23">
      <c r="W14209" s="503"/>
    </row>
    <row r="14210" spans="23:23">
      <c r="W14210" s="503"/>
    </row>
    <row r="14211" spans="23:23">
      <c r="W14211" s="503"/>
    </row>
    <row r="14212" spans="23:23">
      <c r="W14212" s="503"/>
    </row>
    <row r="14213" spans="23:23">
      <c r="W14213" s="503"/>
    </row>
    <row r="14214" spans="23:23">
      <c r="W14214" s="503"/>
    </row>
    <row r="14215" spans="23:23">
      <c r="W14215" s="503"/>
    </row>
    <row r="14216" spans="23:23">
      <c r="W14216" s="503"/>
    </row>
    <row r="14217" spans="23:23">
      <c r="W14217" s="503"/>
    </row>
    <row r="14218" spans="23:23">
      <c r="W14218" s="503"/>
    </row>
    <row r="14219" spans="23:23">
      <c r="W14219" s="503"/>
    </row>
    <row r="14220" spans="23:23">
      <c r="W14220" s="503"/>
    </row>
    <row r="14221" spans="23:23">
      <c r="W14221" s="503"/>
    </row>
    <row r="14222" spans="23:23">
      <c r="W14222" s="503"/>
    </row>
    <row r="14223" spans="23:23">
      <c r="W14223" s="503"/>
    </row>
    <row r="14224" spans="23:23">
      <c r="W14224" s="503"/>
    </row>
    <row r="14225" spans="23:23">
      <c r="W14225" s="503"/>
    </row>
    <row r="14226" spans="23:23">
      <c r="W14226" s="503"/>
    </row>
    <row r="14227" spans="23:23">
      <c r="W14227" s="503"/>
    </row>
    <row r="14228" spans="23:23">
      <c r="W14228" s="503"/>
    </row>
    <row r="14229" spans="23:23">
      <c r="W14229" s="503"/>
    </row>
    <row r="14230" spans="23:23">
      <c r="W14230" s="503"/>
    </row>
    <row r="14231" spans="23:23">
      <c r="W14231" s="503"/>
    </row>
    <row r="14232" spans="23:23">
      <c r="W14232" s="503"/>
    </row>
    <row r="14233" spans="23:23">
      <c r="W14233" s="503"/>
    </row>
    <row r="14234" spans="23:23">
      <c r="W14234" s="503"/>
    </row>
    <row r="14235" spans="23:23">
      <c r="W14235" s="503"/>
    </row>
    <row r="14236" spans="23:23">
      <c r="W14236" s="503"/>
    </row>
    <row r="14237" spans="23:23">
      <c r="W14237" s="503"/>
    </row>
    <row r="14238" spans="23:23">
      <c r="W14238" s="503"/>
    </row>
    <row r="14239" spans="23:23">
      <c r="W14239" s="503"/>
    </row>
    <row r="14240" spans="23:23">
      <c r="W14240" s="503"/>
    </row>
    <row r="14241" spans="23:23">
      <c r="W14241" s="503"/>
    </row>
    <row r="14242" spans="23:23">
      <c r="W14242" s="503"/>
    </row>
    <row r="14243" spans="23:23">
      <c r="W14243" s="503"/>
    </row>
    <row r="14244" spans="23:23">
      <c r="W14244" s="503"/>
    </row>
    <row r="14245" spans="23:23">
      <c r="W14245" s="503"/>
    </row>
    <row r="14246" spans="23:23">
      <c r="W14246" s="503"/>
    </row>
    <row r="14247" spans="23:23">
      <c r="W14247" s="503"/>
    </row>
    <row r="14248" spans="23:23">
      <c r="W14248" s="503"/>
    </row>
    <row r="14249" spans="23:23">
      <c r="W14249" s="503"/>
    </row>
    <row r="14250" spans="23:23">
      <c r="W14250" s="503"/>
    </row>
    <row r="14251" spans="23:23">
      <c r="W14251" s="503"/>
    </row>
    <row r="14252" spans="23:23">
      <c r="W14252" s="503"/>
    </row>
    <row r="14253" spans="23:23">
      <c r="W14253" s="503"/>
    </row>
    <row r="14254" spans="23:23">
      <c r="W14254" s="503"/>
    </row>
    <row r="14255" spans="23:23">
      <c r="W14255" s="503"/>
    </row>
    <row r="14256" spans="23:23">
      <c r="W14256" s="503"/>
    </row>
    <row r="14257" spans="23:23">
      <c r="W14257" s="503"/>
    </row>
    <row r="14258" spans="23:23">
      <c r="W14258" s="503"/>
    </row>
    <row r="14259" spans="23:23">
      <c r="W14259" s="503"/>
    </row>
    <row r="14260" spans="23:23">
      <c r="W14260" s="503"/>
    </row>
    <row r="14261" spans="23:23">
      <c r="W14261" s="503"/>
    </row>
    <row r="14262" spans="23:23">
      <c r="W14262" s="503"/>
    </row>
    <row r="14263" spans="23:23">
      <c r="W14263" s="503"/>
    </row>
    <row r="14264" spans="23:23">
      <c r="W14264" s="503"/>
    </row>
    <row r="14265" spans="23:23">
      <c r="W14265" s="503"/>
    </row>
    <row r="14266" spans="23:23">
      <c r="W14266" s="503"/>
    </row>
    <row r="14267" spans="23:23">
      <c r="W14267" s="503"/>
    </row>
    <row r="14268" spans="23:23">
      <c r="W14268" s="503"/>
    </row>
    <row r="14269" spans="23:23">
      <c r="W14269" s="503"/>
    </row>
    <row r="14270" spans="23:23">
      <c r="W14270" s="503"/>
    </row>
    <row r="14271" spans="23:23">
      <c r="W14271" s="503"/>
    </row>
    <row r="14272" spans="23:23">
      <c r="W14272" s="503"/>
    </row>
    <row r="14273" spans="23:23">
      <c r="W14273" s="503"/>
    </row>
    <row r="14274" spans="23:23">
      <c r="W14274" s="503"/>
    </row>
    <row r="14275" spans="23:23">
      <c r="W14275" s="503"/>
    </row>
    <row r="14276" spans="23:23">
      <c r="W14276" s="503"/>
    </row>
    <row r="14277" spans="23:23">
      <c r="W14277" s="503"/>
    </row>
    <row r="14278" spans="23:23">
      <c r="W14278" s="503"/>
    </row>
    <row r="14279" spans="23:23">
      <c r="W14279" s="503"/>
    </row>
    <row r="14280" spans="23:23">
      <c r="W14280" s="503"/>
    </row>
    <row r="14281" spans="23:23">
      <c r="W14281" s="503"/>
    </row>
    <row r="14282" spans="23:23">
      <c r="W14282" s="503"/>
    </row>
    <row r="14283" spans="23:23">
      <c r="W14283" s="503"/>
    </row>
    <row r="14284" spans="23:23">
      <c r="W14284" s="503"/>
    </row>
    <row r="14285" spans="23:23">
      <c r="W14285" s="503"/>
    </row>
    <row r="14286" spans="23:23">
      <c r="W14286" s="503"/>
    </row>
    <row r="14287" spans="23:23">
      <c r="W14287" s="503"/>
    </row>
    <row r="14288" spans="23:23">
      <c r="W14288" s="503"/>
    </row>
    <row r="14289" spans="23:23">
      <c r="W14289" s="503"/>
    </row>
    <row r="14290" spans="23:23">
      <c r="W14290" s="503"/>
    </row>
    <row r="14291" spans="23:23">
      <c r="W14291" s="503"/>
    </row>
    <row r="14292" spans="23:23">
      <c r="W14292" s="503"/>
    </row>
    <row r="14293" spans="23:23">
      <c r="W14293" s="503"/>
    </row>
    <row r="14294" spans="23:23">
      <c r="W14294" s="503"/>
    </row>
    <row r="14295" spans="23:23">
      <c r="W14295" s="503"/>
    </row>
    <row r="14296" spans="23:23">
      <c r="W14296" s="503"/>
    </row>
    <row r="14297" spans="23:23">
      <c r="W14297" s="503"/>
    </row>
    <row r="14298" spans="23:23">
      <c r="W14298" s="503"/>
    </row>
    <row r="14299" spans="23:23">
      <c r="W14299" s="503"/>
    </row>
    <row r="14300" spans="23:23">
      <c r="W14300" s="503"/>
    </row>
    <row r="14301" spans="23:23">
      <c r="W14301" s="503"/>
    </row>
    <row r="14302" spans="23:23">
      <c r="W14302" s="503"/>
    </row>
    <row r="14303" spans="23:23">
      <c r="W14303" s="503"/>
    </row>
    <row r="14304" spans="23:23">
      <c r="W14304" s="503"/>
    </row>
    <row r="14305" spans="23:23">
      <c r="W14305" s="503"/>
    </row>
    <row r="14306" spans="23:23">
      <c r="W14306" s="503"/>
    </row>
    <row r="14307" spans="23:23">
      <c r="W14307" s="503"/>
    </row>
    <row r="14308" spans="23:23">
      <c r="W14308" s="503"/>
    </row>
    <row r="14309" spans="23:23">
      <c r="W14309" s="503"/>
    </row>
    <row r="14310" spans="23:23">
      <c r="W14310" s="503"/>
    </row>
    <row r="14311" spans="23:23">
      <c r="W14311" s="503"/>
    </row>
    <row r="14312" spans="23:23">
      <c r="W14312" s="503"/>
    </row>
    <row r="14313" spans="23:23">
      <c r="W14313" s="503"/>
    </row>
    <row r="14314" spans="23:23">
      <c r="W14314" s="503"/>
    </row>
    <row r="14315" spans="23:23">
      <c r="W14315" s="503"/>
    </row>
    <row r="14316" spans="23:23">
      <c r="W14316" s="503"/>
    </row>
    <row r="14317" spans="23:23">
      <c r="W14317" s="503"/>
    </row>
    <row r="14318" spans="23:23">
      <c r="W14318" s="503"/>
    </row>
    <row r="14319" spans="23:23">
      <c r="W14319" s="503"/>
    </row>
    <row r="14320" spans="23:23">
      <c r="W14320" s="503"/>
    </row>
    <row r="14321" spans="23:23">
      <c r="W14321" s="503"/>
    </row>
    <row r="14322" spans="23:23">
      <c r="W14322" s="503"/>
    </row>
    <row r="14323" spans="23:23">
      <c r="W14323" s="503"/>
    </row>
    <row r="14324" spans="23:23">
      <c r="W14324" s="503"/>
    </row>
    <row r="14325" spans="23:23">
      <c r="W14325" s="503"/>
    </row>
    <row r="14326" spans="23:23">
      <c r="W14326" s="503"/>
    </row>
    <row r="14327" spans="23:23">
      <c r="W14327" s="503"/>
    </row>
    <row r="14328" spans="23:23">
      <c r="W14328" s="503"/>
    </row>
    <row r="14329" spans="23:23">
      <c r="W14329" s="503"/>
    </row>
    <row r="14330" spans="23:23">
      <c r="W14330" s="503"/>
    </row>
    <row r="14331" spans="23:23">
      <c r="W14331" s="503"/>
    </row>
    <row r="14332" spans="23:23">
      <c r="W14332" s="503"/>
    </row>
    <row r="14333" spans="23:23">
      <c r="W14333" s="503"/>
    </row>
    <row r="14334" spans="23:23">
      <c r="W14334" s="503"/>
    </row>
    <row r="14335" spans="23:23">
      <c r="W14335" s="503"/>
    </row>
    <row r="14336" spans="23:23">
      <c r="W14336" s="503"/>
    </row>
    <row r="14337" spans="23:23">
      <c r="W14337" s="503"/>
    </row>
    <row r="14338" spans="23:23">
      <c r="W14338" s="503"/>
    </row>
    <row r="14339" spans="23:23">
      <c r="W14339" s="503"/>
    </row>
    <row r="14340" spans="23:23">
      <c r="W14340" s="503"/>
    </row>
    <row r="14341" spans="23:23">
      <c r="W14341" s="503"/>
    </row>
    <row r="14342" spans="23:23">
      <c r="W14342" s="503"/>
    </row>
    <row r="14343" spans="23:23">
      <c r="W14343" s="503"/>
    </row>
    <row r="14344" spans="23:23">
      <c r="W14344" s="503"/>
    </row>
    <row r="14345" spans="23:23">
      <c r="W14345" s="503"/>
    </row>
    <row r="14346" spans="23:23">
      <c r="W14346" s="503"/>
    </row>
    <row r="14347" spans="23:23">
      <c r="W14347" s="503"/>
    </row>
    <row r="14348" spans="23:23">
      <c r="W14348" s="503"/>
    </row>
    <row r="14349" spans="23:23">
      <c r="W14349" s="503"/>
    </row>
    <row r="14350" spans="23:23">
      <c r="W14350" s="503"/>
    </row>
    <row r="14351" spans="23:23">
      <c r="W14351" s="503"/>
    </row>
    <row r="14352" spans="23:23">
      <c r="W14352" s="503"/>
    </row>
    <row r="14353" spans="23:23">
      <c r="W14353" s="503"/>
    </row>
    <row r="14354" spans="23:23">
      <c r="W14354" s="503"/>
    </row>
    <row r="14355" spans="23:23">
      <c r="W14355" s="503"/>
    </row>
    <row r="14356" spans="23:23">
      <c r="W14356" s="503"/>
    </row>
    <row r="14357" spans="23:23">
      <c r="W14357" s="503"/>
    </row>
    <row r="14358" spans="23:23">
      <c r="W14358" s="503"/>
    </row>
    <row r="14359" spans="23:23">
      <c r="W14359" s="503"/>
    </row>
    <row r="14360" spans="23:23">
      <c r="W14360" s="503"/>
    </row>
    <row r="14361" spans="23:23">
      <c r="W14361" s="503"/>
    </row>
    <row r="14362" spans="23:23">
      <c r="W14362" s="503"/>
    </row>
    <row r="14363" spans="23:23">
      <c r="W14363" s="503"/>
    </row>
    <row r="14364" spans="23:23">
      <c r="W14364" s="503"/>
    </row>
    <row r="14365" spans="23:23">
      <c r="W14365" s="503"/>
    </row>
    <row r="14366" spans="23:23">
      <c r="W14366" s="503"/>
    </row>
    <row r="14367" spans="23:23">
      <c r="W14367" s="503"/>
    </row>
    <row r="14368" spans="23:23">
      <c r="W14368" s="503"/>
    </row>
    <row r="14369" spans="23:23">
      <c r="W14369" s="503"/>
    </row>
    <row r="14370" spans="23:23">
      <c r="W14370" s="503"/>
    </row>
    <row r="14371" spans="23:23">
      <c r="W14371" s="503"/>
    </row>
    <row r="14372" spans="23:23">
      <c r="W14372" s="503"/>
    </row>
    <row r="14373" spans="23:23">
      <c r="W14373" s="503"/>
    </row>
    <row r="14374" spans="23:23">
      <c r="W14374" s="503"/>
    </row>
    <row r="14375" spans="23:23">
      <c r="W14375" s="503"/>
    </row>
    <row r="14376" spans="23:23">
      <c r="W14376" s="503"/>
    </row>
    <row r="14377" spans="23:23">
      <c r="W14377" s="503"/>
    </row>
    <row r="14378" spans="23:23">
      <c r="W14378" s="503"/>
    </row>
    <row r="14379" spans="23:23">
      <c r="W14379" s="503"/>
    </row>
    <row r="14380" spans="23:23">
      <c r="W14380" s="503"/>
    </row>
    <row r="14381" spans="23:23">
      <c r="W14381" s="503"/>
    </row>
    <row r="14382" spans="23:23">
      <c r="W14382" s="503"/>
    </row>
    <row r="14383" spans="23:23">
      <c r="W14383" s="503"/>
    </row>
    <row r="14384" spans="23:23">
      <c r="W14384" s="503"/>
    </row>
    <row r="14385" spans="23:23">
      <c r="W14385" s="503"/>
    </row>
    <row r="14386" spans="23:23">
      <c r="W14386" s="503"/>
    </row>
    <row r="14387" spans="23:23">
      <c r="W14387" s="503"/>
    </row>
    <row r="14388" spans="23:23">
      <c r="W14388" s="503"/>
    </row>
    <row r="14389" spans="23:23">
      <c r="W14389" s="503"/>
    </row>
    <row r="14390" spans="23:23">
      <c r="W14390" s="503"/>
    </row>
    <row r="14391" spans="23:23">
      <c r="W14391" s="503"/>
    </row>
    <row r="14392" spans="23:23">
      <c r="W14392" s="503"/>
    </row>
    <row r="14393" spans="23:23">
      <c r="W14393" s="503"/>
    </row>
    <row r="14394" spans="23:23">
      <c r="W14394" s="503"/>
    </row>
    <row r="14395" spans="23:23">
      <c r="W14395" s="503"/>
    </row>
    <row r="14396" spans="23:23">
      <c r="W14396" s="503"/>
    </row>
    <row r="14397" spans="23:23">
      <c r="W14397" s="503"/>
    </row>
    <row r="14398" spans="23:23">
      <c r="W14398" s="503"/>
    </row>
    <row r="14399" spans="23:23">
      <c r="W14399" s="503"/>
    </row>
    <row r="14400" spans="23:23">
      <c r="W14400" s="503"/>
    </row>
    <row r="14401" spans="23:23">
      <c r="W14401" s="503"/>
    </row>
    <row r="14402" spans="23:23">
      <c r="W14402" s="503"/>
    </row>
    <row r="14403" spans="23:23">
      <c r="W14403" s="503"/>
    </row>
    <row r="14404" spans="23:23">
      <c r="W14404" s="503"/>
    </row>
    <row r="14405" spans="23:23">
      <c r="W14405" s="503"/>
    </row>
    <row r="14406" spans="23:23">
      <c r="W14406" s="503"/>
    </row>
    <row r="14407" spans="23:23">
      <c r="W14407" s="503"/>
    </row>
    <row r="14408" spans="23:23">
      <c r="W14408" s="503"/>
    </row>
    <row r="14409" spans="23:23">
      <c r="W14409" s="503"/>
    </row>
    <row r="14410" spans="23:23">
      <c r="W14410" s="503"/>
    </row>
    <row r="14411" spans="23:23">
      <c r="W14411" s="503"/>
    </row>
    <row r="14412" spans="23:23">
      <c r="W14412" s="503"/>
    </row>
    <row r="14413" spans="23:23">
      <c r="W14413" s="503"/>
    </row>
    <row r="14414" spans="23:23">
      <c r="W14414" s="503"/>
    </row>
    <row r="14415" spans="23:23">
      <c r="W14415" s="503"/>
    </row>
    <row r="14416" spans="23:23">
      <c r="W14416" s="503"/>
    </row>
    <row r="14417" spans="23:23">
      <c r="W14417" s="503"/>
    </row>
    <row r="14418" spans="23:23">
      <c r="W14418" s="503"/>
    </row>
    <row r="14419" spans="23:23">
      <c r="W14419" s="503"/>
    </row>
    <row r="14420" spans="23:23">
      <c r="W14420" s="503"/>
    </row>
    <row r="14421" spans="23:23">
      <c r="W14421" s="503"/>
    </row>
    <row r="14422" spans="23:23">
      <c r="W14422" s="503"/>
    </row>
    <row r="14423" spans="23:23">
      <c r="W14423" s="503"/>
    </row>
    <row r="14424" spans="23:23">
      <c r="W14424" s="503"/>
    </row>
    <row r="14425" spans="23:23">
      <c r="W14425" s="503"/>
    </row>
    <row r="14426" spans="23:23">
      <c r="W14426" s="503"/>
    </row>
    <row r="14427" spans="23:23">
      <c r="W14427" s="503"/>
    </row>
    <row r="14428" spans="23:23">
      <c r="W14428" s="503"/>
    </row>
    <row r="14429" spans="23:23">
      <c r="W14429" s="503"/>
    </row>
    <row r="14430" spans="23:23">
      <c r="W14430" s="503"/>
    </row>
    <row r="14431" spans="23:23">
      <c r="W14431" s="503"/>
    </row>
    <row r="14432" spans="23:23">
      <c r="W14432" s="503"/>
    </row>
    <row r="14433" spans="23:23">
      <c r="W14433" s="503"/>
    </row>
    <row r="14434" spans="23:23">
      <c r="W14434" s="503"/>
    </row>
    <row r="14435" spans="23:23">
      <c r="W14435" s="503"/>
    </row>
    <row r="14436" spans="23:23">
      <c r="W14436" s="503"/>
    </row>
    <row r="14437" spans="23:23">
      <c r="W14437" s="503"/>
    </row>
    <row r="14438" spans="23:23">
      <c r="W14438" s="503"/>
    </row>
    <row r="14439" spans="23:23">
      <c r="W14439" s="503"/>
    </row>
    <row r="14440" spans="23:23">
      <c r="W14440" s="503"/>
    </row>
    <row r="14441" spans="23:23">
      <c r="W14441" s="503"/>
    </row>
    <row r="14442" spans="23:23">
      <c r="W14442" s="503"/>
    </row>
    <row r="14443" spans="23:23">
      <c r="W14443" s="503"/>
    </row>
    <row r="14444" spans="23:23">
      <c r="W14444" s="503"/>
    </row>
    <row r="14445" spans="23:23">
      <c r="W14445" s="503"/>
    </row>
    <row r="14446" spans="23:23">
      <c r="W14446" s="503"/>
    </row>
    <row r="14447" spans="23:23">
      <c r="W14447" s="503"/>
    </row>
    <row r="14448" spans="23:23">
      <c r="W14448" s="503"/>
    </row>
    <row r="14449" spans="23:23">
      <c r="W14449" s="503"/>
    </row>
    <row r="14450" spans="23:23">
      <c r="W14450" s="503"/>
    </row>
    <row r="14451" spans="23:23">
      <c r="W14451" s="503"/>
    </row>
    <row r="14452" spans="23:23">
      <c r="W14452" s="503"/>
    </row>
    <row r="14453" spans="23:23">
      <c r="W14453" s="503"/>
    </row>
    <row r="14454" spans="23:23">
      <c r="W14454" s="503"/>
    </row>
    <row r="14455" spans="23:23">
      <c r="W14455" s="503"/>
    </row>
    <row r="14456" spans="23:23">
      <c r="W14456" s="503"/>
    </row>
    <row r="14457" spans="23:23">
      <c r="W14457" s="503"/>
    </row>
    <row r="14458" spans="23:23">
      <c r="W14458" s="503"/>
    </row>
    <row r="14459" spans="23:23">
      <c r="W14459" s="503"/>
    </row>
    <row r="14460" spans="23:23">
      <c r="W14460" s="503"/>
    </row>
    <row r="14461" spans="23:23">
      <c r="W14461" s="503"/>
    </row>
    <row r="14462" spans="23:23">
      <c r="W14462" s="503"/>
    </row>
    <row r="14463" spans="23:23">
      <c r="W14463" s="503"/>
    </row>
    <row r="14464" spans="23:23">
      <c r="W14464" s="503"/>
    </row>
    <row r="14465" spans="23:23">
      <c r="W14465" s="503"/>
    </row>
    <row r="14466" spans="23:23">
      <c r="W14466" s="503"/>
    </row>
    <row r="14467" spans="23:23">
      <c r="W14467" s="503"/>
    </row>
    <row r="14468" spans="23:23">
      <c r="W14468" s="503"/>
    </row>
    <row r="14469" spans="23:23">
      <c r="W14469" s="503"/>
    </row>
    <row r="14470" spans="23:23">
      <c r="W14470" s="503"/>
    </row>
    <row r="14471" spans="23:23">
      <c r="W14471" s="503"/>
    </row>
    <row r="14472" spans="23:23">
      <c r="W14472" s="503"/>
    </row>
    <row r="14473" spans="23:23">
      <c r="W14473" s="503"/>
    </row>
    <row r="14474" spans="23:23">
      <c r="W14474" s="503"/>
    </row>
    <row r="14475" spans="23:23">
      <c r="W14475" s="503"/>
    </row>
    <row r="14476" spans="23:23">
      <c r="W14476" s="503"/>
    </row>
    <row r="14477" spans="23:23">
      <c r="W14477" s="503"/>
    </row>
    <row r="14478" spans="23:23">
      <c r="W14478" s="503"/>
    </row>
    <row r="14479" spans="23:23">
      <c r="W14479" s="503"/>
    </row>
    <row r="14480" spans="23:23">
      <c r="W14480" s="503"/>
    </row>
    <row r="14481" spans="23:23">
      <c r="W14481" s="503"/>
    </row>
    <row r="14482" spans="23:23">
      <c r="W14482" s="503"/>
    </row>
    <row r="14483" spans="23:23">
      <c r="W14483" s="503"/>
    </row>
    <row r="14484" spans="23:23">
      <c r="W14484" s="503"/>
    </row>
    <row r="14485" spans="23:23">
      <c r="W14485" s="503"/>
    </row>
    <row r="14486" spans="23:23">
      <c r="W14486" s="503"/>
    </row>
    <row r="14487" spans="23:23">
      <c r="W14487" s="503"/>
    </row>
    <row r="14488" spans="23:23">
      <c r="W14488" s="503"/>
    </row>
    <row r="14489" spans="23:23">
      <c r="W14489" s="503"/>
    </row>
    <row r="14490" spans="23:23">
      <c r="W14490" s="503"/>
    </row>
    <row r="14491" spans="23:23">
      <c r="W14491" s="503"/>
    </row>
    <row r="14492" spans="23:23">
      <c r="W14492" s="503"/>
    </row>
    <row r="14493" spans="23:23">
      <c r="W14493" s="503"/>
    </row>
    <row r="14494" spans="23:23">
      <c r="W14494" s="503"/>
    </row>
    <row r="14495" spans="23:23">
      <c r="W14495" s="503"/>
    </row>
    <row r="14496" spans="23:23">
      <c r="W14496" s="503"/>
    </row>
    <row r="14497" spans="23:23">
      <c r="W14497" s="503"/>
    </row>
    <row r="14498" spans="23:23">
      <c r="W14498" s="503"/>
    </row>
    <row r="14499" spans="23:23">
      <c r="W14499" s="503"/>
    </row>
    <row r="14500" spans="23:23">
      <c r="W14500" s="503"/>
    </row>
    <row r="14501" spans="23:23">
      <c r="W14501" s="503"/>
    </row>
    <row r="14502" spans="23:23">
      <c r="W14502" s="503"/>
    </row>
    <row r="14503" spans="23:23">
      <c r="W14503" s="503"/>
    </row>
    <row r="14504" spans="23:23">
      <c r="W14504" s="503"/>
    </row>
    <row r="14505" spans="23:23">
      <c r="W14505" s="503"/>
    </row>
    <row r="14506" spans="23:23">
      <c r="W14506" s="503"/>
    </row>
    <row r="14507" spans="23:23">
      <c r="W14507" s="503"/>
    </row>
    <row r="14508" spans="23:23">
      <c r="W14508" s="503"/>
    </row>
    <row r="14509" spans="23:23">
      <c r="W14509" s="503"/>
    </row>
    <row r="14510" spans="23:23">
      <c r="W14510" s="503"/>
    </row>
    <row r="14511" spans="23:23">
      <c r="W14511" s="503"/>
    </row>
    <row r="14512" spans="23:23">
      <c r="W14512" s="503"/>
    </row>
    <row r="14513" spans="23:23">
      <c r="W14513" s="503"/>
    </row>
    <row r="14514" spans="23:23">
      <c r="W14514" s="503"/>
    </row>
    <row r="14515" spans="23:23">
      <c r="W14515" s="503"/>
    </row>
    <row r="14516" spans="23:23">
      <c r="W14516" s="503"/>
    </row>
    <row r="14517" spans="23:23">
      <c r="W14517" s="503"/>
    </row>
    <row r="14518" spans="23:23">
      <c r="W14518" s="503"/>
    </row>
    <row r="14519" spans="23:23">
      <c r="W14519" s="503"/>
    </row>
    <row r="14520" spans="23:23">
      <c r="W14520" s="503"/>
    </row>
    <row r="14521" spans="23:23">
      <c r="W14521" s="503"/>
    </row>
    <row r="14522" spans="23:23">
      <c r="W14522" s="503"/>
    </row>
    <row r="14523" spans="23:23">
      <c r="W14523" s="503"/>
    </row>
    <row r="14524" spans="23:23">
      <c r="W14524" s="503"/>
    </row>
    <row r="14525" spans="23:23">
      <c r="W14525" s="503"/>
    </row>
    <row r="14526" spans="23:23">
      <c r="W14526" s="503"/>
    </row>
    <row r="14527" spans="23:23">
      <c r="W14527" s="503"/>
    </row>
    <row r="14528" spans="23:23">
      <c r="W14528" s="503"/>
    </row>
    <row r="14529" spans="23:23">
      <c r="W14529" s="503"/>
    </row>
    <row r="14530" spans="23:23">
      <c r="W14530" s="503"/>
    </row>
    <row r="14531" spans="23:23">
      <c r="W14531" s="503"/>
    </row>
    <row r="14532" spans="23:23">
      <c r="W14532" s="503"/>
    </row>
    <row r="14533" spans="23:23">
      <c r="W14533" s="503"/>
    </row>
    <row r="14534" spans="23:23">
      <c r="W14534" s="503"/>
    </row>
    <row r="14535" spans="23:23">
      <c r="W14535" s="503"/>
    </row>
    <row r="14536" spans="23:23">
      <c r="W14536" s="503"/>
    </row>
    <row r="14537" spans="23:23">
      <c r="W14537" s="503"/>
    </row>
    <row r="14538" spans="23:23">
      <c r="W14538" s="503"/>
    </row>
    <row r="14539" spans="23:23">
      <c r="W14539" s="503"/>
    </row>
    <row r="14540" spans="23:23">
      <c r="W14540" s="503"/>
    </row>
    <row r="14541" spans="23:23">
      <c r="W14541" s="503"/>
    </row>
    <row r="14542" spans="23:23">
      <c r="W14542" s="503"/>
    </row>
    <row r="14543" spans="23:23">
      <c r="W14543" s="503"/>
    </row>
    <row r="14544" spans="23:23">
      <c r="W14544" s="503"/>
    </row>
    <row r="14545" spans="23:23">
      <c r="W14545" s="503"/>
    </row>
    <row r="14546" spans="23:23">
      <c r="W14546" s="503"/>
    </row>
    <row r="14547" spans="23:23">
      <c r="W14547" s="503"/>
    </row>
    <row r="14548" spans="23:23">
      <c r="W14548" s="503"/>
    </row>
    <row r="14549" spans="23:23">
      <c r="W14549" s="503"/>
    </row>
    <row r="14550" spans="23:23">
      <c r="W14550" s="503"/>
    </row>
    <row r="14551" spans="23:23">
      <c r="W14551" s="503"/>
    </row>
    <row r="14552" spans="23:23">
      <c r="W14552" s="503"/>
    </row>
    <row r="14553" spans="23:23">
      <c r="W14553" s="503"/>
    </row>
    <row r="14554" spans="23:23">
      <c r="W14554" s="503"/>
    </row>
    <row r="14555" spans="23:23">
      <c r="W14555" s="503"/>
    </row>
    <row r="14556" spans="23:23">
      <c r="W14556" s="503"/>
    </row>
    <row r="14557" spans="23:23">
      <c r="W14557" s="503"/>
    </row>
    <row r="14558" spans="23:23">
      <c r="W14558" s="503"/>
    </row>
    <row r="14559" spans="23:23">
      <c r="W14559" s="503"/>
    </row>
    <row r="14560" spans="23:23">
      <c r="W14560" s="503"/>
    </row>
    <row r="14561" spans="23:23">
      <c r="W14561" s="503"/>
    </row>
    <row r="14562" spans="23:23">
      <c r="W14562" s="503"/>
    </row>
    <row r="14563" spans="23:23">
      <c r="W14563" s="503"/>
    </row>
    <row r="14564" spans="23:23">
      <c r="W14564" s="503"/>
    </row>
    <row r="14565" spans="23:23">
      <c r="W14565" s="503"/>
    </row>
    <row r="14566" spans="23:23">
      <c r="W14566" s="503"/>
    </row>
    <row r="14567" spans="23:23">
      <c r="W14567" s="503"/>
    </row>
    <row r="14568" spans="23:23">
      <c r="W14568" s="503"/>
    </row>
    <row r="14569" spans="23:23">
      <c r="W14569" s="503"/>
    </row>
    <row r="14570" spans="23:23">
      <c r="W14570" s="503"/>
    </row>
    <row r="14571" spans="23:23">
      <c r="W14571" s="503"/>
    </row>
    <row r="14572" spans="23:23">
      <c r="W14572" s="503"/>
    </row>
    <row r="14573" spans="23:23">
      <c r="W14573" s="503"/>
    </row>
    <row r="14574" spans="23:23">
      <c r="W14574" s="503"/>
    </row>
    <row r="14575" spans="23:23">
      <c r="W14575" s="503"/>
    </row>
    <row r="14576" spans="23:23">
      <c r="W14576" s="503"/>
    </row>
    <row r="14577" spans="23:23">
      <c r="W14577" s="503"/>
    </row>
    <row r="14578" spans="23:23">
      <c r="W14578" s="503"/>
    </row>
    <row r="14579" spans="23:23">
      <c r="W14579" s="503"/>
    </row>
    <row r="14580" spans="23:23">
      <c r="W14580" s="503"/>
    </row>
    <row r="14581" spans="23:23">
      <c r="W14581" s="503"/>
    </row>
    <row r="14582" spans="23:23">
      <c r="W14582" s="503"/>
    </row>
    <row r="14583" spans="23:23">
      <c r="W14583" s="503"/>
    </row>
    <row r="14584" spans="23:23">
      <c r="W14584" s="503"/>
    </row>
    <row r="14585" spans="23:23">
      <c r="W14585" s="503"/>
    </row>
    <row r="14586" spans="23:23">
      <c r="W14586" s="503"/>
    </row>
    <row r="14587" spans="23:23">
      <c r="W14587" s="503"/>
    </row>
    <row r="14588" spans="23:23">
      <c r="W14588" s="503"/>
    </row>
    <row r="14589" spans="23:23">
      <c r="W14589" s="503"/>
    </row>
    <row r="14590" spans="23:23">
      <c r="W14590" s="503"/>
    </row>
    <row r="14591" spans="23:23">
      <c r="W14591" s="503"/>
    </row>
    <row r="14592" spans="23:23">
      <c r="W14592" s="503"/>
    </row>
    <row r="14593" spans="23:23">
      <c r="W14593" s="503"/>
    </row>
    <row r="14594" spans="23:23">
      <c r="W14594" s="503"/>
    </row>
    <row r="14595" spans="23:23">
      <c r="W14595" s="503"/>
    </row>
    <row r="14596" spans="23:23">
      <c r="W14596" s="503"/>
    </row>
    <row r="14597" spans="23:23">
      <c r="W14597" s="503"/>
    </row>
    <row r="14598" spans="23:23">
      <c r="W14598" s="503"/>
    </row>
    <row r="14599" spans="23:23">
      <c r="W14599" s="503"/>
    </row>
    <row r="14600" spans="23:23">
      <c r="W14600" s="503"/>
    </row>
    <row r="14601" spans="23:23">
      <c r="W14601" s="503"/>
    </row>
    <row r="14602" spans="23:23">
      <c r="W14602" s="503"/>
    </row>
    <row r="14603" spans="23:23">
      <c r="W14603" s="503"/>
    </row>
    <row r="14604" spans="23:23">
      <c r="W14604" s="503"/>
    </row>
    <row r="14605" spans="23:23">
      <c r="W14605" s="503"/>
    </row>
    <row r="14606" spans="23:23">
      <c r="W14606" s="503"/>
    </row>
    <row r="14607" spans="23:23">
      <c r="W14607" s="503"/>
    </row>
    <row r="14608" spans="23:23">
      <c r="W14608" s="503"/>
    </row>
    <row r="14609" spans="23:23">
      <c r="W14609" s="503"/>
    </row>
    <row r="14610" spans="23:23">
      <c r="W14610" s="503"/>
    </row>
    <row r="14611" spans="23:23">
      <c r="W14611" s="503"/>
    </row>
    <row r="14612" spans="23:23">
      <c r="W14612" s="503"/>
    </row>
    <row r="14613" spans="23:23">
      <c r="W14613" s="503"/>
    </row>
    <row r="14614" spans="23:23">
      <c r="W14614" s="503"/>
    </row>
    <row r="14615" spans="23:23">
      <c r="W14615" s="503"/>
    </row>
    <row r="14616" spans="23:23">
      <c r="W14616" s="503"/>
    </row>
    <row r="14617" spans="23:23">
      <c r="W14617" s="503"/>
    </row>
    <row r="14618" spans="23:23">
      <c r="W14618" s="503"/>
    </row>
    <row r="14619" spans="23:23">
      <c r="W14619" s="503"/>
    </row>
    <row r="14620" spans="23:23">
      <c r="W14620" s="503"/>
    </row>
    <row r="14621" spans="23:23">
      <c r="W14621" s="503"/>
    </row>
    <row r="14622" spans="23:23">
      <c r="W14622" s="503"/>
    </row>
    <row r="14623" spans="23:23">
      <c r="W14623" s="503"/>
    </row>
    <row r="14624" spans="23:23">
      <c r="W14624" s="503"/>
    </row>
    <row r="14625" spans="23:23">
      <c r="W14625" s="503"/>
    </row>
    <row r="14626" spans="23:23">
      <c r="W14626" s="503"/>
    </row>
    <row r="14627" spans="23:23">
      <c r="W14627" s="503"/>
    </row>
    <row r="14628" spans="23:23">
      <c r="W14628" s="503"/>
    </row>
    <row r="14629" spans="23:23">
      <c r="W14629" s="503"/>
    </row>
    <row r="14630" spans="23:23">
      <c r="W14630" s="503"/>
    </row>
    <row r="14631" spans="23:23">
      <c r="W14631" s="503"/>
    </row>
    <row r="14632" spans="23:23">
      <c r="W14632" s="503"/>
    </row>
    <row r="14633" spans="23:23">
      <c r="W14633" s="503"/>
    </row>
    <row r="14634" spans="23:23">
      <c r="W14634" s="503"/>
    </row>
    <row r="14635" spans="23:23">
      <c r="W14635" s="503"/>
    </row>
    <row r="14636" spans="23:23">
      <c r="W14636" s="503"/>
    </row>
    <row r="14637" spans="23:23">
      <c r="W14637" s="503"/>
    </row>
    <row r="14638" spans="23:23">
      <c r="W14638" s="503"/>
    </row>
    <row r="14639" spans="23:23">
      <c r="W14639" s="503"/>
    </row>
    <row r="14640" spans="23:23">
      <c r="W14640" s="503"/>
    </row>
    <row r="14641" spans="23:23">
      <c r="W14641" s="503"/>
    </row>
    <row r="14642" spans="23:23">
      <c r="W14642" s="503"/>
    </row>
    <row r="14643" spans="23:23">
      <c r="W14643" s="503"/>
    </row>
    <row r="14644" spans="23:23">
      <c r="W14644" s="503"/>
    </row>
    <row r="14645" spans="23:23">
      <c r="W14645" s="503"/>
    </row>
    <row r="14646" spans="23:23">
      <c r="W14646" s="503"/>
    </row>
    <row r="14647" spans="23:23">
      <c r="W14647" s="503"/>
    </row>
    <row r="14648" spans="23:23">
      <c r="W14648" s="503"/>
    </row>
    <row r="14649" spans="23:23">
      <c r="W14649" s="503"/>
    </row>
    <row r="14650" spans="23:23">
      <c r="W14650" s="503"/>
    </row>
    <row r="14651" spans="23:23">
      <c r="W14651" s="503"/>
    </row>
    <row r="14652" spans="23:23">
      <c r="W14652" s="503"/>
    </row>
    <row r="14653" spans="23:23">
      <c r="W14653" s="503"/>
    </row>
    <row r="14654" spans="23:23">
      <c r="W14654" s="503"/>
    </row>
    <row r="14655" spans="23:23">
      <c r="W14655" s="503"/>
    </row>
    <row r="14656" spans="23:23">
      <c r="W14656" s="503"/>
    </row>
    <row r="14657" spans="23:23">
      <c r="W14657" s="503"/>
    </row>
    <row r="14658" spans="23:23">
      <c r="W14658" s="503"/>
    </row>
    <row r="14659" spans="23:23">
      <c r="W14659" s="503"/>
    </row>
    <row r="14660" spans="23:23">
      <c r="W14660" s="503"/>
    </row>
    <row r="14661" spans="23:23">
      <c r="W14661" s="503"/>
    </row>
    <row r="14662" spans="23:23">
      <c r="W14662" s="503"/>
    </row>
    <row r="14663" spans="23:23">
      <c r="W14663" s="503"/>
    </row>
    <row r="14664" spans="23:23">
      <c r="W14664" s="503"/>
    </row>
    <row r="14665" spans="23:23">
      <c r="W14665" s="503"/>
    </row>
    <row r="14666" spans="23:23">
      <c r="W14666" s="503"/>
    </row>
    <row r="14667" spans="23:23">
      <c r="W14667" s="503"/>
    </row>
    <row r="14668" spans="23:23">
      <c r="W14668" s="503"/>
    </row>
    <row r="14669" spans="23:23">
      <c r="W14669" s="503"/>
    </row>
    <row r="14670" spans="23:23">
      <c r="W14670" s="503"/>
    </row>
    <row r="14671" spans="23:23">
      <c r="W14671" s="503"/>
    </row>
    <row r="14672" spans="23:23">
      <c r="W14672" s="503"/>
    </row>
    <row r="14673" spans="23:23">
      <c r="W14673" s="503"/>
    </row>
    <row r="14674" spans="23:23">
      <c r="W14674" s="503"/>
    </row>
    <row r="14675" spans="23:23">
      <c r="W14675" s="503"/>
    </row>
    <row r="14676" spans="23:23">
      <c r="W14676" s="503"/>
    </row>
    <row r="14677" spans="23:23">
      <c r="W14677" s="503"/>
    </row>
    <row r="14678" spans="23:23">
      <c r="W14678" s="503"/>
    </row>
    <row r="14679" spans="23:23">
      <c r="W14679" s="503"/>
    </row>
    <row r="14680" spans="23:23">
      <c r="W14680" s="503"/>
    </row>
    <row r="14681" spans="23:23">
      <c r="W14681" s="503"/>
    </row>
    <row r="14682" spans="23:23">
      <c r="W14682" s="503"/>
    </row>
    <row r="14683" spans="23:23">
      <c r="W14683" s="503"/>
    </row>
    <row r="14684" spans="23:23">
      <c r="W14684" s="503"/>
    </row>
    <row r="14685" spans="23:23">
      <c r="W14685" s="503"/>
    </row>
    <row r="14686" spans="23:23">
      <c r="W14686" s="503"/>
    </row>
    <row r="14687" spans="23:23">
      <c r="W14687" s="503"/>
    </row>
    <row r="14688" spans="23:23">
      <c r="W14688" s="503"/>
    </row>
    <row r="14689" spans="23:23">
      <c r="W14689" s="503"/>
    </row>
    <row r="14690" spans="23:23">
      <c r="W14690" s="503"/>
    </row>
    <row r="14691" spans="23:23">
      <c r="W14691" s="503"/>
    </row>
    <row r="14692" spans="23:23">
      <c r="W14692" s="503"/>
    </row>
    <row r="14693" spans="23:23">
      <c r="W14693" s="503"/>
    </row>
    <row r="14694" spans="23:23">
      <c r="W14694" s="503"/>
    </row>
    <row r="14695" spans="23:23">
      <c r="W14695" s="503"/>
    </row>
    <row r="14696" spans="23:23">
      <c r="W14696" s="503"/>
    </row>
    <row r="14697" spans="23:23">
      <c r="W14697" s="503"/>
    </row>
    <row r="14698" spans="23:23">
      <c r="W14698" s="503"/>
    </row>
    <row r="14699" spans="23:23">
      <c r="W14699" s="503"/>
    </row>
    <row r="14700" spans="23:23">
      <c r="W14700" s="503"/>
    </row>
    <row r="14701" spans="23:23">
      <c r="W14701" s="503"/>
    </row>
    <row r="14702" spans="23:23">
      <c r="W14702" s="503"/>
    </row>
    <row r="14703" spans="23:23">
      <c r="W14703" s="503"/>
    </row>
    <row r="14704" spans="23:23">
      <c r="W14704" s="503"/>
    </row>
    <row r="14705" spans="23:23">
      <c r="W14705" s="503"/>
    </row>
    <row r="14706" spans="23:23">
      <c r="W14706" s="503"/>
    </row>
    <row r="14707" spans="23:23">
      <c r="W14707" s="503"/>
    </row>
    <row r="14708" spans="23:23">
      <c r="W14708" s="503"/>
    </row>
    <row r="14709" spans="23:23">
      <c r="W14709" s="503"/>
    </row>
    <row r="14710" spans="23:23">
      <c r="W14710" s="503"/>
    </row>
    <row r="14711" spans="23:23">
      <c r="W14711" s="503"/>
    </row>
    <row r="14712" spans="23:23">
      <c r="W14712" s="503"/>
    </row>
    <row r="14713" spans="23:23">
      <c r="W14713" s="503"/>
    </row>
    <row r="14714" spans="23:23">
      <c r="W14714" s="503"/>
    </row>
    <row r="14715" spans="23:23">
      <c r="W14715" s="503"/>
    </row>
    <row r="14716" spans="23:23">
      <c r="W14716" s="503"/>
    </row>
    <row r="14717" spans="23:23">
      <c r="W14717" s="503"/>
    </row>
    <row r="14718" spans="23:23">
      <c r="W14718" s="503"/>
    </row>
    <row r="14719" spans="23:23">
      <c r="W14719" s="503"/>
    </row>
    <row r="14720" spans="23:23">
      <c r="W14720" s="503"/>
    </row>
    <row r="14721" spans="23:23">
      <c r="W14721" s="503"/>
    </row>
    <row r="14722" spans="23:23">
      <c r="W14722" s="503"/>
    </row>
    <row r="14723" spans="23:23">
      <c r="W14723" s="503"/>
    </row>
    <row r="14724" spans="23:23">
      <c r="W14724" s="503"/>
    </row>
    <row r="14725" spans="23:23">
      <c r="W14725" s="503"/>
    </row>
    <row r="14726" spans="23:23">
      <c r="W14726" s="503"/>
    </row>
    <row r="14727" spans="23:23">
      <c r="W14727" s="503"/>
    </row>
    <row r="14728" spans="23:23">
      <c r="W14728" s="503"/>
    </row>
    <row r="14729" spans="23:23">
      <c r="W14729" s="503"/>
    </row>
    <row r="14730" spans="23:23">
      <c r="W14730" s="503"/>
    </row>
    <row r="14731" spans="23:23">
      <c r="W14731" s="503"/>
    </row>
    <row r="14732" spans="23:23">
      <c r="W14732" s="503"/>
    </row>
    <row r="14733" spans="23:23">
      <c r="W14733" s="503"/>
    </row>
    <row r="14734" spans="23:23">
      <c r="W14734" s="503"/>
    </row>
    <row r="14735" spans="23:23">
      <c r="W14735" s="503"/>
    </row>
    <row r="14736" spans="23:23">
      <c r="W14736" s="503"/>
    </row>
    <row r="14737" spans="23:23">
      <c r="W14737" s="503"/>
    </row>
    <row r="14738" spans="23:23">
      <c r="W14738" s="503"/>
    </row>
    <row r="14739" spans="23:23">
      <c r="W14739" s="503"/>
    </row>
    <row r="14740" spans="23:23">
      <c r="W14740" s="503"/>
    </row>
    <row r="14741" spans="23:23">
      <c r="W14741" s="503"/>
    </row>
    <row r="14742" spans="23:23">
      <c r="W14742" s="503"/>
    </row>
    <row r="14743" spans="23:23">
      <c r="W14743" s="503"/>
    </row>
    <row r="14744" spans="23:23">
      <c r="W14744" s="503"/>
    </row>
    <row r="14745" spans="23:23">
      <c r="W14745" s="503"/>
    </row>
    <row r="14746" spans="23:23">
      <c r="W14746" s="503"/>
    </row>
    <row r="14747" spans="23:23">
      <c r="W14747" s="503"/>
    </row>
    <row r="14748" spans="23:23">
      <c r="W14748" s="503"/>
    </row>
    <row r="14749" spans="23:23">
      <c r="W14749" s="503"/>
    </row>
    <row r="14750" spans="23:23">
      <c r="W14750" s="503"/>
    </row>
    <row r="14751" spans="23:23">
      <c r="W14751" s="503"/>
    </row>
    <row r="14752" spans="23:23">
      <c r="W14752" s="503"/>
    </row>
    <row r="14753" spans="23:23">
      <c r="W14753" s="503"/>
    </row>
    <row r="14754" spans="23:23">
      <c r="W14754" s="503"/>
    </row>
    <row r="14755" spans="23:23">
      <c r="W14755" s="503"/>
    </row>
    <row r="14756" spans="23:23">
      <c r="W14756" s="503"/>
    </row>
    <row r="14757" spans="23:23">
      <c r="W14757" s="503"/>
    </row>
    <row r="14758" spans="23:23">
      <c r="W14758" s="503"/>
    </row>
    <row r="14759" spans="23:23">
      <c r="W14759" s="503"/>
    </row>
    <row r="14760" spans="23:23">
      <c r="W14760" s="503"/>
    </row>
    <row r="14761" spans="23:23">
      <c r="W14761" s="503"/>
    </row>
    <row r="14762" spans="23:23">
      <c r="W14762" s="503"/>
    </row>
    <row r="14763" spans="23:23">
      <c r="W14763" s="503"/>
    </row>
    <row r="14764" spans="23:23">
      <c r="W14764" s="503"/>
    </row>
    <row r="14765" spans="23:23">
      <c r="W14765" s="503"/>
    </row>
    <row r="14766" spans="23:23">
      <c r="W14766" s="503"/>
    </row>
    <row r="14767" spans="23:23">
      <c r="W14767" s="503"/>
    </row>
    <row r="14768" spans="23:23">
      <c r="W14768" s="503"/>
    </row>
    <row r="14769" spans="23:23">
      <c r="W14769" s="503"/>
    </row>
    <row r="14770" spans="23:23">
      <c r="W14770" s="503"/>
    </row>
    <row r="14771" spans="23:23">
      <c r="W14771" s="503"/>
    </row>
    <row r="14772" spans="23:23">
      <c r="W14772" s="503"/>
    </row>
    <row r="14773" spans="23:23">
      <c r="W14773" s="503"/>
    </row>
    <row r="14774" spans="23:23">
      <c r="W14774" s="503"/>
    </row>
    <row r="14775" spans="23:23">
      <c r="W14775" s="503"/>
    </row>
    <row r="14776" spans="23:23">
      <c r="W14776" s="503"/>
    </row>
    <row r="14777" spans="23:23">
      <c r="W14777" s="503"/>
    </row>
    <row r="14778" spans="23:23">
      <c r="W14778" s="503"/>
    </row>
    <row r="14779" spans="23:23">
      <c r="W14779" s="503"/>
    </row>
    <row r="14780" spans="23:23">
      <c r="W14780" s="503"/>
    </row>
    <row r="14781" spans="23:23">
      <c r="W14781" s="503"/>
    </row>
    <row r="14782" spans="23:23">
      <c r="W14782" s="503"/>
    </row>
    <row r="14783" spans="23:23">
      <c r="W14783" s="503"/>
    </row>
    <row r="14784" spans="23:23">
      <c r="W14784" s="503"/>
    </row>
    <row r="14785" spans="23:23">
      <c r="W14785" s="503"/>
    </row>
    <row r="14786" spans="23:23">
      <c r="W14786" s="503"/>
    </row>
    <row r="14787" spans="23:23">
      <c r="W14787" s="503"/>
    </row>
    <row r="14788" spans="23:23">
      <c r="W14788" s="503"/>
    </row>
    <row r="14789" spans="23:23">
      <c r="W14789" s="503"/>
    </row>
    <row r="14790" spans="23:23">
      <c r="W14790" s="503"/>
    </row>
    <row r="14791" spans="23:23">
      <c r="W14791" s="503"/>
    </row>
    <row r="14792" spans="23:23">
      <c r="W14792" s="503"/>
    </row>
    <row r="14793" spans="23:23">
      <c r="W14793" s="503"/>
    </row>
    <row r="14794" spans="23:23">
      <c r="W14794" s="503"/>
    </row>
    <row r="14795" spans="23:23">
      <c r="W14795" s="503"/>
    </row>
    <row r="14796" spans="23:23">
      <c r="W14796" s="503"/>
    </row>
    <row r="14797" spans="23:23">
      <c r="W14797" s="503"/>
    </row>
    <row r="14798" spans="23:23">
      <c r="W14798" s="503"/>
    </row>
    <row r="14799" spans="23:23">
      <c r="W14799" s="503"/>
    </row>
    <row r="14800" spans="23:23">
      <c r="W14800" s="503"/>
    </row>
    <row r="14801" spans="23:23">
      <c r="W14801" s="503"/>
    </row>
    <row r="14802" spans="23:23">
      <c r="W14802" s="503"/>
    </row>
    <row r="14803" spans="23:23">
      <c r="W14803" s="503"/>
    </row>
    <row r="14804" spans="23:23">
      <c r="W14804" s="503"/>
    </row>
    <row r="14805" spans="23:23">
      <c r="W14805" s="503"/>
    </row>
    <row r="14806" spans="23:23">
      <c r="W14806" s="503"/>
    </row>
    <row r="14807" spans="23:23">
      <c r="W14807" s="503"/>
    </row>
    <row r="14808" spans="23:23">
      <c r="W14808" s="503"/>
    </row>
    <row r="14809" spans="23:23">
      <c r="W14809" s="503"/>
    </row>
    <row r="14810" spans="23:23">
      <c r="W14810" s="503"/>
    </row>
    <row r="14811" spans="23:23">
      <c r="W14811" s="503"/>
    </row>
    <row r="14812" spans="23:23">
      <c r="W14812" s="503"/>
    </row>
    <row r="14813" spans="23:23">
      <c r="W14813" s="503"/>
    </row>
    <row r="14814" spans="23:23">
      <c r="W14814" s="503"/>
    </row>
    <row r="14815" spans="23:23">
      <c r="W14815" s="503"/>
    </row>
    <row r="14816" spans="23:23">
      <c r="W14816" s="503"/>
    </row>
    <row r="14817" spans="23:23">
      <c r="W14817" s="503"/>
    </row>
    <row r="14818" spans="23:23">
      <c r="W14818" s="503"/>
    </row>
    <row r="14819" spans="23:23">
      <c r="W14819" s="503"/>
    </row>
    <row r="14820" spans="23:23">
      <c r="W14820" s="503"/>
    </row>
    <row r="14821" spans="23:23">
      <c r="W14821" s="503"/>
    </row>
    <row r="14822" spans="23:23">
      <c r="W14822" s="503"/>
    </row>
    <row r="14823" spans="23:23">
      <c r="W14823" s="503"/>
    </row>
    <row r="14824" spans="23:23">
      <c r="W14824" s="503"/>
    </row>
    <row r="14825" spans="23:23">
      <c r="W14825" s="503"/>
    </row>
    <row r="14826" spans="23:23">
      <c r="W14826" s="503"/>
    </row>
    <row r="14827" spans="23:23">
      <c r="W14827" s="503"/>
    </row>
    <row r="14828" spans="23:23">
      <c r="W14828" s="503"/>
    </row>
    <row r="14829" spans="23:23">
      <c r="W14829" s="503"/>
    </row>
    <row r="14830" spans="23:23">
      <c r="W14830" s="503"/>
    </row>
    <row r="14831" spans="23:23">
      <c r="W14831" s="503"/>
    </row>
    <row r="14832" spans="23:23">
      <c r="W14832" s="503"/>
    </row>
    <row r="14833" spans="23:23">
      <c r="W14833" s="503"/>
    </row>
    <row r="14834" spans="23:23">
      <c r="W14834" s="503"/>
    </row>
    <row r="14835" spans="23:23">
      <c r="W14835" s="503"/>
    </row>
    <row r="14836" spans="23:23">
      <c r="W14836" s="503"/>
    </row>
    <row r="14837" spans="23:23">
      <c r="W14837" s="503"/>
    </row>
    <row r="14838" spans="23:23">
      <c r="W14838" s="503"/>
    </row>
    <row r="14839" spans="23:23">
      <c r="W14839" s="503"/>
    </row>
    <row r="14840" spans="23:23">
      <c r="W14840" s="503"/>
    </row>
    <row r="14841" spans="23:23">
      <c r="W14841" s="503"/>
    </row>
    <row r="14842" spans="23:23">
      <c r="W14842" s="503"/>
    </row>
    <row r="14843" spans="23:23">
      <c r="W14843" s="503"/>
    </row>
    <row r="14844" spans="23:23">
      <c r="W14844" s="503"/>
    </row>
    <row r="14845" spans="23:23">
      <c r="W14845" s="503"/>
    </row>
    <row r="14846" spans="23:23">
      <c r="W14846" s="503"/>
    </row>
    <row r="14847" spans="23:23">
      <c r="W14847" s="503"/>
    </row>
    <row r="14848" spans="23:23">
      <c r="W14848" s="503"/>
    </row>
    <row r="14849" spans="23:23">
      <c r="W14849" s="503"/>
    </row>
    <row r="14850" spans="23:23">
      <c r="W14850" s="503"/>
    </row>
    <row r="14851" spans="23:23">
      <c r="W14851" s="503"/>
    </row>
    <row r="14852" spans="23:23">
      <c r="W14852" s="503"/>
    </row>
    <row r="14853" spans="23:23">
      <c r="W14853" s="503"/>
    </row>
    <row r="14854" spans="23:23">
      <c r="W14854" s="503"/>
    </row>
    <row r="14855" spans="23:23">
      <c r="W14855" s="503"/>
    </row>
    <row r="14856" spans="23:23">
      <c r="W14856" s="503"/>
    </row>
    <row r="14857" spans="23:23">
      <c r="W14857" s="503"/>
    </row>
    <row r="14858" spans="23:23">
      <c r="W14858" s="503"/>
    </row>
    <row r="14859" spans="23:23">
      <c r="W14859" s="503"/>
    </row>
    <row r="14860" spans="23:23">
      <c r="W14860" s="503"/>
    </row>
    <row r="14861" spans="23:23">
      <c r="W14861" s="503"/>
    </row>
    <row r="14862" spans="23:23">
      <c r="W14862" s="503"/>
    </row>
    <row r="14863" spans="23:23">
      <c r="W14863" s="503"/>
    </row>
    <row r="14864" spans="23:23">
      <c r="W14864" s="503"/>
    </row>
    <row r="14865" spans="23:23">
      <c r="W14865" s="503"/>
    </row>
    <row r="14866" spans="23:23">
      <c r="W14866" s="503"/>
    </row>
    <row r="14867" spans="23:23">
      <c r="W14867" s="503"/>
    </row>
    <row r="14868" spans="23:23">
      <c r="W14868" s="503"/>
    </row>
    <row r="14869" spans="23:23">
      <c r="W14869" s="503"/>
    </row>
    <row r="14870" spans="23:23">
      <c r="W14870" s="503"/>
    </row>
    <row r="14871" spans="23:23">
      <c r="W14871" s="503"/>
    </row>
    <row r="14872" spans="23:23">
      <c r="W14872" s="503"/>
    </row>
    <row r="14873" spans="23:23">
      <c r="W14873" s="503"/>
    </row>
    <row r="14874" spans="23:23">
      <c r="W14874" s="503"/>
    </row>
    <row r="14875" spans="23:23">
      <c r="W14875" s="503"/>
    </row>
    <row r="14876" spans="23:23">
      <c r="W14876" s="503"/>
    </row>
    <row r="14877" spans="23:23">
      <c r="W14877" s="503"/>
    </row>
    <row r="14878" spans="23:23">
      <c r="W14878" s="503"/>
    </row>
    <row r="14879" spans="23:23">
      <c r="W14879" s="503"/>
    </row>
    <row r="14880" spans="23:23">
      <c r="W14880" s="503"/>
    </row>
    <row r="14881" spans="23:23">
      <c r="W14881" s="503"/>
    </row>
    <row r="14882" spans="23:23">
      <c r="W14882" s="503"/>
    </row>
    <row r="14883" spans="23:23">
      <c r="W14883" s="503"/>
    </row>
    <row r="14884" spans="23:23">
      <c r="W14884" s="503"/>
    </row>
    <row r="14885" spans="23:23">
      <c r="W14885" s="503"/>
    </row>
    <row r="14886" spans="23:23">
      <c r="W14886" s="503"/>
    </row>
    <row r="14887" spans="23:23">
      <c r="W14887" s="503"/>
    </row>
    <row r="14888" spans="23:23">
      <c r="W14888" s="503"/>
    </row>
    <row r="14889" spans="23:23">
      <c r="W14889" s="503"/>
    </row>
    <row r="14890" spans="23:23">
      <c r="W14890" s="503"/>
    </row>
    <row r="14891" spans="23:23">
      <c r="W14891" s="503"/>
    </row>
    <row r="14892" spans="23:23">
      <c r="W14892" s="503"/>
    </row>
    <row r="14893" spans="23:23">
      <c r="W14893" s="503"/>
    </row>
    <row r="14894" spans="23:23">
      <c r="W14894" s="503"/>
    </row>
    <row r="14895" spans="23:23">
      <c r="W14895" s="503"/>
    </row>
    <row r="14896" spans="23:23">
      <c r="W14896" s="503"/>
    </row>
    <row r="14897" spans="23:23">
      <c r="W14897" s="503"/>
    </row>
    <row r="14898" spans="23:23">
      <c r="W14898" s="503"/>
    </row>
    <row r="14899" spans="23:23">
      <c r="W14899" s="503"/>
    </row>
    <row r="14900" spans="23:23">
      <c r="W14900" s="503"/>
    </row>
    <row r="14901" spans="23:23">
      <c r="W14901" s="503"/>
    </row>
    <row r="14902" spans="23:23">
      <c r="W14902" s="503"/>
    </row>
    <row r="14903" spans="23:23">
      <c r="W14903" s="503"/>
    </row>
    <row r="14904" spans="23:23">
      <c r="W14904" s="503"/>
    </row>
    <row r="14905" spans="23:23">
      <c r="W14905" s="503"/>
    </row>
    <row r="14906" spans="23:23">
      <c r="W14906" s="503"/>
    </row>
    <row r="14907" spans="23:23">
      <c r="W14907" s="503"/>
    </row>
    <row r="14908" spans="23:23">
      <c r="W14908" s="503"/>
    </row>
    <row r="14909" spans="23:23">
      <c r="W14909" s="503"/>
    </row>
    <row r="14910" spans="23:23">
      <c r="W14910" s="503"/>
    </row>
    <row r="14911" spans="23:23">
      <c r="W14911" s="503"/>
    </row>
    <row r="14912" spans="23:23">
      <c r="W14912" s="503"/>
    </row>
    <row r="14913" spans="23:23">
      <c r="W14913" s="503"/>
    </row>
    <row r="14914" spans="23:23">
      <c r="W14914" s="503"/>
    </row>
    <row r="14915" spans="23:23">
      <c r="W14915" s="503"/>
    </row>
    <row r="14916" spans="23:23">
      <c r="W14916" s="503"/>
    </row>
    <row r="14917" spans="23:23">
      <c r="W14917" s="503"/>
    </row>
    <row r="14918" spans="23:23">
      <c r="W14918" s="503"/>
    </row>
    <row r="14919" spans="23:23">
      <c r="W14919" s="503"/>
    </row>
    <row r="14920" spans="23:23">
      <c r="W14920" s="503"/>
    </row>
    <row r="14921" spans="23:23">
      <c r="W14921" s="503"/>
    </row>
    <row r="14922" spans="23:23">
      <c r="W14922" s="503"/>
    </row>
    <row r="14923" spans="23:23">
      <c r="W14923" s="503"/>
    </row>
    <row r="14924" spans="23:23">
      <c r="W14924" s="503"/>
    </row>
    <row r="14925" spans="23:23">
      <c r="W14925" s="503"/>
    </row>
    <row r="14926" spans="23:23">
      <c r="W14926" s="503"/>
    </row>
    <row r="14927" spans="23:23">
      <c r="W14927" s="503"/>
    </row>
    <row r="14928" spans="23:23">
      <c r="W14928" s="503"/>
    </row>
    <row r="14929" spans="23:23">
      <c r="W14929" s="503"/>
    </row>
    <row r="14930" spans="23:23">
      <c r="W14930" s="503"/>
    </row>
    <row r="14931" spans="23:23">
      <c r="W14931" s="503"/>
    </row>
    <row r="14932" spans="23:23">
      <c r="W14932" s="503"/>
    </row>
    <row r="14933" spans="23:23">
      <c r="W14933" s="503"/>
    </row>
    <row r="14934" spans="23:23">
      <c r="W14934" s="503"/>
    </row>
    <row r="14935" spans="23:23">
      <c r="W14935" s="503"/>
    </row>
    <row r="14936" spans="23:23">
      <c r="W14936" s="503"/>
    </row>
    <row r="14937" spans="23:23">
      <c r="W14937" s="503"/>
    </row>
    <row r="14938" spans="23:23">
      <c r="W14938" s="503"/>
    </row>
    <row r="14939" spans="23:23">
      <c r="W14939" s="503"/>
    </row>
    <row r="14940" spans="23:23">
      <c r="W14940" s="503"/>
    </row>
    <row r="14941" spans="23:23">
      <c r="W14941" s="503"/>
    </row>
    <row r="14942" spans="23:23">
      <c r="W14942" s="503"/>
    </row>
    <row r="14943" spans="23:23">
      <c r="W14943" s="503"/>
    </row>
    <row r="14944" spans="23:23">
      <c r="W14944" s="503"/>
    </row>
    <row r="14945" spans="23:23">
      <c r="W14945" s="503"/>
    </row>
    <row r="14946" spans="23:23">
      <c r="W14946" s="503"/>
    </row>
    <row r="14947" spans="23:23">
      <c r="W14947" s="503"/>
    </row>
    <row r="14948" spans="23:23">
      <c r="W14948" s="503"/>
    </row>
    <row r="14949" spans="23:23">
      <c r="W14949" s="503"/>
    </row>
    <row r="14950" spans="23:23">
      <c r="W14950" s="503"/>
    </row>
    <row r="14951" spans="23:23">
      <c r="W14951" s="503"/>
    </row>
    <row r="14952" spans="23:23">
      <c r="W14952" s="503"/>
    </row>
    <row r="14953" spans="23:23">
      <c r="W14953" s="503"/>
    </row>
    <row r="14954" spans="23:23">
      <c r="W14954" s="503"/>
    </row>
    <row r="14955" spans="23:23">
      <c r="W14955" s="503"/>
    </row>
    <row r="14956" spans="23:23">
      <c r="W14956" s="503"/>
    </row>
    <row r="14957" spans="23:23">
      <c r="W14957" s="503"/>
    </row>
    <row r="14958" spans="23:23">
      <c r="W14958" s="503"/>
    </row>
    <row r="14959" spans="23:23">
      <c r="W14959" s="503"/>
    </row>
    <row r="14960" spans="23:23">
      <c r="W14960" s="503"/>
    </row>
    <row r="14961" spans="23:23">
      <c r="W14961" s="503"/>
    </row>
    <row r="14962" spans="23:23">
      <c r="W14962" s="503"/>
    </row>
    <row r="14963" spans="23:23">
      <c r="W14963" s="503"/>
    </row>
    <row r="14964" spans="23:23">
      <c r="W14964" s="503"/>
    </row>
    <row r="14965" spans="23:23">
      <c r="W14965" s="503"/>
    </row>
    <row r="14966" spans="23:23">
      <c r="W14966" s="503"/>
    </row>
    <row r="14967" spans="23:23">
      <c r="W14967" s="503"/>
    </row>
    <row r="14968" spans="23:23">
      <c r="W14968" s="503"/>
    </row>
    <row r="14969" spans="23:23">
      <c r="W14969" s="503"/>
    </row>
    <row r="14970" spans="23:23">
      <c r="W14970" s="503"/>
    </row>
    <row r="14971" spans="23:23">
      <c r="W14971" s="503"/>
    </row>
    <row r="14972" spans="23:23">
      <c r="W14972" s="503"/>
    </row>
    <row r="14973" spans="23:23">
      <c r="W14973" s="503"/>
    </row>
    <row r="14974" spans="23:23">
      <c r="W14974" s="503"/>
    </row>
    <row r="14975" spans="23:23">
      <c r="W14975" s="503"/>
    </row>
    <row r="14976" spans="23:23">
      <c r="W14976" s="503"/>
    </row>
    <row r="14977" spans="23:23">
      <c r="W14977" s="503"/>
    </row>
    <row r="14978" spans="23:23">
      <c r="W14978" s="503"/>
    </row>
    <row r="14979" spans="23:23">
      <c r="W14979" s="503"/>
    </row>
    <row r="14980" spans="23:23">
      <c r="W14980" s="503"/>
    </row>
    <row r="14981" spans="23:23">
      <c r="W14981" s="503"/>
    </row>
    <row r="14982" spans="23:23">
      <c r="W14982" s="503"/>
    </row>
    <row r="14983" spans="23:23">
      <c r="W14983" s="503"/>
    </row>
    <row r="14984" spans="23:23">
      <c r="W14984" s="503"/>
    </row>
    <row r="14985" spans="23:23">
      <c r="W14985" s="503"/>
    </row>
    <row r="14986" spans="23:23">
      <c r="W14986" s="503"/>
    </row>
    <row r="14987" spans="23:23">
      <c r="W14987" s="503"/>
    </row>
    <row r="14988" spans="23:23">
      <c r="W14988" s="503"/>
    </row>
    <row r="14989" spans="23:23">
      <c r="W14989" s="503"/>
    </row>
    <row r="14990" spans="23:23">
      <c r="W14990" s="503"/>
    </row>
    <row r="14991" spans="23:23">
      <c r="W14991" s="503"/>
    </row>
    <row r="14992" spans="23:23">
      <c r="W14992" s="503"/>
    </row>
    <row r="14993" spans="23:23">
      <c r="W14993" s="503"/>
    </row>
    <row r="14994" spans="23:23">
      <c r="W14994" s="503"/>
    </row>
    <row r="14995" spans="23:23">
      <c r="W14995" s="503"/>
    </row>
    <row r="14996" spans="23:23">
      <c r="W14996" s="503"/>
    </row>
    <row r="14997" spans="23:23">
      <c r="W14997" s="503"/>
    </row>
    <row r="14998" spans="23:23">
      <c r="W14998" s="503"/>
    </row>
    <row r="14999" spans="23:23">
      <c r="W14999" s="503"/>
    </row>
    <row r="15000" spans="23:23">
      <c r="W15000" s="503"/>
    </row>
    <row r="15001" spans="23:23">
      <c r="W15001" s="503"/>
    </row>
    <row r="15002" spans="23:23">
      <c r="W15002" s="503"/>
    </row>
    <row r="15003" spans="23:23">
      <c r="W15003" s="503"/>
    </row>
    <row r="15004" spans="23:23">
      <c r="W15004" s="503"/>
    </row>
    <row r="15005" spans="23:23">
      <c r="W15005" s="503"/>
    </row>
    <row r="15006" spans="23:23">
      <c r="W15006" s="503"/>
    </row>
    <row r="15007" spans="23:23">
      <c r="W15007" s="503"/>
    </row>
    <row r="15008" spans="23:23">
      <c r="W15008" s="503"/>
    </row>
    <row r="15009" spans="23:23">
      <c r="W15009" s="503"/>
    </row>
    <row r="15010" spans="23:23">
      <c r="W15010" s="503"/>
    </row>
    <row r="15011" spans="23:23">
      <c r="W15011" s="503"/>
    </row>
    <row r="15012" spans="23:23">
      <c r="W15012" s="503"/>
    </row>
    <row r="15013" spans="23:23">
      <c r="W15013" s="503"/>
    </row>
    <row r="15014" spans="23:23">
      <c r="W15014" s="503"/>
    </row>
    <row r="15015" spans="23:23">
      <c r="W15015" s="503"/>
    </row>
    <row r="15016" spans="23:23">
      <c r="W15016" s="503"/>
    </row>
    <row r="15017" spans="23:23">
      <c r="W15017" s="503"/>
    </row>
    <row r="15018" spans="23:23">
      <c r="W15018" s="503"/>
    </row>
    <row r="15019" spans="23:23">
      <c r="W15019" s="503"/>
    </row>
    <row r="15020" spans="23:23">
      <c r="W15020" s="503"/>
    </row>
    <row r="15021" spans="23:23">
      <c r="W15021" s="503"/>
    </row>
    <row r="15022" spans="23:23">
      <c r="W15022" s="503"/>
    </row>
    <row r="15023" spans="23:23">
      <c r="W15023" s="503"/>
    </row>
    <row r="15024" spans="23:23">
      <c r="W15024" s="503"/>
    </row>
    <row r="15025" spans="23:23">
      <c r="W15025" s="503"/>
    </row>
    <row r="15026" spans="23:23">
      <c r="W15026" s="503"/>
    </row>
    <row r="15027" spans="23:23">
      <c r="W15027" s="503"/>
    </row>
    <row r="15028" spans="23:23">
      <c r="W15028" s="503"/>
    </row>
    <row r="15029" spans="23:23">
      <c r="W15029" s="503"/>
    </row>
    <row r="15030" spans="23:23">
      <c r="W15030" s="503"/>
    </row>
    <row r="15031" spans="23:23">
      <c r="W15031" s="503"/>
    </row>
    <row r="15032" spans="23:23">
      <c r="W15032" s="503"/>
    </row>
    <row r="15033" spans="23:23">
      <c r="W15033" s="503"/>
    </row>
    <row r="15034" spans="23:23">
      <c r="W15034" s="503"/>
    </row>
    <row r="15035" spans="23:23">
      <c r="W15035" s="503"/>
    </row>
    <row r="15036" spans="23:23">
      <c r="W15036" s="503"/>
    </row>
    <row r="15037" spans="23:23">
      <c r="W15037" s="503"/>
    </row>
    <row r="15038" spans="23:23">
      <c r="W15038" s="503"/>
    </row>
    <row r="15039" spans="23:23">
      <c r="W15039" s="503"/>
    </row>
    <row r="15040" spans="23:23">
      <c r="W15040" s="503"/>
    </row>
    <row r="15041" spans="23:23">
      <c r="W15041" s="503"/>
    </row>
    <row r="15042" spans="23:23">
      <c r="W15042" s="503"/>
    </row>
    <row r="15043" spans="23:23">
      <c r="W15043" s="503"/>
    </row>
    <row r="15044" spans="23:23">
      <c r="W15044" s="503"/>
    </row>
    <row r="15045" spans="23:23">
      <c r="W15045" s="503"/>
    </row>
    <row r="15046" spans="23:23">
      <c r="W15046" s="503"/>
    </row>
    <row r="15047" spans="23:23">
      <c r="W15047" s="503"/>
    </row>
    <row r="15048" spans="23:23">
      <c r="W15048" s="503"/>
    </row>
    <row r="15049" spans="23:23">
      <c r="W15049" s="503"/>
    </row>
    <row r="15050" spans="23:23">
      <c r="W15050" s="503"/>
    </row>
    <row r="15051" spans="23:23">
      <c r="W15051" s="503"/>
    </row>
    <row r="15052" spans="23:23">
      <c r="W15052" s="503"/>
    </row>
    <row r="15053" spans="23:23">
      <c r="W15053" s="503"/>
    </row>
    <row r="15054" spans="23:23">
      <c r="W15054" s="503"/>
    </row>
    <row r="15055" spans="23:23">
      <c r="W15055" s="503"/>
    </row>
    <row r="15056" spans="23:23">
      <c r="W15056" s="503"/>
    </row>
    <row r="15057" spans="23:23">
      <c r="W15057" s="503"/>
    </row>
    <row r="15058" spans="23:23">
      <c r="W15058" s="503"/>
    </row>
    <row r="15059" spans="23:23">
      <c r="W15059" s="503"/>
    </row>
    <row r="15060" spans="23:23">
      <c r="W15060" s="503"/>
    </row>
    <row r="15061" spans="23:23">
      <c r="W15061" s="503"/>
    </row>
    <row r="15062" spans="23:23">
      <c r="W15062" s="503"/>
    </row>
    <row r="15063" spans="23:23">
      <c r="W15063" s="503"/>
    </row>
    <row r="15064" spans="23:23">
      <c r="W15064" s="503"/>
    </row>
    <row r="15065" spans="23:23">
      <c r="W15065" s="503"/>
    </row>
    <row r="15066" spans="23:23">
      <c r="W15066" s="503"/>
    </row>
    <row r="15067" spans="23:23">
      <c r="W15067" s="503"/>
    </row>
    <row r="15068" spans="23:23">
      <c r="W15068" s="503"/>
    </row>
    <row r="15069" spans="23:23">
      <c r="W15069" s="503"/>
    </row>
    <row r="15070" spans="23:23">
      <c r="W15070" s="503"/>
    </row>
    <row r="15071" spans="23:23">
      <c r="W15071" s="503"/>
    </row>
    <row r="15072" spans="23:23">
      <c r="W15072" s="503"/>
    </row>
    <row r="15073" spans="23:23">
      <c r="W15073" s="503"/>
    </row>
    <row r="15074" spans="23:23">
      <c r="W15074" s="503"/>
    </row>
    <row r="15075" spans="23:23">
      <c r="W15075" s="503"/>
    </row>
    <row r="15076" spans="23:23">
      <c r="W15076" s="503"/>
    </row>
    <row r="15077" spans="23:23">
      <c r="W15077" s="503"/>
    </row>
    <row r="15078" spans="23:23">
      <c r="W15078" s="503"/>
    </row>
    <row r="15079" spans="23:23">
      <c r="W15079" s="503"/>
    </row>
    <row r="15080" spans="23:23">
      <c r="W15080" s="503"/>
    </row>
    <row r="15081" spans="23:23">
      <c r="W15081" s="503"/>
    </row>
    <row r="15082" spans="23:23">
      <c r="W15082" s="503"/>
    </row>
    <row r="15083" spans="23:23">
      <c r="W15083" s="503"/>
    </row>
    <row r="15084" spans="23:23">
      <c r="W15084" s="503"/>
    </row>
    <row r="15085" spans="23:23">
      <c r="W15085" s="503"/>
    </row>
    <row r="15086" spans="23:23">
      <c r="W15086" s="503"/>
    </row>
    <row r="15087" spans="23:23">
      <c r="W15087" s="503"/>
    </row>
    <row r="15088" spans="23:23">
      <c r="W15088" s="503"/>
    </row>
    <row r="15089" spans="23:23">
      <c r="W15089" s="503"/>
    </row>
    <row r="15090" spans="23:23">
      <c r="W15090" s="503"/>
    </row>
    <row r="15091" spans="23:23">
      <c r="W15091" s="503"/>
    </row>
    <row r="15092" spans="23:23">
      <c r="W15092" s="503"/>
    </row>
    <row r="15093" spans="23:23">
      <c r="W15093" s="503"/>
    </row>
    <row r="15094" spans="23:23">
      <c r="W15094" s="503"/>
    </row>
    <row r="15095" spans="23:23">
      <c r="W15095" s="503"/>
    </row>
    <row r="15096" spans="23:23">
      <c r="W15096" s="503"/>
    </row>
    <row r="15097" spans="23:23">
      <c r="W15097" s="503"/>
    </row>
    <row r="15098" spans="23:23">
      <c r="W15098" s="503"/>
    </row>
    <row r="15099" spans="23:23">
      <c r="W15099" s="503"/>
    </row>
    <row r="15100" spans="23:23">
      <c r="W15100" s="503"/>
    </row>
    <row r="15101" spans="23:23">
      <c r="W15101" s="503"/>
    </row>
    <row r="15102" spans="23:23">
      <c r="W15102" s="503"/>
    </row>
    <row r="15103" spans="23:23">
      <c r="W15103" s="503"/>
    </row>
    <row r="15104" spans="23:23">
      <c r="W15104" s="503"/>
    </row>
    <row r="15105" spans="23:23">
      <c r="W15105" s="503"/>
    </row>
    <row r="15106" spans="23:23">
      <c r="W15106" s="503"/>
    </row>
    <row r="15107" spans="23:23">
      <c r="W15107" s="503"/>
    </row>
    <row r="15108" spans="23:23">
      <c r="W15108" s="503"/>
    </row>
    <row r="15109" spans="23:23">
      <c r="W15109" s="503"/>
    </row>
    <row r="15110" spans="23:23">
      <c r="W15110" s="503"/>
    </row>
    <row r="15111" spans="23:23">
      <c r="W15111" s="503"/>
    </row>
    <row r="15112" spans="23:23">
      <c r="W15112" s="503"/>
    </row>
    <row r="15113" spans="23:23">
      <c r="W15113" s="503"/>
    </row>
    <row r="15114" spans="23:23">
      <c r="W15114" s="503"/>
    </row>
    <row r="15115" spans="23:23">
      <c r="W15115" s="503"/>
    </row>
    <row r="15116" spans="23:23">
      <c r="W15116" s="503"/>
    </row>
    <row r="15117" spans="23:23">
      <c r="W15117" s="503"/>
    </row>
    <row r="15118" spans="23:23">
      <c r="W15118" s="503"/>
    </row>
    <row r="15119" spans="23:23">
      <c r="W15119" s="503"/>
    </row>
    <row r="15120" spans="23:23">
      <c r="W15120" s="503"/>
    </row>
    <row r="15121" spans="23:23">
      <c r="W15121" s="503"/>
    </row>
    <row r="15122" spans="23:23">
      <c r="W15122" s="503"/>
    </row>
    <row r="15123" spans="23:23">
      <c r="W15123" s="503"/>
    </row>
    <row r="15124" spans="23:23">
      <c r="W15124" s="503"/>
    </row>
    <row r="15125" spans="23:23">
      <c r="W15125" s="503"/>
    </row>
    <row r="15126" spans="23:23">
      <c r="W15126" s="503"/>
    </row>
    <row r="15127" spans="23:23">
      <c r="W15127" s="503"/>
    </row>
    <row r="15128" spans="23:23">
      <c r="W15128" s="503"/>
    </row>
    <row r="15129" spans="23:23">
      <c r="W15129" s="503"/>
    </row>
    <row r="15130" spans="23:23">
      <c r="W15130" s="503"/>
    </row>
    <row r="15131" spans="23:23">
      <c r="W15131" s="503"/>
    </row>
    <row r="15132" spans="23:23">
      <c r="W15132" s="503"/>
    </row>
    <row r="15133" spans="23:23">
      <c r="W15133" s="503"/>
    </row>
    <row r="15134" spans="23:23">
      <c r="W15134" s="503"/>
    </row>
    <row r="15135" spans="23:23">
      <c r="W15135" s="503"/>
    </row>
    <row r="15136" spans="23:23">
      <c r="W15136" s="503"/>
    </row>
    <row r="15137" spans="23:23">
      <c r="W15137" s="503"/>
    </row>
    <row r="15138" spans="23:23">
      <c r="W15138" s="503"/>
    </row>
    <row r="15139" spans="23:23">
      <c r="W15139" s="503"/>
    </row>
    <row r="15140" spans="23:23">
      <c r="W15140" s="503"/>
    </row>
    <row r="15141" spans="23:23">
      <c r="W15141" s="503"/>
    </row>
    <row r="15142" spans="23:23">
      <c r="W15142" s="503"/>
    </row>
    <row r="15143" spans="23:23">
      <c r="W15143" s="503"/>
    </row>
    <row r="15144" spans="23:23">
      <c r="W15144" s="503"/>
    </row>
    <row r="15145" spans="23:23">
      <c r="W15145" s="503"/>
    </row>
    <row r="15146" spans="23:23">
      <c r="W15146" s="503"/>
    </row>
    <row r="15147" spans="23:23">
      <c r="W15147" s="503"/>
    </row>
    <row r="15148" spans="23:23">
      <c r="W15148" s="503"/>
    </row>
    <row r="15149" spans="23:23">
      <c r="W15149" s="503"/>
    </row>
    <row r="15150" spans="23:23">
      <c r="W15150" s="503"/>
    </row>
    <row r="15151" spans="23:23">
      <c r="W15151" s="503"/>
    </row>
    <row r="15152" spans="23:23">
      <c r="W15152" s="503"/>
    </row>
    <row r="15153" spans="23:23">
      <c r="W15153" s="503"/>
    </row>
    <row r="15154" spans="23:23">
      <c r="W15154" s="503"/>
    </row>
    <row r="15155" spans="23:23">
      <c r="W15155" s="503"/>
    </row>
    <row r="15156" spans="23:23">
      <c r="W15156" s="503"/>
    </row>
    <row r="15157" spans="23:23">
      <c r="W15157" s="503"/>
    </row>
    <row r="15158" spans="23:23">
      <c r="W15158" s="503"/>
    </row>
    <row r="15159" spans="23:23">
      <c r="W15159" s="503"/>
    </row>
    <row r="15160" spans="23:23">
      <c r="W15160" s="503"/>
    </row>
    <row r="15161" spans="23:23">
      <c r="W15161" s="503"/>
    </row>
    <row r="15162" spans="23:23">
      <c r="W15162" s="503"/>
    </row>
    <row r="15163" spans="23:23">
      <c r="W15163" s="503"/>
    </row>
    <row r="15164" spans="23:23">
      <c r="W15164" s="503"/>
    </row>
    <row r="15165" spans="23:23">
      <c r="W15165" s="503"/>
    </row>
    <row r="15166" spans="23:23">
      <c r="W15166" s="503"/>
    </row>
    <row r="15167" spans="23:23">
      <c r="W15167" s="503"/>
    </row>
    <row r="15168" spans="23:23">
      <c r="W15168" s="503"/>
    </row>
    <row r="15169" spans="23:23">
      <c r="W15169" s="503"/>
    </row>
    <row r="15170" spans="23:23">
      <c r="W15170" s="503"/>
    </row>
    <row r="15171" spans="23:23">
      <c r="W15171" s="503"/>
    </row>
    <row r="15172" spans="23:23">
      <c r="W15172" s="503"/>
    </row>
    <row r="15173" spans="23:23">
      <c r="W15173" s="503"/>
    </row>
    <row r="15174" spans="23:23">
      <c r="W15174" s="503"/>
    </row>
    <row r="15175" spans="23:23">
      <c r="W15175" s="503"/>
    </row>
    <row r="15176" spans="23:23">
      <c r="W15176" s="503"/>
    </row>
    <row r="15177" spans="23:23">
      <c r="W15177" s="503"/>
    </row>
    <row r="15178" spans="23:23">
      <c r="W15178" s="503"/>
    </row>
    <row r="15179" spans="23:23">
      <c r="W15179" s="503"/>
    </row>
    <row r="15180" spans="23:23">
      <c r="W15180" s="503"/>
    </row>
    <row r="15181" spans="23:23">
      <c r="W15181" s="503"/>
    </row>
    <row r="15182" spans="23:23">
      <c r="W15182" s="503"/>
    </row>
    <row r="15183" spans="23:23">
      <c r="W15183" s="503"/>
    </row>
    <row r="15184" spans="23:23">
      <c r="W15184" s="503"/>
    </row>
    <row r="15185" spans="23:23">
      <c r="W15185" s="503"/>
    </row>
    <row r="15186" spans="23:23">
      <c r="W15186" s="503"/>
    </row>
    <row r="15187" spans="23:23">
      <c r="W15187" s="503"/>
    </row>
    <row r="15188" spans="23:23">
      <c r="W15188" s="503"/>
    </row>
    <row r="15189" spans="23:23">
      <c r="W15189" s="503"/>
    </row>
    <row r="15190" spans="23:23">
      <c r="W15190" s="503"/>
    </row>
    <row r="15191" spans="23:23">
      <c r="W15191" s="503"/>
    </row>
    <row r="15192" spans="23:23">
      <c r="W15192" s="503"/>
    </row>
    <row r="15193" spans="23:23">
      <c r="W15193" s="503"/>
    </row>
    <row r="15194" spans="23:23">
      <c r="W15194" s="503"/>
    </row>
    <row r="15195" spans="23:23">
      <c r="W15195" s="503"/>
    </row>
    <row r="15196" spans="23:23">
      <c r="W15196" s="503"/>
    </row>
    <row r="15197" spans="23:23">
      <c r="W15197" s="503"/>
    </row>
    <row r="15198" spans="23:23">
      <c r="W15198" s="503"/>
    </row>
    <row r="15199" spans="23:23">
      <c r="W15199" s="503"/>
    </row>
    <row r="15200" spans="23:23">
      <c r="W15200" s="503"/>
    </row>
    <row r="15201" spans="23:23">
      <c r="W15201" s="503"/>
    </row>
    <row r="15202" spans="23:23">
      <c r="W15202" s="503"/>
    </row>
    <row r="15203" spans="23:23">
      <c r="W15203" s="503"/>
    </row>
    <row r="15204" spans="23:23">
      <c r="W15204" s="503"/>
    </row>
    <row r="15205" spans="23:23">
      <c r="W15205" s="503"/>
    </row>
    <row r="15206" spans="23:23">
      <c r="W15206" s="503"/>
    </row>
    <row r="15207" spans="23:23">
      <c r="W15207" s="503"/>
    </row>
    <row r="15208" spans="23:23">
      <c r="W15208" s="503"/>
    </row>
    <row r="15209" spans="23:23">
      <c r="W15209" s="503"/>
    </row>
    <row r="15210" spans="23:23">
      <c r="W15210" s="503"/>
    </row>
    <row r="15211" spans="23:23">
      <c r="W15211" s="503"/>
    </row>
    <row r="15212" spans="23:23">
      <c r="W15212" s="503"/>
    </row>
    <row r="15213" spans="23:23">
      <c r="W15213" s="503"/>
    </row>
    <row r="15214" spans="23:23">
      <c r="W15214" s="503"/>
    </row>
    <row r="15215" spans="23:23">
      <c r="W15215" s="503"/>
    </row>
    <row r="15216" spans="23:23">
      <c r="W15216" s="503"/>
    </row>
    <row r="15217" spans="23:23">
      <c r="W15217" s="503"/>
    </row>
    <row r="15218" spans="23:23">
      <c r="W15218" s="503"/>
    </row>
    <row r="15219" spans="23:23">
      <c r="W15219" s="503"/>
    </row>
    <row r="15220" spans="23:23">
      <c r="W15220" s="503"/>
    </row>
    <row r="15221" spans="23:23">
      <c r="W15221" s="503"/>
    </row>
    <row r="15222" spans="23:23">
      <c r="W15222" s="503"/>
    </row>
    <row r="15223" spans="23:23">
      <c r="W15223" s="503"/>
    </row>
    <row r="15224" spans="23:23">
      <c r="W15224" s="503"/>
    </row>
    <row r="15225" spans="23:23">
      <c r="W15225" s="503"/>
    </row>
    <row r="15226" spans="23:23">
      <c r="W15226" s="503"/>
    </row>
    <row r="15227" spans="23:23">
      <c r="W15227" s="503"/>
    </row>
    <row r="15228" spans="23:23">
      <c r="W15228" s="503"/>
    </row>
    <row r="15229" spans="23:23">
      <c r="W15229" s="503"/>
    </row>
    <row r="15230" spans="23:23">
      <c r="W15230" s="503"/>
    </row>
    <row r="15231" spans="23:23">
      <c r="W15231" s="503"/>
    </row>
    <row r="15232" spans="23:23">
      <c r="W15232" s="503"/>
    </row>
    <row r="15233" spans="23:23">
      <c r="W15233" s="503"/>
    </row>
    <row r="15234" spans="23:23">
      <c r="W15234" s="503"/>
    </row>
    <row r="15235" spans="23:23">
      <c r="W15235" s="503"/>
    </row>
    <row r="15236" spans="23:23">
      <c r="W15236" s="503"/>
    </row>
    <row r="15237" spans="23:23">
      <c r="W15237" s="503"/>
    </row>
    <row r="15238" spans="23:23">
      <c r="W15238" s="503"/>
    </row>
    <row r="15239" spans="23:23">
      <c r="W15239" s="503"/>
    </row>
    <row r="15240" spans="23:23">
      <c r="W15240" s="503"/>
    </row>
    <row r="15241" spans="23:23">
      <c r="W15241" s="503"/>
    </row>
    <row r="15242" spans="23:23">
      <c r="W15242" s="503"/>
    </row>
    <row r="15243" spans="23:23">
      <c r="W15243" s="503"/>
    </row>
    <row r="15244" spans="23:23">
      <c r="W15244" s="503"/>
    </row>
    <row r="15245" spans="23:23">
      <c r="W15245" s="503"/>
    </row>
    <row r="15246" spans="23:23">
      <c r="W15246" s="503"/>
    </row>
    <row r="15247" spans="23:23">
      <c r="W15247" s="503"/>
    </row>
    <row r="15248" spans="23:23">
      <c r="W15248" s="503"/>
    </row>
    <row r="15249" spans="23:23">
      <c r="W15249" s="503"/>
    </row>
    <row r="15250" spans="23:23">
      <c r="W15250" s="503"/>
    </row>
    <row r="15251" spans="23:23">
      <c r="W15251" s="503"/>
    </row>
    <row r="15252" spans="23:23">
      <c r="W15252" s="503"/>
    </row>
    <row r="15253" spans="23:23">
      <c r="W15253" s="503"/>
    </row>
    <row r="15254" spans="23:23">
      <c r="W15254" s="503"/>
    </row>
    <row r="15255" spans="23:23">
      <c r="W15255" s="503"/>
    </row>
    <row r="15256" spans="23:23">
      <c r="W15256" s="503"/>
    </row>
    <row r="15257" spans="23:23">
      <c r="W15257" s="503"/>
    </row>
    <row r="15258" spans="23:23">
      <c r="W15258" s="503"/>
    </row>
    <row r="15259" spans="23:23">
      <c r="W15259" s="503"/>
    </row>
    <row r="15260" spans="23:23">
      <c r="W15260" s="503"/>
    </row>
    <row r="15261" spans="23:23">
      <c r="W15261" s="503"/>
    </row>
    <row r="15262" spans="23:23">
      <c r="W15262" s="503"/>
    </row>
    <row r="15263" spans="23:23">
      <c r="W15263" s="503"/>
    </row>
    <row r="15264" spans="23:23">
      <c r="W15264" s="503"/>
    </row>
    <row r="15265" spans="23:23">
      <c r="W15265" s="503"/>
    </row>
    <row r="15266" spans="23:23">
      <c r="W15266" s="503"/>
    </row>
    <row r="15267" spans="23:23">
      <c r="W15267" s="503"/>
    </row>
    <row r="15268" spans="23:23">
      <c r="W15268" s="503"/>
    </row>
    <row r="15269" spans="23:23">
      <c r="W15269" s="503"/>
    </row>
    <row r="15270" spans="23:23">
      <c r="W15270" s="503"/>
    </row>
    <row r="15271" spans="23:23">
      <c r="W15271" s="503"/>
    </row>
    <row r="15272" spans="23:23">
      <c r="W15272" s="503"/>
    </row>
    <row r="15273" spans="23:23">
      <c r="W15273" s="503"/>
    </row>
    <row r="15274" spans="23:23">
      <c r="W15274" s="503"/>
    </row>
    <row r="15275" spans="23:23">
      <c r="W15275" s="503"/>
    </row>
    <row r="15276" spans="23:23">
      <c r="W15276" s="503"/>
    </row>
    <row r="15277" spans="23:23">
      <c r="W15277" s="503"/>
    </row>
    <row r="15278" spans="23:23">
      <c r="W15278" s="503"/>
    </row>
    <row r="15279" spans="23:23">
      <c r="W15279" s="503"/>
    </row>
    <row r="15280" spans="23:23">
      <c r="W15280" s="503"/>
    </row>
    <row r="15281" spans="23:23">
      <c r="W15281" s="503"/>
    </row>
    <row r="15282" spans="23:23">
      <c r="W15282" s="503"/>
    </row>
    <row r="15283" spans="23:23">
      <c r="W15283" s="503"/>
    </row>
    <row r="15284" spans="23:23">
      <c r="W15284" s="503"/>
    </row>
    <row r="15285" spans="23:23">
      <c r="W15285" s="503"/>
    </row>
    <row r="15286" spans="23:23">
      <c r="W15286" s="503"/>
    </row>
    <row r="15287" spans="23:23">
      <c r="W15287" s="503"/>
    </row>
    <row r="15288" spans="23:23">
      <c r="W15288" s="503"/>
    </row>
    <row r="15289" spans="23:23">
      <c r="W15289" s="503"/>
    </row>
    <row r="15290" spans="23:23">
      <c r="W15290" s="503"/>
    </row>
    <row r="15291" spans="23:23">
      <c r="W15291" s="503"/>
    </row>
    <row r="15292" spans="23:23">
      <c r="W15292" s="503"/>
    </row>
    <row r="15293" spans="23:23">
      <c r="W15293" s="503"/>
    </row>
    <row r="15294" spans="23:23">
      <c r="W15294" s="503"/>
    </row>
    <row r="15295" spans="23:23">
      <c r="W15295" s="503"/>
    </row>
    <row r="15296" spans="23:23">
      <c r="W15296" s="503"/>
    </row>
    <row r="15297" spans="23:23">
      <c r="W15297" s="503"/>
    </row>
    <row r="15298" spans="23:23">
      <c r="W15298" s="503"/>
    </row>
    <row r="15299" spans="23:23">
      <c r="W15299" s="503"/>
    </row>
    <row r="15300" spans="23:23">
      <c r="W15300" s="503"/>
    </row>
    <row r="15301" spans="23:23">
      <c r="W15301" s="503"/>
    </row>
    <row r="15302" spans="23:23">
      <c r="W15302" s="503"/>
    </row>
    <row r="15303" spans="23:23">
      <c r="W15303" s="503"/>
    </row>
    <row r="15304" spans="23:23">
      <c r="W15304" s="503"/>
    </row>
    <row r="15305" spans="23:23">
      <c r="W15305" s="503"/>
    </row>
    <row r="15306" spans="23:23">
      <c r="W15306" s="503"/>
    </row>
    <row r="15307" spans="23:23">
      <c r="W15307" s="503"/>
    </row>
    <row r="15308" spans="23:23">
      <c r="W15308" s="503"/>
    </row>
    <row r="15309" spans="23:23">
      <c r="W15309" s="503"/>
    </row>
    <row r="15310" spans="23:23">
      <c r="W15310" s="503"/>
    </row>
    <row r="15311" spans="23:23">
      <c r="W15311" s="503"/>
    </row>
    <row r="15312" spans="23:23">
      <c r="W15312" s="503"/>
    </row>
    <row r="15313" spans="23:23">
      <c r="W15313" s="503"/>
    </row>
    <row r="15314" spans="23:23">
      <c r="W15314" s="503"/>
    </row>
    <row r="15315" spans="23:23">
      <c r="W15315" s="503"/>
    </row>
    <row r="15316" spans="23:23">
      <c r="W15316" s="503"/>
    </row>
    <row r="15317" spans="23:23">
      <c r="W15317" s="503"/>
    </row>
    <row r="15318" spans="23:23">
      <c r="W15318" s="503"/>
    </row>
    <row r="15319" spans="23:23">
      <c r="W15319" s="503"/>
    </row>
    <row r="15320" spans="23:23">
      <c r="W15320" s="503"/>
    </row>
    <row r="15321" spans="23:23">
      <c r="W15321" s="503"/>
    </row>
    <row r="15322" spans="23:23">
      <c r="W15322" s="503"/>
    </row>
    <row r="15323" spans="23:23">
      <c r="W15323" s="503"/>
    </row>
    <row r="15324" spans="23:23">
      <c r="W15324" s="503"/>
    </row>
    <row r="15325" spans="23:23">
      <c r="W15325" s="503"/>
    </row>
    <row r="15326" spans="23:23">
      <c r="W15326" s="503"/>
    </row>
    <row r="15327" spans="23:23">
      <c r="W15327" s="503"/>
    </row>
    <row r="15328" spans="23:23">
      <c r="W15328" s="503"/>
    </row>
    <row r="15329" spans="23:23">
      <c r="W15329" s="503"/>
    </row>
    <row r="15330" spans="23:23">
      <c r="W15330" s="503"/>
    </row>
    <row r="15331" spans="23:23">
      <c r="W15331" s="503"/>
    </row>
    <row r="15332" spans="23:23">
      <c r="W15332" s="503"/>
    </row>
    <row r="15333" spans="23:23">
      <c r="W15333" s="503"/>
    </row>
    <row r="15334" spans="23:23">
      <c r="W15334" s="503"/>
    </row>
    <row r="15335" spans="23:23">
      <c r="W15335" s="503"/>
    </row>
    <row r="15336" spans="23:23">
      <c r="W15336" s="503"/>
    </row>
    <row r="15337" spans="23:23">
      <c r="W15337" s="503"/>
    </row>
    <row r="15338" spans="23:23">
      <c r="W15338" s="503"/>
    </row>
    <row r="15339" spans="23:23">
      <c r="W15339" s="503"/>
    </row>
    <row r="15340" spans="23:23">
      <c r="W15340" s="503"/>
    </row>
    <row r="15341" spans="23:23">
      <c r="W15341" s="503"/>
    </row>
    <row r="15342" spans="23:23">
      <c r="W15342" s="503"/>
    </row>
    <row r="15343" spans="23:23">
      <c r="W15343" s="503"/>
    </row>
    <row r="15344" spans="23:23">
      <c r="W15344" s="503"/>
    </row>
    <row r="15345" spans="23:23">
      <c r="W15345" s="503"/>
    </row>
    <row r="15346" spans="23:23">
      <c r="W15346" s="503"/>
    </row>
    <row r="15347" spans="23:23">
      <c r="W15347" s="503"/>
    </row>
    <row r="15348" spans="23:23">
      <c r="W15348" s="503"/>
    </row>
    <row r="15349" spans="23:23">
      <c r="W15349" s="503"/>
    </row>
    <row r="15350" spans="23:23">
      <c r="W15350" s="503"/>
    </row>
    <row r="15351" spans="23:23">
      <c r="W15351" s="503"/>
    </row>
    <row r="15352" spans="23:23">
      <c r="W15352" s="503"/>
    </row>
    <row r="15353" spans="23:23">
      <c r="W15353" s="503"/>
    </row>
    <row r="15354" spans="23:23">
      <c r="W15354" s="503"/>
    </row>
    <row r="15355" spans="23:23">
      <c r="W15355" s="503"/>
    </row>
    <row r="15356" spans="23:23">
      <c r="W15356" s="503"/>
    </row>
    <row r="15357" spans="23:23">
      <c r="W15357" s="503"/>
    </row>
    <row r="15358" spans="23:23">
      <c r="W15358" s="503"/>
    </row>
    <row r="15359" spans="23:23">
      <c r="W15359" s="503"/>
    </row>
    <row r="15360" spans="23:23">
      <c r="W15360" s="503"/>
    </row>
    <row r="15361" spans="23:23">
      <c r="W15361" s="503"/>
    </row>
    <row r="15362" spans="23:23">
      <c r="W15362" s="503"/>
    </row>
    <row r="15363" spans="23:23">
      <c r="W15363" s="503"/>
    </row>
    <row r="15364" spans="23:23">
      <c r="W15364" s="503"/>
    </row>
    <row r="15365" spans="23:23">
      <c r="W15365" s="503"/>
    </row>
    <row r="15366" spans="23:23">
      <c r="W15366" s="503"/>
    </row>
    <row r="15367" spans="23:23">
      <c r="W15367" s="503"/>
    </row>
    <row r="15368" spans="23:23">
      <c r="W15368" s="503"/>
    </row>
    <row r="15369" spans="23:23">
      <c r="W15369" s="503"/>
    </row>
    <row r="15370" spans="23:23">
      <c r="W15370" s="503"/>
    </row>
    <row r="15371" spans="23:23">
      <c r="W15371" s="503"/>
    </row>
    <row r="15372" spans="23:23">
      <c r="W15372" s="503"/>
    </row>
    <row r="15373" spans="23:23">
      <c r="W15373" s="503"/>
    </row>
    <row r="15374" spans="23:23">
      <c r="W15374" s="503"/>
    </row>
    <row r="15375" spans="23:23">
      <c r="W15375" s="503"/>
    </row>
    <row r="15376" spans="23:23">
      <c r="W15376" s="503"/>
    </row>
    <row r="15377" spans="23:23">
      <c r="W15377" s="503"/>
    </row>
    <row r="15378" spans="23:23">
      <c r="W15378" s="503"/>
    </row>
    <row r="15379" spans="23:23">
      <c r="W15379" s="503"/>
    </row>
    <row r="15380" spans="23:23">
      <c r="W15380" s="503"/>
    </row>
    <row r="15381" spans="23:23">
      <c r="W15381" s="503"/>
    </row>
    <row r="15382" spans="23:23">
      <c r="W15382" s="503"/>
    </row>
    <row r="15383" spans="23:23">
      <c r="W15383" s="503"/>
    </row>
    <row r="15384" spans="23:23">
      <c r="W15384" s="503"/>
    </row>
    <row r="15385" spans="23:23">
      <c r="W15385" s="503"/>
    </row>
    <row r="15386" spans="23:23">
      <c r="W15386" s="503"/>
    </row>
    <row r="15387" spans="23:23">
      <c r="W15387" s="503"/>
    </row>
    <row r="15388" spans="23:23">
      <c r="W15388" s="503"/>
    </row>
    <row r="15389" spans="23:23">
      <c r="W15389" s="503"/>
    </row>
    <row r="15390" spans="23:23">
      <c r="W15390" s="503"/>
    </row>
    <row r="15391" spans="23:23">
      <c r="W15391" s="503"/>
    </row>
    <row r="15392" spans="23:23">
      <c r="W15392" s="503"/>
    </row>
    <row r="15393" spans="23:23">
      <c r="W15393" s="503"/>
    </row>
    <row r="15394" spans="23:23">
      <c r="W15394" s="503"/>
    </row>
    <row r="15395" spans="23:23">
      <c r="W15395" s="503"/>
    </row>
    <row r="15396" spans="23:23">
      <c r="W15396" s="503"/>
    </row>
    <row r="15397" spans="23:23">
      <c r="W15397" s="503"/>
    </row>
    <row r="15398" spans="23:23">
      <c r="W15398" s="503"/>
    </row>
    <row r="15399" spans="23:23">
      <c r="W15399" s="503"/>
    </row>
    <row r="15400" spans="23:23">
      <c r="W15400" s="503"/>
    </row>
    <row r="15401" spans="23:23">
      <c r="W15401" s="503"/>
    </row>
    <row r="15402" spans="23:23">
      <c r="W15402" s="503"/>
    </row>
    <row r="15403" spans="23:23">
      <c r="W15403" s="503"/>
    </row>
    <row r="15404" spans="23:23">
      <c r="W15404" s="503"/>
    </row>
    <row r="15405" spans="23:23">
      <c r="W15405" s="503"/>
    </row>
    <row r="15406" spans="23:23">
      <c r="W15406" s="503"/>
    </row>
    <row r="15407" spans="23:23">
      <c r="W15407" s="503"/>
    </row>
    <row r="15408" spans="23:23">
      <c r="W15408" s="503"/>
    </row>
    <row r="15409" spans="23:23">
      <c r="W15409" s="503"/>
    </row>
    <row r="15410" spans="23:23">
      <c r="W15410" s="503"/>
    </row>
    <row r="15411" spans="23:23">
      <c r="W15411" s="503"/>
    </row>
    <row r="15412" spans="23:23">
      <c r="W15412" s="503"/>
    </row>
    <row r="15413" spans="23:23">
      <c r="W15413" s="503"/>
    </row>
    <row r="15414" spans="23:23">
      <c r="W15414" s="503"/>
    </row>
    <row r="15415" spans="23:23">
      <c r="W15415" s="503"/>
    </row>
    <row r="15416" spans="23:23">
      <c r="W15416" s="503"/>
    </row>
    <row r="15417" spans="23:23">
      <c r="W15417" s="503"/>
    </row>
    <row r="15418" spans="23:23">
      <c r="W15418" s="503"/>
    </row>
    <row r="15419" spans="23:23">
      <c r="W15419" s="503"/>
    </row>
    <row r="15420" spans="23:23">
      <c r="W15420" s="503"/>
    </row>
    <row r="15421" spans="23:23">
      <c r="W15421" s="503"/>
    </row>
    <row r="15422" spans="23:23">
      <c r="W15422" s="503"/>
    </row>
    <row r="15423" spans="23:23">
      <c r="W15423" s="503"/>
    </row>
    <row r="15424" spans="23:23">
      <c r="W15424" s="503"/>
    </row>
    <row r="15425" spans="23:23">
      <c r="W15425" s="503"/>
    </row>
    <row r="15426" spans="23:23">
      <c r="W15426" s="503"/>
    </row>
    <row r="15427" spans="23:23">
      <c r="W15427" s="503"/>
    </row>
    <row r="15428" spans="23:23">
      <c r="W15428" s="503"/>
    </row>
    <row r="15429" spans="23:23">
      <c r="W15429" s="503"/>
    </row>
    <row r="15430" spans="23:23">
      <c r="W15430" s="503"/>
    </row>
    <row r="15431" spans="23:23">
      <c r="W15431" s="503"/>
    </row>
    <row r="15432" spans="23:23">
      <c r="W15432" s="503"/>
    </row>
    <row r="15433" spans="23:23">
      <c r="W15433" s="503"/>
    </row>
    <row r="15434" spans="23:23">
      <c r="W15434" s="503"/>
    </row>
    <row r="15435" spans="23:23">
      <c r="W15435" s="503"/>
    </row>
    <row r="15436" spans="23:23">
      <c r="W15436" s="503"/>
    </row>
    <row r="15437" spans="23:23">
      <c r="W15437" s="503"/>
    </row>
    <row r="15438" spans="23:23">
      <c r="W15438" s="503"/>
    </row>
    <row r="15439" spans="23:23">
      <c r="W15439" s="503"/>
    </row>
    <row r="15440" spans="23:23">
      <c r="W15440" s="503"/>
    </row>
    <row r="15441" spans="23:23">
      <c r="W15441" s="503"/>
    </row>
    <row r="15442" spans="23:23">
      <c r="W15442" s="503"/>
    </row>
    <row r="15443" spans="23:23">
      <c r="W15443" s="503"/>
    </row>
    <row r="15444" spans="23:23">
      <c r="W15444" s="503"/>
    </row>
    <row r="15445" spans="23:23">
      <c r="W15445" s="503"/>
    </row>
    <row r="15446" spans="23:23">
      <c r="W15446" s="503"/>
    </row>
    <row r="15447" spans="23:23">
      <c r="W15447" s="503"/>
    </row>
    <row r="15448" spans="23:23">
      <c r="W15448" s="503"/>
    </row>
    <row r="15449" spans="23:23">
      <c r="W15449" s="503"/>
    </row>
    <row r="15450" spans="23:23">
      <c r="W15450" s="503"/>
    </row>
    <row r="15451" spans="23:23">
      <c r="W15451" s="503"/>
    </row>
    <row r="15452" spans="23:23">
      <c r="W15452" s="503"/>
    </row>
    <row r="15453" spans="23:23">
      <c r="W15453" s="503"/>
    </row>
    <row r="15454" spans="23:23">
      <c r="W15454" s="503"/>
    </row>
    <row r="15455" spans="23:23">
      <c r="W15455" s="503"/>
    </row>
    <row r="15456" spans="23:23">
      <c r="W15456" s="503"/>
    </row>
    <row r="15457" spans="23:23">
      <c r="W15457" s="503"/>
    </row>
    <row r="15458" spans="23:23">
      <c r="W15458" s="503"/>
    </row>
    <row r="15459" spans="23:23">
      <c r="W15459" s="503"/>
    </row>
    <row r="15460" spans="23:23">
      <c r="W15460" s="503"/>
    </row>
    <row r="15461" spans="23:23">
      <c r="W15461" s="503"/>
    </row>
    <row r="15462" spans="23:23">
      <c r="W15462" s="503"/>
    </row>
    <row r="15463" spans="23:23">
      <c r="W15463" s="503"/>
    </row>
    <row r="15464" spans="23:23">
      <c r="W15464" s="503"/>
    </row>
    <row r="15465" spans="23:23">
      <c r="W15465" s="503"/>
    </row>
    <row r="15466" spans="23:23">
      <c r="W15466" s="503"/>
    </row>
    <row r="15467" spans="23:23">
      <c r="W15467" s="503"/>
    </row>
    <row r="15468" spans="23:23">
      <c r="W15468" s="503"/>
    </row>
    <row r="15469" spans="23:23">
      <c r="W15469" s="503"/>
    </row>
    <row r="15470" spans="23:23">
      <c r="W15470" s="503"/>
    </row>
    <row r="15471" spans="23:23">
      <c r="W15471" s="503"/>
    </row>
    <row r="15472" spans="23:23">
      <c r="W15472" s="503"/>
    </row>
    <row r="15473" spans="23:23">
      <c r="W15473" s="503"/>
    </row>
    <row r="15474" spans="23:23">
      <c r="W15474" s="503"/>
    </row>
    <row r="15475" spans="23:23">
      <c r="W15475" s="503"/>
    </row>
    <row r="15476" spans="23:23">
      <c r="W15476" s="503"/>
    </row>
    <row r="15477" spans="23:23">
      <c r="W15477" s="503"/>
    </row>
    <row r="15478" spans="23:23">
      <c r="W15478" s="503"/>
    </row>
    <row r="15479" spans="23:23">
      <c r="W15479" s="503"/>
    </row>
    <row r="15480" spans="23:23">
      <c r="W15480" s="503"/>
    </row>
    <row r="15481" spans="23:23">
      <c r="W15481" s="503"/>
    </row>
    <row r="15482" spans="23:23">
      <c r="W15482" s="503"/>
    </row>
    <row r="15483" spans="23:23">
      <c r="W15483" s="503"/>
    </row>
    <row r="15484" spans="23:23">
      <c r="W15484" s="503"/>
    </row>
    <row r="15485" spans="23:23">
      <c r="W15485" s="503"/>
    </row>
    <row r="15486" spans="23:23">
      <c r="W15486" s="503"/>
    </row>
    <row r="15487" spans="23:23">
      <c r="W15487" s="503"/>
    </row>
    <row r="15488" spans="23:23">
      <c r="W15488" s="503"/>
    </row>
    <row r="15489" spans="23:23">
      <c r="W15489" s="503"/>
    </row>
    <row r="15490" spans="23:23">
      <c r="W15490" s="503"/>
    </row>
    <row r="15491" spans="23:23">
      <c r="W15491" s="503"/>
    </row>
    <row r="15492" spans="23:23">
      <c r="W15492" s="503"/>
    </row>
    <row r="15493" spans="23:23">
      <c r="W15493" s="503"/>
    </row>
    <row r="15494" spans="23:23">
      <c r="W15494" s="503"/>
    </row>
    <row r="15495" spans="23:23">
      <c r="W15495" s="503"/>
    </row>
    <row r="15496" spans="23:23">
      <c r="W15496" s="503"/>
    </row>
    <row r="15497" spans="23:23">
      <c r="W15497" s="503"/>
    </row>
    <row r="15498" spans="23:23">
      <c r="W15498" s="503"/>
    </row>
    <row r="15499" spans="23:23">
      <c r="W15499" s="503"/>
    </row>
    <row r="15500" spans="23:23">
      <c r="W15500" s="503"/>
    </row>
    <row r="15501" spans="23:23">
      <c r="W15501" s="503"/>
    </row>
    <row r="15502" spans="23:23">
      <c r="W15502" s="503"/>
    </row>
    <row r="15503" spans="23:23">
      <c r="W15503" s="503"/>
    </row>
    <row r="15504" spans="23:23">
      <c r="W15504" s="503"/>
    </row>
    <row r="15505" spans="23:23">
      <c r="W15505" s="503"/>
    </row>
    <row r="15506" spans="23:23">
      <c r="W15506" s="503"/>
    </row>
    <row r="15507" spans="23:23">
      <c r="W15507" s="503"/>
    </row>
    <row r="15508" spans="23:23">
      <c r="W15508" s="503"/>
    </row>
    <row r="15509" spans="23:23">
      <c r="W15509" s="503"/>
    </row>
    <row r="15510" spans="23:23">
      <c r="W15510" s="503"/>
    </row>
    <row r="15511" spans="23:23">
      <c r="W15511" s="503"/>
    </row>
    <row r="15512" spans="23:23">
      <c r="W15512" s="503"/>
    </row>
    <row r="15513" spans="23:23">
      <c r="W15513" s="503"/>
    </row>
    <row r="15514" spans="23:23">
      <c r="W15514" s="503"/>
    </row>
    <row r="15515" spans="23:23">
      <c r="W15515" s="503"/>
    </row>
    <row r="15516" spans="23:23">
      <c r="W15516" s="503"/>
    </row>
    <row r="15517" spans="23:23">
      <c r="W15517" s="503"/>
    </row>
    <row r="15518" spans="23:23">
      <c r="W15518" s="503"/>
    </row>
    <row r="15519" spans="23:23">
      <c r="W15519" s="503"/>
    </row>
    <row r="15520" spans="23:23">
      <c r="W15520" s="503"/>
    </row>
    <row r="15521" spans="23:23">
      <c r="W15521" s="503"/>
    </row>
    <row r="15522" spans="23:23">
      <c r="W15522" s="503"/>
    </row>
    <row r="15523" spans="23:23">
      <c r="W15523" s="503"/>
    </row>
    <row r="15524" spans="23:23">
      <c r="W15524" s="503"/>
    </row>
    <row r="15525" spans="23:23">
      <c r="W15525" s="503"/>
    </row>
    <row r="15526" spans="23:23">
      <c r="W15526" s="503"/>
    </row>
    <row r="15527" spans="23:23">
      <c r="W15527" s="503"/>
    </row>
    <row r="15528" spans="23:23">
      <c r="W15528" s="503"/>
    </row>
    <row r="15529" spans="23:23">
      <c r="W15529" s="503"/>
    </row>
    <row r="15530" spans="23:23">
      <c r="W15530" s="503"/>
    </row>
    <row r="15531" spans="23:23">
      <c r="W15531" s="503"/>
    </row>
    <row r="15532" spans="23:23">
      <c r="W15532" s="503"/>
    </row>
    <row r="15533" spans="23:23">
      <c r="W15533" s="503"/>
    </row>
    <row r="15534" spans="23:23">
      <c r="W15534" s="503"/>
    </row>
    <row r="15535" spans="23:23">
      <c r="W15535" s="503"/>
    </row>
    <row r="15536" spans="23:23">
      <c r="W15536" s="503"/>
    </row>
    <row r="15537" spans="23:23">
      <c r="W15537" s="503"/>
    </row>
    <row r="15538" spans="23:23">
      <c r="W15538" s="503"/>
    </row>
    <row r="15539" spans="23:23">
      <c r="W15539" s="503"/>
    </row>
    <row r="15540" spans="23:23">
      <c r="W15540" s="503"/>
    </row>
    <row r="15541" spans="23:23">
      <c r="W15541" s="503"/>
    </row>
    <row r="15542" spans="23:23">
      <c r="W15542" s="503"/>
    </row>
    <row r="15543" spans="23:23">
      <c r="W15543" s="503"/>
    </row>
    <row r="15544" spans="23:23">
      <c r="W15544" s="503"/>
    </row>
    <row r="15545" spans="23:23">
      <c r="W15545" s="503"/>
    </row>
    <row r="15546" spans="23:23">
      <c r="W15546" s="503"/>
    </row>
    <row r="15547" spans="23:23">
      <c r="W15547" s="503"/>
    </row>
    <row r="15548" spans="23:23">
      <c r="W15548" s="503"/>
    </row>
    <row r="15549" spans="23:23">
      <c r="W15549" s="503"/>
    </row>
    <row r="15550" spans="23:23">
      <c r="W15550" s="503"/>
    </row>
    <row r="15551" spans="23:23">
      <c r="W15551" s="503"/>
    </row>
    <row r="15552" spans="23:23">
      <c r="W15552" s="503"/>
    </row>
    <row r="15553" spans="23:23">
      <c r="W15553" s="503"/>
    </row>
    <row r="15554" spans="23:23">
      <c r="W15554" s="503"/>
    </row>
    <row r="15555" spans="23:23">
      <c r="W15555" s="503"/>
    </row>
    <row r="15556" spans="23:23">
      <c r="W15556" s="503"/>
    </row>
    <row r="15557" spans="23:23">
      <c r="W15557" s="503"/>
    </row>
    <row r="15558" spans="23:23">
      <c r="W15558" s="503"/>
    </row>
    <row r="15559" spans="23:23">
      <c r="W15559" s="503"/>
    </row>
    <row r="15560" spans="23:23">
      <c r="W15560" s="503"/>
    </row>
    <row r="15561" spans="23:23">
      <c r="W15561" s="503"/>
    </row>
    <row r="15562" spans="23:23">
      <c r="W15562" s="503"/>
    </row>
    <row r="15563" spans="23:23">
      <c r="W15563" s="503"/>
    </row>
    <row r="15564" spans="23:23">
      <c r="W15564" s="503"/>
    </row>
    <row r="15565" spans="23:23">
      <c r="W15565" s="503"/>
    </row>
    <row r="15566" spans="23:23">
      <c r="W15566" s="503"/>
    </row>
    <row r="15567" spans="23:23">
      <c r="W15567" s="503"/>
    </row>
    <row r="15568" spans="23:23">
      <c r="W15568" s="503"/>
    </row>
    <row r="15569" spans="23:23">
      <c r="W15569" s="503"/>
    </row>
    <row r="15570" spans="23:23">
      <c r="W15570" s="503"/>
    </row>
    <row r="15571" spans="23:23">
      <c r="W15571" s="503"/>
    </row>
    <row r="15572" spans="23:23">
      <c r="W15572" s="503"/>
    </row>
    <row r="15573" spans="23:23">
      <c r="W15573" s="503"/>
    </row>
    <row r="15574" spans="23:23">
      <c r="W15574" s="503"/>
    </row>
    <row r="15575" spans="23:23">
      <c r="W15575" s="503"/>
    </row>
    <row r="15576" spans="23:23">
      <c r="W15576" s="503"/>
    </row>
    <row r="15577" spans="23:23">
      <c r="W15577" s="503"/>
    </row>
    <row r="15578" spans="23:23">
      <c r="W15578" s="503"/>
    </row>
    <row r="15579" spans="23:23">
      <c r="W15579" s="503"/>
    </row>
    <row r="15580" spans="23:23">
      <c r="W15580" s="503"/>
    </row>
    <row r="15581" spans="23:23">
      <c r="W15581" s="503"/>
    </row>
    <row r="15582" spans="23:23">
      <c r="W15582" s="503"/>
    </row>
    <row r="15583" spans="23:23">
      <c r="W15583" s="503"/>
    </row>
    <row r="15584" spans="23:23">
      <c r="W15584" s="503"/>
    </row>
    <row r="15585" spans="23:23">
      <c r="W15585" s="503"/>
    </row>
    <row r="15586" spans="23:23">
      <c r="W15586" s="503"/>
    </row>
    <row r="15587" spans="23:23">
      <c r="W15587" s="503"/>
    </row>
    <row r="15588" spans="23:23">
      <c r="W15588" s="503"/>
    </row>
    <row r="15589" spans="23:23">
      <c r="W15589" s="503"/>
    </row>
    <row r="15590" spans="23:23">
      <c r="W15590" s="503"/>
    </row>
    <row r="15591" spans="23:23">
      <c r="W15591" s="503"/>
    </row>
    <row r="15592" spans="23:23">
      <c r="W15592" s="503"/>
    </row>
    <row r="15593" spans="23:23">
      <c r="W15593" s="503"/>
    </row>
    <row r="15594" spans="23:23">
      <c r="W15594" s="503"/>
    </row>
    <row r="15595" spans="23:23">
      <c r="W15595" s="503"/>
    </row>
    <row r="15596" spans="23:23">
      <c r="W15596" s="503"/>
    </row>
    <row r="15597" spans="23:23">
      <c r="W15597" s="503"/>
    </row>
    <row r="15598" spans="23:23">
      <c r="W15598" s="503"/>
    </row>
    <row r="15599" spans="23:23">
      <c r="W15599" s="503"/>
    </row>
    <row r="15600" spans="23:23">
      <c r="W15600" s="503"/>
    </row>
    <row r="15601" spans="23:23">
      <c r="W15601" s="503"/>
    </row>
    <row r="15602" spans="23:23">
      <c r="W15602" s="503"/>
    </row>
    <row r="15603" spans="23:23">
      <c r="W15603" s="503"/>
    </row>
    <row r="15604" spans="23:23">
      <c r="W15604" s="503"/>
    </row>
    <row r="15605" spans="23:23">
      <c r="W15605" s="503"/>
    </row>
    <row r="15606" spans="23:23">
      <c r="W15606" s="503"/>
    </row>
    <row r="15607" spans="23:23">
      <c r="W15607" s="503"/>
    </row>
    <row r="15608" spans="23:23">
      <c r="W15608" s="503"/>
    </row>
    <row r="15609" spans="23:23">
      <c r="W15609" s="503"/>
    </row>
    <row r="15610" spans="23:23">
      <c r="W15610" s="503"/>
    </row>
    <row r="15611" spans="23:23">
      <c r="W15611" s="503"/>
    </row>
    <row r="15612" spans="23:23">
      <c r="W15612" s="503"/>
    </row>
    <row r="15613" spans="23:23">
      <c r="W15613" s="503"/>
    </row>
    <row r="15614" spans="23:23">
      <c r="W15614" s="503"/>
    </row>
    <row r="15615" spans="23:23">
      <c r="W15615" s="503"/>
    </row>
    <row r="15616" spans="23:23">
      <c r="W15616" s="503"/>
    </row>
    <row r="15617" spans="23:23">
      <c r="W15617" s="503"/>
    </row>
    <row r="15618" spans="23:23">
      <c r="W15618" s="503"/>
    </row>
    <row r="15619" spans="23:23">
      <c r="W15619" s="503"/>
    </row>
    <row r="15620" spans="23:23">
      <c r="W15620" s="503"/>
    </row>
    <row r="15621" spans="23:23">
      <c r="W15621" s="503"/>
    </row>
    <row r="15622" spans="23:23">
      <c r="W15622" s="503"/>
    </row>
    <row r="15623" spans="23:23">
      <c r="W15623" s="503"/>
    </row>
    <row r="15624" spans="23:23">
      <c r="W15624" s="503"/>
    </row>
    <row r="15625" spans="23:23">
      <c r="W15625" s="503"/>
    </row>
    <row r="15626" spans="23:23">
      <c r="W15626" s="503"/>
    </row>
    <row r="15627" spans="23:23">
      <c r="W15627" s="503"/>
    </row>
    <row r="15628" spans="23:23">
      <c r="W15628" s="503"/>
    </row>
    <row r="15629" spans="23:23">
      <c r="W15629" s="503"/>
    </row>
    <row r="15630" spans="23:23">
      <c r="W15630" s="503"/>
    </row>
    <row r="15631" spans="23:23">
      <c r="W15631" s="503"/>
    </row>
    <row r="15632" spans="23:23">
      <c r="W15632" s="503"/>
    </row>
    <row r="15633" spans="23:23">
      <c r="W15633" s="503"/>
    </row>
    <row r="15634" spans="23:23">
      <c r="W15634" s="503"/>
    </row>
    <row r="15635" spans="23:23">
      <c r="W15635" s="503"/>
    </row>
    <row r="15636" spans="23:23">
      <c r="W15636" s="503"/>
    </row>
    <row r="15637" spans="23:23">
      <c r="W15637" s="503"/>
    </row>
    <row r="15638" spans="23:23">
      <c r="W15638" s="503"/>
    </row>
    <row r="15639" spans="23:23">
      <c r="W15639" s="503"/>
    </row>
    <row r="15640" spans="23:23">
      <c r="W15640" s="503"/>
    </row>
    <row r="15641" spans="23:23">
      <c r="W15641" s="503"/>
    </row>
    <row r="15642" spans="23:23">
      <c r="W15642" s="503"/>
    </row>
    <row r="15643" spans="23:23">
      <c r="W15643" s="503"/>
    </row>
    <row r="15644" spans="23:23">
      <c r="W15644" s="503"/>
    </row>
    <row r="15645" spans="23:23">
      <c r="W15645" s="503"/>
    </row>
    <row r="15646" spans="23:23">
      <c r="W15646" s="503"/>
    </row>
    <row r="15647" spans="23:23">
      <c r="W15647" s="503"/>
    </row>
    <row r="15648" spans="23:23">
      <c r="W15648" s="503"/>
    </row>
    <row r="15649" spans="23:23">
      <c r="W15649" s="503"/>
    </row>
    <row r="15650" spans="23:23">
      <c r="W15650" s="503"/>
    </row>
    <row r="15651" spans="23:23">
      <c r="W15651" s="503"/>
    </row>
    <row r="15652" spans="23:23">
      <c r="W15652" s="503"/>
    </row>
    <row r="15653" spans="23:23">
      <c r="W15653" s="503"/>
    </row>
    <row r="15654" spans="23:23">
      <c r="W15654" s="503"/>
    </row>
    <row r="15655" spans="23:23">
      <c r="W15655" s="503"/>
    </row>
    <row r="15656" spans="23:23">
      <c r="W15656" s="503"/>
    </row>
    <row r="15657" spans="23:23">
      <c r="W15657" s="503"/>
    </row>
    <row r="15658" spans="23:23">
      <c r="W15658" s="503"/>
    </row>
    <row r="15659" spans="23:23">
      <c r="W15659" s="503"/>
    </row>
    <row r="15660" spans="23:23">
      <c r="W15660" s="503"/>
    </row>
    <row r="15661" spans="23:23">
      <c r="W15661" s="503"/>
    </row>
    <row r="15662" spans="23:23">
      <c r="W15662" s="503"/>
    </row>
    <row r="15663" spans="23:23">
      <c r="W15663" s="503"/>
    </row>
    <row r="15664" spans="23:23">
      <c r="W15664" s="503"/>
    </row>
    <row r="15665" spans="23:23">
      <c r="W15665" s="503"/>
    </row>
    <row r="15666" spans="23:23">
      <c r="W15666" s="503"/>
    </row>
    <row r="15667" spans="23:23">
      <c r="W15667" s="503"/>
    </row>
    <row r="15668" spans="23:23">
      <c r="W15668" s="503"/>
    </row>
    <row r="15669" spans="23:23">
      <c r="W15669" s="503"/>
    </row>
    <row r="15670" spans="23:23">
      <c r="W15670" s="503"/>
    </row>
    <row r="15671" spans="23:23">
      <c r="W15671" s="503"/>
    </row>
    <row r="15672" spans="23:23">
      <c r="W15672" s="503"/>
    </row>
    <row r="15673" spans="23:23">
      <c r="W15673" s="503"/>
    </row>
    <row r="15674" spans="23:23">
      <c r="W15674" s="503"/>
    </row>
    <row r="15675" spans="23:23">
      <c r="W15675" s="503"/>
    </row>
    <row r="15676" spans="23:23">
      <c r="W15676" s="503"/>
    </row>
    <row r="15677" spans="23:23">
      <c r="W15677" s="503"/>
    </row>
    <row r="15678" spans="23:23">
      <c r="W15678" s="503"/>
    </row>
    <row r="15679" spans="23:23">
      <c r="W15679" s="503"/>
    </row>
    <row r="15680" spans="23:23">
      <c r="W15680" s="503"/>
    </row>
    <row r="15681" spans="23:23">
      <c r="W15681" s="503"/>
    </row>
    <row r="15682" spans="23:23">
      <c r="W15682" s="503"/>
    </row>
    <row r="15683" spans="23:23">
      <c r="W15683" s="503"/>
    </row>
    <row r="15684" spans="23:23">
      <c r="W15684" s="503"/>
    </row>
    <row r="15685" spans="23:23">
      <c r="W15685" s="503"/>
    </row>
    <row r="15686" spans="23:23">
      <c r="W15686" s="503"/>
    </row>
    <row r="15687" spans="23:23">
      <c r="W15687" s="503"/>
    </row>
    <row r="15688" spans="23:23">
      <c r="W15688" s="503"/>
    </row>
    <row r="15689" spans="23:23">
      <c r="W15689" s="503"/>
    </row>
    <row r="15690" spans="23:23">
      <c r="W15690" s="503"/>
    </row>
    <row r="15691" spans="23:23">
      <c r="W15691" s="503"/>
    </row>
    <row r="15692" spans="23:23">
      <c r="W15692" s="503"/>
    </row>
    <row r="15693" spans="23:23">
      <c r="W15693" s="503"/>
    </row>
    <row r="15694" spans="23:23">
      <c r="W15694" s="503"/>
    </row>
    <row r="15695" spans="23:23">
      <c r="W15695" s="503"/>
    </row>
    <row r="15696" spans="23:23">
      <c r="W15696" s="503"/>
    </row>
    <row r="15697" spans="23:23">
      <c r="W15697" s="503"/>
    </row>
    <row r="15698" spans="23:23">
      <c r="W15698" s="503"/>
    </row>
    <row r="15699" spans="23:23">
      <c r="W15699" s="503"/>
    </row>
    <row r="15700" spans="23:23">
      <c r="W15700" s="503"/>
    </row>
    <row r="15701" spans="23:23">
      <c r="W15701" s="503"/>
    </row>
    <row r="15702" spans="23:23">
      <c r="W15702" s="503"/>
    </row>
    <row r="15703" spans="23:23">
      <c r="W15703" s="503"/>
    </row>
    <row r="15704" spans="23:23">
      <c r="W15704" s="503"/>
    </row>
    <row r="15705" spans="23:23">
      <c r="W15705" s="503"/>
    </row>
    <row r="15706" spans="23:23">
      <c r="W15706" s="503"/>
    </row>
    <row r="15707" spans="23:23">
      <c r="W15707" s="503"/>
    </row>
    <row r="15708" spans="23:23">
      <c r="W15708" s="503"/>
    </row>
    <row r="15709" spans="23:23">
      <c r="W15709" s="503"/>
    </row>
    <row r="15710" spans="23:23">
      <c r="W15710" s="503"/>
    </row>
    <row r="15711" spans="23:23">
      <c r="W15711" s="503"/>
    </row>
    <row r="15712" spans="23:23">
      <c r="W15712" s="503"/>
    </row>
    <row r="15713" spans="23:23">
      <c r="W15713" s="503"/>
    </row>
    <row r="15714" spans="23:23">
      <c r="W15714" s="503"/>
    </row>
    <row r="15715" spans="23:23">
      <c r="W15715" s="503"/>
    </row>
    <row r="15716" spans="23:23">
      <c r="W15716" s="503"/>
    </row>
    <row r="15717" spans="23:23">
      <c r="W15717" s="503"/>
    </row>
    <row r="15718" spans="23:23">
      <c r="W15718" s="503"/>
    </row>
    <row r="15719" spans="23:23">
      <c r="W15719" s="503"/>
    </row>
    <row r="15720" spans="23:23">
      <c r="W15720" s="503"/>
    </row>
    <row r="15721" spans="23:23">
      <c r="W15721" s="503"/>
    </row>
    <row r="15722" spans="23:23">
      <c r="W15722" s="503"/>
    </row>
    <row r="15723" spans="23:23">
      <c r="W15723" s="503"/>
    </row>
    <row r="15724" spans="23:23">
      <c r="W15724" s="503"/>
    </row>
    <row r="15725" spans="23:23">
      <c r="W15725" s="503"/>
    </row>
    <row r="15726" spans="23:23">
      <c r="W15726" s="503"/>
    </row>
    <row r="15727" spans="23:23">
      <c r="W15727" s="503"/>
    </row>
    <row r="15728" spans="23:23">
      <c r="W15728" s="503"/>
    </row>
    <row r="15729" spans="23:23">
      <c r="W15729" s="503"/>
    </row>
    <row r="15730" spans="23:23">
      <c r="W15730" s="503"/>
    </row>
    <row r="15731" spans="23:23">
      <c r="W15731" s="503"/>
    </row>
    <row r="15732" spans="23:23">
      <c r="W15732" s="503"/>
    </row>
    <row r="15733" spans="23:23">
      <c r="W15733" s="503"/>
    </row>
    <row r="15734" spans="23:23">
      <c r="W15734" s="503"/>
    </row>
    <row r="15735" spans="23:23">
      <c r="W15735" s="503"/>
    </row>
    <row r="15736" spans="23:23">
      <c r="W15736" s="503"/>
    </row>
    <row r="15737" spans="23:23">
      <c r="W15737" s="503"/>
    </row>
    <row r="15738" spans="23:23">
      <c r="W15738" s="503"/>
    </row>
    <row r="15739" spans="23:23">
      <c r="W15739" s="503"/>
    </row>
    <row r="15740" spans="23:23">
      <c r="W15740" s="503"/>
    </row>
    <row r="15741" spans="23:23">
      <c r="W15741" s="503"/>
    </row>
    <row r="15742" spans="23:23">
      <c r="W15742" s="503"/>
    </row>
    <row r="15743" spans="23:23">
      <c r="W15743" s="503"/>
    </row>
    <row r="15744" spans="23:23">
      <c r="W15744" s="503"/>
    </row>
    <row r="15745" spans="23:23">
      <c r="W15745" s="503"/>
    </row>
    <row r="15746" spans="23:23">
      <c r="W15746" s="503"/>
    </row>
    <row r="15747" spans="23:23">
      <c r="W15747" s="503"/>
    </row>
    <row r="15748" spans="23:23">
      <c r="W15748" s="503"/>
    </row>
    <row r="15749" spans="23:23">
      <c r="W15749" s="503"/>
    </row>
    <row r="15750" spans="23:23">
      <c r="W15750" s="503"/>
    </row>
    <row r="15751" spans="23:23">
      <c r="W15751" s="503"/>
    </row>
    <row r="15752" spans="23:23">
      <c r="W15752" s="503"/>
    </row>
    <row r="15753" spans="23:23">
      <c r="W15753" s="503"/>
    </row>
    <row r="15754" spans="23:23">
      <c r="W15754" s="503"/>
    </row>
    <row r="15755" spans="23:23">
      <c r="W15755" s="503"/>
    </row>
    <row r="15756" spans="23:23">
      <c r="W15756" s="503"/>
    </row>
    <row r="15757" spans="23:23">
      <c r="W15757" s="503"/>
    </row>
    <row r="15758" spans="23:23">
      <c r="W15758" s="503"/>
    </row>
    <row r="15759" spans="23:23">
      <c r="W15759" s="503"/>
    </row>
    <row r="15760" spans="23:23">
      <c r="W15760" s="503"/>
    </row>
    <row r="15761" spans="23:23">
      <c r="W15761" s="503"/>
    </row>
    <row r="15762" spans="23:23">
      <c r="W15762" s="503"/>
    </row>
    <row r="15763" spans="23:23">
      <c r="W15763" s="503"/>
    </row>
    <row r="15764" spans="23:23">
      <c r="W15764" s="503"/>
    </row>
    <row r="15765" spans="23:23">
      <c r="W15765" s="503"/>
    </row>
    <row r="15766" spans="23:23">
      <c r="W15766" s="503"/>
    </row>
    <row r="15767" spans="23:23">
      <c r="W15767" s="503"/>
    </row>
    <row r="15768" spans="23:23">
      <c r="W15768" s="503"/>
    </row>
    <row r="15769" spans="23:23">
      <c r="W15769" s="503"/>
    </row>
    <row r="15770" spans="23:23">
      <c r="W15770" s="503"/>
    </row>
    <row r="15771" spans="23:23">
      <c r="W15771" s="503"/>
    </row>
    <row r="15772" spans="23:23">
      <c r="W15772" s="503"/>
    </row>
    <row r="15773" spans="23:23">
      <c r="W15773" s="503"/>
    </row>
    <row r="15774" spans="23:23">
      <c r="W15774" s="503"/>
    </row>
    <row r="15775" spans="23:23">
      <c r="W15775" s="503"/>
    </row>
    <row r="15776" spans="23:23">
      <c r="W15776" s="503"/>
    </row>
    <row r="15777" spans="23:23">
      <c r="W15777" s="503"/>
    </row>
    <row r="15778" spans="23:23">
      <c r="W15778" s="503"/>
    </row>
    <row r="15779" spans="23:23">
      <c r="W15779" s="503"/>
    </row>
    <row r="15780" spans="23:23">
      <c r="W15780" s="503"/>
    </row>
    <row r="15781" spans="23:23">
      <c r="W15781" s="503"/>
    </row>
    <row r="15782" spans="23:23">
      <c r="W15782" s="503"/>
    </row>
    <row r="15783" spans="23:23">
      <c r="W15783" s="503"/>
    </row>
    <row r="15784" spans="23:23">
      <c r="W15784" s="503"/>
    </row>
    <row r="15785" spans="23:23">
      <c r="W15785" s="503"/>
    </row>
    <row r="15786" spans="23:23">
      <c r="W15786" s="503"/>
    </row>
    <row r="15787" spans="23:23">
      <c r="W15787" s="503"/>
    </row>
    <row r="15788" spans="23:23">
      <c r="W15788" s="503"/>
    </row>
    <row r="15789" spans="23:23">
      <c r="W15789" s="503"/>
    </row>
    <row r="15790" spans="23:23">
      <c r="W15790" s="503"/>
    </row>
    <row r="15791" spans="23:23">
      <c r="W15791" s="503"/>
    </row>
    <row r="15792" spans="23:23">
      <c r="W15792" s="503"/>
    </row>
    <row r="15793" spans="23:23">
      <c r="W15793" s="503"/>
    </row>
    <row r="15794" spans="23:23">
      <c r="W15794" s="503"/>
    </row>
    <row r="15795" spans="23:23">
      <c r="W15795" s="503"/>
    </row>
    <row r="15796" spans="23:23">
      <c r="W15796" s="503"/>
    </row>
    <row r="15797" spans="23:23">
      <c r="W15797" s="503"/>
    </row>
    <row r="15798" spans="23:23">
      <c r="W15798" s="503"/>
    </row>
    <row r="15799" spans="23:23">
      <c r="W15799" s="503"/>
    </row>
    <row r="15800" spans="23:23">
      <c r="W15800" s="503"/>
    </row>
    <row r="15801" spans="23:23">
      <c r="W15801" s="503"/>
    </row>
    <row r="15802" spans="23:23">
      <c r="W15802" s="503"/>
    </row>
    <row r="15803" spans="23:23">
      <c r="W15803" s="503"/>
    </row>
    <row r="15804" spans="23:23">
      <c r="W15804" s="503"/>
    </row>
    <row r="15805" spans="23:23">
      <c r="W15805" s="503"/>
    </row>
    <row r="15806" spans="23:23">
      <c r="W15806" s="503"/>
    </row>
    <row r="15807" spans="23:23">
      <c r="W15807" s="503"/>
    </row>
    <row r="15808" spans="23:23">
      <c r="W15808" s="503"/>
    </row>
    <row r="15809" spans="23:23">
      <c r="W15809" s="503"/>
    </row>
    <row r="15810" spans="23:23">
      <c r="W15810" s="503"/>
    </row>
    <row r="15811" spans="23:23">
      <c r="W15811" s="503"/>
    </row>
    <row r="15812" spans="23:23">
      <c r="W15812" s="503"/>
    </row>
    <row r="15813" spans="23:23">
      <c r="W15813" s="503"/>
    </row>
    <row r="15814" spans="23:23">
      <c r="W15814" s="503"/>
    </row>
    <row r="15815" spans="23:23">
      <c r="W15815" s="503"/>
    </row>
    <row r="15816" spans="23:23">
      <c r="W15816" s="503"/>
    </row>
    <row r="15817" spans="23:23">
      <c r="W15817" s="503"/>
    </row>
    <row r="15818" spans="23:23">
      <c r="W15818" s="503"/>
    </row>
    <row r="15819" spans="23:23">
      <c r="W15819" s="503"/>
    </row>
    <row r="15820" spans="23:23">
      <c r="W15820" s="503"/>
    </row>
    <row r="15821" spans="23:23">
      <c r="W15821" s="503"/>
    </row>
    <row r="15822" spans="23:23">
      <c r="W15822" s="503"/>
    </row>
    <row r="15823" spans="23:23">
      <c r="W15823" s="503"/>
    </row>
    <row r="15824" spans="23:23">
      <c r="W15824" s="503"/>
    </row>
    <row r="15825" spans="23:23">
      <c r="W15825" s="503"/>
    </row>
    <row r="15826" spans="23:23">
      <c r="W15826" s="503"/>
    </row>
    <row r="15827" spans="23:23">
      <c r="W15827" s="503"/>
    </row>
    <row r="15828" spans="23:23">
      <c r="W15828" s="503"/>
    </row>
    <row r="15829" spans="23:23">
      <c r="W15829" s="503"/>
    </row>
    <row r="15830" spans="23:23">
      <c r="W15830" s="503"/>
    </row>
    <row r="15831" spans="23:23">
      <c r="W15831" s="503"/>
    </row>
    <row r="15832" spans="23:23">
      <c r="W15832" s="503"/>
    </row>
    <row r="15833" spans="23:23">
      <c r="W15833" s="503"/>
    </row>
    <row r="15834" spans="23:23">
      <c r="W15834" s="503"/>
    </row>
    <row r="15835" spans="23:23">
      <c r="W15835" s="503"/>
    </row>
    <row r="15836" spans="23:23">
      <c r="W15836" s="503"/>
    </row>
    <row r="15837" spans="23:23">
      <c r="W15837" s="503"/>
    </row>
    <row r="15838" spans="23:23">
      <c r="W15838" s="503"/>
    </row>
    <row r="15839" spans="23:23">
      <c r="W15839" s="503"/>
    </row>
    <row r="15840" spans="23:23">
      <c r="W15840" s="503"/>
    </row>
    <row r="15841" spans="23:23">
      <c r="W15841" s="503"/>
    </row>
    <row r="15842" spans="23:23">
      <c r="W15842" s="503"/>
    </row>
    <row r="15843" spans="23:23">
      <c r="W15843" s="503"/>
    </row>
    <row r="15844" spans="23:23">
      <c r="W15844" s="503"/>
    </row>
    <row r="15845" spans="23:23">
      <c r="W15845" s="503"/>
    </row>
    <row r="15846" spans="23:23">
      <c r="W15846" s="503"/>
    </row>
    <row r="15847" spans="23:23">
      <c r="W15847" s="503"/>
    </row>
    <row r="15848" spans="23:23">
      <c r="W15848" s="503"/>
    </row>
    <row r="15849" spans="23:23">
      <c r="W15849" s="503"/>
    </row>
    <row r="15850" spans="23:23">
      <c r="W15850" s="503"/>
    </row>
    <row r="15851" spans="23:23">
      <c r="W15851" s="503"/>
    </row>
    <row r="15852" spans="23:23">
      <c r="W15852" s="503"/>
    </row>
    <row r="15853" spans="23:23">
      <c r="W15853" s="503"/>
    </row>
    <row r="15854" spans="23:23">
      <c r="W15854" s="503"/>
    </row>
    <row r="15855" spans="23:23">
      <c r="W15855" s="503"/>
    </row>
    <row r="15856" spans="23:23">
      <c r="W15856" s="503"/>
    </row>
    <row r="15857" spans="23:23">
      <c r="W15857" s="503"/>
    </row>
    <row r="15858" spans="23:23">
      <c r="W15858" s="503"/>
    </row>
    <row r="15859" spans="23:23">
      <c r="W15859" s="503"/>
    </row>
    <row r="15860" spans="23:23">
      <c r="W15860" s="503"/>
    </row>
    <row r="15861" spans="23:23">
      <c r="W15861" s="503"/>
    </row>
    <row r="15862" spans="23:23">
      <c r="W15862" s="503"/>
    </row>
    <row r="15863" spans="23:23">
      <c r="W15863" s="503"/>
    </row>
    <row r="15864" spans="23:23">
      <c r="W15864" s="503"/>
    </row>
    <row r="15865" spans="23:23">
      <c r="W15865" s="503"/>
    </row>
    <row r="15866" spans="23:23">
      <c r="W15866" s="503"/>
    </row>
    <row r="15867" spans="23:23">
      <c r="W15867" s="503"/>
    </row>
    <row r="15868" spans="23:23">
      <c r="W15868" s="503"/>
    </row>
    <row r="15869" spans="23:23">
      <c r="W15869" s="503"/>
    </row>
    <row r="15870" spans="23:23">
      <c r="W15870" s="503"/>
    </row>
    <row r="15871" spans="23:23">
      <c r="W15871" s="503"/>
    </row>
    <row r="15872" spans="23:23">
      <c r="W15872" s="503"/>
    </row>
    <row r="15873" spans="23:23">
      <c r="W15873" s="503"/>
    </row>
    <row r="15874" spans="23:23">
      <c r="W15874" s="503"/>
    </row>
    <row r="15875" spans="23:23">
      <c r="W15875" s="503"/>
    </row>
    <row r="15876" spans="23:23">
      <c r="W15876" s="503"/>
    </row>
    <row r="15877" spans="23:23">
      <c r="W15877" s="503"/>
    </row>
    <row r="15878" spans="23:23">
      <c r="W15878" s="503"/>
    </row>
    <row r="15879" spans="23:23">
      <c r="W15879" s="503"/>
    </row>
    <row r="15880" spans="23:23">
      <c r="W15880" s="503"/>
    </row>
    <row r="15881" spans="23:23">
      <c r="W15881" s="503"/>
    </row>
    <row r="15882" spans="23:23">
      <c r="W15882" s="503"/>
    </row>
    <row r="15883" spans="23:23">
      <c r="W15883" s="503"/>
    </row>
    <row r="15884" spans="23:23">
      <c r="W15884" s="503"/>
    </row>
    <row r="15885" spans="23:23">
      <c r="W15885" s="503"/>
    </row>
    <row r="15886" spans="23:23">
      <c r="W15886" s="503"/>
    </row>
    <row r="15887" spans="23:23">
      <c r="W15887" s="503"/>
    </row>
    <row r="15888" spans="23:23">
      <c r="W15888" s="503"/>
    </row>
    <row r="15889" spans="23:23">
      <c r="W15889" s="503"/>
    </row>
    <row r="15890" spans="23:23">
      <c r="W15890" s="503"/>
    </row>
    <row r="15891" spans="23:23">
      <c r="W15891" s="503"/>
    </row>
    <row r="15892" spans="23:23">
      <c r="W15892" s="503"/>
    </row>
    <row r="15893" spans="23:23">
      <c r="W15893" s="503"/>
    </row>
    <row r="15894" spans="23:23">
      <c r="W15894" s="503"/>
    </row>
    <row r="15895" spans="23:23">
      <c r="W15895" s="503"/>
    </row>
    <row r="15896" spans="23:23">
      <c r="W15896" s="503"/>
    </row>
    <row r="15897" spans="23:23">
      <c r="W15897" s="503"/>
    </row>
    <row r="15898" spans="23:23">
      <c r="W15898" s="503"/>
    </row>
    <row r="15899" spans="23:23">
      <c r="W15899" s="503"/>
    </row>
    <row r="15900" spans="23:23">
      <c r="W15900" s="503"/>
    </row>
    <row r="15901" spans="23:23">
      <c r="W15901" s="503"/>
    </row>
    <row r="15902" spans="23:23">
      <c r="W15902" s="503"/>
    </row>
    <row r="15903" spans="23:23">
      <c r="W15903" s="503"/>
    </row>
    <row r="15904" spans="23:23">
      <c r="W15904" s="503"/>
    </row>
    <row r="15905" spans="23:23">
      <c r="W15905" s="503"/>
    </row>
    <row r="15906" spans="23:23">
      <c r="W15906" s="503"/>
    </row>
    <row r="15907" spans="23:23">
      <c r="W15907" s="503"/>
    </row>
    <row r="15908" spans="23:23">
      <c r="W15908" s="503"/>
    </row>
    <row r="15909" spans="23:23">
      <c r="W15909" s="503"/>
    </row>
    <row r="15910" spans="23:23">
      <c r="W15910" s="503"/>
    </row>
    <row r="15911" spans="23:23">
      <c r="W15911" s="503"/>
    </row>
    <row r="15912" spans="23:23">
      <c r="W15912" s="503"/>
    </row>
    <row r="15913" spans="23:23">
      <c r="W15913" s="503"/>
    </row>
    <row r="15914" spans="23:23">
      <c r="W15914" s="503"/>
    </row>
    <row r="15915" spans="23:23">
      <c r="W15915" s="503"/>
    </row>
    <row r="15916" spans="23:23">
      <c r="W15916" s="503"/>
    </row>
    <row r="15917" spans="23:23">
      <c r="W15917" s="503"/>
    </row>
    <row r="15918" spans="23:23">
      <c r="W15918" s="503"/>
    </row>
    <row r="15919" spans="23:23">
      <c r="W15919" s="503"/>
    </row>
    <row r="15920" spans="23:23">
      <c r="W15920" s="503"/>
    </row>
    <row r="15921" spans="23:23">
      <c r="W15921" s="503"/>
    </row>
    <row r="15922" spans="23:23">
      <c r="W15922" s="503"/>
    </row>
    <row r="15923" spans="23:23">
      <c r="W15923" s="503"/>
    </row>
    <row r="15924" spans="23:23">
      <c r="W15924" s="503"/>
    </row>
    <row r="15925" spans="23:23">
      <c r="W15925" s="503"/>
    </row>
    <row r="15926" spans="23:23">
      <c r="W15926" s="503"/>
    </row>
    <row r="15927" spans="23:23">
      <c r="W15927" s="503"/>
    </row>
    <row r="15928" spans="23:23">
      <c r="W15928" s="503"/>
    </row>
    <row r="15929" spans="23:23">
      <c r="W15929" s="503"/>
    </row>
    <row r="15930" spans="23:23">
      <c r="W15930" s="503"/>
    </row>
    <row r="15931" spans="23:23">
      <c r="W15931" s="503"/>
    </row>
    <row r="15932" spans="23:23">
      <c r="W15932" s="503"/>
    </row>
    <row r="15933" spans="23:23">
      <c r="W15933" s="503"/>
    </row>
    <row r="15934" spans="23:23">
      <c r="W15934" s="503"/>
    </row>
    <row r="15935" spans="23:23">
      <c r="W15935" s="503"/>
    </row>
    <row r="15936" spans="23:23">
      <c r="W15936" s="503"/>
    </row>
    <row r="15937" spans="23:23">
      <c r="W15937" s="503"/>
    </row>
    <row r="15938" spans="23:23">
      <c r="W15938" s="503"/>
    </row>
    <row r="15939" spans="23:23">
      <c r="W15939" s="503"/>
    </row>
    <row r="15940" spans="23:23">
      <c r="W15940" s="503"/>
    </row>
    <row r="15941" spans="23:23">
      <c r="W15941" s="503"/>
    </row>
    <row r="15942" spans="23:23">
      <c r="W15942" s="503"/>
    </row>
    <row r="15943" spans="23:23">
      <c r="W15943" s="503"/>
    </row>
    <row r="15944" spans="23:23">
      <c r="W15944" s="503"/>
    </row>
    <row r="15945" spans="23:23">
      <c r="W15945" s="503"/>
    </row>
    <row r="15946" spans="23:23">
      <c r="W15946" s="503"/>
    </row>
    <row r="15947" spans="23:23">
      <c r="W15947" s="503"/>
    </row>
    <row r="15948" spans="23:23">
      <c r="W15948" s="503"/>
    </row>
    <row r="15949" spans="23:23">
      <c r="W15949" s="503"/>
    </row>
    <row r="15950" spans="23:23">
      <c r="W15950" s="503"/>
    </row>
    <row r="15951" spans="23:23">
      <c r="W15951" s="503"/>
    </row>
    <row r="15952" spans="23:23">
      <c r="W15952" s="503"/>
    </row>
    <row r="15953" spans="23:23">
      <c r="W15953" s="503"/>
    </row>
    <row r="15954" spans="23:23">
      <c r="W15954" s="503"/>
    </row>
    <row r="15955" spans="23:23">
      <c r="W15955" s="503"/>
    </row>
    <row r="15956" spans="23:23">
      <c r="W15956" s="503"/>
    </row>
    <row r="15957" spans="23:23">
      <c r="W15957" s="503"/>
    </row>
    <row r="15958" spans="23:23">
      <c r="W15958" s="503"/>
    </row>
    <row r="15959" spans="23:23">
      <c r="W15959" s="503"/>
    </row>
    <row r="15960" spans="23:23">
      <c r="W15960" s="503"/>
    </row>
    <row r="15961" spans="23:23">
      <c r="W15961" s="503"/>
    </row>
    <row r="15962" spans="23:23">
      <c r="W15962" s="503"/>
    </row>
    <row r="15963" spans="23:23">
      <c r="W15963" s="503"/>
    </row>
    <row r="15964" spans="23:23">
      <c r="W15964" s="503"/>
    </row>
    <row r="15965" spans="23:23">
      <c r="W15965" s="503"/>
    </row>
    <row r="15966" spans="23:23">
      <c r="W15966" s="503"/>
    </row>
    <row r="15967" spans="23:23">
      <c r="W15967" s="503"/>
    </row>
    <row r="15968" spans="23:23">
      <c r="W15968" s="503"/>
    </row>
    <row r="15969" spans="23:23">
      <c r="W15969" s="503"/>
    </row>
    <row r="15970" spans="23:23">
      <c r="W15970" s="503"/>
    </row>
    <row r="15971" spans="23:23">
      <c r="W15971" s="503"/>
    </row>
    <row r="15972" spans="23:23">
      <c r="W15972" s="503"/>
    </row>
    <row r="15973" spans="23:23">
      <c r="W15973" s="503"/>
    </row>
    <row r="15974" spans="23:23">
      <c r="W15974" s="503"/>
    </row>
    <row r="15975" spans="23:23">
      <c r="W15975" s="503"/>
    </row>
    <row r="15976" spans="23:23">
      <c r="W15976" s="503"/>
    </row>
    <row r="15977" spans="23:23">
      <c r="W15977" s="503"/>
    </row>
    <row r="15978" spans="23:23">
      <c r="W15978" s="503"/>
    </row>
    <row r="15979" spans="23:23">
      <c r="W15979" s="503"/>
    </row>
    <row r="15980" spans="23:23">
      <c r="W15980" s="503"/>
    </row>
    <row r="15981" spans="23:23">
      <c r="W15981" s="503"/>
    </row>
    <row r="15982" spans="23:23">
      <c r="W15982" s="503"/>
    </row>
    <row r="15983" spans="23:23">
      <c r="W15983" s="503"/>
    </row>
    <row r="15984" spans="23:23">
      <c r="W15984" s="503"/>
    </row>
    <row r="15985" spans="23:23">
      <c r="W15985" s="503"/>
    </row>
    <row r="15986" spans="23:23">
      <c r="W15986" s="503"/>
    </row>
    <row r="15987" spans="23:23">
      <c r="W15987" s="503"/>
    </row>
    <row r="15988" spans="23:23">
      <c r="W15988" s="503"/>
    </row>
    <row r="15989" spans="23:23">
      <c r="W15989" s="503"/>
    </row>
    <row r="15990" spans="23:23">
      <c r="W15990" s="503"/>
    </row>
    <row r="15991" spans="23:23">
      <c r="W15991" s="503"/>
    </row>
    <row r="15992" spans="23:23">
      <c r="W15992" s="503"/>
    </row>
    <row r="15993" spans="23:23">
      <c r="W15993" s="503"/>
    </row>
    <row r="15994" spans="23:23">
      <c r="W15994" s="503"/>
    </row>
    <row r="15995" spans="23:23">
      <c r="W15995" s="503"/>
    </row>
    <row r="15996" spans="23:23">
      <c r="W15996" s="503"/>
    </row>
    <row r="15997" spans="23:23">
      <c r="W15997" s="503"/>
    </row>
    <row r="15998" spans="23:23">
      <c r="W15998" s="503"/>
    </row>
    <row r="15999" spans="23:23">
      <c r="W15999" s="503"/>
    </row>
    <row r="16000" spans="23:23">
      <c r="W16000" s="503"/>
    </row>
    <row r="16001" spans="23:23">
      <c r="W16001" s="503"/>
    </row>
    <row r="16002" spans="23:23">
      <c r="W16002" s="503"/>
    </row>
    <row r="16003" spans="23:23">
      <c r="W16003" s="503"/>
    </row>
    <row r="16004" spans="23:23">
      <c r="W16004" s="503"/>
    </row>
    <row r="16005" spans="23:23">
      <c r="W16005" s="503"/>
    </row>
    <row r="16006" spans="23:23">
      <c r="W16006" s="503"/>
    </row>
    <row r="16007" spans="23:23">
      <c r="W16007" s="503"/>
    </row>
    <row r="16008" spans="23:23">
      <c r="W16008" s="503"/>
    </row>
    <row r="16009" spans="23:23">
      <c r="W16009" s="503"/>
    </row>
    <row r="16010" spans="23:23">
      <c r="W16010" s="503"/>
    </row>
    <row r="16011" spans="23:23">
      <c r="W16011" s="503"/>
    </row>
    <row r="16012" spans="23:23">
      <c r="W16012" s="503"/>
    </row>
    <row r="16013" spans="23:23">
      <c r="W16013" s="503"/>
    </row>
    <row r="16014" spans="23:23">
      <c r="W16014" s="503"/>
    </row>
    <row r="16015" spans="23:23">
      <c r="W16015" s="503"/>
    </row>
    <row r="16016" spans="23:23">
      <c r="W16016" s="503"/>
    </row>
    <row r="16017" spans="23:23">
      <c r="W16017" s="503"/>
    </row>
    <row r="16018" spans="23:23">
      <c r="W16018" s="503"/>
    </row>
    <row r="16019" spans="23:23">
      <c r="W16019" s="503"/>
    </row>
    <row r="16020" spans="23:23">
      <c r="W16020" s="503"/>
    </row>
    <row r="16021" spans="23:23">
      <c r="W16021" s="503"/>
    </row>
    <row r="16022" spans="23:23">
      <c r="W16022" s="503"/>
    </row>
    <row r="16023" spans="23:23">
      <c r="W16023" s="503"/>
    </row>
    <row r="16024" spans="23:23">
      <c r="W16024" s="503"/>
    </row>
    <row r="16025" spans="23:23">
      <c r="W16025" s="503"/>
    </row>
    <row r="16026" spans="23:23">
      <c r="W16026" s="503"/>
    </row>
    <row r="16027" spans="23:23">
      <c r="W16027" s="503"/>
    </row>
    <row r="16028" spans="23:23">
      <c r="W16028" s="503"/>
    </row>
    <row r="16029" spans="23:23">
      <c r="W16029" s="503"/>
    </row>
    <row r="16030" spans="23:23">
      <c r="W16030" s="503"/>
    </row>
    <row r="16031" spans="23:23">
      <c r="W16031" s="503"/>
    </row>
    <row r="16032" spans="23:23">
      <c r="W16032" s="503"/>
    </row>
    <row r="16033" spans="23:23">
      <c r="W16033" s="503"/>
    </row>
    <row r="16034" spans="23:23">
      <c r="W16034" s="503"/>
    </row>
    <row r="16035" spans="23:23">
      <c r="W16035" s="503"/>
    </row>
    <row r="16036" spans="23:23">
      <c r="W16036" s="503"/>
    </row>
    <row r="16037" spans="23:23">
      <c r="W16037" s="503"/>
    </row>
    <row r="16038" spans="23:23">
      <c r="W16038" s="503"/>
    </row>
    <row r="16039" spans="23:23">
      <c r="W16039" s="503"/>
    </row>
    <row r="16040" spans="23:23">
      <c r="W16040" s="503"/>
    </row>
    <row r="16041" spans="23:23">
      <c r="W16041" s="503"/>
    </row>
    <row r="16042" spans="23:23">
      <c r="W16042" s="503"/>
    </row>
    <row r="16043" spans="23:23">
      <c r="W16043" s="503"/>
    </row>
    <row r="16044" spans="23:23">
      <c r="W16044" s="503"/>
    </row>
    <row r="16045" spans="23:23">
      <c r="W16045" s="503"/>
    </row>
    <row r="16046" spans="23:23">
      <c r="W16046" s="503"/>
    </row>
    <row r="16047" spans="23:23">
      <c r="W16047" s="503"/>
    </row>
    <row r="16048" spans="23:23">
      <c r="W16048" s="503"/>
    </row>
    <row r="16049" spans="23:23">
      <c r="W16049" s="503"/>
    </row>
    <row r="16050" spans="23:23">
      <c r="W16050" s="503"/>
    </row>
    <row r="16051" spans="23:23">
      <c r="W16051" s="503"/>
    </row>
    <row r="16052" spans="23:23">
      <c r="W16052" s="503"/>
    </row>
    <row r="16053" spans="23:23">
      <c r="W16053" s="503"/>
    </row>
    <row r="16054" spans="23:23">
      <c r="W16054" s="503"/>
    </row>
    <row r="16055" spans="23:23">
      <c r="W16055" s="503"/>
    </row>
    <row r="16056" spans="23:23">
      <c r="W16056" s="503"/>
    </row>
    <row r="16057" spans="23:23">
      <c r="W16057" s="503"/>
    </row>
    <row r="16058" spans="23:23">
      <c r="W16058" s="503"/>
    </row>
    <row r="16059" spans="23:23">
      <c r="W16059" s="503"/>
    </row>
    <row r="16060" spans="23:23">
      <c r="W16060" s="503"/>
    </row>
    <row r="16061" spans="23:23">
      <c r="W16061" s="503"/>
    </row>
    <row r="16062" spans="23:23">
      <c r="W16062" s="503"/>
    </row>
    <row r="16063" spans="23:23">
      <c r="W16063" s="503"/>
    </row>
    <row r="16064" spans="23:23">
      <c r="W16064" s="503"/>
    </row>
    <row r="16065" spans="23:23">
      <c r="W16065" s="503"/>
    </row>
    <row r="16066" spans="23:23">
      <c r="W16066" s="503"/>
    </row>
    <row r="16067" spans="23:23">
      <c r="W16067" s="503"/>
    </row>
    <row r="16068" spans="23:23">
      <c r="W16068" s="503"/>
    </row>
    <row r="16069" spans="23:23">
      <c r="W16069" s="503"/>
    </row>
    <row r="16070" spans="23:23">
      <c r="W16070" s="503"/>
    </row>
    <row r="16071" spans="23:23">
      <c r="W16071" s="503"/>
    </row>
    <row r="16072" spans="23:23">
      <c r="W16072" s="503"/>
    </row>
    <row r="16073" spans="23:23">
      <c r="W16073" s="503"/>
    </row>
    <row r="16074" spans="23:23">
      <c r="W16074" s="503"/>
    </row>
    <row r="16075" spans="23:23">
      <c r="W16075" s="503"/>
    </row>
    <row r="16076" spans="23:23">
      <c r="W16076" s="503"/>
    </row>
    <row r="16077" spans="23:23">
      <c r="W16077" s="503"/>
    </row>
    <row r="16078" spans="23:23">
      <c r="W16078" s="503"/>
    </row>
    <row r="16079" spans="23:23">
      <c r="W16079" s="503"/>
    </row>
    <row r="16080" spans="23:23">
      <c r="W16080" s="503"/>
    </row>
    <row r="16081" spans="23:23">
      <c r="W16081" s="503"/>
    </row>
    <row r="16082" spans="23:23">
      <c r="W16082" s="503"/>
    </row>
    <row r="16083" spans="23:23">
      <c r="W16083" s="503"/>
    </row>
    <row r="16084" spans="23:23">
      <c r="W16084" s="503"/>
    </row>
    <row r="16085" spans="23:23">
      <c r="W16085" s="503"/>
    </row>
    <row r="16086" spans="23:23">
      <c r="W16086" s="503"/>
    </row>
    <row r="16087" spans="23:23">
      <c r="W16087" s="503"/>
    </row>
    <row r="16088" spans="23:23">
      <c r="W16088" s="503"/>
    </row>
    <row r="16089" spans="23:23">
      <c r="W16089" s="503"/>
    </row>
    <row r="16090" spans="23:23">
      <c r="W16090" s="503"/>
    </row>
    <row r="16091" spans="23:23">
      <c r="W16091" s="503"/>
    </row>
    <row r="16092" spans="23:23">
      <c r="W16092" s="503"/>
    </row>
    <row r="16093" spans="23:23">
      <c r="W16093" s="503"/>
    </row>
    <row r="16094" spans="23:23">
      <c r="W16094" s="503"/>
    </row>
    <row r="16095" spans="23:23">
      <c r="W16095" s="503"/>
    </row>
    <row r="16096" spans="23:23">
      <c r="W16096" s="503"/>
    </row>
    <row r="16097" spans="23:23">
      <c r="W16097" s="503"/>
    </row>
    <row r="16098" spans="23:23">
      <c r="W16098" s="503"/>
    </row>
    <row r="16099" spans="23:23">
      <c r="W16099" s="503"/>
    </row>
    <row r="16100" spans="23:23">
      <c r="W16100" s="503"/>
    </row>
    <row r="16101" spans="23:23">
      <c r="W16101" s="503"/>
    </row>
    <row r="16102" spans="23:23">
      <c r="W16102" s="503"/>
    </row>
    <row r="16103" spans="23:23">
      <c r="W16103" s="503"/>
    </row>
    <row r="16104" spans="23:23">
      <c r="W16104" s="503"/>
    </row>
    <row r="16105" spans="23:23">
      <c r="W16105" s="503"/>
    </row>
    <row r="16106" spans="23:23">
      <c r="W16106" s="503"/>
    </row>
    <row r="16107" spans="23:23">
      <c r="W16107" s="503"/>
    </row>
    <row r="16108" spans="23:23">
      <c r="W16108" s="503"/>
    </row>
    <row r="16109" spans="23:23">
      <c r="W16109" s="503"/>
    </row>
    <row r="16110" spans="23:23">
      <c r="W16110" s="503"/>
    </row>
    <row r="16111" spans="23:23">
      <c r="W16111" s="503"/>
    </row>
    <row r="16112" spans="23:23">
      <c r="W16112" s="503"/>
    </row>
    <row r="16113" spans="23:23">
      <c r="W16113" s="503"/>
    </row>
    <row r="16114" spans="23:23">
      <c r="W16114" s="503"/>
    </row>
    <row r="16115" spans="23:23">
      <c r="W16115" s="503"/>
    </row>
    <row r="16116" spans="23:23">
      <c r="W16116" s="503"/>
    </row>
    <row r="16117" spans="23:23">
      <c r="W16117" s="503"/>
    </row>
    <row r="16118" spans="23:23">
      <c r="W16118" s="503"/>
    </row>
    <row r="16119" spans="23:23">
      <c r="W16119" s="503"/>
    </row>
    <row r="16120" spans="23:23">
      <c r="W16120" s="503"/>
    </row>
    <row r="16121" spans="23:23">
      <c r="W16121" s="503"/>
    </row>
    <row r="16122" spans="23:23">
      <c r="W16122" s="503"/>
    </row>
    <row r="16123" spans="23:23">
      <c r="W16123" s="503"/>
    </row>
    <row r="16124" spans="23:23">
      <c r="W16124" s="503"/>
    </row>
    <row r="16125" spans="23:23">
      <c r="W16125" s="503"/>
    </row>
    <row r="16126" spans="23:23">
      <c r="W16126" s="503"/>
    </row>
    <row r="16127" spans="23:23">
      <c r="W16127" s="503"/>
    </row>
    <row r="16128" spans="23:23">
      <c r="W16128" s="503"/>
    </row>
    <row r="16129" spans="23:23">
      <c r="W16129" s="503"/>
    </row>
    <row r="16130" spans="23:23">
      <c r="W16130" s="503"/>
    </row>
    <row r="16131" spans="23:23">
      <c r="W16131" s="503"/>
    </row>
    <row r="16132" spans="23:23">
      <c r="W16132" s="503"/>
    </row>
    <row r="16133" spans="23:23">
      <c r="W16133" s="503"/>
    </row>
    <row r="16134" spans="23:23">
      <c r="W16134" s="503"/>
    </row>
    <row r="16135" spans="23:23">
      <c r="W16135" s="503"/>
    </row>
    <row r="16136" spans="23:23">
      <c r="W16136" s="503"/>
    </row>
    <row r="16137" spans="23:23">
      <c r="W16137" s="503"/>
    </row>
    <row r="16138" spans="23:23">
      <c r="W16138" s="503"/>
    </row>
    <row r="16139" spans="23:23">
      <c r="W16139" s="503"/>
    </row>
    <row r="16140" spans="23:23">
      <c r="W16140" s="503"/>
    </row>
    <row r="16141" spans="23:23">
      <c r="W16141" s="503"/>
    </row>
    <row r="16142" spans="23:23">
      <c r="W16142" s="503"/>
    </row>
    <row r="16143" spans="23:23">
      <c r="W16143" s="503"/>
    </row>
    <row r="16144" spans="23:23">
      <c r="W16144" s="503"/>
    </row>
    <row r="16145" spans="23:23">
      <c r="W16145" s="503"/>
    </row>
    <row r="16146" spans="23:23">
      <c r="W16146" s="503"/>
    </row>
    <row r="16147" spans="23:23">
      <c r="W16147" s="503"/>
    </row>
    <row r="16148" spans="23:23">
      <c r="W16148" s="503"/>
    </row>
    <row r="16149" spans="23:23">
      <c r="W16149" s="503"/>
    </row>
    <row r="16150" spans="23:23">
      <c r="W16150" s="503"/>
    </row>
    <row r="16151" spans="23:23">
      <c r="W16151" s="503"/>
    </row>
    <row r="16152" spans="23:23">
      <c r="W16152" s="503"/>
    </row>
    <row r="16153" spans="23:23">
      <c r="W16153" s="503"/>
    </row>
    <row r="16154" spans="23:23">
      <c r="W16154" s="503"/>
    </row>
    <row r="16155" spans="23:23">
      <c r="W16155" s="503"/>
    </row>
    <row r="16156" spans="23:23">
      <c r="W16156" s="503"/>
    </row>
    <row r="16157" spans="23:23">
      <c r="W16157" s="503"/>
    </row>
    <row r="16158" spans="23:23">
      <c r="W16158" s="503"/>
    </row>
    <row r="16159" spans="23:23">
      <c r="W16159" s="503"/>
    </row>
    <row r="16160" spans="23:23">
      <c r="W16160" s="503"/>
    </row>
    <row r="16161" spans="23:23">
      <c r="W16161" s="503"/>
    </row>
    <row r="16162" spans="23:23">
      <c r="W16162" s="503"/>
    </row>
    <row r="16163" spans="23:23">
      <c r="W16163" s="503"/>
    </row>
    <row r="16164" spans="23:23">
      <c r="W16164" s="503"/>
    </row>
    <row r="16165" spans="23:23">
      <c r="W16165" s="503"/>
    </row>
    <row r="16166" spans="23:23">
      <c r="W16166" s="503"/>
    </row>
    <row r="16167" spans="23:23">
      <c r="W16167" s="503"/>
    </row>
    <row r="16168" spans="23:23">
      <c r="W16168" s="503"/>
    </row>
    <row r="16169" spans="23:23">
      <c r="W16169" s="503"/>
    </row>
    <row r="16170" spans="23:23">
      <c r="W16170" s="503"/>
    </row>
    <row r="16171" spans="23:23">
      <c r="W16171" s="503"/>
    </row>
    <row r="16172" spans="23:23">
      <c r="W16172" s="503"/>
    </row>
    <row r="16173" spans="23:23">
      <c r="W16173" s="503"/>
    </row>
    <row r="16174" spans="23:23">
      <c r="W16174" s="503"/>
    </row>
    <row r="16175" spans="23:23">
      <c r="W16175" s="503"/>
    </row>
    <row r="16176" spans="23:23">
      <c r="W16176" s="503"/>
    </row>
    <row r="16177" spans="23:23">
      <c r="W16177" s="503"/>
    </row>
    <row r="16178" spans="23:23">
      <c r="W16178" s="503"/>
    </row>
    <row r="16179" spans="23:23">
      <c r="W16179" s="503"/>
    </row>
    <row r="16180" spans="23:23">
      <c r="W16180" s="503"/>
    </row>
    <row r="16181" spans="23:23">
      <c r="W16181" s="503"/>
    </row>
    <row r="16182" spans="23:23">
      <c r="W16182" s="503"/>
    </row>
    <row r="16183" spans="23:23">
      <c r="W16183" s="503"/>
    </row>
    <row r="16184" spans="23:23">
      <c r="W16184" s="503"/>
    </row>
    <row r="16185" spans="23:23">
      <c r="W16185" s="503"/>
    </row>
    <row r="16186" spans="23:23">
      <c r="W16186" s="503"/>
    </row>
    <row r="16187" spans="23:23">
      <c r="W16187" s="503"/>
    </row>
    <row r="16188" spans="23:23">
      <c r="W16188" s="503"/>
    </row>
    <row r="16189" spans="23:23">
      <c r="W16189" s="503"/>
    </row>
    <row r="16190" spans="23:23">
      <c r="W16190" s="503"/>
    </row>
    <row r="16191" spans="23:23">
      <c r="W16191" s="503"/>
    </row>
    <row r="16192" spans="23:23">
      <c r="W16192" s="503"/>
    </row>
    <row r="16193" spans="23:23">
      <c r="W16193" s="503"/>
    </row>
    <row r="16194" spans="23:23">
      <c r="W16194" s="503"/>
    </row>
    <row r="16195" spans="23:23">
      <c r="W16195" s="503"/>
    </row>
    <row r="16196" spans="23:23">
      <c r="W16196" s="503"/>
    </row>
    <row r="16197" spans="23:23">
      <c r="W16197" s="503"/>
    </row>
    <row r="16198" spans="23:23">
      <c r="W16198" s="503"/>
    </row>
    <row r="16199" spans="23:23">
      <c r="W16199" s="503"/>
    </row>
    <row r="16200" spans="23:23">
      <c r="W16200" s="503"/>
    </row>
    <row r="16201" spans="23:23">
      <c r="W16201" s="503"/>
    </row>
    <row r="16202" spans="23:23">
      <c r="W16202" s="503"/>
    </row>
    <row r="16203" spans="23:23">
      <c r="W16203" s="503"/>
    </row>
    <row r="16204" spans="23:23">
      <c r="W16204" s="503"/>
    </row>
    <row r="16205" spans="23:23">
      <c r="W16205" s="503"/>
    </row>
    <row r="16206" spans="23:23">
      <c r="W16206" s="503"/>
    </row>
    <row r="16207" spans="23:23">
      <c r="W16207" s="503"/>
    </row>
    <row r="16208" spans="23:23">
      <c r="W16208" s="503"/>
    </row>
    <row r="16209" spans="23:23">
      <c r="W16209" s="503"/>
    </row>
    <row r="16210" spans="23:23">
      <c r="W16210" s="503"/>
    </row>
    <row r="16211" spans="23:23">
      <c r="W16211" s="503"/>
    </row>
    <row r="16212" spans="23:23">
      <c r="W16212" s="503"/>
    </row>
    <row r="16213" spans="23:23">
      <c r="W16213" s="503"/>
    </row>
    <row r="16214" spans="23:23">
      <c r="W16214" s="503"/>
    </row>
    <row r="16215" spans="23:23">
      <c r="W16215" s="503"/>
    </row>
    <row r="16216" spans="23:23">
      <c r="W16216" s="503"/>
    </row>
    <row r="16217" spans="23:23">
      <c r="W16217" s="503"/>
    </row>
    <row r="16218" spans="23:23">
      <c r="W16218" s="503"/>
    </row>
    <row r="16219" spans="23:23">
      <c r="W16219" s="503"/>
    </row>
    <row r="16220" spans="23:23">
      <c r="W16220" s="503"/>
    </row>
    <row r="16221" spans="23:23">
      <c r="W16221" s="503"/>
    </row>
    <row r="16222" spans="23:23">
      <c r="W16222" s="503"/>
    </row>
    <row r="16223" spans="23:23">
      <c r="W16223" s="503"/>
    </row>
    <row r="16224" spans="23:23">
      <c r="W16224" s="503"/>
    </row>
    <row r="16225" spans="23:23">
      <c r="W16225" s="503"/>
    </row>
    <row r="16226" spans="23:23">
      <c r="W16226" s="503"/>
    </row>
    <row r="16227" spans="23:23">
      <c r="W16227" s="503"/>
    </row>
    <row r="16228" spans="23:23">
      <c r="W16228" s="503"/>
    </row>
    <row r="16229" spans="23:23">
      <c r="W16229" s="503"/>
    </row>
    <row r="16230" spans="23:23">
      <c r="W16230" s="503"/>
    </row>
    <row r="16231" spans="23:23">
      <c r="W16231" s="503"/>
    </row>
    <row r="16232" spans="23:23">
      <c r="W16232" s="503"/>
    </row>
    <row r="16233" spans="23:23">
      <c r="W16233" s="503"/>
    </row>
    <row r="16234" spans="23:23">
      <c r="W16234" s="503"/>
    </row>
    <row r="16235" spans="23:23">
      <c r="W16235" s="503"/>
    </row>
    <row r="16236" spans="23:23">
      <c r="W16236" s="503"/>
    </row>
    <row r="16237" spans="23:23">
      <c r="W16237" s="503"/>
    </row>
    <row r="16238" spans="23:23">
      <c r="W16238" s="503"/>
    </row>
    <row r="16239" spans="23:23">
      <c r="W16239" s="503"/>
    </row>
    <row r="16240" spans="23:23">
      <c r="W16240" s="503"/>
    </row>
    <row r="16241" spans="23:23">
      <c r="W16241" s="503"/>
    </row>
    <row r="16242" spans="23:23">
      <c r="W16242" s="503"/>
    </row>
    <row r="16243" spans="23:23">
      <c r="W16243" s="503"/>
    </row>
    <row r="16244" spans="23:23">
      <c r="W16244" s="503"/>
    </row>
    <row r="16245" spans="23:23">
      <c r="W16245" s="503"/>
    </row>
    <row r="16246" spans="23:23">
      <c r="W16246" s="503"/>
    </row>
    <row r="16247" spans="23:23">
      <c r="W16247" s="503"/>
    </row>
    <row r="16248" spans="23:23">
      <c r="W16248" s="503"/>
    </row>
    <row r="16249" spans="23:23">
      <c r="W16249" s="503"/>
    </row>
    <row r="16250" spans="23:23">
      <c r="W16250" s="503"/>
    </row>
    <row r="16251" spans="23:23">
      <c r="W16251" s="503"/>
    </row>
    <row r="16252" spans="23:23">
      <c r="W16252" s="503"/>
    </row>
    <row r="16253" spans="23:23">
      <c r="W16253" s="503"/>
    </row>
    <row r="16254" spans="23:23">
      <c r="W16254" s="503"/>
    </row>
    <row r="16255" spans="23:23">
      <c r="W16255" s="503"/>
    </row>
    <row r="16256" spans="23:23">
      <c r="W16256" s="503"/>
    </row>
    <row r="16257" spans="23:23">
      <c r="W16257" s="503"/>
    </row>
    <row r="16258" spans="23:23">
      <c r="W16258" s="503"/>
    </row>
    <row r="16259" spans="23:23">
      <c r="W16259" s="503"/>
    </row>
    <row r="16260" spans="23:23">
      <c r="W16260" s="503"/>
    </row>
    <row r="16261" spans="23:23">
      <c r="W16261" s="503"/>
    </row>
    <row r="16262" spans="23:23">
      <c r="W16262" s="503"/>
    </row>
    <row r="16263" spans="23:23">
      <c r="W16263" s="503"/>
    </row>
    <row r="16264" spans="23:23">
      <c r="W16264" s="503"/>
    </row>
    <row r="16265" spans="23:23">
      <c r="W16265" s="503"/>
    </row>
    <row r="16266" spans="23:23">
      <c r="W16266" s="503"/>
    </row>
    <row r="16267" spans="23:23">
      <c r="W16267" s="503"/>
    </row>
    <row r="16268" spans="23:23">
      <c r="W16268" s="503"/>
    </row>
    <row r="16269" spans="23:23">
      <c r="W16269" s="503"/>
    </row>
    <row r="16270" spans="23:23">
      <c r="W16270" s="503"/>
    </row>
    <row r="16271" spans="23:23">
      <c r="W16271" s="503"/>
    </row>
    <row r="16272" spans="23:23">
      <c r="W16272" s="503"/>
    </row>
    <row r="16273" spans="23:23">
      <c r="W16273" s="503"/>
    </row>
    <row r="16274" spans="23:23">
      <c r="W16274" s="503"/>
    </row>
    <row r="16275" spans="23:23">
      <c r="W16275" s="503"/>
    </row>
    <row r="16276" spans="23:23">
      <c r="W16276" s="503"/>
    </row>
    <row r="16277" spans="23:23">
      <c r="W16277" s="503"/>
    </row>
    <row r="16278" spans="23:23">
      <c r="W16278" s="503"/>
    </row>
    <row r="16279" spans="23:23">
      <c r="W16279" s="503"/>
    </row>
    <row r="16280" spans="23:23">
      <c r="W16280" s="503"/>
    </row>
    <row r="16281" spans="23:23">
      <c r="W16281" s="503"/>
    </row>
    <row r="16282" spans="23:23">
      <c r="W16282" s="503"/>
    </row>
    <row r="16283" spans="23:23">
      <c r="W16283" s="503"/>
    </row>
    <row r="16284" spans="23:23">
      <c r="W16284" s="503"/>
    </row>
    <row r="16285" spans="23:23">
      <c r="W16285" s="503"/>
    </row>
    <row r="16286" spans="23:23">
      <c r="W16286" s="503"/>
    </row>
    <row r="16287" spans="23:23">
      <c r="W16287" s="503"/>
    </row>
    <row r="16288" spans="23:23">
      <c r="W16288" s="503"/>
    </row>
    <row r="16289" spans="23:23">
      <c r="W16289" s="503"/>
    </row>
    <row r="16290" spans="23:23">
      <c r="W16290" s="503"/>
    </row>
    <row r="16291" spans="23:23">
      <c r="W16291" s="503"/>
    </row>
    <row r="16292" spans="23:23">
      <c r="W16292" s="503"/>
    </row>
    <row r="16293" spans="23:23">
      <c r="W16293" s="503"/>
    </row>
    <row r="16294" spans="23:23">
      <c r="W16294" s="503"/>
    </row>
    <row r="16295" spans="23:23">
      <c r="W16295" s="503"/>
    </row>
    <row r="16296" spans="23:23">
      <c r="W16296" s="503"/>
    </row>
    <row r="16297" spans="23:23">
      <c r="W16297" s="503"/>
    </row>
    <row r="16298" spans="23:23">
      <c r="W16298" s="503"/>
    </row>
    <row r="16299" spans="23:23">
      <c r="W16299" s="503"/>
    </row>
    <row r="16300" spans="23:23">
      <c r="W16300" s="503"/>
    </row>
    <row r="16301" spans="23:23">
      <c r="W16301" s="503"/>
    </row>
    <row r="16302" spans="23:23">
      <c r="W16302" s="503"/>
    </row>
    <row r="16303" spans="23:23">
      <c r="W16303" s="503"/>
    </row>
    <row r="16304" spans="23:23">
      <c r="W16304" s="503"/>
    </row>
    <row r="16305" spans="23:23">
      <c r="W16305" s="503"/>
    </row>
    <row r="16306" spans="23:23">
      <c r="W16306" s="503"/>
    </row>
    <row r="16307" spans="23:23">
      <c r="W16307" s="503"/>
    </row>
    <row r="16308" spans="23:23">
      <c r="W16308" s="503"/>
    </row>
    <row r="16309" spans="23:23">
      <c r="W16309" s="503"/>
    </row>
    <row r="16310" spans="23:23">
      <c r="W16310" s="503"/>
    </row>
    <row r="16311" spans="23:23">
      <c r="W16311" s="503"/>
    </row>
    <row r="16312" spans="23:23">
      <c r="W16312" s="503"/>
    </row>
    <row r="16313" spans="23:23">
      <c r="W16313" s="503"/>
    </row>
    <row r="16314" spans="23:23">
      <c r="W16314" s="503"/>
    </row>
    <row r="16315" spans="23:23">
      <c r="W16315" s="503"/>
    </row>
    <row r="16316" spans="23:23">
      <c r="W16316" s="503"/>
    </row>
    <row r="16317" spans="23:23">
      <c r="W16317" s="503"/>
    </row>
    <row r="16318" spans="23:23">
      <c r="W16318" s="503"/>
    </row>
    <row r="16319" spans="23:23">
      <c r="W16319" s="503"/>
    </row>
    <row r="16320" spans="23:23">
      <c r="W16320" s="503"/>
    </row>
    <row r="16321" spans="23:23">
      <c r="W16321" s="503"/>
    </row>
    <row r="16322" spans="23:23">
      <c r="W16322" s="503"/>
    </row>
    <row r="16323" spans="23:23">
      <c r="W16323" s="503"/>
    </row>
    <row r="16324" spans="23:23">
      <c r="W16324" s="503"/>
    </row>
    <row r="16325" spans="23:23">
      <c r="W16325" s="503"/>
    </row>
    <row r="16326" spans="23:23">
      <c r="W16326" s="503"/>
    </row>
    <row r="16327" spans="23:23">
      <c r="W16327" s="503"/>
    </row>
    <row r="16328" spans="23:23">
      <c r="W16328" s="503"/>
    </row>
    <row r="16329" spans="23:23">
      <c r="W16329" s="503"/>
    </row>
    <row r="16330" spans="23:23">
      <c r="W16330" s="503"/>
    </row>
    <row r="16331" spans="23:23">
      <c r="W16331" s="503"/>
    </row>
    <row r="16332" spans="23:23">
      <c r="W16332" s="503"/>
    </row>
    <row r="16333" spans="23:23">
      <c r="W16333" s="503"/>
    </row>
    <row r="16334" spans="23:23">
      <c r="W16334" s="503"/>
    </row>
    <row r="16335" spans="23:23">
      <c r="W16335" s="503"/>
    </row>
    <row r="16336" spans="23:23">
      <c r="W16336" s="503"/>
    </row>
    <row r="16337" spans="23:23">
      <c r="W16337" s="503"/>
    </row>
    <row r="16338" spans="23:23">
      <c r="W16338" s="503"/>
    </row>
    <row r="16339" spans="23:23">
      <c r="W16339" s="503"/>
    </row>
    <row r="16340" spans="23:23">
      <c r="W16340" s="503"/>
    </row>
    <row r="16341" spans="23:23">
      <c r="W16341" s="503"/>
    </row>
    <row r="16342" spans="23:23">
      <c r="W16342" s="503"/>
    </row>
    <row r="16343" spans="23:23">
      <c r="W16343" s="503"/>
    </row>
    <row r="16344" spans="23:23">
      <c r="W16344" s="503"/>
    </row>
    <row r="16345" spans="23:23">
      <c r="W16345" s="503"/>
    </row>
    <row r="16346" spans="23:23">
      <c r="W16346" s="503"/>
    </row>
    <row r="16347" spans="23:23">
      <c r="W16347" s="503"/>
    </row>
    <row r="16348" spans="23:23">
      <c r="W16348" s="503"/>
    </row>
    <row r="16349" spans="23:23">
      <c r="W16349" s="503"/>
    </row>
    <row r="16350" spans="23:23">
      <c r="W16350" s="503"/>
    </row>
    <row r="16351" spans="23:23">
      <c r="W16351" s="503"/>
    </row>
    <row r="16352" spans="23:23">
      <c r="W16352" s="503"/>
    </row>
    <row r="16353" spans="23:23">
      <c r="W16353" s="503"/>
    </row>
    <row r="16354" spans="23:23">
      <c r="W16354" s="503"/>
    </row>
    <row r="16355" spans="23:23">
      <c r="W16355" s="503"/>
    </row>
    <row r="16356" spans="23:23">
      <c r="W16356" s="503"/>
    </row>
    <row r="16357" spans="23:23">
      <c r="W16357" s="503"/>
    </row>
    <row r="16358" spans="23:23">
      <c r="W16358" s="503"/>
    </row>
    <row r="16359" spans="23:23">
      <c r="W16359" s="503"/>
    </row>
    <row r="16360" spans="23:23">
      <c r="W16360" s="503"/>
    </row>
    <row r="16361" spans="23:23">
      <c r="W16361" s="503"/>
    </row>
    <row r="16362" spans="23:23">
      <c r="W16362" s="503"/>
    </row>
    <row r="16363" spans="23:23">
      <c r="W16363" s="503"/>
    </row>
    <row r="16364" spans="23:23">
      <c r="W16364" s="503"/>
    </row>
    <row r="16365" spans="23:23">
      <c r="W16365" s="503"/>
    </row>
    <row r="16366" spans="23:23">
      <c r="W16366" s="503"/>
    </row>
    <row r="16367" spans="23:23">
      <c r="W16367" s="503"/>
    </row>
    <row r="16368" spans="23:23">
      <c r="W16368" s="503"/>
    </row>
    <row r="16369" spans="23:23">
      <c r="W16369" s="503"/>
    </row>
    <row r="16370" spans="23:23">
      <c r="W16370" s="503"/>
    </row>
    <row r="16371" spans="23:23">
      <c r="W16371" s="503"/>
    </row>
    <row r="16372" spans="23:23">
      <c r="W16372" s="503"/>
    </row>
    <row r="16373" spans="23:23">
      <c r="W16373" s="503"/>
    </row>
    <row r="16374" spans="23:23">
      <c r="W16374" s="503"/>
    </row>
    <row r="16375" spans="23:23">
      <c r="W16375" s="503"/>
    </row>
    <row r="16376" spans="23:23">
      <c r="W16376" s="503"/>
    </row>
    <row r="16377" spans="23:23">
      <c r="W16377" s="503"/>
    </row>
    <row r="16378" spans="23:23">
      <c r="W16378" s="503"/>
    </row>
    <row r="16379" spans="23:23">
      <c r="W16379" s="503"/>
    </row>
    <row r="16380" spans="23:23">
      <c r="W16380" s="503"/>
    </row>
    <row r="16381" spans="23:23">
      <c r="W16381" s="503"/>
    </row>
    <row r="16382" spans="23:23">
      <c r="W16382" s="503"/>
    </row>
    <row r="16383" spans="23:23">
      <c r="W16383" s="503"/>
    </row>
    <row r="16384" spans="23:23">
      <c r="W16384" s="503"/>
    </row>
    <row r="16385" spans="23:23">
      <c r="W16385" s="503"/>
    </row>
    <row r="16386" spans="23:23">
      <c r="W16386" s="503"/>
    </row>
    <row r="16387" spans="23:23">
      <c r="W16387" s="503"/>
    </row>
    <row r="16388" spans="23:23">
      <c r="W16388" s="503"/>
    </row>
    <row r="16389" spans="23:23">
      <c r="W16389" s="503"/>
    </row>
    <row r="16390" spans="23:23">
      <c r="W16390" s="503"/>
    </row>
    <row r="16391" spans="23:23">
      <c r="W16391" s="503"/>
    </row>
    <row r="16392" spans="23:23">
      <c r="W16392" s="503"/>
    </row>
    <row r="16393" spans="23:23">
      <c r="W16393" s="503"/>
    </row>
    <row r="16394" spans="23:23">
      <c r="W16394" s="503"/>
    </row>
    <row r="16395" spans="23:23">
      <c r="W16395" s="503"/>
    </row>
    <row r="16396" spans="23:23">
      <c r="W16396" s="503"/>
    </row>
    <row r="16397" spans="23:23">
      <c r="W16397" s="503"/>
    </row>
    <row r="16398" spans="23:23">
      <c r="W16398" s="503"/>
    </row>
    <row r="16399" spans="23:23">
      <c r="W16399" s="503"/>
    </row>
    <row r="16400" spans="23:23">
      <c r="W16400" s="503"/>
    </row>
    <row r="16401" spans="23:23">
      <c r="W16401" s="503"/>
    </row>
    <row r="16402" spans="23:23">
      <c r="W16402" s="503"/>
    </row>
    <row r="16403" spans="23:23">
      <c r="W16403" s="503"/>
    </row>
    <row r="16404" spans="23:23">
      <c r="W16404" s="503"/>
    </row>
    <row r="16405" spans="23:23">
      <c r="W16405" s="503"/>
    </row>
    <row r="16406" spans="23:23">
      <c r="W16406" s="503"/>
    </row>
    <row r="16407" spans="23:23">
      <c r="W16407" s="503"/>
    </row>
    <row r="16408" spans="23:23">
      <c r="W16408" s="503"/>
    </row>
    <row r="16409" spans="23:23">
      <c r="W16409" s="503"/>
    </row>
    <row r="16410" spans="23:23">
      <c r="W16410" s="503"/>
    </row>
    <row r="16411" spans="23:23">
      <c r="W16411" s="503"/>
    </row>
    <row r="16412" spans="23:23">
      <c r="W16412" s="503"/>
    </row>
    <row r="16413" spans="23:23">
      <c r="W16413" s="503"/>
    </row>
    <row r="16414" spans="23:23">
      <c r="W16414" s="503"/>
    </row>
    <row r="16415" spans="23:23">
      <c r="W16415" s="503"/>
    </row>
    <row r="16416" spans="23:23">
      <c r="W16416" s="503"/>
    </row>
    <row r="16417" spans="23:23">
      <c r="W16417" s="503"/>
    </row>
    <row r="16418" spans="23:23">
      <c r="W16418" s="503"/>
    </row>
    <row r="16419" spans="23:23">
      <c r="W16419" s="503"/>
    </row>
    <row r="16420" spans="23:23">
      <c r="W16420" s="503"/>
    </row>
    <row r="16421" spans="23:23">
      <c r="W16421" s="503"/>
    </row>
    <row r="16422" spans="23:23">
      <c r="W16422" s="503"/>
    </row>
    <row r="16423" spans="23:23">
      <c r="W16423" s="503"/>
    </row>
    <row r="16424" spans="23:23">
      <c r="W16424" s="503"/>
    </row>
    <row r="16425" spans="23:23">
      <c r="W16425" s="503"/>
    </row>
    <row r="16426" spans="23:23">
      <c r="W16426" s="503"/>
    </row>
    <row r="16427" spans="23:23">
      <c r="W16427" s="503"/>
    </row>
    <row r="16428" spans="23:23">
      <c r="W16428" s="503"/>
    </row>
    <row r="16429" spans="23:23">
      <c r="W16429" s="503"/>
    </row>
    <row r="16430" spans="23:23">
      <c r="W16430" s="503"/>
    </row>
    <row r="16431" spans="23:23">
      <c r="W16431" s="503"/>
    </row>
    <row r="16432" spans="23:23">
      <c r="W16432" s="503"/>
    </row>
    <row r="16433" spans="23:23">
      <c r="W16433" s="503"/>
    </row>
    <row r="16434" spans="23:23">
      <c r="W16434" s="503"/>
    </row>
    <row r="16435" spans="23:23">
      <c r="W16435" s="503"/>
    </row>
    <row r="16436" spans="23:23">
      <c r="W16436" s="503"/>
    </row>
    <row r="16437" spans="23:23">
      <c r="W16437" s="503"/>
    </row>
    <row r="16438" spans="23:23">
      <c r="W16438" s="503"/>
    </row>
    <row r="16439" spans="23:23">
      <c r="W16439" s="503"/>
    </row>
    <row r="16440" spans="23:23">
      <c r="W16440" s="503"/>
    </row>
    <row r="16441" spans="23:23">
      <c r="W16441" s="503"/>
    </row>
    <row r="16442" spans="23:23">
      <c r="W16442" s="503"/>
    </row>
    <row r="16443" spans="23:23">
      <c r="W16443" s="503"/>
    </row>
    <row r="16444" spans="23:23">
      <c r="W16444" s="503"/>
    </row>
    <row r="16445" spans="23:23">
      <c r="W16445" s="503"/>
    </row>
    <row r="16446" spans="23:23">
      <c r="W16446" s="503"/>
    </row>
    <row r="16447" spans="23:23">
      <c r="W16447" s="503"/>
    </row>
    <row r="16448" spans="23:23">
      <c r="W16448" s="503"/>
    </row>
    <row r="16449" spans="23:23">
      <c r="W16449" s="503"/>
    </row>
    <row r="16450" spans="23:23">
      <c r="W16450" s="503"/>
    </row>
    <row r="16451" spans="23:23">
      <c r="W16451" s="503"/>
    </row>
    <row r="16452" spans="23:23">
      <c r="W16452" s="503"/>
    </row>
    <row r="16453" spans="23:23">
      <c r="W16453" s="503"/>
    </row>
    <row r="16454" spans="23:23">
      <c r="W16454" s="503"/>
    </row>
    <row r="16455" spans="23:23">
      <c r="W16455" s="503"/>
    </row>
    <row r="16456" spans="23:23">
      <c r="W16456" s="503"/>
    </row>
    <row r="16457" spans="23:23">
      <c r="W16457" s="503"/>
    </row>
    <row r="16458" spans="23:23">
      <c r="W16458" s="503"/>
    </row>
    <row r="16459" spans="23:23">
      <c r="W16459" s="503"/>
    </row>
    <row r="16460" spans="23:23">
      <c r="W16460" s="503"/>
    </row>
    <row r="16461" spans="23:23">
      <c r="W16461" s="503"/>
    </row>
    <row r="16462" spans="23:23">
      <c r="W16462" s="503"/>
    </row>
    <row r="16463" spans="23:23">
      <c r="W16463" s="503"/>
    </row>
    <row r="16464" spans="23:23">
      <c r="W16464" s="503"/>
    </row>
    <row r="16465" spans="23:23">
      <c r="W16465" s="503"/>
    </row>
    <row r="16466" spans="23:23">
      <c r="W16466" s="503"/>
    </row>
    <row r="16467" spans="23:23">
      <c r="W16467" s="503"/>
    </row>
    <row r="16468" spans="23:23">
      <c r="W16468" s="503"/>
    </row>
    <row r="16469" spans="23:23">
      <c r="W16469" s="503"/>
    </row>
    <row r="16470" spans="23:23">
      <c r="W16470" s="503"/>
    </row>
    <row r="16471" spans="23:23">
      <c r="W16471" s="503"/>
    </row>
    <row r="16472" spans="23:23">
      <c r="W16472" s="503"/>
    </row>
    <row r="16473" spans="23:23">
      <c r="W16473" s="503"/>
    </row>
    <row r="16474" spans="23:23">
      <c r="W16474" s="503"/>
    </row>
    <row r="16475" spans="23:23">
      <c r="W16475" s="503"/>
    </row>
    <row r="16476" spans="23:23">
      <c r="W16476" s="503"/>
    </row>
    <row r="16477" spans="23:23">
      <c r="W16477" s="503"/>
    </row>
    <row r="16478" spans="23:23">
      <c r="W16478" s="503"/>
    </row>
    <row r="16479" spans="23:23">
      <c r="W16479" s="503"/>
    </row>
    <row r="16480" spans="23:23">
      <c r="W16480" s="503"/>
    </row>
    <row r="16481" spans="23:23">
      <c r="W16481" s="503"/>
    </row>
    <row r="16482" spans="23:23">
      <c r="W16482" s="503"/>
    </row>
    <row r="16483" spans="23:23">
      <c r="W16483" s="503"/>
    </row>
    <row r="16484" spans="23:23">
      <c r="W16484" s="503"/>
    </row>
    <row r="16485" spans="23:23">
      <c r="W16485" s="503"/>
    </row>
    <row r="16486" spans="23:23">
      <c r="W16486" s="503"/>
    </row>
    <row r="16487" spans="23:23">
      <c r="W16487" s="503"/>
    </row>
    <row r="16488" spans="23:23">
      <c r="W16488" s="503"/>
    </row>
    <row r="16489" spans="23:23">
      <c r="W16489" s="503"/>
    </row>
    <row r="16490" spans="23:23">
      <c r="W16490" s="503"/>
    </row>
    <row r="16491" spans="23:23">
      <c r="W16491" s="503"/>
    </row>
    <row r="16492" spans="23:23">
      <c r="W16492" s="503"/>
    </row>
    <row r="16493" spans="23:23">
      <c r="W16493" s="503"/>
    </row>
    <row r="16494" spans="23:23">
      <c r="W16494" s="503"/>
    </row>
    <row r="16495" spans="23:23">
      <c r="W16495" s="503"/>
    </row>
    <row r="16496" spans="23:23">
      <c r="W16496" s="503"/>
    </row>
    <row r="16497" spans="23:23">
      <c r="W16497" s="503"/>
    </row>
    <row r="16498" spans="23:23">
      <c r="W16498" s="503"/>
    </row>
    <row r="16499" spans="23:23">
      <c r="W16499" s="503"/>
    </row>
    <row r="16500" spans="23:23">
      <c r="W16500" s="503"/>
    </row>
    <row r="16501" spans="23:23">
      <c r="W16501" s="503"/>
    </row>
    <row r="16502" spans="23:23">
      <c r="W16502" s="503"/>
    </row>
    <row r="16503" spans="23:23">
      <c r="W16503" s="503"/>
    </row>
    <row r="16504" spans="23:23">
      <c r="W16504" s="503"/>
    </row>
    <row r="16505" spans="23:23">
      <c r="W16505" s="503"/>
    </row>
    <row r="16506" spans="23:23">
      <c r="W16506" s="503"/>
    </row>
    <row r="16507" spans="23:23">
      <c r="W16507" s="503"/>
    </row>
    <row r="16508" spans="23:23">
      <c r="W16508" s="503"/>
    </row>
    <row r="16509" spans="23:23">
      <c r="W16509" s="503"/>
    </row>
    <row r="16510" spans="23:23">
      <c r="W16510" s="503"/>
    </row>
    <row r="16511" spans="23:23">
      <c r="W16511" s="503"/>
    </row>
    <row r="16512" spans="23:23">
      <c r="W16512" s="503"/>
    </row>
    <row r="16513" spans="23:23">
      <c r="W16513" s="503"/>
    </row>
    <row r="16514" spans="23:23">
      <c r="W16514" s="503"/>
    </row>
    <row r="16515" spans="23:23">
      <c r="W16515" s="503"/>
    </row>
    <row r="16516" spans="23:23">
      <c r="W16516" s="503"/>
    </row>
    <row r="16517" spans="23:23">
      <c r="W16517" s="503"/>
    </row>
    <row r="16518" spans="23:23">
      <c r="W16518" s="503"/>
    </row>
    <row r="16519" spans="23:23">
      <c r="W16519" s="503"/>
    </row>
    <row r="16520" spans="23:23">
      <c r="W16520" s="503"/>
    </row>
    <row r="16521" spans="23:23">
      <c r="W16521" s="503"/>
    </row>
    <row r="16522" spans="23:23">
      <c r="W16522" s="503"/>
    </row>
    <row r="16523" spans="23:23">
      <c r="W16523" s="503"/>
    </row>
    <row r="16524" spans="23:23">
      <c r="W16524" s="503"/>
    </row>
    <row r="16525" spans="23:23">
      <c r="W16525" s="503"/>
    </row>
    <row r="16526" spans="23:23">
      <c r="W16526" s="503"/>
    </row>
    <row r="16527" spans="23:23">
      <c r="W16527" s="503"/>
    </row>
    <row r="16528" spans="23:23">
      <c r="W16528" s="503"/>
    </row>
    <row r="16529" spans="23:23">
      <c r="W16529" s="503"/>
    </row>
    <row r="16530" spans="23:23">
      <c r="W16530" s="503"/>
    </row>
    <row r="16531" spans="23:23">
      <c r="W16531" s="503"/>
    </row>
    <row r="16532" spans="23:23">
      <c r="W16532" s="503"/>
    </row>
    <row r="16533" spans="23:23">
      <c r="W16533" s="503"/>
    </row>
    <row r="16534" spans="23:23">
      <c r="W16534" s="503"/>
    </row>
    <row r="16535" spans="23:23">
      <c r="W16535" s="503"/>
    </row>
    <row r="16536" spans="23:23">
      <c r="W16536" s="503"/>
    </row>
    <row r="16537" spans="23:23">
      <c r="W16537" s="503"/>
    </row>
    <row r="16538" spans="23:23">
      <c r="W16538" s="503"/>
    </row>
    <row r="16539" spans="23:23">
      <c r="W16539" s="503"/>
    </row>
    <row r="16540" spans="23:23">
      <c r="W16540" s="503"/>
    </row>
    <row r="16541" spans="23:23">
      <c r="W16541" s="503"/>
    </row>
    <row r="16542" spans="23:23">
      <c r="W16542" s="503"/>
    </row>
    <row r="16543" spans="23:23">
      <c r="W16543" s="503"/>
    </row>
    <row r="16544" spans="23:23">
      <c r="W16544" s="503"/>
    </row>
    <row r="16545" spans="23:23">
      <c r="W16545" s="503"/>
    </row>
    <row r="16546" spans="23:23">
      <c r="W16546" s="503"/>
    </row>
    <row r="16547" spans="23:23">
      <c r="W16547" s="503"/>
    </row>
    <row r="16548" spans="23:23">
      <c r="W16548" s="503"/>
    </row>
    <row r="16549" spans="23:23">
      <c r="W16549" s="503"/>
    </row>
    <row r="16550" spans="23:23">
      <c r="W16550" s="503"/>
    </row>
    <row r="16551" spans="23:23">
      <c r="W16551" s="503"/>
    </row>
    <row r="16552" spans="23:23">
      <c r="W16552" s="503"/>
    </row>
    <row r="16553" spans="23:23">
      <c r="W16553" s="503"/>
    </row>
    <row r="16554" spans="23:23">
      <c r="W16554" s="503"/>
    </row>
    <row r="16555" spans="23:23">
      <c r="W16555" s="503"/>
    </row>
    <row r="16556" spans="23:23">
      <c r="W16556" s="503"/>
    </row>
    <row r="16557" spans="23:23">
      <c r="W16557" s="503"/>
    </row>
    <row r="16558" spans="23:23">
      <c r="W16558" s="503"/>
    </row>
    <row r="16559" spans="23:23">
      <c r="W16559" s="503"/>
    </row>
    <row r="16560" spans="23:23">
      <c r="W16560" s="503"/>
    </row>
    <row r="16561" spans="23:23">
      <c r="W16561" s="503"/>
    </row>
    <row r="16562" spans="23:23">
      <c r="W16562" s="503"/>
    </row>
    <row r="16563" spans="23:23">
      <c r="W16563" s="503"/>
    </row>
    <row r="16564" spans="23:23">
      <c r="W16564" s="503"/>
    </row>
    <row r="16565" spans="23:23">
      <c r="W16565" s="503"/>
    </row>
    <row r="16566" spans="23:23">
      <c r="W16566" s="503"/>
    </row>
    <row r="16567" spans="23:23">
      <c r="W16567" s="503"/>
    </row>
    <row r="16568" spans="23:23">
      <c r="W16568" s="503"/>
    </row>
    <row r="16569" spans="23:23">
      <c r="W16569" s="503"/>
    </row>
    <row r="16570" spans="23:23">
      <c r="W16570" s="503"/>
    </row>
    <row r="16571" spans="23:23">
      <c r="W16571" s="503"/>
    </row>
    <row r="16572" spans="23:23">
      <c r="W16572" s="503"/>
    </row>
    <row r="16573" spans="23:23">
      <c r="W16573" s="503"/>
    </row>
    <row r="16574" spans="23:23">
      <c r="W16574" s="503"/>
    </row>
    <row r="16575" spans="23:23">
      <c r="W16575" s="503"/>
    </row>
    <row r="16576" spans="23:23">
      <c r="W16576" s="503"/>
    </row>
    <row r="16577" spans="23:23">
      <c r="W16577" s="503"/>
    </row>
    <row r="16578" spans="23:23">
      <c r="W16578" s="503"/>
    </row>
    <row r="16579" spans="23:23">
      <c r="W16579" s="503"/>
    </row>
    <row r="16580" spans="23:23">
      <c r="W16580" s="503"/>
    </row>
    <row r="16581" spans="23:23">
      <c r="W16581" s="503"/>
    </row>
    <row r="16582" spans="23:23">
      <c r="W16582" s="503"/>
    </row>
    <row r="16583" spans="23:23">
      <c r="W16583" s="503"/>
    </row>
    <row r="16584" spans="23:23">
      <c r="W16584" s="503"/>
    </row>
    <row r="16585" spans="23:23">
      <c r="W16585" s="503"/>
    </row>
    <row r="16586" spans="23:23">
      <c r="W16586" s="503"/>
    </row>
    <row r="16587" spans="23:23">
      <c r="W16587" s="503"/>
    </row>
    <row r="16588" spans="23:23">
      <c r="W16588" s="503"/>
    </row>
    <row r="16589" spans="23:23">
      <c r="W16589" s="503"/>
    </row>
    <row r="16590" spans="23:23">
      <c r="W16590" s="503"/>
    </row>
    <row r="16591" spans="23:23">
      <c r="W16591" s="503"/>
    </row>
    <row r="16592" spans="23:23">
      <c r="W16592" s="503"/>
    </row>
    <row r="16593" spans="23:23">
      <c r="W16593" s="503"/>
    </row>
    <row r="16594" spans="23:23">
      <c r="W16594" s="503"/>
    </row>
    <row r="16595" spans="23:23">
      <c r="W16595" s="503"/>
    </row>
    <row r="16596" spans="23:23">
      <c r="W16596" s="503"/>
    </row>
    <row r="16597" spans="23:23">
      <c r="W16597" s="503"/>
    </row>
    <row r="16598" spans="23:23">
      <c r="W16598" s="503"/>
    </row>
    <row r="16599" spans="23:23">
      <c r="W16599" s="503"/>
    </row>
    <row r="16600" spans="23:23">
      <c r="W16600" s="503"/>
    </row>
    <row r="16601" spans="23:23">
      <c r="W16601" s="503"/>
    </row>
    <row r="16602" spans="23:23">
      <c r="W16602" s="503"/>
    </row>
    <row r="16603" spans="23:23">
      <c r="W16603" s="503"/>
    </row>
    <row r="16604" spans="23:23">
      <c r="W16604" s="503"/>
    </row>
    <row r="16605" spans="23:23">
      <c r="W16605" s="503"/>
    </row>
    <row r="16606" spans="23:23">
      <c r="W16606" s="503"/>
    </row>
    <row r="16607" spans="23:23">
      <c r="W16607" s="503"/>
    </row>
    <row r="16608" spans="23:23">
      <c r="W16608" s="503"/>
    </row>
    <row r="16609" spans="23:23">
      <c r="W16609" s="503"/>
    </row>
    <row r="16610" spans="23:23">
      <c r="W16610" s="503"/>
    </row>
    <row r="16611" spans="23:23">
      <c r="W16611" s="503"/>
    </row>
    <row r="16612" spans="23:23">
      <c r="W16612" s="503"/>
    </row>
    <row r="16613" spans="23:23">
      <c r="W16613" s="503"/>
    </row>
    <row r="16614" spans="23:23">
      <c r="W16614" s="503"/>
    </row>
    <row r="16615" spans="23:23">
      <c r="W16615" s="503"/>
    </row>
    <row r="16616" spans="23:23">
      <c r="W16616" s="503"/>
    </row>
    <row r="16617" spans="23:23">
      <c r="W16617" s="503"/>
    </row>
    <row r="16618" spans="23:23">
      <c r="W16618" s="503"/>
    </row>
    <row r="16619" spans="23:23">
      <c r="W16619" s="503"/>
    </row>
    <row r="16620" spans="23:23">
      <c r="W16620" s="503"/>
    </row>
    <row r="16621" spans="23:23">
      <c r="W16621" s="503"/>
    </row>
    <row r="16622" spans="23:23">
      <c r="W16622" s="503"/>
    </row>
    <row r="16623" spans="23:23">
      <c r="W16623" s="503"/>
    </row>
    <row r="16624" spans="23:23">
      <c r="W16624" s="503"/>
    </row>
    <row r="16625" spans="23:23">
      <c r="W16625" s="503"/>
    </row>
    <row r="16626" spans="23:23">
      <c r="W16626" s="503"/>
    </row>
    <row r="16627" spans="23:23">
      <c r="W16627" s="503"/>
    </row>
    <row r="16628" spans="23:23">
      <c r="W16628" s="503"/>
    </row>
    <row r="16629" spans="23:23">
      <c r="W16629" s="503"/>
    </row>
    <row r="16630" spans="23:23">
      <c r="W16630" s="503"/>
    </row>
    <row r="16631" spans="23:23">
      <c r="W16631" s="503"/>
    </row>
    <row r="16632" spans="23:23">
      <c r="W16632" s="503"/>
    </row>
    <row r="16633" spans="23:23">
      <c r="W16633" s="503"/>
    </row>
    <row r="16634" spans="23:23">
      <c r="W16634" s="503"/>
    </row>
    <row r="16635" spans="23:23">
      <c r="W16635" s="503"/>
    </row>
    <row r="16636" spans="23:23">
      <c r="W16636" s="503"/>
    </row>
    <row r="16637" spans="23:23">
      <c r="W16637" s="503"/>
    </row>
    <row r="16638" spans="23:23">
      <c r="W16638" s="503"/>
    </row>
    <row r="16639" spans="23:23">
      <c r="W16639" s="503"/>
    </row>
    <row r="16640" spans="23:23">
      <c r="W16640" s="503"/>
    </row>
    <row r="16641" spans="23:23">
      <c r="W16641" s="503"/>
    </row>
    <row r="16642" spans="23:23">
      <c r="W16642" s="503"/>
    </row>
    <row r="16643" spans="23:23">
      <c r="W16643" s="503"/>
    </row>
    <row r="16644" spans="23:23">
      <c r="W16644" s="503"/>
    </row>
    <row r="16645" spans="23:23">
      <c r="W16645" s="503"/>
    </row>
    <row r="16646" spans="23:23">
      <c r="W16646" s="503"/>
    </row>
    <row r="16647" spans="23:23">
      <c r="W16647" s="503"/>
    </row>
    <row r="16648" spans="23:23">
      <c r="W16648" s="503"/>
    </row>
    <row r="16649" spans="23:23">
      <c r="W16649" s="503"/>
    </row>
    <row r="16650" spans="23:23">
      <c r="W16650" s="503"/>
    </row>
    <row r="16651" spans="23:23">
      <c r="W16651" s="503"/>
    </row>
    <row r="16652" spans="23:23">
      <c r="W16652" s="503"/>
    </row>
    <row r="16653" spans="23:23">
      <c r="W16653" s="503"/>
    </row>
    <row r="16654" spans="23:23">
      <c r="W16654" s="503"/>
    </row>
    <row r="16655" spans="23:23">
      <c r="W16655" s="503"/>
    </row>
    <row r="16656" spans="23:23">
      <c r="W16656" s="503"/>
    </row>
    <row r="16657" spans="23:23">
      <c r="W16657" s="503"/>
    </row>
    <row r="16658" spans="23:23">
      <c r="W16658" s="503"/>
    </row>
    <row r="16659" spans="23:23">
      <c r="W16659" s="503"/>
    </row>
    <row r="16660" spans="23:23">
      <c r="W16660" s="503"/>
    </row>
    <row r="16661" spans="23:23">
      <c r="W16661" s="503"/>
    </row>
    <row r="16662" spans="23:23">
      <c r="W16662" s="503"/>
    </row>
    <row r="16663" spans="23:23">
      <c r="W16663" s="503"/>
    </row>
    <row r="16664" spans="23:23">
      <c r="W16664" s="503"/>
    </row>
    <row r="16665" spans="23:23">
      <c r="W16665" s="503"/>
    </row>
    <row r="16666" spans="23:23">
      <c r="W16666" s="503"/>
    </row>
    <row r="16667" spans="23:23">
      <c r="W16667" s="503"/>
    </row>
    <row r="16668" spans="23:23">
      <c r="W16668" s="503"/>
    </row>
    <row r="16669" spans="23:23">
      <c r="W16669" s="503"/>
    </row>
    <row r="16670" spans="23:23">
      <c r="W16670" s="503"/>
    </row>
    <row r="16671" spans="23:23">
      <c r="W16671" s="503"/>
    </row>
    <row r="16672" spans="23:23">
      <c r="W16672" s="503"/>
    </row>
    <row r="16673" spans="23:23">
      <c r="W16673" s="503"/>
    </row>
    <row r="16674" spans="23:23">
      <c r="W16674" s="503"/>
    </row>
    <row r="16675" spans="23:23">
      <c r="W16675" s="503"/>
    </row>
    <row r="16676" spans="23:23">
      <c r="W16676" s="503"/>
    </row>
    <row r="16677" spans="23:23">
      <c r="W16677" s="503"/>
    </row>
    <row r="16678" spans="23:23">
      <c r="W16678" s="503"/>
    </row>
    <row r="16679" spans="23:23">
      <c r="W16679" s="503"/>
    </row>
    <row r="16680" spans="23:23">
      <c r="W16680" s="503"/>
    </row>
    <row r="16681" spans="23:23">
      <c r="W16681" s="503"/>
    </row>
    <row r="16682" spans="23:23">
      <c r="W16682" s="503"/>
    </row>
    <row r="16683" spans="23:23">
      <c r="W16683" s="503"/>
    </row>
    <row r="16684" spans="23:23">
      <c r="W16684" s="503"/>
    </row>
    <row r="16685" spans="23:23">
      <c r="W16685" s="503"/>
    </row>
    <row r="16686" spans="23:23">
      <c r="W16686" s="503"/>
    </row>
    <row r="16687" spans="23:23">
      <c r="W16687" s="503"/>
    </row>
    <row r="16688" spans="23:23">
      <c r="W16688" s="503"/>
    </row>
    <row r="16689" spans="23:23">
      <c r="W16689" s="503"/>
    </row>
    <row r="16690" spans="23:23">
      <c r="W16690" s="503"/>
    </row>
    <row r="16691" spans="23:23">
      <c r="W16691" s="503"/>
    </row>
    <row r="16692" spans="23:23">
      <c r="W16692" s="503"/>
    </row>
    <row r="16693" spans="23:23">
      <c r="W16693" s="503"/>
    </row>
    <row r="16694" spans="23:23">
      <c r="W16694" s="503"/>
    </row>
    <row r="16695" spans="23:23">
      <c r="W16695" s="503"/>
    </row>
    <row r="16696" spans="23:23">
      <c r="W16696" s="503"/>
    </row>
    <row r="16697" spans="23:23">
      <c r="W16697" s="503"/>
    </row>
    <row r="16698" spans="23:23">
      <c r="W16698" s="503"/>
    </row>
    <row r="16699" spans="23:23">
      <c r="W16699" s="503"/>
    </row>
    <row r="16700" spans="23:23">
      <c r="W16700" s="503"/>
    </row>
    <row r="16701" spans="23:23">
      <c r="W16701" s="503"/>
    </row>
    <row r="16702" spans="23:23">
      <c r="W16702" s="503"/>
    </row>
    <row r="16703" spans="23:23">
      <c r="W16703" s="503"/>
    </row>
    <row r="16704" spans="23:23">
      <c r="W16704" s="503"/>
    </row>
    <row r="16705" spans="23:23">
      <c r="W16705" s="503"/>
    </row>
    <row r="16706" spans="23:23">
      <c r="W16706" s="503"/>
    </row>
    <row r="16707" spans="23:23">
      <c r="W16707" s="503"/>
    </row>
    <row r="16708" spans="23:23">
      <c r="W16708" s="503"/>
    </row>
    <row r="16709" spans="23:23">
      <c r="W16709" s="503"/>
    </row>
    <row r="16710" spans="23:23">
      <c r="W16710" s="503"/>
    </row>
    <row r="16711" spans="23:23">
      <c r="W16711" s="503"/>
    </row>
    <row r="16712" spans="23:23">
      <c r="W16712" s="503"/>
    </row>
    <row r="16713" spans="23:23">
      <c r="W16713" s="503"/>
    </row>
    <row r="16714" spans="23:23">
      <c r="W16714" s="503"/>
    </row>
    <row r="16715" spans="23:23">
      <c r="W16715" s="503"/>
    </row>
    <row r="16716" spans="23:23">
      <c r="W16716" s="503"/>
    </row>
    <row r="16717" spans="23:23">
      <c r="W16717" s="503"/>
    </row>
    <row r="16718" spans="23:23">
      <c r="W16718" s="503"/>
    </row>
    <row r="16719" spans="23:23">
      <c r="W16719" s="503"/>
    </row>
    <row r="16720" spans="23:23">
      <c r="W16720" s="503"/>
    </row>
    <row r="16721" spans="23:23">
      <c r="W16721" s="503"/>
    </row>
    <row r="16722" spans="23:23">
      <c r="W16722" s="503"/>
    </row>
    <row r="16723" spans="23:23">
      <c r="W16723" s="503"/>
    </row>
    <row r="16724" spans="23:23">
      <c r="W16724" s="503"/>
    </row>
    <row r="16725" spans="23:23">
      <c r="W16725" s="503"/>
    </row>
    <row r="16726" spans="23:23">
      <c r="W16726" s="503"/>
    </row>
    <row r="16727" spans="23:23">
      <c r="W16727" s="503"/>
    </row>
    <row r="16728" spans="23:23">
      <c r="W16728" s="503"/>
    </row>
    <row r="16729" spans="23:23">
      <c r="W16729" s="503"/>
    </row>
    <row r="16730" spans="23:23">
      <c r="W16730" s="503"/>
    </row>
    <row r="16731" spans="23:23">
      <c r="W16731" s="503"/>
    </row>
    <row r="16732" spans="23:23">
      <c r="W16732" s="503"/>
    </row>
    <row r="16733" spans="23:23">
      <c r="W16733" s="503"/>
    </row>
    <row r="16734" spans="23:23">
      <c r="W16734" s="503"/>
    </row>
    <row r="16735" spans="23:23">
      <c r="W16735" s="503"/>
    </row>
    <row r="16736" spans="23:23">
      <c r="W16736" s="503"/>
    </row>
    <row r="16737" spans="23:23">
      <c r="W16737" s="503"/>
    </row>
    <row r="16738" spans="23:23">
      <c r="W16738" s="503"/>
    </row>
    <row r="16739" spans="23:23">
      <c r="W16739" s="503"/>
    </row>
    <row r="16740" spans="23:23">
      <c r="W16740" s="503"/>
    </row>
    <row r="16741" spans="23:23">
      <c r="W16741" s="503"/>
    </row>
    <row r="16742" spans="23:23">
      <c r="W16742" s="503"/>
    </row>
    <row r="16743" spans="23:23">
      <c r="W16743" s="503"/>
    </row>
    <row r="16744" spans="23:23">
      <c r="W16744" s="503"/>
    </row>
    <row r="16745" spans="23:23">
      <c r="W16745" s="503"/>
    </row>
    <row r="16746" spans="23:23">
      <c r="W16746" s="503"/>
    </row>
    <row r="16747" spans="23:23">
      <c r="W16747" s="503"/>
    </row>
    <row r="16748" spans="23:23">
      <c r="W16748" s="503"/>
    </row>
    <row r="16749" spans="23:23">
      <c r="W16749" s="503"/>
    </row>
    <row r="16750" spans="23:23">
      <c r="W16750" s="503"/>
    </row>
    <row r="16751" spans="23:23">
      <c r="W16751" s="503"/>
    </row>
    <row r="16752" spans="23:23">
      <c r="W16752" s="503"/>
    </row>
    <row r="16753" spans="23:23">
      <c r="W16753" s="503"/>
    </row>
    <row r="16754" spans="23:23">
      <c r="W16754" s="503"/>
    </row>
    <row r="16755" spans="23:23">
      <c r="W16755" s="503"/>
    </row>
    <row r="16756" spans="23:23">
      <c r="W16756" s="503"/>
    </row>
    <row r="16757" spans="23:23">
      <c r="W16757" s="503"/>
    </row>
    <row r="16758" spans="23:23">
      <c r="W16758" s="503"/>
    </row>
    <row r="16759" spans="23:23">
      <c r="W16759" s="503"/>
    </row>
    <row r="16760" spans="23:23">
      <c r="W16760" s="503"/>
    </row>
    <row r="16761" spans="23:23">
      <c r="W16761" s="503"/>
    </row>
    <row r="16762" spans="23:23">
      <c r="W16762" s="503"/>
    </row>
    <row r="16763" spans="23:23">
      <c r="W16763" s="503"/>
    </row>
    <row r="16764" spans="23:23">
      <c r="W16764" s="503"/>
    </row>
    <row r="16765" spans="23:23">
      <c r="W16765" s="503"/>
    </row>
    <row r="16766" spans="23:23">
      <c r="W16766" s="503"/>
    </row>
    <row r="16767" spans="23:23">
      <c r="W16767" s="503"/>
    </row>
    <row r="16768" spans="23:23">
      <c r="W16768" s="503"/>
    </row>
    <row r="16769" spans="23:23">
      <c r="W16769" s="503"/>
    </row>
    <row r="16770" spans="23:23">
      <c r="W16770" s="503"/>
    </row>
    <row r="16771" spans="23:23">
      <c r="W16771" s="503"/>
    </row>
    <row r="16772" spans="23:23">
      <c r="W16772" s="503"/>
    </row>
    <row r="16773" spans="23:23">
      <c r="W16773" s="503"/>
    </row>
    <row r="16774" spans="23:23">
      <c r="W16774" s="503"/>
    </row>
    <row r="16775" spans="23:23">
      <c r="W16775" s="503"/>
    </row>
    <row r="16776" spans="23:23">
      <c r="W16776" s="503"/>
    </row>
    <row r="16777" spans="23:23">
      <c r="W16777" s="503"/>
    </row>
    <row r="16778" spans="23:23">
      <c r="W16778" s="503"/>
    </row>
    <row r="16779" spans="23:23">
      <c r="W16779" s="503"/>
    </row>
    <row r="16780" spans="23:23">
      <c r="W16780" s="503"/>
    </row>
    <row r="16781" spans="23:23">
      <c r="W16781" s="503"/>
    </row>
    <row r="16782" spans="23:23">
      <c r="W16782" s="503"/>
    </row>
    <row r="16783" spans="23:23">
      <c r="W16783" s="503"/>
    </row>
    <row r="16784" spans="23:23">
      <c r="W16784" s="503"/>
    </row>
    <row r="16785" spans="23:23">
      <c r="W16785" s="503"/>
    </row>
    <row r="16786" spans="23:23">
      <c r="W16786" s="503"/>
    </row>
    <row r="16787" spans="23:23">
      <c r="W16787" s="503"/>
    </row>
    <row r="16788" spans="23:23">
      <c r="W16788" s="503"/>
    </row>
    <row r="16789" spans="23:23">
      <c r="W16789" s="503"/>
    </row>
    <row r="16790" spans="23:23">
      <c r="W16790" s="503"/>
    </row>
    <row r="16791" spans="23:23">
      <c r="W16791" s="503"/>
    </row>
    <row r="16792" spans="23:23">
      <c r="W16792" s="503"/>
    </row>
    <row r="16793" spans="23:23">
      <c r="W16793" s="503"/>
    </row>
    <row r="16794" spans="23:23">
      <c r="W16794" s="503"/>
    </row>
    <row r="16795" spans="23:23">
      <c r="W16795" s="503"/>
    </row>
    <row r="16796" spans="23:23">
      <c r="W16796" s="503"/>
    </row>
    <row r="16797" spans="23:23">
      <c r="W16797" s="503"/>
    </row>
    <row r="16798" spans="23:23">
      <c r="W16798" s="503"/>
    </row>
    <row r="16799" spans="23:23">
      <c r="W16799" s="503"/>
    </row>
    <row r="16800" spans="23:23">
      <c r="W16800" s="503"/>
    </row>
    <row r="16801" spans="23:23">
      <c r="W16801" s="503"/>
    </row>
    <row r="16802" spans="23:23">
      <c r="W16802" s="503"/>
    </row>
    <row r="16803" spans="23:23">
      <c r="W16803" s="503"/>
    </row>
    <row r="16804" spans="23:23">
      <c r="W16804" s="503"/>
    </row>
    <row r="16805" spans="23:23">
      <c r="W16805" s="503"/>
    </row>
    <row r="16806" spans="23:23">
      <c r="W16806" s="503"/>
    </row>
    <row r="16807" spans="23:23">
      <c r="W16807" s="503"/>
    </row>
    <row r="16808" spans="23:23">
      <c r="W16808" s="503"/>
    </row>
    <row r="16809" spans="23:23">
      <c r="W16809" s="503"/>
    </row>
    <row r="16810" spans="23:23">
      <c r="W16810" s="503"/>
    </row>
    <row r="16811" spans="23:23">
      <c r="W16811" s="503"/>
    </row>
    <row r="16812" spans="23:23">
      <c r="W16812" s="503"/>
    </row>
    <row r="16813" spans="23:23">
      <c r="W16813" s="503"/>
    </row>
    <row r="16814" spans="23:23">
      <c r="W16814" s="503"/>
    </row>
    <row r="16815" spans="23:23">
      <c r="W16815" s="503"/>
    </row>
    <row r="16816" spans="23:23">
      <c r="W16816" s="503"/>
    </row>
    <row r="16817" spans="23:23">
      <c r="W16817" s="503"/>
    </row>
    <row r="16818" spans="23:23">
      <c r="W16818" s="503"/>
    </row>
    <row r="16819" spans="23:23">
      <c r="W16819" s="503"/>
    </row>
    <row r="16820" spans="23:23">
      <c r="W16820" s="503"/>
    </row>
    <row r="16821" spans="23:23">
      <c r="W16821" s="503"/>
    </row>
    <row r="16822" spans="23:23">
      <c r="W16822" s="503"/>
    </row>
    <row r="16823" spans="23:23">
      <c r="W16823" s="503"/>
    </row>
    <row r="16824" spans="23:23">
      <c r="W16824" s="503"/>
    </row>
    <row r="16825" spans="23:23">
      <c r="W16825" s="503"/>
    </row>
    <row r="16826" spans="23:23">
      <c r="W16826" s="503"/>
    </row>
    <row r="16827" spans="23:23">
      <c r="W16827" s="503"/>
    </row>
    <row r="16828" spans="23:23">
      <c r="W16828" s="503"/>
    </row>
    <row r="16829" spans="23:23">
      <c r="W16829" s="503"/>
    </row>
    <row r="16830" spans="23:23">
      <c r="W16830" s="503"/>
    </row>
    <row r="16831" spans="23:23">
      <c r="W16831" s="503"/>
    </row>
    <row r="16832" spans="23:23">
      <c r="W16832" s="503"/>
    </row>
    <row r="16833" spans="23:23">
      <c r="W16833" s="503"/>
    </row>
    <row r="16834" spans="23:23">
      <c r="W16834" s="503"/>
    </row>
    <row r="16835" spans="23:23">
      <c r="W16835" s="503"/>
    </row>
    <row r="16836" spans="23:23">
      <c r="W16836" s="503"/>
    </row>
    <row r="16837" spans="23:23">
      <c r="W16837" s="503"/>
    </row>
    <row r="16838" spans="23:23">
      <c r="W16838" s="503"/>
    </row>
    <row r="16839" spans="23:23">
      <c r="W16839" s="503"/>
    </row>
    <row r="16840" spans="23:23">
      <c r="W16840" s="503"/>
    </row>
    <row r="16841" spans="23:23">
      <c r="W16841" s="503"/>
    </row>
    <row r="16842" spans="23:23">
      <c r="W16842" s="503"/>
    </row>
    <row r="16843" spans="23:23">
      <c r="W16843" s="503"/>
    </row>
    <row r="16844" spans="23:23">
      <c r="W16844" s="503"/>
    </row>
    <row r="16845" spans="23:23">
      <c r="W16845" s="503"/>
    </row>
    <row r="16846" spans="23:23">
      <c r="W16846" s="503"/>
    </row>
    <row r="16847" spans="23:23">
      <c r="W16847" s="503"/>
    </row>
    <row r="16848" spans="23:23">
      <c r="W16848" s="503"/>
    </row>
    <row r="16849" spans="23:23">
      <c r="W16849" s="503"/>
    </row>
    <row r="16850" spans="23:23">
      <c r="W16850" s="503"/>
    </row>
    <row r="16851" spans="23:23">
      <c r="W16851" s="503"/>
    </row>
    <row r="16852" spans="23:23">
      <c r="W16852" s="503"/>
    </row>
    <row r="16853" spans="23:23">
      <c r="W16853" s="503"/>
    </row>
    <row r="16854" spans="23:23">
      <c r="W16854" s="503"/>
    </row>
    <row r="16855" spans="23:23">
      <c r="W16855" s="503"/>
    </row>
    <row r="16856" spans="23:23">
      <c r="W16856" s="503"/>
    </row>
    <row r="16857" spans="23:23">
      <c r="W16857" s="503"/>
    </row>
    <row r="16858" spans="23:23">
      <c r="W16858" s="503"/>
    </row>
    <row r="16859" spans="23:23">
      <c r="W16859" s="503"/>
    </row>
    <row r="16860" spans="23:23">
      <c r="W16860" s="503"/>
    </row>
    <row r="16861" spans="23:23">
      <c r="W16861" s="503"/>
    </row>
    <row r="16862" spans="23:23">
      <c r="W16862" s="503"/>
    </row>
    <row r="16863" spans="23:23">
      <c r="W16863" s="503"/>
    </row>
    <row r="16864" spans="23:23">
      <c r="W16864" s="503"/>
    </row>
    <row r="16865" spans="23:23">
      <c r="W16865" s="503"/>
    </row>
    <row r="16866" spans="23:23">
      <c r="W16866" s="503"/>
    </row>
    <row r="16867" spans="23:23">
      <c r="W16867" s="503"/>
    </row>
    <row r="16868" spans="23:23">
      <c r="W16868" s="503"/>
    </row>
    <row r="16869" spans="23:23">
      <c r="W16869" s="503"/>
    </row>
    <row r="16870" spans="23:23">
      <c r="W16870" s="503"/>
    </row>
    <row r="16871" spans="23:23">
      <c r="W16871" s="503"/>
    </row>
    <row r="16872" spans="23:23">
      <c r="W16872" s="503"/>
    </row>
    <row r="16873" spans="23:23">
      <c r="W16873" s="503"/>
    </row>
    <row r="16874" spans="23:23">
      <c r="W16874" s="503"/>
    </row>
    <row r="16875" spans="23:23">
      <c r="W16875" s="503"/>
    </row>
    <row r="16876" spans="23:23">
      <c r="W16876" s="503"/>
    </row>
    <row r="16877" spans="23:23">
      <c r="W16877" s="503"/>
    </row>
    <row r="16878" spans="23:23">
      <c r="W16878" s="503"/>
    </row>
    <row r="16879" spans="23:23">
      <c r="W16879" s="503"/>
    </row>
    <row r="16880" spans="23:23">
      <c r="W16880" s="503"/>
    </row>
    <row r="16881" spans="23:23">
      <c r="W16881" s="503"/>
    </row>
    <row r="16882" spans="23:23">
      <c r="W16882" s="503"/>
    </row>
    <row r="16883" spans="23:23">
      <c r="W16883" s="503"/>
    </row>
    <row r="16884" spans="23:23">
      <c r="W16884" s="503"/>
    </row>
    <row r="16885" spans="23:23">
      <c r="W16885" s="503"/>
    </row>
    <row r="16886" spans="23:23">
      <c r="W16886" s="503"/>
    </row>
    <row r="16887" spans="23:23">
      <c r="W16887" s="503"/>
    </row>
    <row r="16888" spans="23:23">
      <c r="W16888" s="503"/>
    </row>
    <row r="16889" spans="23:23">
      <c r="W16889" s="503"/>
    </row>
    <row r="16890" spans="23:23">
      <c r="W16890" s="503"/>
    </row>
    <row r="16891" spans="23:23">
      <c r="W16891" s="503"/>
    </row>
    <row r="16892" spans="23:23">
      <c r="W16892" s="503"/>
    </row>
    <row r="16893" spans="23:23">
      <c r="W16893" s="503"/>
    </row>
    <row r="16894" spans="23:23">
      <c r="W16894" s="503"/>
    </row>
    <row r="16895" spans="23:23">
      <c r="W16895" s="503"/>
    </row>
    <row r="16896" spans="23:23">
      <c r="W16896" s="503"/>
    </row>
    <row r="16897" spans="23:23">
      <c r="W16897" s="503"/>
    </row>
    <row r="16898" spans="23:23">
      <c r="W16898" s="503"/>
    </row>
    <row r="16899" spans="23:23">
      <c r="W16899" s="503"/>
    </row>
    <row r="16900" spans="23:23">
      <c r="W16900" s="503"/>
    </row>
    <row r="16901" spans="23:23">
      <c r="W16901" s="503"/>
    </row>
    <row r="16902" spans="23:23">
      <c r="W16902" s="503"/>
    </row>
    <row r="16903" spans="23:23">
      <c r="W16903" s="503"/>
    </row>
    <row r="16904" spans="23:23">
      <c r="W16904" s="503"/>
    </row>
    <row r="16905" spans="23:23">
      <c r="W16905" s="503"/>
    </row>
    <row r="16906" spans="23:23">
      <c r="W16906" s="503"/>
    </row>
    <row r="16907" spans="23:23">
      <c r="W16907" s="503"/>
    </row>
    <row r="16908" spans="23:23">
      <c r="W16908" s="503"/>
    </row>
    <row r="16909" spans="23:23">
      <c r="W16909" s="503"/>
    </row>
    <row r="16910" spans="23:23">
      <c r="W16910" s="503"/>
    </row>
    <row r="16911" spans="23:23">
      <c r="W16911" s="503"/>
    </row>
    <row r="16912" spans="23:23">
      <c r="W16912" s="503"/>
    </row>
    <row r="16913" spans="23:23">
      <c r="W16913" s="503"/>
    </row>
    <row r="16914" spans="23:23">
      <c r="W16914" s="503"/>
    </row>
    <row r="16915" spans="23:23">
      <c r="W16915" s="503"/>
    </row>
    <row r="16916" spans="23:23">
      <c r="W16916" s="503"/>
    </row>
    <row r="16917" spans="23:23">
      <c r="W16917" s="503"/>
    </row>
    <row r="16918" spans="23:23">
      <c r="W16918" s="503"/>
    </row>
    <row r="16919" spans="23:23">
      <c r="W16919" s="503"/>
    </row>
    <row r="16920" spans="23:23">
      <c r="W16920" s="503"/>
    </row>
    <row r="16921" spans="23:23">
      <c r="W16921" s="503"/>
    </row>
    <row r="16922" spans="23:23">
      <c r="W16922" s="503"/>
    </row>
    <row r="16923" spans="23:23">
      <c r="W16923" s="503"/>
    </row>
    <row r="16924" spans="23:23">
      <c r="W16924" s="503"/>
    </row>
    <row r="16925" spans="23:23">
      <c r="W16925" s="503"/>
    </row>
    <row r="16926" spans="23:23">
      <c r="W16926" s="503"/>
    </row>
    <row r="16927" spans="23:23">
      <c r="W16927" s="503"/>
    </row>
    <row r="16928" spans="23:23">
      <c r="W16928" s="503"/>
    </row>
    <row r="16929" spans="23:23">
      <c r="W16929" s="503"/>
    </row>
    <row r="16930" spans="23:23">
      <c r="W16930" s="503"/>
    </row>
    <row r="16931" spans="23:23">
      <c r="W16931" s="503"/>
    </row>
    <row r="16932" spans="23:23">
      <c r="W16932" s="503"/>
    </row>
    <row r="16933" spans="23:23">
      <c r="W16933" s="503"/>
    </row>
    <row r="16934" spans="23:23">
      <c r="W16934" s="503"/>
    </row>
    <row r="16935" spans="23:23">
      <c r="W16935" s="503"/>
    </row>
    <row r="16936" spans="23:23">
      <c r="W16936" s="503"/>
    </row>
    <row r="16937" spans="23:23">
      <c r="W16937" s="503"/>
    </row>
    <row r="16938" spans="23:23">
      <c r="W16938" s="503"/>
    </row>
    <row r="16939" spans="23:23">
      <c r="W16939" s="503"/>
    </row>
    <row r="16940" spans="23:23">
      <c r="W16940" s="503"/>
    </row>
    <row r="16941" spans="23:23">
      <c r="W16941" s="503"/>
    </row>
    <row r="16942" spans="23:23">
      <c r="W16942" s="503"/>
    </row>
    <row r="16943" spans="23:23">
      <c r="W16943" s="503"/>
    </row>
    <row r="16944" spans="23:23">
      <c r="W16944" s="503"/>
    </row>
    <row r="16945" spans="23:23">
      <c r="W16945" s="503"/>
    </row>
    <row r="16946" spans="23:23">
      <c r="W16946" s="503"/>
    </row>
    <row r="16947" spans="23:23">
      <c r="W16947" s="503"/>
    </row>
    <row r="16948" spans="23:23">
      <c r="W16948" s="503"/>
    </row>
    <row r="16949" spans="23:23">
      <c r="W16949" s="503"/>
    </row>
    <row r="16950" spans="23:23">
      <c r="W16950" s="503"/>
    </row>
    <row r="16951" spans="23:23">
      <c r="W16951" s="503"/>
    </row>
    <row r="16952" spans="23:23">
      <c r="W16952" s="503"/>
    </row>
    <row r="16953" spans="23:23">
      <c r="W16953" s="503"/>
    </row>
    <row r="16954" spans="23:23">
      <c r="W16954" s="503"/>
    </row>
    <row r="16955" spans="23:23">
      <c r="W16955" s="503"/>
    </row>
    <row r="16956" spans="23:23">
      <c r="W16956" s="503"/>
    </row>
    <row r="16957" spans="23:23">
      <c r="W16957" s="503"/>
    </row>
    <row r="16958" spans="23:23">
      <c r="W16958" s="503"/>
    </row>
    <row r="16959" spans="23:23">
      <c r="W16959" s="503"/>
    </row>
    <row r="16960" spans="23:23">
      <c r="W16960" s="503"/>
    </row>
    <row r="16961" spans="23:23">
      <c r="W16961" s="503"/>
    </row>
    <row r="16962" spans="23:23">
      <c r="W16962" s="503"/>
    </row>
    <row r="16963" spans="23:23">
      <c r="W16963" s="503"/>
    </row>
    <row r="16964" spans="23:23">
      <c r="W16964" s="503"/>
    </row>
    <row r="16965" spans="23:23">
      <c r="W16965" s="503"/>
    </row>
    <row r="16966" spans="23:23">
      <c r="W16966" s="503"/>
    </row>
    <row r="16967" spans="23:23">
      <c r="W16967" s="503"/>
    </row>
    <row r="16968" spans="23:23">
      <c r="W16968" s="503"/>
    </row>
    <row r="16969" spans="23:23">
      <c r="W16969" s="503"/>
    </row>
    <row r="16970" spans="23:23">
      <c r="W16970" s="503"/>
    </row>
    <row r="16971" spans="23:23">
      <c r="W16971" s="503"/>
    </row>
    <row r="16972" spans="23:23">
      <c r="W16972" s="503"/>
    </row>
    <row r="16973" spans="23:23">
      <c r="W16973" s="503"/>
    </row>
    <row r="16974" spans="23:23">
      <c r="W16974" s="503"/>
    </row>
    <row r="16975" spans="23:23">
      <c r="W16975" s="503"/>
    </row>
    <row r="16976" spans="23:23">
      <c r="W16976" s="503"/>
    </row>
    <row r="16977" spans="23:23">
      <c r="W16977" s="503"/>
    </row>
    <row r="16978" spans="23:23">
      <c r="W16978" s="503"/>
    </row>
    <row r="16979" spans="23:23">
      <c r="W16979" s="503"/>
    </row>
    <row r="16980" spans="23:23">
      <c r="W16980" s="503"/>
    </row>
    <row r="16981" spans="23:23">
      <c r="W16981" s="503"/>
    </row>
    <row r="16982" spans="23:23">
      <c r="W16982" s="503"/>
    </row>
    <row r="16983" spans="23:23">
      <c r="W16983" s="503"/>
    </row>
    <row r="16984" spans="23:23">
      <c r="W16984" s="503"/>
    </row>
    <row r="16985" spans="23:23">
      <c r="W16985" s="503"/>
    </row>
    <row r="16986" spans="23:23">
      <c r="W16986" s="503"/>
    </row>
    <row r="16987" spans="23:23">
      <c r="W16987" s="503"/>
    </row>
    <row r="16988" spans="23:23">
      <c r="W16988" s="503"/>
    </row>
    <row r="16989" spans="23:23">
      <c r="W16989" s="503"/>
    </row>
    <row r="16990" spans="23:23">
      <c r="W16990" s="503"/>
    </row>
    <row r="16991" spans="23:23">
      <c r="W16991" s="503"/>
    </row>
    <row r="16992" spans="23:23">
      <c r="W16992" s="503"/>
    </row>
    <row r="16993" spans="23:23">
      <c r="W16993" s="503"/>
    </row>
    <row r="16994" spans="23:23">
      <c r="W16994" s="503"/>
    </row>
    <row r="16995" spans="23:23">
      <c r="W16995" s="503"/>
    </row>
    <row r="16996" spans="23:23">
      <c r="W16996" s="503"/>
    </row>
    <row r="16997" spans="23:23">
      <c r="W16997" s="503"/>
    </row>
    <row r="16998" spans="23:23">
      <c r="W16998" s="503"/>
    </row>
    <row r="16999" spans="23:23">
      <c r="W16999" s="503"/>
    </row>
    <row r="17000" spans="23:23">
      <c r="W17000" s="503"/>
    </row>
    <row r="17001" spans="23:23">
      <c r="W17001" s="503"/>
    </row>
    <row r="17002" spans="23:23">
      <c r="W17002" s="503"/>
    </row>
    <row r="17003" spans="23:23">
      <c r="W17003" s="503"/>
    </row>
    <row r="17004" spans="23:23">
      <c r="W17004" s="503"/>
    </row>
    <row r="17005" spans="23:23">
      <c r="W17005" s="503"/>
    </row>
    <row r="17006" spans="23:23">
      <c r="W17006" s="503"/>
    </row>
    <row r="17007" spans="23:23">
      <c r="W17007" s="503"/>
    </row>
    <row r="17008" spans="23:23">
      <c r="W17008" s="503"/>
    </row>
    <row r="17009" spans="23:23">
      <c r="W17009" s="503"/>
    </row>
    <row r="17010" spans="23:23">
      <c r="W17010" s="503"/>
    </row>
    <row r="17011" spans="23:23">
      <c r="W17011" s="503"/>
    </row>
    <row r="17012" spans="23:23">
      <c r="W17012" s="503"/>
    </row>
    <row r="17013" spans="23:23">
      <c r="W17013" s="503"/>
    </row>
    <row r="17014" spans="23:23">
      <c r="W17014" s="503"/>
    </row>
    <row r="17015" spans="23:23">
      <c r="W17015" s="503"/>
    </row>
    <row r="17016" spans="23:23">
      <c r="W17016" s="503"/>
    </row>
    <row r="17017" spans="23:23">
      <c r="W17017" s="503"/>
    </row>
    <row r="17018" spans="23:23">
      <c r="W17018" s="503"/>
    </row>
    <row r="17019" spans="23:23">
      <c r="W17019" s="503"/>
    </row>
    <row r="17020" spans="23:23">
      <c r="W17020" s="503"/>
    </row>
    <row r="17021" spans="23:23">
      <c r="W17021" s="503"/>
    </row>
    <row r="17022" spans="23:23">
      <c r="W17022" s="503"/>
    </row>
    <row r="17023" spans="23:23">
      <c r="W17023" s="503"/>
    </row>
    <row r="17024" spans="23:23">
      <c r="W17024" s="503"/>
    </row>
    <row r="17025" spans="23:23">
      <c r="W17025" s="503"/>
    </row>
    <row r="17026" spans="23:23">
      <c r="W17026" s="503"/>
    </row>
    <row r="17027" spans="23:23">
      <c r="W17027" s="503"/>
    </row>
    <row r="17028" spans="23:23">
      <c r="W17028" s="503"/>
    </row>
    <row r="17029" spans="23:23">
      <c r="W17029" s="503"/>
    </row>
    <row r="17030" spans="23:23">
      <c r="W17030" s="503"/>
    </row>
    <row r="17031" spans="23:23">
      <c r="W17031" s="503"/>
    </row>
    <row r="17032" spans="23:23">
      <c r="W17032" s="503"/>
    </row>
    <row r="17033" spans="23:23">
      <c r="W17033" s="503"/>
    </row>
    <row r="17034" spans="23:23">
      <c r="W17034" s="503"/>
    </row>
    <row r="17035" spans="23:23">
      <c r="W17035" s="503"/>
    </row>
    <row r="17036" spans="23:23">
      <c r="W17036" s="503"/>
    </row>
    <row r="17037" spans="23:23">
      <c r="W17037" s="503"/>
    </row>
    <row r="17038" spans="23:23">
      <c r="W17038" s="503"/>
    </row>
    <row r="17039" spans="23:23">
      <c r="W17039" s="503"/>
    </row>
    <row r="17040" spans="23:23">
      <c r="W17040" s="503"/>
    </row>
    <row r="17041" spans="23:23">
      <c r="W17041" s="503"/>
    </row>
    <row r="17042" spans="23:23">
      <c r="W17042" s="503"/>
    </row>
    <row r="17043" spans="23:23">
      <c r="W17043" s="503"/>
    </row>
    <row r="17044" spans="23:23">
      <c r="W17044" s="503"/>
    </row>
    <row r="17045" spans="23:23">
      <c r="W17045" s="503"/>
    </row>
    <row r="17046" spans="23:23">
      <c r="W17046" s="503"/>
    </row>
    <row r="17047" spans="23:23">
      <c r="W17047" s="503"/>
    </row>
    <row r="17048" spans="23:23">
      <c r="W17048" s="503"/>
    </row>
    <row r="17049" spans="23:23">
      <c r="W17049" s="503"/>
    </row>
    <row r="17050" spans="23:23">
      <c r="W17050" s="503"/>
    </row>
    <row r="17051" spans="23:23">
      <c r="W17051" s="503"/>
    </row>
    <row r="17052" spans="23:23">
      <c r="W17052" s="503"/>
    </row>
    <row r="17053" spans="23:23">
      <c r="W17053" s="503"/>
    </row>
    <row r="17054" spans="23:23">
      <c r="W17054" s="503"/>
    </row>
    <row r="17055" spans="23:23">
      <c r="W17055" s="503"/>
    </row>
    <row r="17056" spans="23:23">
      <c r="W17056" s="503"/>
    </row>
    <row r="17057" spans="23:23">
      <c r="W17057" s="503"/>
    </row>
    <row r="17058" spans="23:23">
      <c r="W17058" s="503"/>
    </row>
    <row r="17059" spans="23:23">
      <c r="W17059" s="503"/>
    </row>
    <row r="17060" spans="23:23">
      <c r="W17060" s="503"/>
    </row>
    <row r="17061" spans="23:23">
      <c r="W17061" s="503"/>
    </row>
    <row r="17062" spans="23:23">
      <c r="W17062" s="503"/>
    </row>
    <row r="17063" spans="23:23">
      <c r="W17063" s="503"/>
    </row>
    <row r="17064" spans="23:23">
      <c r="W17064" s="503"/>
    </row>
    <row r="17065" spans="23:23">
      <c r="W17065" s="503"/>
    </row>
    <row r="17066" spans="23:23">
      <c r="W17066" s="503"/>
    </row>
    <row r="17067" spans="23:23">
      <c r="W17067" s="503"/>
    </row>
    <row r="17068" spans="23:23">
      <c r="W17068" s="503"/>
    </row>
    <row r="17069" spans="23:23">
      <c r="W17069" s="503"/>
    </row>
    <row r="17070" spans="23:23">
      <c r="W17070" s="503"/>
    </row>
    <row r="17071" spans="23:23">
      <c r="W17071" s="503"/>
    </row>
    <row r="17072" spans="23:23">
      <c r="W17072" s="503"/>
    </row>
    <row r="17073" spans="23:23">
      <c r="W17073" s="503"/>
    </row>
    <row r="17074" spans="23:23">
      <c r="W17074" s="503"/>
    </row>
    <row r="17075" spans="23:23">
      <c r="W17075" s="503"/>
    </row>
    <row r="17076" spans="23:23">
      <c r="W17076" s="503"/>
    </row>
    <row r="17077" spans="23:23">
      <c r="W17077" s="503"/>
    </row>
    <row r="17078" spans="23:23">
      <c r="W17078" s="503"/>
    </row>
    <row r="17079" spans="23:23">
      <c r="W17079" s="503"/>
    </row>
    <row r="17080" spans="23:23">
      <c r="W17080" s="503"/>
    </row>
    <row r="17081" spans="23:23">
      <c r="W17081" s="503"/>
    </row>
    <row r="17082" spans="23:23">
      <c r="W17082" s="503"/>
    </row>
    <row r="17083" spans="23:23">
      <c r="W17083" s="503"/>
    </row>
    <row r="17084" spans="23:23">
      <c r="W17084" s="503"/>
    </row>
    <row r="17085" spans="23:23">
      <c r="W17085" s="503"/>
    </row>
    <row r="17086" spans="23:23">
      <c r="W17086" s="503"/>
    </row>
    <row r="17087" spans="23:23">
      <c r="W17087" s="503"/>
    </row>
    <row r="17088" spans="23:23">
      <c r="W17088" s="503"/>
    </row>
    <row r="17089" spans="23:23">
      <c r="W17089" s="503"/>
    </row>
    <row r="17090" spans="23:23">
      <c r="W17090" s="503"/>
    </row>
    <row r="17091" spans="23:23">
      <c r="W17091" s="503"/>
    </row>
    <row r="17092" spans="23:23">
      <c r="W17092" s="503"/>
    </row>
    <row r="17093" spans="23:23">
      <c r="W17093" s="503"/>
    </row>
    <row r="17094" spans="23:23">
      <c r="W17094" s="503"/>
    </row>
    <row r="17095" spans="23:23">
      <c r="W17095" s="503"/>
    </row>
    <row r="17096" spans="23:23">
      <c r="W17096" s="503"/>
    </row>
    <row r="17097" spans="23:23">
      <c r="W17097" s="503"/>
    </row>
    <row r="17098" spans="23:23">
      <c r="W17098" s="503"/>
    </row>
    <row r="17099" spans="23:23">
      <c r="W17099" s="503"/>
    </row>
    <row r="17100" spans="23:23">
      <c r="W17100" s="503"/>
    </row>
    <row r="17101" spans="23:23">
      <c r="W17101" s="503"/>
    </row>
    <row r="17102" spans="23:23">
      <c r="W17102" s="503"/>
    </row>
    <row r="17103" spans="23:23">
      <c r="W17103" s="503"/>
    </row>
    <row r="17104" spans="23:23">
      <c r="W17104" s="503"/>
    </row>
    <row r="17105" spans="23:23">
      <c r="W17105" s="503"/>
    </row>
    <row r="17106" spans="23:23">
      <c r="W17106" s="503"/>
    </row>
    <row r="17107" spans="23:23">
      <c r="W17107" s="503"/>
    </row>
    <row r="17108" spans="23:23">
      <c r="W17108" s="503"/>
    </row>
    <row r="17109" spans="23:23">
      <c r="W17109" s="503"/>
    </row>
    <row r="17110" spans="23:23">
      <c r="W17110" s="503"/>
    </row>
    <row r="17111" spans="23:23">
      <c r="W17111" s="503"/>
    </row>
    <row r="17112" spans="23:23">
      <c r="W17112" s="503"/>
    </row>
    <row r="17113" spans="23:23">
      <c r="W17113" s="503"/>
    </row>
    <row r="17114" spans="23:23">
      <c r="W17114" s="503"/>
    </row>
    <row r="17115" spans="23:23">
      <c r="W17115" s="503"/>
    </row>
    <row r="17116" spans="23:23">
      <c r="W17116" s="503"/>
    </row>
    <row r="17117" spans="23:23">
      <c r="W17117" s="503"/>
    </row>
    <row r="17118" spans="23:23">
      <c r="W17118" s="503"/>
    </row>
    <row r="17119" spans="23:23">
      <c r="W17119" s="503"/>
    </row>
    <row r="17120" spans="23:23">
      <c r="W17120" s="503"/>
    </row>
    <row r="17121" spans="23:23">
      <c r="W17121" s="503"/>
    </row>
    <row r="17122" spans="23:23">
      <c r="W17122" s="503"/>
    </row>
    <row r="17123" spans="23:23">
      <c r="W17123" s="503"/>
    </row>
    <row r="17124" spans="23:23">
      <c r="W17124" s="503"/>
    </row>
    <row r="17125" spans="23:23">
      <c r="W17125" s="503"/>
    </row>
    <row r="17126" spans="23:23">
      <c r="W17126" s="503"/>
    </row>
    <row r="17127" spans="23:23">
      <c r="W17127" s="503"/>
    </row>
    <row r="17128" spans="23:23">
      <c r="W17128" s="503"/>
    </row>
    <row r="17129" spans="23:23">
      <c r="W17129" s="503"/>
    </row>
    <row r="17130" spans="23:23">
      <c r="W17130" s="503"/>
    </row>
    <row r="17131" spans="23:23">
      <c r="W17131" s="503"/>
    </row>
    <row r="17132" spans="23:23">
      <c r="W17132" s="503"/>
    </row>
    <row r="17133" spans="23:23">
      <c r="W17133" s="503"/>
    </row>
    <row r="17134" spans="23:23">
      <c r="W17134" s="503"/>
    </row>
    <row r="17135" spans="23:23">
      <c r="W17135" s="503"/>
    </row>
    <row r="17136" spans="23:23">
      <c r="W17136" s="503"/>
    </row>
    <row r="17137" spans="23:23">
      <c r="W17137" s="503"/>
    </row>
    <row r="17138" spans="23:23">
      <c r="W17138" s="503"/>
    </row>
    <row r="17139" spans="23:23">
      <c r="W17139" s="503"/>
    </row>
    <row r="17140" spans="23:23">
      <c r="W17140" s="503"/>
    </row>
    <row r="17141" spans="23:23">
      <c r="W17141" s="503"/>
    </row>
    <row r="17142" spans="23:23">
      <c r="W17142" s="503"/>
    </row>
    <row r="17143" spans="23:23">
      <c r="W17143" s="503"/>
    </row>
    <row r="17144" spans="23:23">
      <c r="W17144" s="503"/>
    </row>
    <row r="17145" spans="23:23">
      <c r="W17145" s="503"/>
    </row>
    <row r="17146" spans="23:23">
      <c r="W17146" s="503"/>
    </row>
    <row r="17147" spans="23:23">
      <c r="W17147" s="503"/>
    </row>
    <row r="17148" spans="23:23">
      <c r="W17148" s="503"/>
    </row>
    <row r="17149" spans="23:23">
      <c r="W17149" s="503"/>
    </row>
    <row r="17150" spans="23:23">
      <c r="W17150" s="503"/>
    </row>
    <row r="17151" spans="23:23">
      <c r="W17151" s="503"/>
    </row>
    <row r="17152" spans="23:23">
      <c r="W17152" s="503"/>
    </row>
    <row r="17153" spans="23:23">
      <c r="W17153" s="503"/>
    </row>
    <row r="17154" spans="23:23">
      <c r="W17154" s="503"/>
    </row>
    <row r="17155" spans="23:23">
      <c r="W17155" s="503"/>
    </row>
    <row r="17156" spans="23:23">
      <c r="W17156" s="503"/>
    </row>
    <row r="17157" spans="23:23">
      <c r="W17157" s="503"/>
    </row>
    <row r="17158" spans="23:23">
      <c r="W17158" s="503"/>
    </row>
    <row r="17159" spans="23:23">
      <c r="W17159" s="503"/>
    </row>
    <row r="17160" spans="23:23">
      <c r="W17160" s="503"/>
    </row>
    <row r="17161" spans="23:23">
      <c r="W17161" s="503"/>
    </row>
    <row r="17162" spans="23:23">
      <c r="W17162" s="503"/>
    </row>
    <row r="17163" spans="23:23">
      <c r="W17163" s="503"/>
    </row>
    <row r="17164" spans="23:23">
      <c r="W17164" s="503"/>
    </row>
    <row r="17165" spans="23:23">
      <c r="W17165" s="503"/>
    </row>
    <row r="17166" spans="23:23">
      <c r="W17166" s="503"/>
    </row>
    <row r="17167" spans="23:23">
      <c r="W17167" s="503"/>
    </row>
    <row r="17168" spans="23:23">
      <c r="W17168" s="503"/>
    </row>
    <row r="17169" spans="23:23">
      <c r="W17169" s="503"/>
    </row>
    <row r="17170" spans="23:23">
      <c r="W17170" s="503"/>
    </row>
    <row r="17171" spans="23:23">
      <c r="W17171" s="503"/>
    </row>
    <row r="17172" spans="23:23">
      <c r="W17172" s="503"/>
    </row>
    <row r="17173" spans="23:23">
      <c r="W17173" s="503"/>
    </row>
    <row r="17174" spans="23:23">
      <c r="W17174" s="503"/>
    </row>
    <row r="17175" spans="23:23">
      <c r="W17175" s="503"/>
    </row>
    <row r="17176" spans="23:23">
      <c r="W17176" s="503"/>
    </row>
    <row r="17177" spans="23:23">
      <c r="W17177" s="503"/>
    </row>
    <row r="17178" spans="23:23">
      <c r="W17178" s="503"/>
    </row>
    <row r="17179" spans="23:23">
      <c r="W17179" s="503"/>
    </row>
    <row r="17180" spans="23:23">
      <c r="W17180" s="503"/>
    </row>
    <row r="17181" spans="23:23">
      <c r="W17181" s="503"/>
    </row>
    <row r="17182" spans="23:23">
      <c r="W17182" s="503"/>
    </row>
    <row r="17183" spans="23:23">
      <c r="W17183" s="503"/>
    </row>
    <row r="17184" spans="23:23">
      <c r="W17184" s="503"/>
    </row>
    <row r="17185" spans="23:23">
      <c r="W17185" s="503"/>
    </row>
    <row r="17186" spans="23:23">
      <c r="W17186" s="503"/>
    </row>
    <row r="17187" spans="23:23">
      <c r="W17187" s="503"/>
    </row>
    <row r="17188" spans="23:23">
      <c r="W17188" s="503"/>
    </row>
    <row r="17189" spans="23:23">
      <c r="W17189" s="503"/>
    </row>
    <row r="17190" spans="23:23">
      <c r="W17190" s="503"/>
    </row>
    <row r="17191" spans="23:23">
      <c r="W17191" s="503"/>
    </row>
    <row r="17192" spans="23:23">
      <c r="W17192" s="503"/>
    </row>
    <row r="17193" spans="23:23">
      <c r="W17193" s="503"/>
    </row>
    <row r="17194" spans="23:23">
      <c r="W17194" s="503"/>
    </row>
    <row r="17195" spans="23:23">
      <c r="W17195" s="503"/>
    </row>
    <row r="17196" spans="23:23">
      <c r="W17196" s="503"/>
    </row>
    <row r="17197" spans="23:23">
      <c r="W17197" s="503"/>
    </row>
    <row r="17198" spans="23:23">
      <c r="W17198" s="503"/>
    </row>
    <row r="17199" spans="23:23">
      <c r="W17199" s="503"/>
    </row>
    <row r="17200" spans="23:23">
      <c r="W17200" s="503"/>
    </row>
    <row r="17201" spans="23:23">
      <c r="W17201" s="503"/>
    </row>
    <row r="17202" spans="23:23">
      <c r="W17202" s="503"/>
    </row>
    <row r="17203" spans="23:23">
      <c r="W17203" s="503"/>
    </row>
    <row r="17204" spans="23:23">
      <c r="W17204" s="503"/>
    </row>
    <row r="17205" spans="23:23">
      <c r="W17205" s="503"/>
    </row>
    <row r="17206" spans="23:23">
      <c r="W17206" s="503"/>
    </row>
    <row r="17207" spans="23:23">
      <c r="W17207" s="503"/>
    </row>
    <row r="17208" spans="23:23">
      <c r="W17208" s="503"/>
    </row>
    <row r="17209" spans="23:23">
      <c r="W17209" s="503"/>
    </row>
    <row r="17210" spans="23:23">
      <c r="W17210" s="503"/>
    </row>
    <row r="17211" spans="23:23">
      <c r="W17211" s="503"/>
    </row>
    <row r="17212" spans="23:23">
      <c r="W17212" s="503"/>
    </row>
    <row r="17213" spans="23:23">
      <c r="W17213" s="503"/>
    </row>
    <row r="17214" spans="23:23">
      <c r="W17214" s="503"/>
    </row>
    <row r="17215" spans="23:23">
      <c r="W17215" s="503"/>
    </row>
    <row r="17216" spans="23:23">
      <c r="W17216" s="503"/>
    </row>
    <row r="17217" spans="23:23">
      <c r="W17217" s="503"/>
    </row>
    <row r="17218" spans="23:23">
      <c r="W17218" s="503"/>
    </row>
    <row r="17219" spans="23:23">
      <c r="W17219" s="503"/>
    </row>
    <row r="17220" spans="23:23">
      <c r="W17220" s="503"/>
    </row>
    <row r="17221" spans="23:23">
      <c r="W17221" s="503"/>
    </row>
    <row r="17222" spans="23:23">
      <c r="W17222" s="503"/>
    </row>
    <row r="17223" spans="23:23">
      <c r="W17223" s="503"/>
    </row>
    <row r="17224" spans="23:23">
      <c r="W17224" s="503"/>
    </row>
    <row r="17225" spans="23:23">
      <c r="W17225" s="503"/>
    </row>
    <row r="17226" spans="23:23">
      <c r="W17226" s="503"/>
    </row>
    <row r="17227" spans="23:23">
      <c r="W17227" s="503"/>
    </row>
    <row r="17228" spans="23:23">
      <c r="W17228" s="503"/>
    </row>
    <row r="17229" spans="23:23">
      <c r="W17229" s="503"/>
    </row>
    <row r="17230" spans="23:23">
      <c r="W17230" s="503"/>
    </row>
    <row r="17231" spans="23:23">
      <c r="W17231" s="503"/>
    </row>
    <row r="17232" spans="23:23">
      <c r="W17232" s="503"/>
    </row>
    <row r="17233" spans="23:23">
      <c r="W17233" s="503"/>
    </row>
    <row r="17234" spans="23:23">
      <c r="W17234" s="503"/>
    </row>
    <row r="17235" spans="23:23">
      <c r="W17235" s="503"/>
    </row>
    <row r="17236" spans="23:23">
      <c r="W17236" s="503"/>
    </row>
    <row r="17237" spans="23:23">
      <c r="W17237" s="503"/>
    </row>
    <row r="17238" spans="23:23">
      <c r="W17238" s="503"/>
    </row>
    <row r="17239" spans="23:23">
      <c r="W17239" s="503"/>
    </row>
    <row r="17240" spans="23:23">
      <c r="W17240" s="503"/>
    </row>
    <row r="17241" spans="23:23">
      <c r="W17241" s="503"/>
    </row>
    <row r="17242" spans="23:23">
      <c r="W17242" s="503"/>
    </row>
    <row r="17243" spans="23:23">
      <c r="W17243" s="503"/>
    </row>
    <row r="17244" spans="23:23">
      <c r="W17244" s="503"/>
    </row>
    <row r="17245" spans="23:23">
      <c r="W17245" s="503"/>
    </row>
    <row r="17246" spans="23:23">
      <c r="W17246" s="503"/>
    </row>
    <row r="17247" spans="23:23">
      <c r="W17247" s="503"/>
    </row>
    <row r="17248" spans="23:23">
      <c r="W17248" s="503"/>
    </row>
    <row r="17249" spans="23:23">
      <c r="W17249" s="503"/>
    </row>
    <row r="17250" spans="23:23">
      <c r="W17250" s="503"/>
    </row>
    <row r="17251" spans="23:23">
      <c r="W17251" s="503"/>
    </row>
    <row r="17252" spans="23:23">
      <c r="W17252" s="503"/>
    </row>
    <row r="17253" spans="23:23">
      <c r="W17253" s="503"/>
    </row>
    <row r="17254" spans="23:23">
      <c r="W17254" s="503"/>
    </row>
    <row r="17255" spans="23:23">
      <c r="W17255" s="503"/>
    </row>
    <row r="17256" spans="23:23">
      <c r="W17256" s="503"/>
    </row>
    <row r="17257" spans="23:23">
      <c r="W17257" s="503"/>
    </row>
    <row r="17258" spans="23:23">
      <c r="W17258" s="503"/>
    </row>
    <row r="17259" spans="23:23">
      <c r="W17259" s="503"/>
    </row>
    <row r="17260" spans="23:23">
      <c r="W17260" s="503"/>
    </row>
    <row r="17261" spans="23:23">
      <c r="W17261" s="503"/>
    </row>
    <row r="17262" spans="23:23">
      <c r="W17262" s="503"/>
    </row>
    <row r="17263" spans="23:23">
      <c r="W17263" s="503"/>
    </row>
    <row r="17264" spans="23:23">
      <c r="W17264" s="503"/>
    </row>
    <row r="17265" spans="23:23">
      <c r="W17265" s="503"/>
    </row>
    <row r="17266" spans="23:23">
      <c r="W17266" s="503"/>
    </row>
    <row r="17267" spans="23:23">
      <c r="W17267" s="503"/>
    </row>
    <row r="17268" spans="23:23">
      <c r="W17268" s="503"/>
    </row>
    <row r="17269" spans="23:23">
      <c r="W17269" s="503"/>
    </row>
    <row r="17270" spans="23:23">
      <c r="W17270" s="503"/>
    </row>
    <row r="17271" spans="23:23">
      <c r="W17271" s="503"/>
    </row>
    <row r="17272" spans="23:23">
      <c r="W17272" s="503"/>
    </row>
    <row r="17273" spans="23:23">
      <c r="W17273" s="503"/>
    </row>
    <row r="17274" spans="23:23">
      <c r="W17274" s="503"/>
    </row>
    <row r="17275" spans="23:23">
      <c r="W17275" s="503"/>
    </row>
    <row r="17276" spans="23:23">
      <c r="W17276" s="503"/>
    </row>
    <row r="17277" spans="23:23">
      <c r="W17277" s="503"/>
    </row>
    <row r="17278" spans="23:23">
      <c r="W17278" s="503"/>
    </row>
    <row r="17279" spans="23:23">
      <c r="W17279" s="503"/>
    </row>
    <row r="17280" spans="23:23">
      <c r="W17280" s="503"/>
    </row>
    <row r="17281" spans="23:23">
      <c r="W17281" s="503"/>
    </row>
    <row r="17282" spans="23:23">
      <c r="W17282" s="503"/>
    </row>
    <row r="17283" spans="23:23">
      <c r="W17283" s="503"/>
    </row>
    <row r="17284" spans="23:23">
      <c r="W17284" s="503"/>
    </row>
    <row r="17285" spans="23:23">
      <c r="W17285" s="503"/>
    </row>
    <row r="17286" spans="23:23">
      <c r="W17286" s="503"/>
    </row>
    <row r="17287" spans="23:23">
      <c r="W17287" s="503"/>
    </row>
    <row r="17288" spans="23:23">
      <c r="W17288" s="503"/>
    </row>
    <row r="17289" spans="23:23">
      <c r="W17289" s="503"/>
    </row>
    <row r="17290" spans="23:23">
      <c r="W17290" s="503"/>
    </row>
    <row r="17291" spans="23:23">
      <c r="W17291" s="503"/>
    </row>
    <row r="17292" spans="23:23">
      <c r="W17292" s="503"/>
    </row>
    <row r="17293" spans="23:23">
      <c r="W17293" s="503"/>
    </row>
    <row r="17294" spans="23:23">
      <c r="W17294" s="503"/>
    </row>
    <row r="17295" spans="23:23">
      <c r="W17295" s="503"/>
    </row>
    <row r="17296" spans="23:23">
      <c r="W17296" s="503"/>
    </row>
    <row r="17297" spans="23:23">
      <c r="W17297" s="503"/>
    </row>
    <row r="17298" spans="23:23">
      <c r="W17298" s="503"/>
    </row>
    <row r="17299" spans="23:23">
      <c r="W17299" s="503"/>
    </row>
    <row r="17300" spans="23:23">
      <c r="W17300" s="503"/>
    </row>
    <row r="17301" spans="23:23">
      <c r="W17301" s="503"/>
    </row>
    <row r="17302" spans="23:23">
      <c r="W17302" s="503"/>
    </row>
    <row r="17303" spans="23:23">
      <c r="W17303" s="503"/>
    </row>
    <row r="17304" spans="23:23">
      <c r="W17304" s="503"/>
    </row>
    <row r="17305" spans="23:23">
      <c r="W17305" s="503"/>
    </row>
    <row r="17306" spans="23:23">
      <c r="W17306" s="503"/>
    </row>
    <row r="17307" spans="23:23">
      <c r="W17307" s="503"/>
    </row>
    <row r="17308" spans="23:23">
      <c r="W17308" s="503"/>
    </row>
    <row r="17309" spans="23:23">
      <c r="W17309" s="503"/>
    </row>
    <row r="17310" spans="23:23">
      <c r="W17310" s="503"/>
    </row>
    <row r="17311" spans="23:23">
      <c r="W17311" s="503"/>
    </row>
    <row r="17312" spans="23:23">
      <c r="W17312" s="503"/>
    </row>
    <row r="17313" spans="23:23">
      <c r="W17313" s="503"/>
    </row>
    <row r="17314" spans="23:23">
      <c r="W17314" s="503"/>
    </row>
    <row r="17315" spans="23:23">
      <c r="W17315" s="503"/>
    </row>
    <row r="17316" spans="23:23">
      <c r="W17316" s="503"/>
    </row>
    <row r="17317" spans="23:23">
      <c r="W17317" s="503"/>
    </row>
    <row r="17318" spans="23:23">
      <c r="W17318" s="503"/>
    </row>
    <row r="17319" spans="23:23">
      <c r="W17319" s="503"/>
    </row>
    <row r="17320" spans="23:23">
      <c r="W17320" s="503"/>
    </row>
    <row r="17321" spans="23:23">
      <c r="W17321" s="503"/>
    </row>
    <row r="17322" spans="23:23">
      <c r="W17322" s="503"/>
    </row>
    <row r="17323" spans="23:23">
      <c r="W17323" s="503"/>
    </row>
    <row r="17324" spans="23:23">
      <c r="W17324" s="503"/>
    </row>
    <row r="17325" spans="23:23">
      <c r="W17325" s="503"/>
    </row>
    <row r="17326" spans="23:23">
      <c r="W17326" s="503"/>
    </row>
    <row r="17327" spans="23:23">
      <c r="W17327" s="503"/>
    </row>
    <row r="17328" spans="23:23">
      <c r="W17328" s="503"/>
    </row>
    <row r="17329" spans="23:23">
      <c r="W17329" s="503"/>
    </row>
    <row r="17330" spans="23:23">
      <c r="W17330" s="503"/>
    </row>
    <row r="17331" spans="23:23">
      <c r="W17331" s="503"/>
    </row>
    <row r="17332" spans="23:23">
      <c r="W17332" s="503"/>
    </row>
    <row r="17333" spans="23:23">
      <c r="W17333" s="503"/>
    </row>
    <row r="17334" spans="23:23">
      <c r="W17334" s="503"/>
    </row>
    <row r="17335" spans="23:23">
      <c r="W17335" s="503"/>
    </row>
    <row r="17336" spans="23:23">
      <c r="W17336" s="503"/>
    </row>
    <row r="17337" spans="23:23">
      <c r="W17337" s="503"/>
    </row>
    <row r="17338" spans="23:23">
      <c r="W17338" s="503"/>
    </row>
    <row r="17339" spans="23:23">
      <c r="W17339" s="503"/>
    </row>
    <row r="17340" spans="23:23">
      <c r="W17340" s="503"/>
    </row>
    <row r="17341" spans="23:23">
      <c r="W17341" s="503"/>
    </row>
    <row r="17342" spans="23:23">
      <c r="W17342" s="503"/>
    </row>
    <row r="17343" spans="23:23">
      <c r="W17343" s="503"/>
    </row>
    <row r="17344" spans="23:23">
      <c r="W17344" s="503"/>
    </row>
    <row r="17345" spans="23:23">
      <c r="W17345" s="503"/>
    </row>
    <row r="17346" spans="23:23">
      <c r="W17346" s="503"/>
    </row>
    <row r="17347" spans="23:23">
      <c r="W17347" s="503"/>
    </row>
    <row r="17348" spans="23:23">
      <c r="W17348" s="503"/>
    </row>
    <row r="17349" spans="23:23">
      <c r="W17349" s="503"/>
    </row>
    <row r="17350" spans="23:23">
      <c r="W17350" s="503"/>
    </row>
    <row r="17351" spans="23:23">
      <c r="W17351" s="503"/>
    </row>
    <row r="17352" spans="23:23">
      <c r="W17352" s="503"/>
    </row>
    <row r="17353" spans="23:23">
      <c r="W17353" s="503"/>
    </row>
    <row r="17354" spans="23:23">
      <c r="W17354" s="503"/>
    </row>
    <row r="17355" spans="23:23">
      <c r="W17355" s="503"/>
    </row>
    <row r="17356" spans="23:23">
      <c r="W17356" s="503"/>
    </row>
    <row r="17357" spans="23:23">
      <c r="W17357" s="503"/>
    </row>
    <row r="17358" spans="23:23">
      <c r="W17358" s="503"/>
    </row>
    <row r="17359" spans="23:23">
      <c r="W17359" s="503"/>
    </row>
    <row r="17360" spans="23:23">
      <c r="W17360" s="503"/>
    </row>
    <row r="17361" spans="23:23">
      <c r="W17361" s="503"/>
    </row>
    <row r="17362" spans="23:23">
      <c r="W17362" s="503"/>
    </row>
    <row r="17363" spans="23:23">
      <c r="W17363" s="503"/>
    </row>
    <row r="17364" spans="23:23">
      <c r="W17364" s="503"/>
    </row>
    <row r="17365" spans="23:23">
      <c r="W17365" s="503"/>
    </row>
    <row r="17366" spans="23:23">
      <c r="W17366" s="503"/>
    </row>
    <row r="17367" spans="23:23">
      <c r="W17367" s="503"/>
    </row>
    <row r="17368" spans="23:23">
      <c r="W17368" s="503"/>
    </row>
    <row r="17369" spans="23:23">
      <c r="W17369" s="503"/>
    </row>
    <row r="17370" spans="23:23">
      <c r="W17370" s="503"/>
    </row>
    <row r="17371" spans="23:23">
      <c r="W17371" s="503"/>
    </row>
    <row r="17372" spans="23:23">
      <c r="W17372" s="503"/>
    </row>
    <row r="17373" spans="23:23">
      <c r="W17373" s="503"/>
    </row>
    <row r="17374" spans="23:23">
      <c r="W17374" s="503"/>
    </row>
    <row r="17375" spans="23:23">
      <c r="W17375" s="503"/>
    </row>
    <row r="17376" spans="23:23">
      <c r="W17376" s="503"/>
    </row>
    <row r="17377" spans="23:23">
      <c r="W17377" s="503"/>
    </row>
    <row r="17378" spans="23:23">
      <c r="W17378" s="503"/>
    </row>
    <row r="17379" spans="23:23">
      <c r="W17379" s="503"/>
    </row>
    <row r="17380" spans="23:23">
      <c r="W17380" s="503"/>
    </row>
    <row r="17381" spans="23:23">
      <c r="W17381" s="503"/>
    </row>
    <row r="17382" spans="23:23">
      <c r="W17382" s="503"/>
    </row>
    <row r="17383" spans="23:23">
      <c r="W17383" s="503"/>
    </row>
    <row r="17384" spans="23:23">
      <c r="W17384" s="503"/>
    </row>
    <row r="17385" spans="23:23">
      <c r="W17385" s="503"/>
    </row>
    <row r="17386" spans="23:23">
      <c r="W17386" s="503"/>
    </row>
    <row r="17387" spans="23:23">
      <c r="W17387" s="503"/>
    </row>
    <row r="17388" spans="23:23">
      <c r="W17388" s="503"/>
    </row>
    <row r="17389" spans="23:23">
      <c r="W17389" s="503"/>
    </row>
    <row r="17390" spans="23:23">
      <c r="W17390" s="503"/>
    </row>
    <row r="17391" spans="23:23">
      <c r="W17391" s="503"/>
    </row>
    <row r="17392" spans="23:23">
      <c r="W17392" s="503"/>
    </row>
    <row r="17393" spans="23:23">
      <c r="W17393" s="503"/>
    </row>
    <row r="17394" spans="23:23">
      <c r="W17394" s="503"/>
    </row>
    <row r="17395" spans="23:23">
      <c r="W17395" s="503"/>
    </row>
    <row r="17396" spans="23:23">
      <c r="W17396" s="503"/>
    </row>
    <row r="17397" spans="23:23">
      <c r="W17397" s="503"/>
    </row>
    <row r="17398" spans="23:23">
      <c r="W17398" s="503"/>
    </row>
    <row r="17399" spans="23:23">
      <c r="W17399" s="503"/>
    </row>
    <row r="17400" spans="23:23">
      <c r="W17400" s="503"/>
    </row>
    <row r="17401" spans="23:23">
      <c r="W17401" s="503"/>
    </row>
    <row r="17402" spans="23:23">
      <c r="W17402" s="503"/>
    </row>
    <row r="17403" spans="23:23">
      <c r="W17403" s="503"/>
    </row>
    <row r="17404" spans="23:23">
      <c r="W17404" s="503"/>
    </row>
    <row r="17405" spans="23:23">
      <c r="W17405" s="503"/>
    </row>
    <row r="17406" spans="23:23">
      <c r="W17406" s="503"/>
    </row>
    <row r="17407" spans="23:23">
      <c r="W17407" s="503"/>
    </row>
    <row r="17408" spans="23:23">
      <c r="W17408" s="503"/>
    </row>
    <row r="17409" spans="23:23">
      <c r="W17409" s="503"/>
    </row>
    <row r="17410" spans="23:23">
      <c r="W17410" s="503"/>
    </row>
    <row r="17411" spans="23:23">
      <c r="W17411" s="503"/>
    </row>
    <row r="17412" spans="23:23">
      <c r="W17412" s="503"/>
    </row>
    <row r="17413" spans="23:23">
      <c r="W17413" s="503"/>
    </row>
    <row r="17414" spans="23:23">
      <c r="W17414" s="503"/>
    </row>
    <row r="17415" spans="23:23">
      <c r="W17415" s="503"/>
    </row>
    <row r="17416" spans="23:23">
      <c r="W17416" s="503"/>
    </row>
    <row r="17417" spans="23:23">
      <c r="W17417" s="503"/>
    </row>
    <row r="17418" spans="23:23">
      <c r="W17418" s="503"/>
    </row>
    <row r="17419" spans="23:23">
      <c r="W17419" s="503"/>
    </row>
    <row r="17420" spans="23:23">
      <c r="W17420" s="503"/>
    </row>
    <row r="17421" spans="23:23">
      <c r="W17421" s="503"/>
    </row>
    <row r="17422" spans="23:23">
      <c r="W17422" s="503"/>
    </row>
    <row r="17423" spans="23:23">
      <c r="W17423" s="503"/>
    </row>
    <row r="17424" spans="23:23">
      <c r="W17424" s="503"/>
    </row>
    <row r="17425" spans="23:23">
      <c r="W17425" s="503"/>
    </row>
    <row r="17426" spans="23:23">
      <c r="W17426" s="503"/>
    </row>
    <row r="17427" spans="23:23">
      <c r="W17427" s="503"/>
    </row>
    <row r="17428" spans="23:23">
      <c r="W17428" s="503"/>
    </row>
    <row r="17429" spans="23:23">
      <c r="W17429" s="503"/>
    </row>
    <row r="17430" spans="23:23">
      <c r="W17430" s="503"/>
    </row>
    <row r="17431" spans="23:23">
      <c r="W17431" s="503"/>
    </row>
    <row r="17432" spans="23:23">
      <c r="W17432" s="503"/>
    </row>
    <row r="17433" spans="23:23">
      <c r="W17433" s="503"/>
    </row>
    <row r="17434" spans="23:23">
      <c r="W17434" s="503"/>
    </row>
    <row r="17435" spans="23:23">
      <c r="W17435" s="503"/>
    </row>
    <row r="17436" spans="23:23">
      <c r="W17436" s="503"/>
    </row>
    <row r="17437" spans="23:23">
      <c r="W17437" s="503"/>
    </row>
    <row r="17438" spans="23:23">
      <c r="W17438" s="503"/>
    </row>
    <row r="17439" spans="23:23">
      <c r="W17439" s="503"/>
    </row>
    <row r="17440" spans="23:23">
      <c r="W17440" s="503"/>
    </row>
    <row r="17441" spans="23:23">
      <c r="W17441" s="503"/>
    </row>
    <row r="17442" spans="23:23">
      <c r="W17442" s="503"/>
    </row>
    <row r="17443" spans="23:23">
      <c r="W17443" s="503"/>
    </row>
    <row r="17444" spans="23:23">
      <c r="W17444" s="503"/>
    </row>
    <row r="17445" spans="23:23">
      <c r="W17445" s="503"/>
    </row>
    <row r="17446" spans="23:23">
      <c r="W17446" s="503"/>
    </row>
    <row r="17447" spans="23:23">
      <c r="W17447" s="503"/>
    </row>
    <row r="17448" spans="23:23">
      <c r="W17448" s="503"/>
    </row>
    <row r="17449" spans="23:23">
      <c r="W17449" s="503"/>
    </row>
    <row r="17450" spans="23:23">
      <c r="W17450" s="503"/>
    </row>
    <row r="17451" spans="23:23">
      <c r="W17451" s="503"/>
    </row>
    <row r="17452" spans="23:23">
      <c r="W17452" s="503"/>
    </row>
    <row r="17453" spans="23:23">
      <c r="W17453" s="503"/>
    </row>
    <row r="17454" spans="23:23">
      <c r="W17454" s="503"/>
    </row>
    <row r="17455" spans="23:23">
      <c r="W17455" s="503"/>
    </row>
    <row r="17456" spans="23:23">
      <c r="W17456" s="503"/>
    </row>
    <row r="17457" spans="23:23">
      <c r="W17457" s="503"/>
    </row>
    <row r="17458" spans="23:23">
      <c r="W17458" s="503"/>
    </row>
    <row r="17459" spans="23:23">
      <c r="W17459" s="503"/>
    </row>
    <row r="17460" spans="23:23">
      <c r="W17460" s="503"/>
    </row>
    <row r="17461" spans="23:23">
      <c r="W17461" s="503"/>
    </row>
    <row r="17462" spans="23:23">
      <c r="W17462" s="503"/>
    </row>
    <row r="17463" spans="23:23">
      <c r="W17463" s="503"/>
    </row>
    <row r="17464" spans="23:23">
      <c r="W17464" s="503"/>
    </row>
    <row r="17465" spans="23:23">
      <c r="W17465" s="503"/>
    </row>
    <row r="17466" spans="23:23">
      <c r="W17466" s="503"/>
    </row>
    <row r="17467" spans="23:23">
      <c r="W17467" s="503"/>
    </row>
    <row r="17468" spans="23:23">
      <c r="W17468" s="503"/>
    </row>
    <row r="17469" spans="23:23">
      <c r="W17469" s="503"/>
    </row>
    <row r="17470" spans="23:23">
      <c r="W17470" s="503"/>
    </row>
    <row r="17471" spans="23:23">
      <c r="W17471" s="503"/>
    </row>
    <row r="17472" spans="23:23">
      <c r="W17472" s="503"/>
    </row>
    <row r="17473" spans="23:23">
      <c r="W17473" s="503"/>
    </row>
    <row r="17474" spans="23:23">
      <c r="W17474" s="503"/>
    </row>
    <row r="17475" spans="23:23">
      <c r="W17475" s="503"/>
    </row>
    <row r="17476" spans="23:23">
      <c r="W17476" s="503"/>
    </row>
    <row r="17477" spans="23:23">
      <c r="W17477" s="503"/>
    </row>
    <row r="17478" spans="23:23">
      <c r="W17478" s="503"/>
    </row>
    <row r="17479" spans="23:23">
      <c r="W17479" s="503"/>
    </row>
    <row r="17480" spans="23:23">
      <c r="W17480" s="503"/>
    </row>
    <row r="17481" spans="23:23">
      <c r="W17481" s="503"/>
    </row>
    <row r="17482" spans="23:23">
      <c r="W17482" s="503"/>
    </row>
    <row r="17483" spans="23:23">
      <c r="W17483" s="503"/>
    </row>
    <row r="17484" spans="23:23">
      <c r="W17484" s="503"/>
    </row>
    <row r="17485" spans="23:23">
      <c r="W17485" s="503"/>
    </row>
    <row r="17486" spans="23:23">
      <c r="W17486" s="503"/>
    </row>
    <row r="17487" spans="23:23">
      <c r="W17487" s="503"/>
    </row>
    <row r="17488" spans="23:23">
      <c r="W17488" s="503"/>
    </row>
    <row r="17489" spans="23:23">
      <c r="W17489" s="503"/>
    </row>
    <row r="17490" spans="23:23">
      <c r="W17490" s="503"/>
    </row>
    <row r="17491" spans="23:23">
      <c r="W17491" s="503"/>
    </row>
    <row r="17492" spans="23:23">
      <c r="W17492" s="503"/>
    </row>
    <row r="17493" spans="23:23">
      <c r="W17493" s="503"/>
    </row>
    <row r="17494" spans="23:23">
      <c r="W17494" s="503"/>
    </row>
    <row r="17495" spans="23:23">
      <c r="W17495" s="503"/>
    </row>
    <row r="17496" spans="23:23">
      <c r="W17496" s="503"/>
    </row>
    <row r="17497" spans="23:23">
      <c r="W17497" s="503"/>
    </row>
    <row r="17498" spans="23:23">
      <c r="W17498" s="503"/>
    </row>
    <row r="17499" spans="23:23">
      <c r="W17499" s="503"/>
    </row>
    <row r="17500" spans="23:23">
      <c r="W17500" s="503"/>
    </row>
    <row r="17501" spans="23:23">
      <c r="W17501" s="503"/>
    </row>
    <row r="17502" spans="23:23">
      <c r="W17502" s="503"/>
    </row>
    <row r="17503" spans="23:23">
      <c r="W17503" s="503"/>
    </row>
    <row r="17504" spans="23:23">
      <c r="W17504" s="503"/>
    </row>
    <row r="17505" spans="23:23">
      <c r="W17505" s="503"/>
    </row>
    <row r="17506" spans="23:23">
      <c r="W17506" s="503"/>
    </row>
    <row r="17507" spans="23:23">
      <c r="W17507" s="503"/>
    </row>
    <row r="17508" spans="23:23">
      <c r="W17508" s="503"/>
    </row>
    <row r="17509" spans="23:23">
      <c r="W17509" s="503"/>
    </row>
    <row r="17510" spans="23:23">
      <c r="W17510" s="503"/>
    </row>
    <row r="17511" spans="23:23">
      <c r="W17511" s="503"/>
    </row>
    <row r="17512" spans="23:23">
      <c r="W17512" s="503"/>
    </row>
    <row r="17513" spans="23:23">
      <c r="W17513" s="503"/>
    </row>
    <row r="17514" spans="23:23">
      <c r="W17514" s="503"/>
    </row>
    <row r="17515" spans="23:23">
      <c r="W17515" s="503"/>
    </row>
    <row r="17516" spans="23:23">
      <c r="W17516" s="503"/>
    </row>
    <row r="17517" spans="23:23">
      <c r="W17517" s="503"/>
    </row>
    <row r="17518" spans="23:23">
      <c r="W17518" s="503"/>
    </row>
    <row r="17519" spans="23:23">
      <c r="W17519" s="503"/>
    </row>
    <row r="17520" spans="23:23">
      <c r="W17520" s="503"/>
    </row>
    <row r="17521" spans="23:23">
      <c r="W17521" s="503"/>
    </row>
    <row r="17522" spans="23:23">
      <c r="W17522" s="503"/>
    </row>
    <row r="17523" spans="23:23">
      <c r="W17523" s="503"/>
    </row>
    <row r="17524" spans="23:23">
      <c r="W17524" s="503"/>
    </row>
    <row r="17525" spans="23:23">
      <c r="W17525" s="503"/>
    </row>
    <row r="17526" spans="23:23">
      <c r="W17526" s="503"/>
    </row>
    <row r="17527" spans="23:23">
      <c r="W17527" s="503"/>
    </row>
    <row r="17528" spans="23:23">
      <c r="W17528" s="503"/>
    </row>
    <row r="17529" spans="23:23">
      <c r="W17529" s="503"/>
    </row>
    <row r="17530" spans="23:23">
      <c r="W17530" s="503"/>
    </row>
    <row r="17531" spans="23:23">
      <c r="W17531" s="503"/>
    </row>
    <row r="17532" spans="23:23">
      <c r="W17532" s="503"/>
    </row>
    <row r="17533" spans="23:23">
      <c r="W17533" s="503"/>
    </row>
    <row r="17534" spans="23:23">
      <c r="W17534" s="503"/>
    </row>
    <row r="17535" spans="23:23">
      <c r="W17535" s="503"/>
    </row>
    <row r="17536" spans="23:23">
      <c r="W17536" s="503"/>
    </row>
    <row r="17537" spans="23:23">
      <c r="W17537" s="503"/>
    </row>
    <row r="17538" spans="23:23">
      <c r="W17538" s="503"/>
    </row>
    <row r="17539" spans="23:23">
      <c r="W17539" s="503"/>
    </row>
    <row r="17540" spans="23:23">
      <c r="W17540" s="503"/>
    </row>
    <row r="17541" spans="23:23">
      <c r="W17541" s="503"/>
    </row>
    <row r="17542" spans="23:23">
      <c r="W17542" s="503"/>
    </row>
    <row r="17543" spans="23:23">
      <c r="W17543" s="503"/>
    </row>
    <row r="17544" spans="23:23">
      <c r="W17544" s="503"/>
    </row>
    <row r="17545" spans="23:23">
      <c r="W17545" s="503"/>
    </row>
    <row r="17546" spans="23:23">
      <c r="W17546" s="503"/>
    </row>
    <row r="17547" spans="23:23">
      <c r="W17547" s="503"/>
    </row>
    <row r="17548" spans="23:23">
      <c r="W17548" s="503"/>
    </row>
    <row r="17549" spans="23:23">
      <c r="W17549" s="503"/>
    </row>
    <row r="17550" spans="23:23">
      <c r="W17550" s="503"/>
    </row>
    <row r="17551" spans="23:23">
      <c r="W17551" s="503"/>
    </row>
    <row r="17552" spans="23:23">
      <c r="W17552" s="503"/>
    </row>
    <row r="17553" spans="23:23">
      <c r="W17553" s="503"/>
    </row>
    <row r="17554" spans="23:23">
      <c r="W17554" s="503"/>
    </row>
    <row r="17555" spans="23:23">
      <c r="W17555" s="503"/>
    </row>
    <row r="17556" spans="23:23">
      <c r="W17556" s="503"/>
    </row>
    <row r="17557" spans="23:23">
      <c r="W17557" s="503"/>
    </row>
    <row r="17558" spans="23:23">
      <c r="W17558" s="503"/>
    </row>
    <row r="17559" spans="23:23">
      <c r="W17559" s="503"/>
    </row>
    <row r="17560" spans="23:23">
      <c r="W17560" s="503"/>
    </row>
    <row r="17561" spans="23:23">
      <c r="W17561" s="503"/>
    </row>
    <row r="17562" spans="23:23">
      <c r="W17562" s="503"/>
    </row>
    <row r="17563" spans="23:23">
      <c r="W17563" s="503"/>
    </row>
    <row r="17564" spans="23:23">
      <c r="W17564" s="503"/>
    </row>
    <row r="17565" spans="23:23">
      <c r="W17565" s="503"/>
    </row>
    <row r="17566" spans="23:23">
      <c r="W17566" s="503"/>
    </row>
    <row r="17567" spans="23:23">
      <c r="W17567" s="503"/>
    </row>
    <row r="17568" spans="23:23">
      <c r="W17568" s="503"/>
    </row>
    <row r="17569" spans="23:23">
      <c r="W17569" s="503"/>
    </row>
    <row r="17570" spans="23:23">
      <c r="W17570" s="503"/>
    </row>
    <row r="17571" spans="23:23">
      <c r="W17571" s="503"/>
    </row>
    <row r="17572" spans="23:23">
      <c r="W17572" s="503"/>
    </row>
    <row r="17573" spans="23:23">
      <c r="W17573" s="503"/>
    </row>
    <row r="17574" spans="23:23">
      <c r="W17574" s="503"/>
    </row>
    <row r="17575" spans="23:23">
      <c r="W17575" s="503"/>
    </row>
    <row r="17576" spans="23:23">
      <c r="W17576" s="503"/>
    </row>
    <row r="17577" spans="23:23">
      <c r="W17577" s="503"/>
    </row>
    <row r="17578" spans="23:23">
      <c r="W17578" s="503"/>
    </row>
    <row r="17579" spans="23:23">
      <c r="W17579" s="503"/>
    </row>
    <row r="17580" spans="23:23">
      <c r="W17580" s="503"/>
    </row>
    <row r="17581" spans="23:23">
      <c r="W17581" s="503"/>
    </row>
    <row r="17582" spans="23:23">
      <c r="W17582" s="503"/>
    </row>
    <row r="17583" spans="23:23">
      <c r="W17583" s="503"/>
    </row>
    <row r="17584" spans="23:23">
      <c r="W17584" s="503"/>
    </row>
    <row r="17585" spans="23:23">
      <c r="W17585" s="503"/>
    </row>
    <row r="17586" spans="23:23">
      <c r="W17586" s="503"/>
    </row>
    <row r="17587" spans="23:23">
      <c r="W17587" s="503"/>
    </row>
    <row r="17588" spans="23:23">
      <c r="W17588" s="503"/>
    </row>
    <row r="17589" spans="23:23">
      <c r="W17589" s="503"/>
    </row>
    <row r="17590" spans="23:23">
      <c r="W17590" s="503"/>
    </row>
    <row r="17591" spans="23:23">
      <c r="W17591" s="503"/>
    </row>
    <row r="17592" spans="23:23">
      <c r="W17592" s="503"/>
    </row>
    <row r="17593" spans="23:23">
      <c r="W17593" s="503"/>
    </row>
    <row r="17594" spans="23:23">
      <c r="W17594" s="503"/>
    </row>
    <row r="17595" spans="23:23">
      <c r="W17595" s="503"/>
    </row>
    <row r="17596" spans="23:23">
      <c r="W17596" s="503"/>
    </row>
    <row r="17597" spans="23:23">
      <c r="W17597" s="503"/>
    </row>
    <row r="17598" spans="23:23">
      <c r="W17598" s="503"/>
    </row>
    <row r="17599" spans="23:23">
      <c r="W17599" s="503"/>
    </row>
    <row r="17600" spans="23:23">
      <c r="W17600" s="503"/>
    </row>
    <row r="17601" spans="23:23">
      <c r="W17601" s="503"/>
    </row>
    <row r="17602" spans="23:23">
      <c r="W17602" s="503"/>
    </row>
    <row r="17603" spans="23:23">
      <c r="W17603" s="503"/>
    </row>
    <row r="17604" spans="23:23">
      <c r="W17604" s="503"/>
    </row>
    <row r="17605" spans="23:23">
      <c r="W17605" s="503"/>
    </row>
    <row r="17606" spans="23:23">
      <c r="W17606" s="503"/>
    </row>
    <row r="17607" spans="23:23">
      <c r="W17607" s="503"/>
    </row>
    <row r="17608" spans="23:23">
      <c r="W17608" s="503"/>
    </row>
    <row r="17609" spans="23:23">
      <c r="W17609" s="503"/>
    </row>
    <row r="17610" spans="23:23">
      <c r="W17610" s="503"/>
    </row>
    <row r="17611" spans="23:23">
      <c r="W17611" s="503"/>
    </row>
    <row r="17612" spans="23:23">
      <c r="W17612" s="503"/>
    </row>
    <row r="17613" spans="23:23">
      <c r="W17613" s="503"/>
    </row>
    <row r="17614" spans="23:23">
      <c r="W17614" s="503"/>
    </row>
    <row r="17615" spans="23:23">
      <c r="W17615" s="503"/>
    </row>
    <row r="17616" spans="23:23">
      <c r="W17616" s="503"/>
    </row>
    <row r="17617" spans="23:23">
      <c r="W17617" s="503"/>
    </row>
    <row r="17618" spans="23:23">
      <c r="W17618" s="503"/>
    </row>
    <row r="17619" spans="23:23">
      <c r="W17619" s="503"/>
    </row>
    <row r="17620" spans="23:23">
      <c r="W17620" s="503"/>
    </row>
    <row r="17621" spans="23:23">
      <c r="W17621" s="503"/>
    </row>
    <row r="17622" spans="23:23">
      <c r="W17622" s="503"/>
    </row>
    <row r="17623" spans="23:23">
      <c r="W17623" s="503"/>
    </row>
    <row r="17624" spans="23:23">
      <c r="W17624" s="503"/>
    </row>
    <row r="17625" spans="23:23">
      <c r="W17625" s="503"/>
    </row>
    <row r="17626" spans="23:23">
      <c r="W17626" s="503"/>
    </row>
    <row r="17627" spans="23:23">
      <c r="W17627" s="503"/>
    </row>
    <row r="17628" spans="23:23">
      <c r="W17628" s="503"/>
    </row>
    <row r="17629" spans="23:23">
      <c r="W17629" s="503"/>
    </row>
    <row r="17630" spans="23:23">
      <c r="W17630" s="503"/>
    </row>
    <row r="17631" spans="23:23">
      <c r="W17631" s="503"/>
    </row>
    <row r="17632" spans="23:23">
      <c r="W17632" s="503"/>
    </row>
    <row r="17633" spans="23:23">
      <c r="W17633" s="503"/>
    </row>
    <row r="17634" spans="23:23">
      <c r="W17634" s="503"/>
    </row>
    <row r="17635" spans="23:23">
      <c r="W17635" s="503"/>
    </row>
    <row r="17636" spans="23:23">
      <c r="W17636" s="503"/>
    </row>
    <row r="17637" spans="23:23">
      <c r="W17637" s="503"/>
    </row>
    <row r="17638" spans="23:23">
      <c r="W17638" s="503"/>
    </row>
    <row r="17639" spans="23:23">
      <c r="W17639" s="503"/>
    </row>
    <row r="17640" spans="23:23">
      <c r="W17640" s="503"/>
    </row>
    <row r="17641" spans="23:23">
      <c r="W17641" s="503"/>
    </row>
    <row r="17642" spans="23:23">
      <c r="W17642" s="503"/>
    </row>
    <row r="17643" spans="23:23">
      <c r="W17643" s="503"/>
    </row>
    <row r="17644" spans="23:23">
      <c r="W17644" s="503"/>
    </row>
    <row r="17645" spans="23:23">
      <c r="W17645" s="503"/>
    </row>
    <row r="17646" spans="23:23">
      <c r="W17646" s="503"/>
    </row>
    <row r="17647" spans="23:23">
      <c r="W17647" s="503"/>
    </row>
    <row r="17648" spans="23:23">
      <c r="W17648" s="503"/>
    </row>
    <row r="17649" spans="23:23">
      <c r="W17649" s="503"/>
    </row>
    <row r="17650" spans="23:23">
      <c r="W17650" s="503"/>
    </row>
    <row r="17651" spans="23:23">
      <c r="W17651" s="503"/>
    </row>
    <row r="17652" spans="23:23">
      <c r="W17652" s="503"/>
    </row>
    <row r="17653" spans="23:23">
      <c r="W17653" s="503"/>
    </row>
    <row r="17654" spans="23:23">
      <c r="W17654" s="503"/>
    </row>
    <row r="17655" spans="23:23">
      <c r="W17655" s="503"/>
    </row>
    <row r="17656" spans="23:23">
      <c r="W17656" s="503"/>
    </row>
    <row r="17657" spans="23:23">
      <c r="W17657" s="503"/>
    </row>
    <row r="17658" spans="23:23">
      <c r="W17658" s="503"/>
    </row>
    <row r="17659" spans="23:23">
      <c r="W17659" s="503"/>
    </row>
    <row r="17660" spans="23:23">
      <c r="W17660" s="503"/>
    </row>
    <row r="17661" spans="23:23">
      <c r="W17661" s="503"/>
    </row>
    <row r="17662" spans="23:23">
      <c r="W17662" s="503"/>
    </row>
    <row r="17663" spans="23:23">
      <c r="W17663" s="503"/>
    </row>
    <row r="17664" spans="23:23">
      <c r="W17664" s="503"/>
    </row>
    <row r="17665" spans="23:23">
      <c r="W17665" s="503"/>
    </row>
    <row r="17666" spans="23:23">
      <c r="W17666" s="503"/>
    </row>
    <row r="17667" spans="23:23">
      <c r="W17667" s="503"/>
    </row>
    <row r="17668" spans="23:23">
      <c r="W17668" s="503"/>
    </row>
    <row r="17669" spans="23:23">
      <c r="W17669" s="503"/>
    </row>
    <row r="17670" spans="23:23">
      <c r="W17670" s="503"/>
    </row>
    <row r="17671" spans="23:23">
      <c r="W17671" s="503"/>
    </row>
    <row r="17672" spans="23:23">
      <c r="W17672" s="503"/>
    </row>
    <row r="17673" spans="23:23">
      <c r="W17673" s="503"/>
    </row>
    <row r="17674" spans="23:23">
      <c r="W17674" s="503"/>
    </row>
    <row r="17675" spans="23:23">
      <c r="W17675" s="503"/>
    </row>
    <row r="17676" spans="23:23">
      <c r="W17676" s="503"/>
    </row>
    <row r="17677" spans="23:23">
      <c r="W17677" s="503"/>
    </row>
    <row r="17678" spans="23:23">
      <c r="W17678" s="503"/>
    </row>
    <row r="17679" spans="23:23">
      <c r="W17679" s="503"/>
    </row>
    <row r="17680" spans="23:23">
      <c r="W17680" s="503"/>
    </row>
    <row r="17681" spans="23:23">
      <c r="W17681" s="503"/>
    </row>
    <row r="17682" spans="23:23">
      <c r="W17682" s="503"/>
    </row>
    <row r="17683" spans="23:23">
      <c r="W17683" s="503"/>
    </row>
    <row r="17684" spans="23:23">
      <c r="W17684" s="503"/>
    </row>
    <row r="17685" spans="23:23">
      <c r="W17685" s="503"/>
    </row>
    <row r="17686" spans="23:23">
      <c r="W17686" s="503"/>
    </row>
    <row r="17687" spans="23:23">
      <c r="W17687" s="503"/>
    </row>
    <row r="17688" spans="23:23">
      <c r="W17688" s="503"/>
    </row>
    <row r="17689" spans="23:23">
      <c r="W17689" s="503"/>
    </row>
    <row r="17690" spans="23:23">
      <c r="W17690" s="503"/>
    </row>
    <row r="17691" spans="23:23">
      <c r="W17691" s="503"/>
    </row>
    <row r="17692" spans="23:23">
      <c r="W17692" s="503"/>
    </row>
    <row r="17693" spans="23:23">
      <c r="W17693" s="503"/>
    </row>
    <row r="17694" spans="23:23">
      <c r="W17694" s="503"/>
    </row>
    <row r="17695" spans="23:23">
      <c r="W17695" s="503"/>
    </row>
    <row r="17696" spans="23:23">
      <c r="W17696" s="503"/>
    </row>
    <row r="17697" spans="23:23">
      <c r="W17697" s="503"/>
    </row>
    <row r="17698" spans="23:23">
      <c r="W17698" s="503"/>
    </row>
    <row r="17699" spans="23:23">
      <c r="W17699" s="503"/>
    </row>
    <row r="17700" spans="23:23">
      <c r="W17700" s="503"/>
    </row>
    <row r="17701" spans="23:23">
      <c r="W17701" s="503"/>
    </row>
    <row r="17702" spans="23:23">
      <c r="W17702" s="503"/>
    </row>
    <row r="17703" spans="23:23">
      <c r="W17703" s="503"/>
    </row>
    <row r="17704" spans="23:23">
      <c r="W17704" s="503"/>
    </row>
    <row r="17705" spans="23:23">
      <c r="W17705" s="503"/>
    </row>
    <row r="17706" spans="23:23">
      <c r="W17706" s="503"/>
    </row>
    <row r="17707" spans="23:23">
      <c r="W17707" s="503"/>
    </row>
    <row r="17708" spans="23:23">
      <c r="W17708" s="503"/>
    </row>
    <row r="17709" spans="23:23">
      <c r="W17709" s="503"/>
    </row>
    <row r="17710" spans="23:23">
      <c r="W17710" s="503"/>
    </row>
    <row r="17711" spans="23:23">
      <c r="W17711" s="503"/>
    </row>
    <row r="17712" spans="23:23">
      <c r="W17712" s="503"/>
    </row>
    <row r="17713" spans="23:23">
      <c r="W17713" s="503"/>
    </row>
    <row r="17714" spans="23:23">
      <c r="W17714" s="503"/>
    </row>
    <row r="17715" spans="23:23">
      <c r="W17715" s="503"/>
    </row>
    <row r="17716" spans="23:23">
      <c r="W17716" s="503"/>
    </row>
    <row r="17717" spans="23:23">
      <c r="W17717" s="503"/>
    </row>
    <row r="17718" spans="23:23">
      <c r="W17718" s="503"/>
    </row>
    <row r="17719" spans="23:23">
      <c r="W17719" s="503"/>
    </row>
    <row r="17720" spans="23:23">
      <c r="W17720" s="503"/>
    </row>
    <row r="17721" spans="23:23">
      <c r="W17721" s="503"/>
    </row>
    <row r="17722" spans="23:23">
      <c r="W17722" s="503"/>
    </row>
    <row r="17723" spans="23:23">
      <c r="W17723" s="503"/>
    </row>
    <row r="17724" spans="23:23">
      <c r="W17724" s="503"/>
    </row>
    <row r="17725" spans="23:23">
      <c r="W17725" s="503"/>
    </row>
    <row r="17726" spans="23:23">
      <c r="W17726" s="503"/>
    </row>
    <row r="17727" spans="23:23">
      <c r="W17727" s="503"/>
    </row>
    <row r="17728" spans="23:23">
      <c r="W17728" s="503"/>
    </row>
    <row r="17729" spans="23:23">
      <c r="W17729" s="503"/>
    </row>
    <row r="17730" spans="23:23">
      <c r="W17730" s="503"/>
    </row>
    <row r="17731" spans="23:23">
      <c r="W17731" s="503"/>
    </row>
    <row r="17732" spans="23:23">
      <c r="W17732" s="503"/>
    </row>
    <row r="17733" spans="23:23">
      <c r="W17733" s="503"/>
    </row>
    <row r="17734" spans="23:23">
      <c r="W17734" s="503"/>
    </row>
    <row r="17735" spans="23:23">
      <c r="W17735" s="503"/>
    </row>
    <row r="17736" spans="23:23">
      <c r="W17736" s="503"/>
    </row>
    <row r="17737" spans="23:23">
      <c r="W17737" s="503"/>
    </row>
    <row r="17738" spans="23:23">
      <c r="W17738" s="503"/>
    </row>
    <row r="17739" spans="23:23">
      <c r="W17739" s="503"/>
    </row>
    <row r="17740" spans="23:23">
      <c r="W17740" s="503"/>
    </row>
    <row r="17741" spans="23:23">
      <c r="W17741" s="503"/>
    </row>
    <row r="17742" spans="23:23">
      <c r="W17742" s="503"/>
    </row>
    <row r="17743" spans="23:23">
      <c r="W17743" s="503"/>
    </row>
    <row r="17744" spans="23:23">
      <c r="W17744" s="503"/>
    </row>
    <row r="17745" spans="23:23">
      <c r="W17745" s="503"/>
    </row>
    <row r="17746" spans="23:23">
      <c r="W17746" s="503"/>
    </row>
    <row r="17747" spans="23:23">
      <c r="W17747" s="503"/>
    </row>
    <row r="17748" spans="23:23">
      <c r="W17748" s="503"/>
    </row>
    <row r="17749" spans="23:23">
      <c r="W17749" s="503"/>
    </row>
    <row r="17750" spans="23:23">
      <c r="W17750" s="503"/>
    </row>
    <row r="17751" spans="23:23">
      <c r="W17751" s="503"/>
    </row>
    <row r="17752" spans="23:23">
      <c r="W17752" s="503"/>
    </row>
    <row r="17753" spans="23:23">
      <c r="W17753" s="503"/>
    </row>
    <row r="17754" spans="23:23">
      <c r="W17754" s="503"/>
    </row>
    <row r="17755" spans="23:23">
      <c r="W17755" s="503"/>
    </row>
    <row r="17756" spans="23:23">
      <c r="W17756" s="503"/>
    </row>
    <row r="17757" spans="23:23">
      <c r="W17757" s="503"/>
    </row>
    <row r="17758" spans="23:23">
      <c r="W17758" s="503"/>
    </row>
    <row r="17759" spans="23:23">
      <c r="W17759" s="503"/>
    </row>
    <row r="17760" spans="23:23">
      <c r="W17760" s="503"/>
    </row>
    <row r="17761" spans="23:23">
      <c r="W17761" s="503"/>
    </row>
    <row r="17762" spans="23:23">
      <c r="W17762" s="503"/>
    </row>
    <row r="17763" spans="23:23">
      <c r="W17763" s="503"/>
    </row>
    <row r="17764" spans="23:23">
      <c r="W17764" s="503"/>
    </row>
    <row r="17765" spans="23:23">
      <c r="W17765" s="503"/>
    </row>
    <row r="17766" spans="23:23">
      <c r="W17766" s="503"/>
    </row>
    <row r="17767" spans="23:23">
      <c r="W17767" s="503"/>
    </row>
    <row r="17768" spans="23:23">
      <c r="W17768" s="503"/>
    </row>
    <row r="17769" spans="23:23">
      <c r="W17769" s="503"/>
    </row>
    <row r="17770" spans="23:23">
      <c r="W17770" s="503"/>
    </row>
    <row r="17771" spans="23:23">
      <c r="W17771" s="503"/>
    </row>
    <row r="17772" spans="23:23">
      <c r="W17772" s="503"/>
    </row>
    <row r="17773" spans="23:23">
      <c r="W17773" s="503"/>
    </row>
    <row r="17774" spans="23:23">
      <c r="W17774" s="503"/>
    </row>
    <row r="17775" spans="23:23">
      <c r="W17775" s="503"/>
    </row>
    <row r="17776" spans="23:23">
      <c r="W17776" s="503"/>
    </row>
    <row r="17777" spans="23:23">
      <c r="W17777" s="503"/>
    </row>
    <row r="17778" spans="23:23">
      <c r="W17778" s="503"/>
    </row>
    <row r="17779" spans="23:23">
      <c r="W17779" s="503"/>
    </row>
    <row r="17780" spans="23:23">
      <c r="W17780" s="503"/>
    </row>
    <row r="17781" spans="23:23">
      <c r="W17781" s="503"/>
    </row>
    <row r="17782" spans="23:23">
      <c r="W17782" s="503"/>
    </row>
    <row r="17783" spans="23:23">
      <c r="W17783" s="503"/>
    </row>
    <row r="17784" spans="23:23">
      <c r="W17784" s="503"/>
    </row>
    <row r="17785" spans="23:23">
      <c r="W17785" s="503"/>
    </row>
    <row r="17786" spans="23:23">
      <c r="W17786" s="503"/>
    </row>
    <row r="17787" spans="23:23">
      <c r="W17787" s="503"/>
    </row>
    <row r="17788" spans="23:23">
      <c r="W17788" s="503"/>
    </row>
    <row r="17789" spans="23:23">
      <c r="W17789" s="503"/>
    </row>
    <row r="17790" spans="23:23">
      <c r="W17790" s="503"/>
    </row>
    <row r="17791" spans="23:23">
      <c r="W17791" s="503"/>
    </row>
    <row r="17792" spans="23:23">
      <c r="W17792" s="503"/>
    </row>
    <row r="17793" spans="23:23">
      <c r="W17793" s="503"/>
    </row>
    <row r="17794" spans="23:23">
      <c r="W17794" s="503"/>
    </row>
    <row r="17795" spans="23:23">
      <c r="W17795" s="503"/>
    </row>
    <row r="17796" spans="23:23">
      <c r="W17796" s="503"/>
    </row>
    <row r="17797" spans="23:23">
      <c r="W17797" s="503"/>
    </row>
    <row r="17798" spans="23:23">
      <c r="W17798" s="503"/>
    </row>
    <row r="17799" spans="23:23">
      <c r="W17799" s="503"/>
    </row>
    <row r="17800" spans="23:23">
      <c r="W17800" s="503"/>
    </row>
    <row r="17801" spans="23:23">
      <c r="W17801" s="503"/>
    </row>
    <row r="17802" spans="23:23">
      <c r="W17802" s="503"/>
    </row>
    <row r="17803" spans="23:23">
      <c r="W17803" s="503"/>
    </row>
    <row r="17804" spans="23:23">
      <c r="W17804" s="503"/>
    </row>
    <row r="17805" spans="23:23">
      <c r="W17805" s="503"/>
    </row>
    <row r="17806" spans="23:23">
      <c r="W17806" s="503"/>
    </row>
    <row r="17807" spans="23:23">
      <c r="W17807" s="503"/>
    </row>
    <row r="17808" spans="23:23">
      <c r="W17808" s="503"/>
    </row>
    <row r="17809" spans="23:23">
      <c r="W17809" s="503"/>
    </row>
    <row r="17810" spans="23:23">
      <c r="W17810" s="503"/>
    </row>
    <row r="17811" spans="23:23">
      <c r="W17811" s="503"/>
    </row>
    <row r="17812" spans="23:23">
      <c r="W17812" s="503"/>
    </row>
    <row r="17813" spans="23:23">
      <c r="W17813" s="503"/>
    </row>
    <row r="17814" spans="23:23">
      <c r="W17814" s="503"/>
    </row>
    <row r="17815" spans="23:23">
      <c r="W17815" s="503"/>
    </row>
    <row r="17816" spans="23:23">
      <c r="W17816" s="503"/>
    </row>
    <row r="17817" spans="23:23">
      <c r="W17817" s="503"/>
    </row>
    <row r="17818" spans="23:23">
      <c r="W17818" s="503"/>
    </row>
    <row r="17819" spans="23:23">
      <c r="W17819" s="503"/>
    </row>
    <row r="17820" spans="23:23">
      <c r="W17820" s="503"/>
    </row>
    <row r="17821" spans="23:23">
      <c r="W17821" s="503"/>
    </row>
    <row r="17822" spans="23:23">
      <c r="W17822" s="503"/>
    </row>
    <row r="17823" spans="23:23">
      <c r="W17823" s="503"/>
    </row>
    <row r="17824" spans="23:23">
      <c r="W17824" s="503"/>
    </row>
    <row r="17825" spans="23:23">
      <c r="W17825" s="503"/>
    </row>
    <row r="17826" spans="23:23">
      <c r="W17826" s="503"/>
    </row>
    <row r="17827" spans="23:23">
      <c r="W17827" s="503"/>
    </row>
    <row r="17828" spans="23:23">
      <c r="W17828" s="503"/>
    </row>
    <row r="17829" spans="23:23">
      <c r="W17829" s="503"/>
    </row>
    <row r="17830" spans="23:23">
      <c r="W17830" s="503"/>
    </row>
    <row r="17831" spans="23:23">
      <c r="W17831" s="503"/>
    </row>
    <row r="17832" spans="23:23">
      <c r="W17832" s="503"/>
    </row>
    <row r="17833" spans="23:23">
      <c r="W17833" s="503"/>
    </row>
    <row r="17834" spans="23:23">
      <c r="W17834" s="503"/>
    </row>
    <row r="17835" spans="23:23">
      <c r="W17835" s="503"/>
    </row>
    <row r="17836" spans="23:23">
      <c r="W17836" s="503"/>
    </row>
    <row r="17837" spans="23:23">
      <c r="W17837" s="503"/>
    </row>
    <row r="17838" spans="23:23">
      <c r="W17838" s="503"/>
    </row>
    <row r="17839" spans="23:23">
      <c r="W17839" s="503"/>
    </row>
    <row r="17840" spans="23:23">
      <c r="W17840" s="503"/>
    </row>
    <row r="17841" spans="23:23">
      <c r="W17841" s="503"/>
    </row>
    <row r="17842" spans="23:23">
      <c r="W17842" s="503"/>
    </row>
    <row r="17843" spans="23:23">
      <c r="W17843" s="503"/>
    </row>
    <row r="17844" spans="23:23">
      <c r="W17844" s="503"/>
    </row>
    <row r="17845" spans="23:23">
      <c r="W17845" s="503"/>
    </row>
    <row r="17846" spans="23:23">
      <c r="W17846" s="503"/>
    </row>
    <row r="17847" spans="23:23">
      <c r="W17847" s="503"/>
    </row>
    <row r="17848" spans="23:23">
      <c r="W17848" s="503"/>
    </row>
    <row r="17849" spans="23:23">
      <c r="W17849" s="503"/>
    </row>
    <row r="17850" spans="23:23">
      <c r="W17850" s="503"/>
    </row>
    <row r="17851" spans="23:23">
      <c r="W17851" s="503"/>
    </row>
    <row r="17852" spans="23:23">
      <c r="W17852" s="503"/>
    </row>
    <row r="17853" spans="23:23">
      <c r="W17853" s="503"/>
    </row>
    <row r="17854" spans="23:23">
      <c r="W17854" s="503"/>
    </row>
    <row r="17855" spans="23:23">
      <c r="W17855" s="503"/>
    </row>
    <row r="17856" spans="23:23">
      <c r="W17856" s="503"/>
    </row>
    <row r="17857" spans="23:23">
      <c r="W17857" s="503"/>
    </row>
    <row r="17858" spans="23:23">
      <c r="W17858" s="503"/>
    </row>
    <row r="17859" spans="23:23">
      <c r="W17859" s="503"/>
    </row>
    <row r="17860" spans="23:23">
      <c r="W17860" s="503"/>
    </row>
    <row r="17861" spans="23:23">
      <c r="W17861" s="503"/>
    </row>
    <row r="17862" spans="23:23">
      <c r="W17862" s="503"/>
    </row>
    <row r="17863" spans="23:23">
      <c r="W17863" s="503"/>
    </row>
    <row r="17864" spans="23:23">
      <c r="W17864" s="503"/>
    </row>
    <row r="17865" spans="23:23">
      <c r="W17865" s="503"/>
    </row>
    <row r="17866" spans="23:23">
      <c r="W17866" s="503"/>
    </row>
    <row r="17867" spans="23:23">
      <c r="W17867" s="503"/>
    </row>
    <row r="17868" spans="23:23">
      <c r="W17868" s="503"/>
    </row>
    <row r="17869" spans="23:23">
      <c r="W17869" s="503"/>
    </row>
    <row r="17870" spans="23:23">
      <c r="W17870" s="503"/>
    </row>
    <row r="17871" spans="23:23">
      <c r="W17871" s="503"/>
    </row>
    <row r="17872" spans="23:23">
      <c r="W17872" s="503"/>
    </row>
    <row r="17873" spans="23:23">
      <c r="W17873" s="503"/>
    </row>
    <row r="17874" spans="23:23">
      <c r="W17874" s="503"/>
    </row>
    <row r="17875" spans="23:23">
      <c r="W17875" s="503"/>
    </row>
    <row r="17876" spans="23:23">
      <c r="W17876" s="503"/>
    </row>
    <row r="17877" spans="23:23">
      <c r="W17877" s="503"/>
    </row>
    <row r="17878" spans="23:23">
      <c r="W17878" s="503"/>
    </row>
    <row r="17879" spans="23:23">
      <c r="W17879" s="503"/>
    </row>
    <row r="17880" spans="23:23">
      <c r="W17880" s="503"/>
    </row>
    <row r="17881" spans="23:23">
      <c r="W17881" s="503"/>
    </row>
    <row r="17882" spans="23:23">
      <c r="W17882" s="503"/>
    </row>
    <row r="17883" spans="23:23">
      <c r="W17883" s="503"/>
    </row>
    <row r="17884" spans="23:23">
      <c r="W17884" s="503"/>
    </row>
    <row r="17885" spans="23:23">
      <c r="W17885" s="503"/>
    </row>
    <row r="17886" spans="23:23">
      <c r="W17886" s="503"/>
    </row>
    <row r="17887" spans="23:23">
      <c r="W17887" s="503"/>
    </row>
    <row r="17888" spans="23:23">
      <c r="W17888" s="503"/>
    </row>
    <row r="17889" spans="23:23">
      <c r="W17889" s="503"/>
    </row>
    <row r="17890" spans="23:23">
      <c r="W17890" s="503"/>
    </row>
    <row r="17891" spans="23:23">
      <c r="W17891" s="503"/>
    </row>
    <row r="17892" spans="23:23">
      <c r="W17892" s="503"/>
    </row>
    <row r="17893" spans="23:23">
      <c r="W17893" s="503"/>
    </row>
    <row r="17894" spans="23:23">
      <c r="W17894" s="503"/>
    </row>
    <row r="17895" spans="23:23">
      <c r="W17895" s="503"/>
    </row>
    <row r="17896" spans="23:23">
      <c r="W17896" s="503"/>
    </row>
    <row r="17897" spans="23:23">
      <c r="W17897" s="503"/>
    </row>
    <row r="17898" spans="23:23">
      <c r="W17898" s="503"/>
    </row>
    <row r="17899" spans="23:23">
      <c r="W17899" s="503"/>
    </row>
    <row r="17900" spans="23:23">
      <c r="W17900" s="503"/>
    </row>
    <row r="17901" spans="23:23">
      <c r="W17901" s="503"/>
    </row>
    <row r="17902" spans="23:23">
      <c r="W17902" s="503"/>
    </row>
    <row r="17903" spans="23:23">
      <c r="W17903" s="503"/>
    </row>
    <row r="17904" spans="23:23">
      <c r="W17904" s="503"/>
    </row>
    <row r="17905" spans="23:23">
      <c r="W17905" s="503"/>
    </row>
    <row r="17906" spans="23:23">
      <c r="W17906" s="503"/>
    </row>
    <row r="17907" spans="23:23">
      <c r="W17907" s="503"/>
    </row>
    <row r="17908" spans="23:23">
      <c r="W17908" s="503"/>
    </row>
    <row r="17909" spans="23:23">
      <c r="W17909" s="503"/>
    </row>
    <row r="17910" spans="23:23">
      <c r="W17910" s="503"/>
    </row>
    <row r="17911" spans="23:23">
      <c r="W17911" s="503"/>
    </row>
    <row r="17912" spans="23:23">
      <c r="W17912" s="503"/>
    </row>
    <row r="17913" spans="23:23">
      <c r="W17913" s="503"/>
    </row>
    <row r="17914" spans="23:23">
      <c r="W17914" s="503"/>
    </row>
    <row r="17915" spans="23:23">
      <c r="W17915" s="503"/>
    </row>
    <row r="17916" spans="23:23">
      <c r="W17916" s="503"/>
    </row>
    <row r="17917" spans="23:23">
      <c r="W17917" s="503"/>
    </row>
    <row r="17918" spans="23:23">
      <c r="W17918" s="503"/>
    </row>
    <row r="17919" spans="23:23">
      <c r="W17919" s="503"/>
    </row>
    <row r="17920" spans="23:23">
      <c r="W17920" s="503"/>
    </row>
    <row r="17921" spans="23:23">
      <c r="W17921" s="503"/>
    </row>
    <row r="17922" spans="23:23">
      <c r="W17922" s="503"/>
    </row>
    <row r="17923" spans="23:23">
      <c r="W17923" s="503"/>
    </row>
    <row r="17924" spans="23:23">
      <c r="W17924" s="503"/>
    </row>
    <row r="17925" spans="23:23">
      <c r="W17925" s="503"/>
    </row>
    <row r="17926" spans="23:23">
      <c r="W17926" s="503"/>
    </row>
    <row r="17927" spans="23:23">
      <c r="W17927" s="503"/>
    </row>
    <row r="17928" spans="23:23">
      <c r="W17928" s="503"/>
    </row>
    <row r="17929" spans="23:23">
      <c r="W17929" s="503"/>
    </row>
    <row r="17930" spans="23:23">
      <c r="W17930" s="503"/>
    </row>
    <row r="17931" spans="23:23">
      <c r="W17931" s="503"/>
    </row>
    <row r="17932" spans="23:23">
      <c r="W17932" s="503"/>
    </row>
    <row r="17933" spans="23:23">
      <c r="W17933" s="503"/>
    </row>
    <row r="17934" spans="23:23">
      <c r="W17934" s="503"/>
    </row>
    <row r="17935" spans="23:23">
      <c r="W17935" s="503"/>
    </row>
    <row r="17936" spans="23:23">
      <c r="W17936" s="503"/>
    </row>
    <row r="17937" spans="23:23">
      <c r="W17937" s="503"/>
    </row>
    <row r="17938" spans="23:23">
      <c r="W17938" s="503"/>
    </row>
    <row r="17939" spans="23:23">
      <c r="W17939" s="503"/>
    </row>
    <row r="17940" spans="23:23">
      <c r="W17940" s="503"/>
    </row>
    <row r="17941" spans="23:23">
      <c r="W17941" s="503"/>
    </row>
    <row r="17942" spans="23:23">
      <c r="W17942" s="503"/>
    </row>
    <row r="17943" spans="23:23">
      <c r="W17943" s="503"/>
    </row>
    <row r="17944" spans="23:23">
      <c r="W17944" s="503"/>
    </row>
    <row r="17945" spans="23:23">
      <c r="W17945" s="503"/>
    </row>
    <row r="17946" spans="23:23">
      <c r="W17946" s="503"/>
    </row>
    <row r="17947" spans="23:23">
      <c r="W17947" s="503"/>
    </row>
    <row r="17948" spans="23:23">
      <c r="W17948" s="503"/>
    </row>
    <row r="17949" spans="23:23">
      <c r="W17949" s="503"/>
    </row>
    <row r="17950" spans="23:23">
      <c r="W17950" s="503"/>
    </row>
    <row r="17951" spans="23:23">
      <c r="W17951" s="503"/>
    </row>
    <row r="17952" spans="23:23">
      <c r="W17952" s="503"/>
    </row>
    <row r="17953" spans="23:23">
      <c r="W17953" s="503"/>
    </row>
    <row r="17954" spans="23:23">
      <c r="W17954" s="503"/>
    </row>
    <row r="17955" spans="23:23">
      <c r="W17955" s="503"/>
    </row>
    <row r="17956" spans="23:23">
      <c r="W17956" s="503"/>
    </row>
    <row r="17957" spans="23:23">
      <c r="W17957" s="503"/>
    </row>
    <row r="17958" spans="23:23">
      <c r="W17958" s="503"/>
    </row>
    <row r="17959" spans="23:23">
      <c r="W17959" s="503"/>
    </row>
    <row r="17960" spans="23:23">
      <c r="W17960" s="503"/>
    </row>
    <row r="17961" spans="23:23">
      <c r="W17961" s="503"/>
    </row>
    <row r="17962" spans="23:23">
      <c r="W17962" s="503"/>
    </row>
    <row r="17963" spans="23:23">
      <c r="W17963" s="503"/>
    </row>
    <row r="17964" spans="23:23">
      <c r="W17964" s="503"/>
    </row>
    <row r="17965" spans="23:23">
      <c r="W17965" s="503"/>
    </row>
    <row r="17966" spans="23:23">
      <c r="W17966" s="503"/>
    </row>
    <row r="17967" spans="23:23">
      <c r="W17967" s="503"/>
    </row>
    <row r="17968" spans="23:23">
      <c r="W17968" s="503"/>
    </row>
    <row r="17969" spans="23:23">
      <c r="W17969" s="503"/>
    </row>
    <row r="17970" spans="23:23">
      <c r="W17970" s="503"/>
    </row>
    <row r="17971" spans="23:23">
      <c r="W17971" s="503"/>
    </row>
    <row r="17972" spans="23:23">
      <c r="W17972" s="503"/>
    </row>
    <row r="17973" spans="23:23">
      <c r="W17973" s="503"/>
    </row>
    <row r="17974" spans="23:23">
      <c r="W17974" s="503"/>
    </row>
    <row r="17975" spans="23:23">
      <c r="W17975" s="503"/>
    </row>
    <row r="17976" spans="23:23">
      <c r="W17976" s="503"/>
    </row>
    <row r="17977" spans="23:23">
      <c r="W17977" s="503"/>
    </row>
    <row r="17978" spans="23:23">
      <c r="W17978" s="503"/>
    </row>
    <row r="17979" spans="23:23">
      <c r="W17979" s="503"/>
    </row>
    <row r="17980" spans="23:23">
      <c r="W17980" s="503"/>
    </row>
    <row r="17981" spans="23:23">
      <c r="W17981" s="503"/>
    </row>
    <row r="17982" spans="23:23">
      <c r="W17982" s="503"/>
    </row>
    <row r="17983" spans="23:23">
      <c r="W17983" s="503"/>
    </row>
    <row r="17984" spans="23:23">
      <c r="W17984" s="503"/>
    </row>
    <row r="17985" spans="23:23">
      <c r="W17985" s="503"/>
    </row>
    <row r="17986" spans="23:23">
      <c r="W17986" s="503"/>
    </row>
    <row r="17987" spans="23:23">
      <c r="W17987" s="503"/>
    </row>
    <row r="17988" spans="23:23">
      <c r="W17988" s="503"/>
    </row>
    <row r="17989" spans="23:23">
      <c r="W17989" s="503"/>
    </row>
    <row r="17990" spans="23:23">
      <c r="W17990" s="503"/>
    </row>
    <row r="17991" spans="23:23">
      <c r="W17991" s="503"/>
    </row>
    <row r="17992" spans="23:23">
      <c r="W17992" s="503"/>
    </row>
    <row r="17993" spans="23:23">
      <c r="W17993" s="503"/>
    </row>
    <row r="17994" spans="23:23">
      <c r="W17994" s="503"/>
    </row>
    <row r="17995" spans="23:23">
      <c r="W17995" s="503"/>
    </row>
    <row r="17996" spans="23:23">
      <c r="W17996" s="503"/>
    </row>
    <row r="17997" spans="23:23">
      <c r="W17997" s="503"/>
    </row>
    <row r="17998" spans="23:23">
      <c r="W17998" s="503"/>
    </row>
    <row r="17999" spans="23:23">
      <c r="W17999" s="503"/>
    </row>
    <row r="18000" spans="23:23">
      <c r="W18000" s="503"/>
    </row>
    <row r="18001" spans="23:23">
      <c r="W18001" s="503"/>
    </row>
    <row r="18002" spans="23:23">
      <c r="W18002" s="503"/>
    </row>
    <row r="18003" spans="23:23">
      <c r="W18003" s="503"/>
    </row>
    <row r="18004" spans="23:23">
      <c r="W18004" s="503"/>
    </row>
    <row r="18005" spans="23:23">
      <c r="W18005" s="503"/>
    </row>
    <row r="18006" spans="23:23">
      <c r="W18006" s="503"/>
    </row>
    <row r="18007" spans="23:23">
      <c r="W18007" s="503"/>
    </row>
    <row r="18008" spans="23:23">
      <c r="W18008" s="503"/>
    </row>
    <row r="18009" spans="23:23">
      <c r="W18009" s="503"/>
    </row>
    <row r="18010" spans="23:23">
      <c r="W18010" s="503"/>
    </row>
    <row r="18011" spans="23:23">
      <c r="W18011" s="503"/>
    </row>
    <row r="18012" spans="23:23">
      <c r="W18012" s="503"/>
    </row>
    <row r="18013" spans="23:23">
      <c r="W18013" s="503"/>
    </row>
    <row r="18014" spans="23:23">
      <c r="W18014" s="503"/>
    </row>
    <row r="18015" spans="23:23">
      <c r="W18015" s="503"/>
    </row>
    <row r="18016" spans="23:23">
      <c r="W18016" s="503"/>
    </row>
    <row r="18017" spans="23:23">
      <c r="W18017" s="503"/>
    </row>
    <row r="18018" spans="23:23">
      <c r="W18018" s="503"/>
    </row>
    <row r="18019" spans="23:23">
      <c r="W18019" s="503"/>
    </row>
    <row r="18020" spans="23:23">
      <c r="W18020" s="503"/>
    </row>
    <row r="18021" spans="23:23">
      <c r="W18021" s="503"/>
    </row>
    <row r="18022" spans="23:23">
      <c r="W18022" s="503"/>
    </row>
    <row r="18023" spans="23:23">
      <c r="W18023" s="503"/>
    </row>
    <row r="18024" spans="23:23">
      <c r="W18024" s="503"/>
    </row>
    <row r="18025" spans="23:23">
      <c r="W18025" s="503"/>
    </row>
    <row r="18026" spans="23:23">
      <c r="W18026" s="503"/>
    </row>
    <row r="18027" spans="23:23">
      <c r="W18027" s="503"/>
    </row>
    <row r="18028" spans="23:23">
      <c r="W18028" s="503"/>
    </row>
    <row r="18029" spans="23:23">
      <c r="W18029" s="503"/>
    </row>
    <row r="18030" spans="23:23">
      <c r="W18030" s="503"/>
    </row>
    <row r="18031" spans="23:23">
      <c r="W18031" s="503"/>
    </row>
    <row r="18032" spans="23:23">
      <c r="W18032" s="503"/>
    </row>
    <row r="18033" spans="23:23">
      <c r="W18033" s="503"/>
    </row>
    <row r="18034" spans="23:23">
      <c r="W18034" s="503"/>
    </row>
    <row r="18035" spans="23:23">
      <c r="W18035" s="503"/>
    </row>
    <row r="18036" spans="23:23">
      <c r="W18036" s="503"/>
    </row>
    <row r="18037" spans="23:23">
      <c r="W18037" s="503"/>
    </row>
    <row r="18038" spans="23:23">
      <c r="W18038" s="503"/>
    </row>
    <row r="18039" spans="23:23">
      <c r="W18039" s="503"/>
    </row>
    <row r="18040" spans="23:23">
      <c r="W18040" s="503"/>
    </row>
    <row r="18041" spans="23:23">
      <c r="W18041" s="503"/>
    </row>
    <row r="18042" spans="23:23">
      <c r="W18042" s="503"/>
    </row>
    <row r="18043" spans="23:23">
      <c r="W18043" s="503"/>
    </row>
    <row r="18044" spans="23:23">
      <c r="W18044" s="503"/>
    </row>
    <row r="18045" spans="23:23">
      <c r="W18045" s="503"/>
    </row>
    <row r="18046" spans="23:23">
      <c r="W18046" s="503"/>
    </row>
    <row r="18047" spans="23:23">
      <c r="W18047" s="503"/>
    </row>
    <row r="18048" spans="23:23">
      <c r="W18048" s="503"/>
    </row>
    <row r="18049" spans="23:23">
      <c r="W18049" s="503"/>
    </row>
    <row r="18050" spans="23:23">
      <c r="W18050" s="503"/>
    </row>
    <row r="18051" spans="23:23">
      <c r="W18051" s="503"/>
    </row>
    <row r="18052" spans="23:23">
      <c r="W18052" s="503"/>
    </row>
    <row r="18053" spans="23:23">
      <c r="W18053" s="503"/>
    </row>
    <row r="18054" spans="23:23">
      <c r="W18054" s="503"/>
    </row>
    <row r="18055" spans="23:23">
      <c r="W18055" s="503"/>
    </row>
    <row r="18056" spans="23:23">
      <c r="W18056" s="503"/>
    </row>
    <row r="18057" spans="23:23">
      <c r="W18057" s="503"/>
    </row>
    <row r="18058" spans="23:23">
      <c r="W18058" s="503"/>
    </row>
    <row r="18059" spans="23:23">
      <c r="W18059" s="503"/>
    </row>
    <row r="18060" spans="23:23">
      <c r="W18060" s="503"/>
    </row>
    <row r="18061" spans="23:23">
      <c r="W18061" s="503"/>
    </row>
    <row r="18062" spans="23:23">
      <c r="W18062" s="503"/>
    </row>
    <row r="18063" spans="23:23">
      <c r="W18063" s="503"/>
    </row>
    <row r="18064" spans="23:23">
      <c r="W18064" s="503"/>
    </row>
    <row r="18065" spans="23:23">
      <c r="W18065" s="503"/>
    </row>
    <row r="18066" spans="23:23">
      <c r="W18066" s="503"/>
    </row>
    <row r="18067" spans="23:23">
      <c r="W18067" s="503"/>
    </row>
    <row r="18068" spans="23:23">
      <c r="W18068" s="503"/>
    </row>
    <row r="18069" spans="23:23">
      <c r="W18069" s="503"/>
    </row>
    <row r="18070" spans="23:23">
      <c r="W18070" s="503"/>
    </row>
    <row r="18071" spans="23:23">
      <c r="W18071" s="503"/>
    </row>
    <row r="18072" spans="23:23">
      <c r="W18072" s="503"/>
    </row>
    <row r="18073" spans="23:23">
      <c r="W18073" s="503"/>
    </row>
    <row r="18074" spans="23:23">
      <c r="W18074" s="503"/>
    </row>
    <row r="18075" spans="23:23">
      <c r="W18075" s="503"/>
    </row>
    <row r="18076" spans="23:23">
      <c r="W18076" s="503"/>
    </row>
    <row r="18077" spans="23:23">
      <c r="W18077" s="503"/>
    </row>
    <row r="18078" spans="23:23">
      <c r="W18078" s="503"/>
    </row>
    <row r="18079" spans="23:23">
      <c r="W18079" s="503"/>
    </row>
    <row r="18080" spans="23:23">
      <c r="W18080" s="503"/>
    </row>
    <row r="18081" spans="23:23">
      <c r="W18081" s="503"/>
    </row>
    <row r="18082" spans="23:23">
      <c r="W18082" s="503"/>
    </row>
    <row r="18083" spans="23:23">
      <c r="W18083" s="503"/>
    </row>
    <row r="18084" spans="23:23">
      <c r="W18084" s="503"/>
    </row>
    <row r="18085" spans="23:23">
      <c r="W18085" s="503"/>
    </row>
    <row r="18086" spans="23:23">
      <c r="W18086" s="503"/>
    </row>
    <row r="18087" spans="23:23">
      <c r="W18087" s="503"/>
    </row>
    <row r="18088" spans="23:23">
      <c r="W18088" s="503"/>
    </row>
    <row r="18089" spans="23:23">
      <c r="W18089" s="503"/>
    </row>
    <row r="18090" spans="23:23">
      <c r="W18090" s="503"/>
    </row>
    <row r="18091" spans="23:23">
      <c r="W18091" s="503"/>
    </row>
    <row r="18092" spans="23:23">
      <c r="W18092" s="503"/>
    </row>
    <row r="18093" spans="23:23">
      <c r="W18093" s="503"/>
    </row>
    <row r="18094" spans="23:23">
      <c r="W18094" s="503"/>
    </row>
    <row r="18095" spans="23:23">
      <c r="W18095" s="503"/>
    </row>
    <row r="18096" spans="23:23">
      <c r="W18096" s="503"/>
    </row>
    <row r="18097" spans="23:23">
      <c r="W18097" s="503"/>
    </row>
    <row r="18098" spans="23:23">
      <c r="W18098" s="503"/>
    </row>
    <row r="18099" spans="23:23">
      <c r="W18099" s="503"/>
    </row>
    <row r="18100" spans="23:23">
      <c r="W18100" s="503"/>
    </row>
    <row r="18101" spans="23:23">
      <c r="W18101" s="503"/>
    </row>
    <row r="18102" spans="23:23">
      <c r="W18102" s="503"/>
    </row>
    <row r="18103" spans="23:23">
      <c r="W18103" s="503"/>
    </row>
    <row r="18104" spans="23:23">
      <c r="W18104" s="503"/>
    </row>
    <row r="18105" spans="23:23">
      <c r="W18105" s="503"/>
    </row>
    <row r="18106" spans="23:23">
      <c r="W18106" s="503"/>
    </row>
    <row r="18107" spans="23:23">
      <c r="W18107" s="503"/>
    </row>
    <row r="18108" spans="23:23">
      <c r="W18108" s="503"/>
    </row>
    <row r="18109" spans="23:23">
      <c r="W18109" s="503"/>
    </row>
    <row r="18110" spans="23:23">
      <c r="W18110" s="503"/>
    </row>
    <row r="18111" spans="23:23">
      <c r="W18111" s="503"/>
    </row>
    <row r="18112" spans="23:23">
      <c r="W18112" s="503"/>
    </row>
    <row r="18113" spans="23:23">
      <c r="W18113" s="503"/>
    </row>
    <row r="18114" spans="23:23">
      <c r="W18114" s="503"/>
    </row>
    <row r="18115" spans="23:23">
      <c r="W18115" s="503"/>
    </row>
    <row r="18116" spans="23:23">
      <c r="W18116" s="503"/>
    </row>
    <row r="18117" spans="23:23">
      <c r="W18117" s="503"/>
    </row>
    <row r="18118" spans="23:23">
      <c r="W18118" s="503"/>
    </row>
    <row r="18119" spans="23:23">
      <c r="W18119" s="503"/>
    </row>
    <row r="18120" spans="23:23">
      <c r="W18120" s="503"/>
    </row>
    <row r="18121" spans="23:23">
      <c r="W18121" s="503"/>
    </row>
    <row r="18122" spans="23:23">
      <c r="W18122" s="503"/>
    </row>
    <row r="18123" spans="23:23">
      <c r="W18123" s="503"/>
    </row>
    <row r="18124" spans="23:23">
      <c r="W18124" s="503"/>
    </row>
    <row r="18125" spans="23:23">
      <c r="W18125" s="503"/>
    </row>
    <row r="18126" spans="23:23">
      <c r="W18126" s="503"/>
    </row>
    <row r="18127" spans="23:23">
      <c r="W18127" s="503"/>
    </row>
    <row r="18128" spans="23:23">
      <c r="W18128" s="503"/>
    </row>
    <row r="18129" spans="23:23">
      <c r="W18129" s="503"/>
    </row>
    <row r="18130" spans="23:23">
      <c r="W18130" s="503"/>
    </row>
    <row r="18131" spans="23:23">
      <c r="W18131" s="503"/>
    </row>
    <row r="18132" spans="23:23">
      <c r="W18132" s="503"/>
    </row>
    <row r="18133" spans="23:23">
      <c r="W18133" s="503"/>
    </row>
    <row r="18134" spans="23:23">
      <c r="W18134" s="503"/>
    </row>
    <row r="18135" spans="23:23">
      <c r="W18135" s="503"/>
    </row>
    <row r="18136" spans="23:23">
      <c r="W18136" s="503"/>
    </row>
    <row r="18137" spans="23:23">
      <c r="W18137" s="503"/>
    </row>
    <row r="18138" spans="23:23">
      <c r="W18138" s="503"/>
    </row>
    <row r="18139" spans="23:23">
      <c r="W18139" s="503"/>
    </row>
    <row r="18140" spans="23:23">
      <c r="W18140" s="503"/>
    </row>
    <row r="18141" spans="23:23">
      <c r="W18141" s="503"/>
    </row>
    <row r="18142" spans="23:23">
      <c r="W18142" s="503"/>
    </row>
    <row r="18143" spans="23:23">
      <c r="W18143" s="503"/>
    </row>
    <row r="18144" spans="23:23">
      <c r="W18144" s="503"/>
    </row>
    <row r="18145" spans="23:23">
      <c r="W18145" s="503"/>
    </row>
    <row r="18146" spans="23:23">
      <c r="W18146" s="503"/>
    </row>
    <row r="18147" spans="23:23">
      <c r="W18147" s="503"/>
    </row>
    <row r="18148" spans="23:23">
      <c r="W18148" s="503"/>
    </row>
    <row r="18149" spans="23:23">
      <c r="W18149" s="503"/>
    </row>
    <row r="18150" spans="23:23">
      <c r="W18150" s="503"/>
    </row>
    <row r="18151" spans="23:23">
      <c r="W18151" s="503"/>
    </row>
    <row r="18152" spans="23:23">
      <c r="W18152" s="503"/>
    </row>
    <row r="18153" spans="23:23">
      <c r="W18153" s="503"/>
    </row>
    <row r="18154" spans="23:23">
      <c r="W18154" s="503"/>
    </row>
    <row r="18155" spans="23:23">
      <c r="W18155" s="503"/>
    </row>
    <row r="18156" spans="23:23">
      <c r="W18156" s="503"/>
    </row>
    <row r="18157" spans="23:23">
      <c r="W18157" s="503"/>
    </row>
    <row r="18158" spans="23:23">
      <c r="W18158" s="503"/>
    </row>
    <row r="18159" spans="23:23">
      <c r="W18159" s="503"/>
    </row>
    <row r="18160" spans="23:23">
      <c r="W18160" s="503"/>
    </row>
    <row r="18161" spans="23:23">
      <c r="W18161" s="503"/>
    </row>
    <row r="18162" spans="23:23">
      <c r="W18162" s="503"/>
    </row>
    <row r="18163" spans="23:23">
      <c r="W18163" s="503"/>
    </row>
    <row r="18164" spans="23:23">
      <c r="W18164" s="503"/>
    </row>
    <row r="18165" spans="23:23">
      <c r="W18165" s="503"/>
    </row>
    <row r="18166" spans="23:23">
      <c r="W18166" s="503"/>
    </row>
    <row r="18167" spans="23:23">
      <c r="W18167" s="503"/>
    </row>
    <row r="18168" spans="23:23">
      <c r="W18168" s="503"/>
    </row>
    <row r="18169" spans="23:23">
      <c r="W18169" s="503"/>
    </row>
    <row r="18170" spans="23:23">
      <c r="W18170" s="503"/>
    </row>
    <row r="18171" spans="23:23">
      <c r="W18171" s="503"/>
    </row>
    <row r="18172" spans="23:23">
      <c r="W18172" s="503"/>
    </row>
    <row r="18173" spans="23:23">
      <c r="W18173" s="503"/>
    </row>
    <row r="18174" spans="23:23">
      <c r="W18174" s="503"/>
    </row>
    <row r="18175" spans="23:23">
      <c r="W18175" s="503"/>
    </row>
    <row r="18176" spans="23:23">
      <c r="W18176" s="503"/>
    </row>
    <row r="18177" spans="23:23">
      <c r="W18177" s="503"/>
    </row>
    <row r="18178" spans="23:23">
      <c r="W18178" s="503"/>
    </row>
    <row r="18179" spans="23:23">
      <c r="W18179" s="503"/>
    </row>
    <row r="18180" spans="23:23">
      <c r="W18180" s="503"/>
    </row>
    <row r="18181" spans="23:23">
      <c r="W18181" s="503"/>
    </row>
    <row r="18182" spans="23:23">
      <c r="W18182" s="503"/>
    </row>
    <row r="18183" spans="23:23">
      <c r="W18183" s="503"/>
    </row>
    <row r="18184" spans="23:23">
      <c r="W18184" s="503"/>
    </row>
    <row r="18185" spans="23:23">
      <c r="W18185" s="503"/>
    </row>
    <row r="18186" spans="23:23">
      <c r="W18186" s="503"/>
    </row>
    <row r="18187" spans="23:23">
      <c r="W18187" s="503"/>
    </row>
    <row r="18188" spans="23:23">
      <c r="W18188" s="503"/>
    </row>
    <row r="18189" spans="23:23">
      <c r="W18189" s="503"/>
    </row>
    <row r="18190" spans="23:23">
      <c r="W18190" s="503"/>
    </row>
    <row r="18191" spans="23:23">
      <c r="W18191" s="503"/>
    </row>
    <row r="18192" spans="23:23">
      <c r="W18192" s="503"/>
    </row>
    <row r="18193" spans="23:23">
      <c r="W18193" s="503"/>
    </row>
    <row r="18194" spans="23:23">
      <c r="W18194" s="503"/>
    </row>
    <row r="18195" spans="23:23">
      <c r="W18195" s="503"/>
    </row>
    <row r="18196" spans="23:23">
      <c r="W18196" s="503"/>
    </row>
    <row r="18197" spans="23:23">
      <c r="W18197" s="503"/>
    </row>
    <row r="18198" spans="23:23">
      <c r="W18198" s="503"/>
    </row>
    <row r="18199" spans="23:23">
      <c r="W18199" s="503"/>
    </row>
    <row r="18200" spans="23:23">
      <c r="W18200" s="503"/>
    </row>
    <row r="18201" spans="23:23">
      <c r="W18201" s="503"/>
    </row>
    <row r="18202" spans="23:23">
      <c r="W18202" s="503"/>
    </row>
    <row r="18203" spans="23:23">
      <c r="W18203" s="503"/>
    </row>
    <row r="18204" spans="23:23">
      <c r="W18204" s="503"/>
    </row>
    <row r="18205" spans="23:23">
      <c r="W18205" s="503"/>
    </row>
    <row r="18206" spans="23:23">
      <c r="W18206" s="503"/>
    </row>
    <row r="18207" spans="23:23">
      <c r="W18207" s="503"/>
    </row>
    <row r="18208" spans="23:23">
      <c r="W18208" s="503"/>
    </row>
    <row r="18209" spans="23:23">
      <c r="W18209" s="503"/>
    </row>
    <row r="18210" spans="23:23">
      <c r="W18210" s="503"/>
    </row>
    <row r="18211" spans="23:23">
      <c r="W18211" s="503"/>
    </row>
    <row r="18212" spans="23:23">
      <c r="W18212" s="503"/>
    </row>
    <row r="18213" spans="23:23">
      <c r="W18213" s="503"/>
    </row>
    <row r="18214" spans="23:23">
      <c r="W18214" s="503"/>
    </row>
    <row r="18215" spans="23:23">
      <c r="W18215" s="503"/>
    </row>
    <row r="18216" spans="23:23">
      <c r="W18216" s="503"/>
    </row>
    <row r="18217" spans="23:23">
      <c r="W18217" s="503"/>
    </row>
    <row r="18218" spans="23:23">
      <c r="W18218" s="503"/>
    </row>
    <row r="18219" spans="23:23">
      <c r="W18219" s="503"/>
    </row>
    <row r="18220" spans="23:23">
      <c r="W18220" s="503"/>
    </row>
    <row r="18221" spans="23:23">
      <c r="W18221" s="503"/>
    </row>
    <row r="18222" spans="23:23">
      <c r="W18222" s="503"/>
    </row>
    <row r="18223" spans="23:23">
      <c r="W18223" s="503"/>
    </row>
    <row r="18224" spans="23:23">
      <c r="W18224" s="503"/>
    </row>
    <row r="18225" spans="23:23">
      <c r="W18225" s="503"/>
    </row>
    <row r="18226" spans="23:23">
      <c r="W18226" s="503"/>
    </row>
    <row r="18227" spans="23:23">
      <c r="W18227" s="503"/>
    </row>
    <row r="18228" spans="23:23">
      <c r="W18228" s="503"/>
    </row>
    <row r="18229" spans="23:23">
      <c r="W18229" s="503"/>
    </row>
    <row r="18230" spans="23:23">
      <c r="W18230" s="503"/>
    </row>
    <row r="18231" spans="23:23">
      <c r="W18231" s="503"/>
    </row>
    <row r="18232" spans="23:23">
      <c r="W18232" s="503"/>
    </row>
    <row r="18233" spans="23:23">
      <c r="W18233" s="503"/>
    </row>
    <row r="18234" spans="23:23">
      <c r="W18234" s="503"/>
    </row>
    <row r="18235" spans="23:23">
      <c r="W18235" s="503"/>
    </row>
    <row r="18236" spans="23:23">
      <c r="W18236" s="503"/>
    </row>
    <row r="18237" spans="23:23">
      <c r="W18237" s="503"/>
    </row>
    <row r="18238" spans="23:23">
      <c r="W18238" s="503"/>
    </row>
    <row r="18239" spans="23:23">
      <c r="W18239" s="503"/>
    </row>
    <row r="18240" spans="23:23">
      <c r="W18240" s="503"/>
    </row>
    <row r="18241" spans="23:23">
      <c r="W18241" s="503"/>
    </row>
    <row r="18242" spans="23:23">
      <c r="W18242" s="503"/>
    </row>
    <row r="18243" spans="23:23">
      <c r="W18243" s="503"/>
    </row>
    <row r="18244" spans="23:23">
      <c r="W18244" s="503"/>
    </row>
    <row r="18245" spans="23:23">
      <c r="W18245" s="503"/>
    </row>
    <row r="18246" spans="23:23">
      <c r="W18246" s="503"/>
    </row>
    <row r="18247" spans="23:23">
      <c r="W18247" s="503"/>
    </row>
    <row r="18248" spans="23:23">
      <c r="W18248" s="503"/>
    </row>
    <row r="18249" spans="23:23">
      <c r="W18249" s="503"/>
    </row>
    <row r="18250" spans="23:23">
      <c r="W18250" s="503"/>
    </row>
    <row r="18251" spans="23:23">
      <c r="W18251" s="503"/>
    </row>
    <row r="18252" spans="23:23">
      <c r="W18252" s="503"/>
    </row>
    <row r="18253" spans="23:23">
      <c r="W18253" s="503"/>
    </row>
    <row r="18254" spans="23:23">
      <c r="W18254" s="503"/>
    </row>
    <row r="18255" spans="23:23">
      <c r="W18255" s="503"/>
    </row>
    <row r="18256" spans="23:23">
      <c r="W18256" s="503"/>
    </row>
    <row r="18257" spans="23:23">
      <c r="W18257" s="503"/>
    </row>
    <row r="18258" spans="23:23">
      <c r="W18258" s="503"/>
    </row>
    <row r="18259" spans="23:23">
      <c r="W18259" s="503"/>
    </row>
    <row r="18260" spans="23:23">
      <c r="W18260" s="503"/>
    </row>
    <row r="18261" spans="23:23">
      <c r="W18261" s="503"/>
    </row>
    <row r="18262" spans="23:23">
      <c r="W18262" s="503"/>
    </row>
    <row r="18263" spans="23:23">
      <c r="W18263" s="503"/>
    </row>
    <row r="18264" spans="23:23">
      <c r="W18264" s="503"/>
    </row>
    <row r="18265" spans="23:23">
      <c r="W18265" s="503"/>
    </row>
    <row r="18266" spans="23:23">
      <c r="W18266" s="503"/>
    </row>
    <row r="18267" spans="23:23">
      <c r="W18267" s="503"/>
    </row>
    <row r="18268" spans="23:23">
      <c r="W18268" s="503"/>
    </row>
    <row r="18269" spans="23:23">
      <c r="W18269" s="503"/>
    </row>
    <row r="18270" spans="23:23">
      <c r="W18270" s="503"/>
    </row>
    <row r="18271" spans="23:23">
      <c r="W18271" s="503"/>
    </row>
    <row r="18272" spans="23:23">
      <c r="W18272" s="503"/>
    </row>
    <row r="18273" spans="23:23">
      <c r="W18273" s="503"/>
    </row>
    <row r="18274" spans="23:23">
      <c r="W18274" s="503"/>
    </row>
    <row r="18275" spans="23:23">
      <c r="W18275" s="503"/>
    </row>
    <row r="18276" spans="23:23">
      <c r="W18276" s="503"/>
    </row>
    <row r="18277" spans="23:23">
      <c r="W18277" s="503"/>
    </row>
    <row r="18278" spans="23:23">
      <c r="W18278" s="503"/>
    </row>
    <row r="18279" spans="23:23">
      <c r="W18279" s="503"/>
    </row>
    <row r="18280" spans="23:23">
      <c r="W18280" s="503"/>
    </row>
    <row r="18281" spans="23:23">
      <c r="W18281" s="503"/>
    </row>
    <row r="18282" spans="23:23">
      <c r="W18282" s="503"/>
    </row>
    <row r="18283" spans="23:23">
      <c r="W18283" s="503"/>
    </row>
    <row r="18284" spans="23:23">
      <c r="W18284" s="503"/>
    </row>
    <row r="18285" spans="23:23">
      <c r="W18285" s="503"/>
    </row>
    <row r="18286" spans="23:23">
      <c r="W18286" s="503"/>
    </row>
    <row r="18287" spans="23:23">
      <c r="W18287" s="503"/>
    </row>
    <row r="18288" spans="23:23">
      <c r="W18288" s="503"/>
    </row>
    <row r="18289" spans="23:23">
      <c r="W18289" s="503"/>
    </row>
    <row r="18290" spans="23:23">
      <c r="W18290" s="503"/>
    </row>
    <row r="18291" spans="23:23">
      <c r="W18291" s="503"/>
    </row>
    <row r="18292" spans="23:23">
      <c r="W18292" s="503"/>
    </row>
    <row r="18293" spans="23:23">
      <c r="W18293" s="503"/>
    </row>
    <row r="18294" spans="23:23">
      <c r="W18294" s="503"/>
    </row>
    <row r="18295" spans="23:23">
      <c r="W18295" s="503"/>
    </row>
    <row r="18296" spans="23:23">
      <c r="W18296" s="503"/>
    </row>
    <row r="18297" spans="23:23">
      <c r="W18297" s="503"/>
    </row>
    <row r="18298" spans="23:23">
      <c r="W18298" s="503"/>
    </row>
    <row r="18299" spans="23:23">
      <c r="W18299" s="503"/>
    </row>
    <row r="18300" spans="23:23">
      <c r="W18300" s="503"/>
    </row>
    <row r="18301" spans="23:23">
      <c r="W18301" s="503"/>
    </row>
    <row r="18302" spans="23:23">
      <c r="W18302" s="503"/>
    </row>
    <row r="18303" spans="23:23">
      <c r="W18303" s="503"/>
    </row>
    <row r="18304" spans="23:23">
      <c r="W18304" s="503"/>
    </row>
    <row r="18305" spans="23:23">
      <c r="W18305" s="503"/>
    </row>
    <row r="18306" spans="23:23">
      <c r="W18306" s="503"/>
    </row>
    <row r="18307" spans="23:23">
      <c r="W18307" s="503"/>
    </row>
    <row r="18308" spans="23:23">
      <c r="W18308" s="503"/>
    </row>
    <row r="18309" spans="23:23">
      <c r="W18309" s="503"/>
    </row>
    <row r="18310" spans="23:23">
      <c r="W18310" s="503"/>
    </row>
    <row r="18311" spans="23:23">
      <c r="W18311" s="503"/>
    </row>
    <row r="18312" spans="23:23">
      <c r="W18312" s="503"/>
    </row>
    <row r="18313" spans="23:23">
      <c r="W18313" s="503"/>
    </row>
    <row r="18314" spans="23:23">
      <c r="W18314" s="503"/>
    </row>
    <row r="18315" spans="23:23">
      <c r="W18315" s="503"/>
    </row>
    <row r="18316" spans="23:23">
      <c r="W18316" s="503"/>
    </row>
    <row r="18317" spans="23:23">
      <c r="W18317" s="503"/>
    </row>
    <row r="18318" spans="23:23">
      <c r="W18318" s="503"/>
    </row>
    <row r="18319" spans="23:23">
      <c r="W18319" s="503"/>
    </row>
    <row r="18320" spans="23:23">
      <c r="W18320" s="503"/>
    </row>
    <row r="18321" spans="23:23">
      <c r="W18321" s="503"/>
    </row>
    <row r="18322" spans="23:23">
      <c r="W18322" s="503"/>
    </row>
    <row r="18323" spans="23:23">
      <c r="W18323" s="503"/>
    </row>
    <row r="18324" spans="23:23">
      <c r="W18324" s="503"/>
    </row>
    <row r="18325" spans="23:23">
      <c r="W18325" s="503"/>
    </row>
    <row r="18326" spans="23:23">
      <c r="W18326" s="503"/>
    </row>
    <row r="18327" spans="23:23">
      <c r="W18327" s="503"/>
    </row>
    <row r="18328" spans="23:23">
      <c r="W18328" s="503"/>
    </row>
    <row r="18329" spans="23:23">
      <c r="W18329" s="503"/>
    </row>
    <row r="18330" spans="23:23">
      <c r="W18330" s="503"/>
    </row>
    <row r="18331" spans="23:23">
      <c r="W18331" s="503"/>
    </row>
    <row r="18332" spans="23:23">
      <c r="W18332" s="503"/>
    </row>
    <row r="18333" spans="23:23">
      <c r="W18333" s="503"/>
    </row>
    <row r="18334" spans="23:23">
      <c r="W18334" s="503"/>
    </row>
    <row r="18335" spans="23:23">
      <c r="W18335" s="503"/>
    </row>
    <row r="18336" spans="23:23">
      <c r="W18336" s="503"/>
    </row>
    <row r="18337" spans="23:23">
      <c r="W18337" s="503"/>
    </row>
    <row r="18338" spans="23:23">
      <c r="W18338" s="503"/>
    </row>
    <row r="18339" spans="23:23">
      <c r="W18339" s="503"/>
    </row>
    <row r="18340" spans="23:23">
      <c r="W18340" s="503"/>
    </row>
    <row r="18341" spans="23:23">
      <c r="W18341" s="503"/>
    </row>
    <row r="18342" spans="23:23">
      <c r="W18342" s="503"/>
    </row>
    <row r="18343" spans="23:23">
      <c r="W18343" s="503"/>
    </row>
    <row r="18344" spans="23:23">
      <c r="W18344" s="503"/>
    </row>
    <row r="18345" spans="23:23">
      <c r="W18345" s="503"/>
    </row>
    <row r="18346" spans="23:23">
      <c r="W18346" s="503"/>
    </row>
    <row r="18347" spans="23:23">
      <c r="W18347" s="503"/>
    </row>
    <row r="18348" spans="23:23">
      <c r="W18348" s="503"/>
    </row>
    <row r="18349" spans="23:23">
      <c r="W18349" s="503"/>
    </row>
    <row r="18350" spans="23:23">
      <c r="W18350" s="503"/>
    </row>
    <row r="18351" spans="23:23">
      <c r="W18351" s="503"/>
    </row>
    <row r="18352" spans="23:23">
      <c r="W18352" s="503"/>
    </row>
    <row r="18353" spans="23:23">
      <c r="W18353" s="503"/>
    </row>
    <row r="18354" spans="23:23">
      <c r="W18354" s="503"/>
    </row>
    <row r="18355" spans="23:23">
      <c r="W18355" s="503"/>
    </row>
    <row r="18356" spans="23:23">
      <c r="W18356" s="503"/>
    </row>
    <row r="18357" spans="23:23">
      <c r="W18357" s="503"/>
    </row>
    <row r="18358" spans="23:23">
      <c r="W18358" s="503"/>
    </row>
    <row r="18359" spans="23:23">
      <c r="W18359" s="503"/>
    </row>
    <row r="18360" spans="23:23">
      <c r="W18360" s="503"/>
    </row>
    <row r="18361" spans="23:23">
      <c r="W18361" s="503"/>
    </row>
    <row r="18362" spans="23:23">
      <c r="W18362" s="503"/>
    </row>
    <row r="18363" spans="23:23">
      <c r="W18363" s="503"/>
    </row>
    <row r="18364" spans="23:23">
      <c r="W18364" s="503"/>
    </row>
    <row r="18365" spans="23:23">
      <c r="W18365" s="503"/>
    </row>
    <row r="18366" spans="23:23">
      <c r="W18366" s="503"/>
    </row>
    <row r="18367" spans="23:23">
      <c r="W18367" s="503"/>
    </row>
    <row r="18368" spans="23:23">
      <c r="W18368" s="503"/>
    </row>
    <row r="18369" spans="23:23">
      <c r="W18369" s="503"/>
    </row>
    <row r="18370" spans="23:23">
      <c r="W18370" s="503"/>
    </row>
    <row r="18371" spans="23:23">
      <c r="W18371" s="503"/>
    </row>
    <row r="18372" spans="23:23">
      <c r="W18372" s="503"/>
    </row>
    <row r="18373" spans="23:23">
      <c r="W18373" s="503"/>
    </row>
    <row r="18374" spans="23:23">
      <c r="W18374" s="503"/>
    </row>
    <row r="18375" spans="23:23">
      <c r="W18375" s="503"/>
    </row>
    <row r="18376" spans="23:23">
      <c r="W18376" s="503"/>
    </row>
    <row r="18377" spans="23:23">
      <c r="W18377" s="503"/>
    </row>
    <row r="18378" spans="23:23">
      <c r="W18378" s="503"/>
    </row>
    <row r="18379" spans="23:23">
      <c r="W18379" s="503"/>
    </row>
    <row r="18380" spans="23:23">
      <c r="W18380" s="503"/>
    </row>
    <row r="18381" spans="23:23">
      <c r="W18381" s="503"/>
    </row>
    <row r="18382" spans="23:23">
      <c r="W18382" s="503"/>
    </row>
    <row r="18383" spans="23:23">
      <c r="W18383" s="503"/>
    </row>
    <row r="18384" spans="23:23">
      <c r="W18384" s="503"/>
    </row>
    <row r="18385" spans="23:23">
      <c r="W18385" s="503"/>
    </row>
    <row r="18386" spans="23:23">
      <c r="W18386" s="503"/>
    </row>
    <row r="18387" spans="23:23">
      <c r="W18387" s="503"/>
    </row>
    <row r="18388" spans="23:23">
      <c r="W18388" s="503"/>
    </row>
    <row r="18389" spans="23:23">
      <c r="W18389" s="503"/>
    </row>
    <row r="18390" spans="23:23">
      <c r="W18390" s="503"/>
    </row>
    <row r="18391" spans="23:23">
      <c r="W18391" s="503"/>
    </row>
    <row r="18392" spans="23:23">
      <c r="W18392" s="503"/>
    </row>
    <row r="18393" spans="23:23">
      <c r="W18393" s="503"/>
    </row>
    <row r="18394" spans="23:23">
      <c r="W18394" s="503"/>
    </row>
    <row r="18395" spans="23:23">
      <c r="W18395" s="503"/>
    </row>
    <row r="18396" spans="23:23">
      <c r="W18396" s="503"/>
    </row>
    <row r="18397" spans="23:23">
      <c r="W18397" s="503"/>
    </row>
    <row r="18398" spans="23:23">
      <c r="W18398" s="503"/>
    </row>
    <row r="18399" spans="23:23">
      <c r="W18399" s="503"/>
    </row>
    <row r="18400" spans="23:23">
      <c r="W18400" s="503"/>
    </row>
    <row r="18401" spans="23:23">
      <c r="W18401" s="503"/>
    </row>
    <row r="18402" spans="23:23">
      <c r="W18402" s="503"/>
    </row>
    <row r="18403" spans="23:23">
      <c r="W18403" s="503"/>
    </row>
    <row r="18404" spans="23:23">
      <c r="W18404" s="503"/>
    </row>
    <row r="18405" spans="23:23">
      <c r="W18405" s="503"/>
    </row>
    <row r="18406" spans="23:23">
      <c r="W18406" s="503"/>
    </row>
    <row r="18407" spans="23:23">
      <c r="W18407" s="503"/>
    </row>
    <row r="18408" spans="23:23">
      <c r="W18408" s="503"/>
    </row>
    <row r="18409" spans="23:23">
      <c r="W18409" s="503"/>
    </row>
    <row r="18410" spans="23:23">
      <c r="W18410" s="503"/>
    </row>
    <row r="18411" spans="23:23">
      <c r="W18411" s="503"/>
    </row>
    <row r="18412" spans="23:23">
      <c r="W18412" s="503"/>
    </row>
    <row r="18413" spans="23:23">
      <c r="W18413" s="503"/>
    </row>
    <row r="18414" spans="23:23">
      <c r="W18414" s="503"/>
    </row>
    <row r="18415" spans="23:23">
      <c r="W18415" s="503"/>
    </row>
    <row r="18416" spans="23:23">
      <c r="W18416" s="503"/>
    </row>
    <row r="18417" spans="23:23">
      <c r="W18417" s="503"/>
    </row>
    <row r="18418" spans="23:23">
      <c r="W18418" s="503"/>
    </row>
    <row r="18419" spans="23:23">
      <c r="W18419" s="503"/>
    </row>
    <row r="18420" spans="23:23">
      <c r="W18420" s="503"/>
    </row>
    <row r="18421" spans="23:23">
      <c r="W18421" s="503"/>
    </row>
    <row r="18422" spans="23:23">
      <c r="W18422" s="503"/>
    </row>
    <row r="18423" spans="23:23">
      <c r="W18423" s="503"/>
    </row>
    <row r="18424" spans="23:23">
      <c r="W18424" s="503"/>
    </row>
    <row r="18425" spans="23:23">
      <c r="W18425" s="503"/>
    </row>
    <row r="18426" spans="23:23">
      <c r="W18426" s="503"/>
    </row>
    <row r="18427" spans="23:23">
      <c r="W18427" s="503"/>
    </row>
    <row r="18428" spans="23:23">
      <c r="W18428" s="503"/>
    </row>
    <row r="18429" spans="23:23">
      <c r="W18429" s="503"/>
    </row>
    <row r="18430" spans="23:23">
      <c r="W18430" s="503"/>
    </row>
    <row r="18431" spans="23:23">
      <c r="W18431" s="503"/>
    </row>
    <row r="18432" spans="23:23">
      <c r="W18432" s="503"/>
    </row>
    <row r="18433" spans="23:23">
      <c r="W18433" s="503"/>
    </row>
    <row r="18434" spans="23:23">
      <c r="W18434" s="503"/>
    </row>
    <row r="18435" spans="23:23">
      <c r="W18435" s="503"/>
    </row>
    <row r="18436" spans="23:23">
      <c r="W18436" s="503"/>
    </row>
    <row r="18437" spans="23:23">
      <c r="W18437" s="503"/>
    </row>
    <row r="18438" spans="23:23">
      <c r="W18438" s="503"/>
    </row>
    <row r="18439" spans="23:23">
      <c r="W18439" s="503"/>
    </row>
    <row r="18440" spans="23:23">
      <c r="W18440" s="503"/>
    </row>
    <row r="18441" spans="23:23">
      <c r="W18441" s="503"/>
    </row>
    <row r="18442" spans="23:23">
      <c r="W18442" s="503"/>
    </row>
    <row r="18443" spans="23:23">
      <c r="W18443" s="503"/>
    </row>
    <row r="18444" spans="23:23">
      <c r="W18444" s="503"/>
    </row>
    <row r="18445" spans="23:23">
      <c r="W18445" s="503"/>
    </row>
    <row r="18446" spans="23:23">
      <c r="W18446" s="503"/>
    </row>
    <row r="18447" spans="23:23">
      <c r="W18447" s="503"/>
    </row>
    <row r="18448" spans="23:23">
      <c r="W18448" s="503"/>
    </row>
    <row r="18449" spans="23:23">
      <c r="W18449" s="503"/>
    </row>
    <row r="18450" spans="23:23">
      <c r="W18450" s="503"/>
    </row>
    <row r="18451" spans="23:23">
      <c r="W18451" s="503"/>
    </row>
    <row r="18452" spans="23:23">
      <c r="W18452" s="503"/>
    </row>
    <row r="18453" spans="23:23">
      <c r="W18453" s="503"/>
    </row>
    <row r="18454" spans="23:23">
      <c r="W18454" s="503"/>
    </row>
    <row r="18455" spans="23:23">
      <c r="W18455" s="503"/>
    </row>
    <row r="18456" spans="23:23">
      <c r="W18456" s="503"/>
    </row>
    <row r="18457" spans="23:23">
      <c r="W18457" s="503"/>
    </row>
    <row r="18458" spans="23:23">
      <c r="W18458" s="503"/>
    </row>
    <row r="18459" spans="23:23">
      <c r="W18459" s="503"/>
    </row>
    <row r="18460" spans="23:23">
      <c r="W18460" s="503"/>
    </row>
    <row r="18461" spans="23:23">
      <c r="W18461" s="503"/>
    </row>
    <row r="18462" spans="23:23">
      <c r="W18462" s="503"/>
    </row>
    <row r="18463" spans="23:23">
      <c r="W18463" s="503"/>
    </row>
    <row r="18464" spans="23:23">
      <c r="W18464" s="503"/>
    </row>
    <row r="18465" spans="23:23">
      <c r="W18465" s="503"/>
    </row>
    <row r="18466" spans="23:23">
      <c r="W18466" s="503"/>
    </row>
    <row r="18467" spans="23:23">
      <c r="W18467" s="503"/>
    </row>
    <row r="18468" spans="23:23">
      <c r="W18468" s="503"/>
    </row>
    <row r="18469" spans="23:23">
      <c r="W18469" s="503"/>
    </row>
    <row r="18470" spans="23:23">
      <c r="W18470" s="503"/>
    </row>
    <row r="18471" spans="23:23">
      <c r="W18471" s="503"/>
    </row>
    <row r="18472" spans="23:23">
      <c r="W18472" s="503"/>
    </row>
    <row r="18473" spans="23:23">
      <c r="W18473" s="503"/>
    </row>
    <row r="18474" spans="23:23">
      <c r="W18474" s="503"/>
    </row>
    <row r="18475" spans="23:23">
      <c r="W18475" s="503"/>
    </row>
    <row r="18476" spans="23:23">
      <c r="W18476" s="503"/>
    </row>
    <row r="18477" spans="23:23">
      <c r="W18477" s="503"/>
    </row>
    <row r="18478" spans="23:23">
      <c r="W18478" s="503"/>
    </row>
    <row r="18479" spans="23:23">
      <c r="W18479" s="503"/>
    </row>
    <row r="18480" spans="23:23">
      <c r="W18480" s="503"/>
    </row>
    <row r="18481" spans="23:23">
      <c r="W18481" s="503"/>
    </row>
    <row r="18482" spans="23:23">
      <c r="W18482" s="503"/>
    </row>
    <row r="18483" spans="23:23">
      <c r="W18483" s="503"/>
    </row>
    <row r="18484" spans="23:23">
      <c r="W18484" s="503"/>
    </row>
    <row r="18485" spans="23:23">
      <c r="W18485" s="503"/>
    </row>
    <row r="18486" spans="23:23">
      <c r="W18486" s="503"/>
    </row>
    <row r="18487" spans="23:23">
      <c r="W18487" s="503"/>
    </row>
    <row r="18488" spans="23:23">
      <c r="W18488" s="503"/>
    </row>
    <row r="18489" spans="23:23">
      <c r="W18489" s="503"/>
    </row>
    <row r="18490" spans="23:23">
      <c r="W18490" s="503"/>
    </row>
    <row r="18491" spans="23:23">
      <c r="W18491" s="503"/>
    </row>
    <row r="18492" spans="23:23">
      <c r="W18492" s="503"/>
    </row>
    <row r="18493" spans="23:23">
      <c r="W18493" s="503"/>
    </row>
    <row r="18494" spans="23:23">
      <c r="W18494" s="503"/>
    </row>
    <row r="18495" spans="23:23">
      <c r="W18495" s="503"/>
    </row>
    <row r="18496" spans="23:23">
      <c r="W18496" s="503"/>
    </row>
    <row r="18497" spans="23:23">
      <c r="W18497" s="503"/>
    </row>
    <row r="18498" spans="23:23">
      <c r="W18498" s="503"/>
    </row>
    <row r="18499" spans="23:23">
      <c r="W18499" s="503"/>
    </row>
    <row r="18500" spans="23:23">
      <c r="W18500" s="503"/>
    </row>
    <row r="18501" spans="23:23">
      <c r="W18501" s="503"/>
    </row>
    <row r="18502" spans="23:23">
      <c r="W18502" s="503"/>
    </row>
    <row r="18503" spans="23:23">
      <c r="W18503" s="503"/>
    </row>
    <row r="18504" spans="23:23">
      <c r="W18504" s="503"/>
    </row>
    <row r="18505" spans="23:23">
      <c r="W18505" s="503"/>
    </row>
    <row r="18506" spans="23:23">
      <c r="W18506" s="503"/>
    </row>
    <row r="18507" spans="23:23">
      <c r="W18507" s="503"/>
    </row>
    <row r="18508" spans="23:23">
      <c r="W18508" s="503"/>
    </row>
    <row r="18509" spans="23:23">
      <c r="W18509" s="503"/>
    </row>
    <row r="18510" spans="23:23">
      <c r="W18510" s="503"/>
    </row>
    <row r="18511" spans="23:23">
      <c r="W18511" s="503"/>
    </row>
    <row r="18512" spans="23:23">
      <c r="W18512" s="503"/>
    </row>
    <row r="18513" spans="23:23">
      <c r="W18513" s="503"/>
    </row>
    <row r="18514" spans="23:23">
      <c r="W18514" s="503"/>
    </row>
    <row r="18515" spans="23:23">
      <c r="W18515" s="503"/>
    </row>
    <row r="18516" spans="23:23">
      <c r="W18516" s="503"/>
    </row>
    <row r="18517" spans="23:23">
      <c r="W18517" s="503"/>
    </row>
    <row r="18518" spans="23:23">
      <c r="W18518" s="503"/>
    </row>
    <row r="18519" spans="23:23">
      <c r="W18519" s="503"/>
    </row>
    <row r="18520" spans="23:23">
      <c r="W18520" s="503"/>
    </row>
    <row r="18521" spans="23:23">
      <c r="W18521" s="503"/>
    </row>
    <row r="18522" spans="23:23">
      <c r="W18522" s="503"/>
    </row>
    <row r="18523" spans="23:23">
      <c r="W18523" s="503"/>
    </row>
    <row r="18524" spans="23:23">
      <c r="W18524" s="503"/>
    </row>
    <row r="18525" spans="23:23">
      <c r="W18525" s="503"/>
    </row>
    <row r="18526" spans="23:23">
      <c r="W18526" s="503"/>
    </row>
    <row r="18527" spans="23:23">
      <c r="W18527" s="503"/>
    </row>
    <row r="18528" spans="23:23">
      <c r="W18528" s="503"/>
    </row>
    <row r="18529" spans="23:23">
      <c r="W18529" s="503"/>
    </row>
    <row r="18530" spans="23:23">
      <c r="W18530" s="503"/>
    </row>
    <row r="18531" spans="23:23">
      <c r="W18531" s="503"/>
    </row>
    <row r="18532" spans="23:23">
      <c r="W18532" s="503"/>
    </row>
    <row r="18533" spans="23:23">
      <c r="W18533" s="503"/>
    </row>
    <row r="18534" spans="23:23">
      <c r="W18534" s="503"/>
    </row>
    <row r="18535" spans="23:23">
      <c r="W18535" s="503"/>
    </row>
    <row r="18536" spans="23:23">
      <c r="W18536" s="503"/>
    </row>
    <row r="18537" spans="23:23">
      <c r="W18537" s="503"/>
    </row>
    <row r="18538" spans="23:23">
      <c r="W18538" s="503"/>
    </row>
    <row r="18539" spans="23:23">
      <c r="W18539" s="503"/>
    </row>
    <row r="18540" spans="23:23">
      <c r="W18540" s="503"/>
    </row>
    <row r="18541" spans="23:23">
      <c r="W18541" s="503"/>
    </row>
    <row r="18542" spans="23:23">
      <c r="W18542" s="503"/>
    </row>
    <row r="18543" spans="23:23">
      <c r="W18543" s="503"/>
    </row>
    <row r="18544" spans="23:23">
      <c r="W18544" s="503"/>
    </row>
    <row r="18545" spans="23:23">
      <c r="W18545" s="503"/>
    </row>
    <row r="18546" spans="23:23">
      <c r="W18546" s="503"/>
    </row>
    <row r="18547" spans="23:23">
      <c r="W18547" s="503"/>
    </row>
    <row r="18548" spans="23:23">
      <c r="W18548" s="503"/>
    </row>
    <row r="18549" spans="23:23">
      <c r="W18549" s="503"/>
    </row>
    <row r="18550" spans="23:23">
      <c r="W18550" s="503"/>
    </row>
    <row r="18551" spans="23:23">
      <c r="W18551" s="503"/>
    </row>
    <row r="18552" spans="23:23">
      <c r="W18552" s="503"/>
    </row>
    <row r="18553" spans="23:23">
      <c r="W18553" s="503"/>
    </row>
    <row r="18554" spans="23:23">
      <c r="W18554" s="503"/>
    </row>
    <row r="18555" spans="23:23">
      <c r="W18555" s="503"/>
    </row>
    <row r="18556" spans="23:23">
      <c r="W18556" s="503"/>
    </row>
    <row r="18557" spans="23:23">
      <c r="W18557" s="503"/>
    </row>
    <row r="18558" spans="23:23">
      <c r="W18558" s="503"/>
    </row>
    <row r="18559" spans="23:23">
      <c r="W18559" s="503"/>
    </row>
    <row r="18560" spans="23:23">
      <c r="W18560" s="503"/>
    </row>
    <row r="18561" spans="23:23">
      <c r="W18561" s="503"/>
    </row>
    <row r="18562" spans="23:23">
      <c r="W18562" s="503"/>
    </row>
    <row r="18563" spans="23:23">
      <c r="W18563" s="503"/>
    </row>
    <row r="18564" spans="23:23">
      <c r="W18564" s="503"/>
    </row>
    <row r="18565" spans="23:23">
      <c r="W18565" s="503"/>
    </row>
    <row r="18566" spans="23:23">
      <c r="W18566" s="503"/>
    </row>
    <row r="18567" spans="23:23">
      <c r="W18567" s="503"/>
    </row>
    <row r="18568" spans="23:23">
      <c r="W18568" s="503"/>
    </row>
    <row r="18569" spans="23:23">
      <c r="W18569" s="503"/>
    </row>
    <row r="18570" spans="23:23">
      <c r="W18570" s="503"/>
    </row>
    <row r="18571" spans="23:23">
      <c r="W18571" s="503"/>
    </row>
    <row r="18572" spans="23:23">
      <c r="W18572" s="503"/>
    </row>
    <row r="18573" spans="23:23">
      <c r="W18573" s="503"/>
    </row>
    <row r="18574" spans="23:23">
      <c r="W18574" s="503"/>
    </row>
    <row r="18575" spans="23:23">
      <c r="W18575" s="503"/>
    </row>
    <row r="18576" spans="23:23">
      <c r="W18576" s="503"/>
    </row>
    <row r="18577" spans="23:23">
      <c r="W18577" s="503"/>
    </row>
    <row r="18578" spans="23:23">
      <c r="W18578" s="503"/>
    </row>
    <row r="18579" spans="23:23">
      <c r="W18579" s="503"/>
    </row>
    <row r="18580" spans="23:23">
      <c r="W18580" s="503"/>
    </row>
    <row r="18581" spans="23:23">
      <c r="W18581" s="503"/>
    </row>
    <row r="18582" spans="23:23">
      <c r="W18582" s="503"/>
    </row>
    <row r="18583" spans="23:23">
      <c r="W18583" s="503"/>
    </row>
    <row r="18584" spans="23:23">
      <c r="W18584" s="503"/>
    </row>
    <row r="18585" spans="23:23">
      <c r="W18585" s="503"/>
    </row>
    <row r="18586" spans="23:23">
      <c r="W18586" s="503"/>
    </row>
    <row r="18587" spans="23:23">
      <c r="W18587" s="503"/>
    </row>
    <row r="18588" spans="23:23">
      <c r="W18588" s="503"/>
    </row>
    <row r="18589" spans="23:23">
      <c r="W18589" s="503"/>
    </row>
    <row r="18590" spans="23:23">
      <c r="W18590" s="503"/>
    </row>
    <row r="18591" spans="23:23">
      <c r="W18591" s="503"/>
    </row>
    <row r="18592" spans="23:23">
      <c r="W18592" s="503"/>
    </row>
    <row r="18593" spans="23:23">
      <c r="W18593" s="503"/>
    </row>
    <row r="18594" spans="23:23">
      <c r="W18594" s="503"/>
    </row>
    <row r="18595" spans="23:23">
      <c r="W18595" s="503"/>
    </row>
    <row r="18596" spans="23:23">
      <c r="W18596" s="503"/>
    </row>
    <row r="18597" spans="23:23">
      <c r="W18597" s="503"/>
    </row>
    <row r="18598" spans="23:23">
      <c r="W18598" s="503"/>
    </row>
    <row r="18599" spans="23:23">
      <c r="W18599" s="503"/>
    </row>
    <row r="18600" spans="23:23">
      <c r="W18600" s="503"/>
    </row>
    <row r="18601" spans="23:23">
      <c r="W18601" s="503"/>
    </row>
    <row r="18602" spans="23:23">
      <c r="W18602" s="503"/>
    </row>
    <row r="18603" spans="23:23">
      <c r="W18603" s="503"/>
    </row>
    <row r="18604" spans="23:23">
      <c r="W18604" s="503"/>
    </row>
    <row r="18605" spans="23:23">
      <c r="W18605" s="503"/>
    </row>
    <row r="18606" spans="23:23">
      <c r="W18606" s="503"/>
    </row>
    <row r="18607" spans="23:23">
      <c r="W18607" s="503"/>
    </row>
    <row r="18608" spans="23:23">
      <c r="W18608" s="503"/>
    </row>
    <row r="18609" spans="23:23">
      <c r="W18609" s="503"/>
    </row>
    <row r="18610" spans="23:23">
      <c r="W18610" s="503"/>
    </row>
    <row r="18611" spans="23:23">
      <c r="W18611" s="503"/>
    </row>
    <row r="18612" spans="23:23">
      <c r="W18612" s="503"/>
    </row>
    <row r="18613" spans="23:23">
      <c r="W18613" s="503"/>
    </row>
    <row r="18614" spans="23:23">
      <c r="W18614" s="503"/>
    </row>
    <row r="18615" spans="23:23">
      <c r="W18615" s="503"/>
    </row>
    <row r="18616" spans="23:23">
      <c r="W18616" s="503"/>
    </row>
    <row r="18617" spans="23:23">
      <c r="W18617" s="503"/>
    </row>
    <row r="18618" spans="23:23">
      <c r="W18618" s="503"/>
    </row>
    <row r="18619" spans="23:23">
      <c r="W18619" s="503"/>
    </row>
    <row r="18620" spans="23:23">
      <c r="W18620" s="503"/>
    </row>
    <row r="18621" spans="23:23">
      <c r="W18621" s="503"/>
    </row>
    <row r="18622" spans="23:23">
      <c r="W18622" s="503"/>
    </row>
    <row r="18623" spans="23:23">
      <c r="W18623" s="503"/>
    </row>
    <row r="18624" spans="23:23">
      <c r="W18624" s="503"/>
    </row>
    <row r="18625" spans="23:23">
      <c r="W18625" s="503"/>
    </row>
    <row r="18626" spans="23:23">
      <c r="W18626" s="503"/>
    </row>
    <row r="18627" spans="23:23">
      <c r="W18627" s="503"/>
    </row>
    <row r="18628" spans="23:23">
      <c r="W18628" s="503"/>
    </row>
    <row r="18629" spans="23:23">
      <c r="W18629" s="503"/>
    </row>
    <row r="18630" spans="23:23">
      <c r="W18630" s="503"/>
    </row>
    <row r="18631" spans="23:23">
      <c r="W18631" s="503"/>
    </row>
    <row r="18632" spans="23:23">
      <c r="W18632" s="503"/>
    </row>
    <row r="18633" spans="23:23">
      <c r="W18633" s="503"/>
    </row>
    <row r="18634" spans="23:23">
      <c r="W18634" s="503"/>
    </row>
    <row r="18635" spans="23:23">
      <c r="W18635" s="503"/>
    </row>
    <row r="18636" spans="23:23">
      <c r="W18636" s="503"/>
    </row>
    <row r="18637" spans="23:23">
      <c r="W18637" s="503"/>
    </row>
    <row r="18638" spans="23:23">
      <c r="W18638" s="503"/>
    </row>
    <row r="18639" spans="23:23">
      <c r="W18639" s="503"/>
    </row>
    <row r="18640" spans="23:23">
      <c r="W18640" s="503"/>
    </row>
    <row r="18641" spans="23:23">
      <c r="W18641" s="503"/>
    </row>
    <row r="18642" spans="23:23">
      <c r="W18642" s="503"/>
    </row>
    <row r="18643" spans="23:23">
      <c r="W18643" s="503"/>
    </row>
    <row r="18644" spans="23:23">
      <c r="W18644" s="503"/>
    </row>
    <row r="18645" spans="23:23">
      <c r="W18645" s="503"/>
    </row>
    <row r="18646" spans="23:23">
      <c r="W18646" s="503"/>
    </row>
    <row r="18647" spans="23:23">
      <c r="W18647" s="503"/>
    </row>
    <row r="18648" spans="23:23">
      <c r="W18648" s="503"/>
    </row>
    <row r="18649" spans="23:23">
      <c r="W18649" s="503"/>
    </row>
    <row r="18650" spans="23:23">
      <c r="W18650" s="503"/>
    </row>
    <row r="18651" spans="23:23">
      <c r="W18651" s="503"/>
    </row>
    <row r="18652" spans="23:23">
      <c r="W18652" s="503"/>
    </row>
    <row r="18653" spans="23:23">
      <c r="W18653" s="503"/>
    </row>
    <row r="18654" spans="23:23">
      <c r="W18654" s="503"/>
    </row>
    <row r="18655" spans="23:23">
      <c r="W18655" s="503"/>
    </row>
    <row r="18656" spans="23:23">
      <c r="W18656" s="503"/>
    </row>
    <row r="18657" spans="23:23">
      <c r="W18657" s="503"/>
    </row>
    <row r="18658" spans="23:23">
      <c r="W18658" s="503"/>
    </row>
    <row r="18659" spans="23:23">
      <c r="W18659" s="503"/>
    </row>
    <row r="18660" spans="23:23">
      <c r="W18660" s="503"/>
    </row>
    <row r="18661" spans="23:23">
      <c r="W18661" s="503"/>
    </row>
    <row r="18662" spans="23:23">
      <c r="W18662" s="503"/>
    </row>
    <row r="18663" spans="23:23">
      <c r="W18663" s="503"/>
    </row>
    <row r="18664" spans="23:23">
      <c r="W18664" s="503"/>
    </row>
    <row r="18665" spans="23:23">
      <c r="W18665" s="503"/>
    </row>
    <row r="18666" spans="23:23">
      <c r="W18666" s="503"/>
    </row>
    <row r="18667" spans="23:23">
      <c r="W18667" s="503"/>
    </row>
    <row r="18668" spans="23:23">
      <c r="W18668" s="503"/>
    </row>
    <row r="18669" spans="23:23">
      <c r="W18669" s="503"/>
    </row>
    <row r="18670" spans="23:23">
      <c r="W18670" s="503"/>
    </row>
    <row r="18671" spans="23:23">
      <c r="W18671" s="503"/>
    </row>
    <row r="18672" spans="23:23">
      <c r="W18672" s="503"/>
    </row>
    <row r="18673" spans="23:23">
      <c r="W18673" s="503"/>
    </row>
    <row r="18674" spans="23:23">
      <c r="W18674" s="503"/>
    </row>
    <row r="18675" spans="23:23">
      <c r="W18675" s="503"/>
    </row>
    <row r="18676" spans="23:23">
      <c r="W18676" s="503"/>
    </row>
    <row r="18677" spans="23:23">
      <c r="W18677" s="503"/>
    </row>
    <row r="18678" spans="23:23">
      <c r="W18678" s="503"/>
    </row>
    <row r="18679" spans="23:23">
      <c r="W18679" s="503"/>
    </row>
    <row r="18680" spans="23:23">
      <c r="W18680" s="503"/>
    </row>
    <row r="18681" spans="23:23">
      <c r="W18681" s="503"/>
    </row>
    <row r="18682" spans="23:23">
      <c r="W18682" s="503"/>
    </row>
    <row r="18683" spans="23:23">
      <c r="W18683" s="503"/>
    </row>
    <row r="18684" spans="23:23">
      <c r="W18684" s="503"/>
    </row>
    <row r="18685" spans="23:23">
      <c r="W18685" s="503"/>
    </row>
    <row r="18686" spans="23:23">
      <c r="W18686" s="503"/>
    </row>
    <row r="18687" spans="23:23">
      <c r="W18687" s="503"/>
    </row>
    <row r="18688" spans="23:23">
      <c r="W18688" s="503"/>
    </row>
    <row r="18689" spans="23:23">
      <c r="W18689" s="503"/>
    </row>
    <row r="18690" spans="23:23">
      <c r="W18690" s="503"/>
    </row>
    <row r="18691" spans="23:23">
      <c r="W18691" s="503"/>
    </row>
    <row r="18692" spans="23:23">
      <c r="W18692" s="503"/>
    </row>
    <row r="18693" spans="23:23">
      <c r="W18693" s="503"/>
    </row>
    <row r="18694" spans="23:23">
      <c r="W18694" s="503"/>
    </row>
    <row r="18695" spans="23:23">
      <c r="W18695" s="503"/>
    </row>
    <row r="18696" spans="23:23">
      <c r="W18696" s="503"/>
    </row>
    <row r="18697" spans="23:23">
      <c r="W18697" s="503"/>
    </row>
    <row r="18698" spans="23:23">
      <c r="W18698" s="503"/>
    </row>
    <row r="18699" spans="23:23">
      <c r="W18699" s="503"/>
    </row>
    <row r="18700" spans="23:23">
      <c r="W18700" s="503"/>
    </row>
    <row r="18701" spans="23:23">
      <c r="W18701" s="503"/>
    </row>
    <row r="18702" spans="23:23">
      <c r="W18702" s="503"/>
    </row>
    <row r="18703" spans="23:23">
      <c r="W18703" s="503"/>
    </row>
    <row r="18704" spans="23:23">
      <c r="W18704" s="503"/>
    </row>
    <row r="18705" spans="23:23">
      <c r="W18705" s="503"/>
    </row>
    <row r="18706" spans="23:23">
      <c r="W18706" s="503"/>
    </row>
    <row r="18707" spans="23:23">
      <c r="W18707" s="503"/>
    </row>
    <row r="18708" spans="23:23">
      <c r="W18708" s="503"/>
    </row>
    <row r="18709" spans="23:23">
      <c r="W18709" s="503"/>
    </row>
    <row r="18710" spans="23:23">
      <c r="W18710" s="503"/>
    </row>
    <row r="18711" spans="23:23">
      <c r="W18711" s="503"/>
    </row>
    <row r="18712" spans="23:23">
      <c r="W18712" s="503"/>
    </row>
    <row r="18713" spans="23:23">
      <c r="W18713" s="503"/>
    </row>
    <row r="18714" spans="23:23">
      <c r="W18714" s="503"/>
    </row>
    <row r="18715" spans="23:23">
      <c r="W18715" s="503"/>
    </row>
    <row r="18716" spans="23:23">
      <c r="W18716" s="503"/>
    </row>
    <row r="18717" spans="23:23">
      <c r="W18717" s="503"/>
    </row>
    <row r="18718" spans="23:23">
      <c r="W18718" s="503"/>
    </row>
    <row r="18719" spans="23:23">
      <c r="W18719" s="503"/>
    </row>
    <row r="18720" spans="23:23">
      <c r="W18720" s="503"/>
    </row>
    <row r="18721" spans="23:23">
      <c r="W18721" s="503"/>
    </row>
    <row r="18722" spans="23:23">
      <c r="W18722" s="503"/>
    </row>
    <row r="18723" spans="23:23">
      <c r="W18723" s="503"/>
    </row>
    <row r="18724" spans="23:23">
      <c r="W18724" s="503"/>
    </row>
    <row r="18725" spans="23:23">
      <c r="W18725" s="503"/>
    </row>
    <row r="18726" spans="23:23">
      <c r="W18726" s="503"/>
    </row>
    <row r="18727" spans="23:23">
      <c r="W18727" s="503"/>
    </row>
    <row r="18728" spans="23:23">
      <c r="W18728" s="503"/>
    </row>
    <row r="18729" spans="23:23">
      <c r="W18729" s="503"/>
    </row>
    <row r="18730" spans="23:23">
      <c r="W18730" s="503"/>
    </row>
    <row r="18731" spans="23:23">
      <c r="W18731" s="503"/>
    </row>
    <row r="18732" spans="23:23">
      <c r="W18732" s="503"/>
    </row>
    <row r="18733" spans="23:23">
      <c r="W18733" s="503"/>
    </row>
    <row r="18734" spans="23:23">
      <c r="W18734" s="503"/>
    </row>
    <row r="18735" spans="23:23">
      <c r="W18735" s="503"/>
    </row>
    <row r="18736" spans="23:23">
      <c r="W18736" s="503"/>
    </row>
    <row r="18737" spans="23:23">
      <c r="W18737" s="503"/>
    </row>
    <row r="18738" spans="23:23">
      <c r="W18738" s="503"/>
    </row>
    <row r="18739" spans="23:23">
      <c r="W18739" s="503"/>
    </row>
    <row r="18740" spans="23:23">
      <c r="W18740" s="503"/>
    </row>
    <row r="18741" spans="23:23">
      <c r="W18741" s="503"/>
    </row>
    <row r="18742" spans="23:23">
      <c r="W18742" s="503"/>
    </row>
    <row r="18743" spans="23:23">
      <c r="W18743" s="503"/>
    </row>
    <row r="18744" spans="23:23">
      <c r="W18744" s="503"/>
    </row>
    <row r="18745" spans="23:23">
      <c r="W18745" s="503"/>
    </row>
    <row r="18746" spans="23:23">
      <c r="W18746" s="503"/>
    </row>
    <row r="18747" spans="23:23">
      <c r="W18747" s="503"/>
    </row>
    <row r="18748" spans="23:23">
      <c r="W18748" s="503"/>
    </row>
    <row r="18749" spans="23:23">
      <c r="W18749" s="503"/>
    </row>
    <row r="18750" spans="23:23">
      <c r="W18750" s="503"/>
    </row>
    <row r="18751" spans="23:23">
      <c r="W18751" s="503"/>
    </row>
    <row r="18752" spans="23:23">
      <c r="W18752" s="503"/>
    </row>
    <row r="18753" spans="23:23">
      <c r="W18753" s="503"/>
    </row>
    <row r="18754" spans="23:23">
      <c r="W18754" s="503"/>
    </row>
    <row r="18755" spans="23:23">
      <c r="W18755" s="503"/>
    </row>
    <row r="18756" spans="23:23">
      <c r="W18756" s="503"/>
    </row>
    <row r="18757" spans="23:23">
      <c r="W18757" s="503"/>
    </row>
    <row r="18758" spans="23:23">
      <c r="W18758" s="503"/>
    </row>
    <row r="18759" spans="23:23">
      <c r="W18759" s="503"/>
    </row>
    <row r="18760" spans="23:23">
      <c r="W18760" s="503"/>
    </row>
    <row r="18761" spans="23:23">
      <c r="W18761" s="503"/>
    </row>
    <row r="18762" spans="23:23">
      <c r="W18762" s="503"/>
    </row>
    <row r="18763" spans="23:23">
      <c r="W18763" s="503"/>
    </row>
    <row r="18764" spans="23:23">
      <c r="W18764" s="503"/>
    </row>
    <row r="18765" spans="23:23">
      <c r="W18765" s="503"/>
    </row>
    <row r="18766" spans="23:23">
      <c r="W18766" s="503"/>
    </row>
    <row r="18767" spans="23:23">
      <c r="W18767" s="503"/>
    </row>
    <row r="18768" spans="23:23">
      <c r="W18768" s="503"/>
    </row>
    <row r="18769" spans="23:23">
      <c r="W18769" s="503"/>
    </row>
    <row r="18770" spans="23:23">
      <c r="W18770" s="503"/>
    </row>
    <row r="18771" spans="23:23">
      <c r="W18771" s="503"/>
    </row>
    <row r="18772" spans="23:23">
      <c r="W18772" s="503"/>
    </row>
    <row r="18773" spans="23:23">
      <c r="W18773" s="503"/>
    </row>
    <row r="18774" spans="23:23">
      <c r="W18774" s="503"/>
    </row>
    <row r="18775" spans="23:23">
      <c r="W18775" s="503"/>
    </row>
    <row r="18776" spans="23:23">
      <c r="W18776" s="503"/>
    </row>
    <row r="18777" spans="23:23">
      <c r="W18777" s="503"/>
    </row>
    <row r="18778" spans="23:23">
      <c r="W18778" s="503"/>
    </row>
    <row r="18779" spans="23:23">
      <c r="W18779" s="503"/>
    </row>
    <row r="18780" spans="23:23">
      <c r="W18780" s="503"/>
    </row>
    <row r="18781" spans="23:23">
      <c r="W18781" s="503"/>
    </row>
    <row r="18782" spans="23:23">
      <c r="W18782" s="503"/>
    </row>
    <row r="18783" spans="23:23">
      <c r="W18783" s="503"/>
    </row>
    <row r="18784" spans="23:23">
      <c r="W18784" s="503"/>
    </row>
    <row r="18785" spans="23:23">
      <c r="W18785" s="503"/>
    </row>
    <row r="18786" spans="23:23">
      <c r="W18786" s="503"/>
    </row>
    <row r="18787" spans="23:23">
      <c r="W18787" s="503"/>
    </row>
    <row r="18788" spans="23:23">
      <c r="W18788" s="503"/>
    </row>
    <row r="18789" spans="23:23">
      <c r="W18789" s="503"/>
    </row>
    <row r="18790" spans="23:23">
      <c r="W18790" s="503"/>
    </row>
    <row r="18791" spans="23:23">
      <c r="W18791" s="503"/>
    </row>
    <row r="18792" spans="23:23">
      <c r="W18792" s="503"/>
    </row>
    <row r="18793" spans="23:23">
      <c r="W18793" s="503"/>
    </row>
    <row r="18794" spans="23:23">
      <c r="W18794" s="503"/>
    </row>
    <row r="18795" spans="23:23">
      <c r="W18795" s="503"/>
    </row>
    <row r="18796" spans="23:23">
      <c r="W18796" s="503"/>
    </row>
    <row r="18797" spans="23:23">
      <c r="W18797" s="503"/>
    </row>
    <row r="18798" spans="23:23">
      <c r="W18798" s="503"/>
    </row>
    <row r="18799" spans="23:23">
      <c r="W18799" s="503"/>
    </row>
    <row r="18800" spans="23:23">
      <c r="W18800" s="503"/>
    </row>
    <row r="18801" spans="23:23">
      <c r="W18801" s="503"/>
    </row>
    <row r="18802" spans="23:23">
      <c r="W18802" s="503"/>
    </row>
    <row r="18803" spans="23:23">
      <c r="W18803" s="503"/>
    </row>
    <row r="18804" spans="23:23">
      <c r="W18804" s="503"/>
    </row>
    <row r="18805" spans="23:23">
      <c r="W18805" s="503"/>
    </row>
    <row r="18806" spans="23:23">
      <c r="W18806" s="503"/>
    </row>
    <row r="18807" spans="23:23">
      <c r="W18807" s="503"/>
    </row>
    <row r="18808" spans="23:23">
      <c r="W18808" s="503"/>
    </row>
    <row r="18809" spans="23:23">
      <c r="W18809" s="503"/>
    </row>
    <row r="18810" spans="23:23">
      <c r="W18810" s="503"/>
    </row>
    <row r="18811" spans="23:23">
      <c r="W18811" s="503"/>
    </row>
    <row r="18812" spans="23:23">
      <c r="W18812" s="503"/>
    </row>
    <row r="18813" spans="23:23">
      <c r="W18813" s="503"/>
    </row>
    <row r="18814" spans="23:23">
      <c r="W18814" s="503"/>
    </row>
    <row r="18815" spans="23:23">
      <c r="W18815" s="503"/>
    </row>
    <row r="18816" spans="23:23">
      <c r="W18816" s="503"/>
    </row>
    <row r="18817" spans="23:23">
      <c r="W18817" s="503"/>
    </row>
    <row r="18818" spans="23:23">
      <c r="W18818" s="503"/>
    </row>
    <row r="18819" spans="23:23">
      <c r="W18819" s="503"/>
    </row>
    <row r="18820" spans="23:23">
      <c r="W18820" s="503"/>
    </row>
    <row r="18821" spans="23:23">
      <c r="W18821" s="503"/>
    </row>
    <row r="18822" spans="23:23">
      <c r="W18822" s="503"/>
    </row>
    <row r="18823" spans="23:23">
      <c r="W18823" s="503"/>
    </row>
    <row r="18824" spans="23:23">
      <c r="W18824" s="503"/>
    </row>
    <row r="18825" spans="23:23">
      <c r="W18825" s="503"/>
    </row>
    <row r="18826" spans="23:23">
      <c r="W18826" s="503"/>
    </row>
    <row r="18827" spans="23:23">
      <c r="W18827" s="503"/>
    </row>
    <row r="18828" spans="23:23">
      <c r="W18828" s="503"/>
    </row>
    <row r="18829" spans="23:23">
      <c r="W18829" s="503"/>
    </row>
    <row r="18830" spans="23:23">
      <c r="W18830" s="503"/>
    </row>
    <row r="18831" spans="23:23">
      <c r="W18831" s="503"/>
    </row>
    <row r="18832" spans="23:23">
      <c r="W18832" s="503"/>
    </row>
    <row r="18833" spans="23:23">
      <c r="W18833" s="503"/>
    </row>
    <row r="18834" spans="23:23">
      <c r="W18834" s="503"/>
    </row>
    <row r="18835" spans="23:23">
      <c r="W18835" s="503"/>
    </row>
    <row r="18836" spans="23:23">
      <c r="W18836" s="503"/>
    </row>
    <row r="18837" spans="23:23">
      <c r="W18837" s="503"/>
    </row>
    <row r="18838" spans="23:23">
      <c r="W18838" s="503"/>
    </row>
    <row r="18839" spans="23:23">
      <c r="W18839" s="503"/>
    </row>
    <row r="18840" spans="23:23">
      <c r="W18840" s="503"/>
    </row>
    <row r="18841" spans="23:23">
      <c r="W18841" s="503"/>
    </row>
    <row r="18842" spans="23:23">
      <c r="W18842" s="503"/>
    </row>
    <row r="18843" spans="23:23">
      <c r="W18843" s="503"/>
    </row>
    <row r="18844" spans="23:23">
      <c r="W18844" s="503"/>
    </row>
    <row r="18845" spans="23:23">
      <c r="W18845" s="503"/>
    </row>
    <row r="18846" spans="23:23">
      <c r="W18846" s="503"/>
    </row>
    <row r="18847" spans="23:23">
      <c r="W18847" s="503"/>
    </row>
    <row r="18848" spans="23:23">
      <c r="W18848" s="503"/>
    </row>
    <row r="18849" spans="23:23">
      <c r="W18849" s="503"/>
    </row>
    <row r="18850" spans="23:23">
      <c r="W18850" s="503"/>
    </row>
    <row r="18851" spans="23:23">
      <c r="W18851" s="503"/>
    </row>
    <row r="18852" spans="23:23">
      <c r="W18852" s="503"/>
    </row>
    <row r="18853" spans="23:23">
      <c r="W18853" s="503"/>
    </row>
    <row r="18854" spans="23:23">
      <c r="W18854" s="503"/>
    </row>
    <row r="18855" spans="23:23">
      <c r="W18855" s="503"/>
    </row>
    <row r="18856" spans="23:23">
      <c r="W18856" s="503"/>
    </row>
    <row r="18857" spans="23:23">
      <c r="W18857" s="503"/>
    </row>
    <row r="18858" spans="23:23">
      <c r="W18858" s="503"/>
    </row>
    <row r="18859" spans="23:23">
      <c r="W18859" s="503"/>
    </row>
    <row r="18860" spans="23:23">
      <c r="W18860" s="503"/>
    </row>
    <row r="18861" spans="23:23">
      <c r="W18861" s="503"/>
    </row>
    <row r="18862" spans="23:23">
      <c r="W18862" s="503"/>
    </row>
    <row r="18863" spans="23:23">
      <c r="W18863" s="503"/>
    </row>
    <row r="18864" spans="23:23">
      <c r="W18864" s="503"/>
    </row>
    <row r="18865" spans="23:23">
      <c r="W18865" s="503"/>
    </row>
    <row r="18866" spans="23:23">
      <c r="W18866" s="503"/>
    </row>
    <row r="18867" spans="23:23">
      <c r="W18867" s="503"/>
    </row>
    <row r="18868" spans="23:23">
      <c r="W18868" s="503"/>
    </row>
    <row r="18869" spans="23:23">
      <c r="W18869" s="503"/>
    </row>
    <row r="18870" spans="23:23">
      <c r="W18870" s="503"/>
    </row>
    <row r="18871" spans="23:23">
      <c r="W18871" s="503"/>
    </row>
    <row r="18872" spans="23:23">
      <c r="W18872" s="503"/>
    </row>
    <row r="18873" spans="23:23">
      <c r="W18873" s="503"/>
    </row>
    <row r="18874" spans="23:23">
      <c r="W18874" s="503"/>
    </row>
    <row r="18875" spans="23:23">
      <c r="W18875" s="503"/>
    </row>
    <row r="18876" spans="23:23">
      <c r="W18876" s="503"/>
    </row>
    <row r="18877" spans="23:23">
      <c r="W18877" s="503"/>
    </row>
    <row r="18878" spans="23:23">
      <c r="W18878" s="503"/>
    </row>
    <row r="18879" spans="23:23">
      <c r="W18879" s="503"/>
    </row>
    <row r="18880" spans="23:23">
      <c r="W18880" s="503"/>
    </row>
    <row r="18881" spans="23:23">
      <c r="W18881" s="503"/>
    </row>
    <row r="18882" spans="23:23">
      <c r="W18882" s="503"/>
    </row>
    <row r="18883" spans="23:23">
      <c r="W18883" s="503"/>
    </row>
    <row r="18884" spans="23:23">
      <c r="W18884" s="503"/>
    </row>
    <row r="18885" spans="23:23">
      <c r="W18885" s="503"/>
    </row>
    <row r="18886" spans="23:23">
      <c r="W18886" s="503"/>
    </row>
    <row r="18887" spans="23:23">
      <c r="W18887" s="503"/>
    </row>
    <row r="18888" spans="23:23">
      <c r="W18888" s="503"/>
    </row>
    <row r="18889" spans="23:23">
      <c r="W18889" s="503"/>
    </row>
    <row r="18890" spans="23:23">
      <c r="W18890" s="503"/>
    </row>
    <row r="18891" spans="23:23">
      <c r="W18891" s="503"/>
    </row>
    <row r="18892" spans="23:23">
      <c r="W18892" s="503"/>
    </row>
    <row r="18893" spans="23:23">
      <c r="W18893" s="503"/>
    </row>
    <row r="18894" spans="23:23">
      <c r="W18894" s="503"/>
    </row>
    <row r="18895" spans="23:23">
      <c r="W18895" s="503"/>
    </row>
    <row r="18896" spans="23:23">
      <c r="W18896" s="503"/>
    </row>
    <row r="18897" spans="23:23">
      <c r="W18897" s="503"/>
    </row>
    <row r="18898" spans="23:23">
      <c r="W18898" s="503"/>
    </row>
    <row r="18899" spans="23:23">
      <c r="W18899" s="503"/>
    </row>
    <row r="18900" spans="23:23">
      <c r="W18900" s="503"/>
    </row>
    <row r="18901" spans="23:23">
      <c r="W18901" s="503"/>
    </row>
    <row r="18902" spans="23:23">
      <c r="W18902" s="503"/>
    </row>
    <row r="18903" spans="23:23">
      <c r="W18903" s="503"/>
    </row>
    <row r="18904" spans="23:23">
      <c r="W18904" s="503"/>
    </row>
    <row r="18905" spans="23:23">
      <c r="W18905" s="503"/>
    </row>
    <row r="18906" spans="23:23">
      <c r="W18906" s="503"/>
    </row>
    <row r="18907" spans="23:23">
      <c r="W18907" s="503"/>
    </row>
    <row r="18908" spans="23:23">
      <c r="W18908" s="503"/>
    </row>
    <row r="18909" spans="23:23">
      <c r="W18909" s="503"/>
    </row>
    <row r="18910" spans="23:23">
      <c r="W18910" s="503"/>
    </row>
    <row r="18911" spans="23:23">
      <c r="W18911" s="503"/>
    </row>
    <row r="18912" spans="23:23">
      <c r="W18912" s="503"/>
    </row>
    <row r="18913" spans="23:23">
      <c r="W18913" s="503"/>
    </row>
    <row r="18914" spans="23:23">
      <c r="W18914" s="503"/>
    </row>
    <row r="18915" spans="23:23">
      <c r="W18915" s="503"/>
    </row>
    <row r="18916" spans="23:23">
      <c r="W18916" s="503"/>
    </row>
    <row r="18917" spans="23:23">
      <c r="W18917" s="503"/>
    </row>
    <row r="18918" spans="23:23">
      <c r="W18918" s="503"/>
    </row>
    <row r="18919" spans="23:23">
      <c r="W18919" s="503"/>
    </row>
    <row r="18920" spans="23:23">
      <c r="W18920" s="503"/>
    </row>
    <row r="18921" spans="23:23">
      <c r="W18921" s="503"/>
    </row>
    <row r="18922" spans="23:23">
      <c r="W18922" s="503"/>
    </row>
    <row r="18923" spans="23:23">
      <c r="W18923" s="503"/>
    </row>
    <row r="18924" spans="23:23">
      <c r="W18924" s="503"/>
    </row>
    <row r="18925" spans="23:23">
      <c r="W18925" s="503"/>
    </row>
    <row r="18926" spans="23:23">
      <c r="W18926" s="503"/>
    </row>
    <row r="18927" spans="23:23">
      <c r="W18927" s="503"/>
    </row>
    <row r="18928" spans="23:23">
      <c r="W18928" s="503"/>
    </row>
    <row r="18929" spans="23:23">
      <c r="W18929" s="503"/>
    </row>
    <row r="18930" spans="23:23">
      <c r="W18930" s="503"/>
    </row>
    <row r="18931" spans="23:23">
      <c r="W18931" s="503"/>
    </row>
    <row r="18932" spans="23:23">
      <c r="W18932" s="503"/>
    </row>
    <row r="18933" spans="23:23">
      <c r="W18933" s="503"/>
    </row>
    <row r="18934" spans="23:23">
      <c r="W18934" s="503"/>
    </row>
    <row r="18935" spans="23:23">
      <c r="W18935" s="503"/>
    </row>
    <row r="18936" spans="23:23">
      <c r="W18936" s="503"/>
    </row>
    <row r="18937" spans="23:23">
      <c r="W18937" s="503"/>
    </row>
    <row r="18938" spans="23:23">
      <c r="W18938" s="503"/>
    </row>
    <row r="18939" spans="23:23">
      <c r="W18939" s="503"/>
    </row>
    <row r="18940" spans="23:23">
      <c r="W18940" s="503"/>
    </row>
    <row r="18941" spans="23:23">
      <c r="W18941" s="503"/>
    </row>
    <row r="18942" spans="23:23">
      <c r="W18942" s="503"/>
    </row>
    <row r="18943" spans="23:23">
      <c r="W18943" s="503"/>
    </row>
    <row r="18944" spans="23:23">
      <c r="W18944" s="503"/>
    </row>
    <row r="18945" spans="23:23">
      <c r="W18945" s="503"/>
    </row>
    <row r="18946" spans="23:23">
      <c r="W18946" s="503"/>
    </row>
    <row r="18947" spans="23:23">
      <c r="W18947" s="503"/>
    </row>
    <row r="18948" spans="23:23">
      <c r="W18948" s="503"/>
    </row>
    <row r="18949" spans="23:23">
      <c r="W18949" s="503"/>
    </row>
    <row r="18950" spans="23:23">
      <c r="W18950" s="503"/>
    </row>
    <row r="18951" spans="23:23">
      <c r="W18951" s="503"/>
    </row>
    <row r="18952" spans="23:23">
      <c r="W18952" s="503"/>
    </row>
    <row r="18953" spans="23:23">
      <c r="W18953" s="503"/>
    </row>
    <row r="18954" spans="23:23">
      <c r="W18954" s="503"/>
    </row>
    <row r="18955" spans="23:23">
      <c r="W18955" s="503"/>
    </row>
    <row r="18956" spans="23:23">
      <c r="W18956" s="503"/>
    </row>
    <row r="18957" spans="23:23">
      <c r="W18957" s="503"/>
    </row>
    <row r="18958" spans="23:23">
      <c r="W18958" s="503"/>
    </row>
    <row r="18959" spans="23:23">
      <c r="W18959" s="503"/>
    </row>
    <row r="18960" spans="23:23">
      <c r="W18960" s="503"/>
    </row>
    <row r="18961" spans="23:23">
      <c r="W18961" s="503"/>
    </row>
    <row r="18962" spans="23:23">
      <c r="W18962" s="503"/>
    </row>
    <row r="18963" spans="23:23">
      <c r="W18963" s="503"/>
    </row>
    <row r="18964" spans="23:23">
      <c r="W18964" s="503"/>
    </row>
    <row r="18965" spans="23:23">
      <c r="W18965" s="503"/>
    </row>
    <row r="18966" spans="23:23">
      <c r="W18966" s="503"/>
    </row>
    <row r="18967" spans="23:23">
      <c r="W18967" s="503"/>
    </row>
    <row r="18968" spans="23:23">
      <c r="W18968" s="503"/>
    </row>
    <row r="18969" spans="23:23">
      <c r="W18969" s="503"/>
    </row>
    <row r="18970" spans="23:23">
      <c r="W18970" s="503"/>
    </row>
    <row r="18971" spans="23:23">
      <c r="W18971" s="503"/>
    </row>
    <row r="18972" spans="23:23">
      <c r="W18972" s="503"/>
    </row>
    <row r="18973" spans="23:23">
      <c r="W18973" s="503"/>
    </row>
    <row r="18974" spans="23:23">
      <c r="W18974" s="503"/>
    </row>
    <row r="18975" spans="23:23">
      <c r="W18975" s="503"/>
    </row>
    <row r="18976" spans="23:23">
      <c r="W18976" s="503"/>
    </row>
    <row r="18977" spans="23:23">
      <c r="W18977" s="503"/>
    </row>
    <row r="18978" spans="23:23">
      <c r="W18978" s="503"/>
    </row>
    <row r="18979" spans="23:23">
      <c r="W18979" s="503"/>
    </row>
    <row r="18980" spans="23:23">
      <c r="W18980" s="503"/>
    </row>
    <row r="18981" spans="23:23">
      <c r="W18981" s="503"/>
    </row>
    <row r="18982" spans="23:23">
      <c r="W18982" s="503"/>
    </row>
    <row r="18983" spans="23:23">
      <c r="W18983" s="503"/>
    </row>
    <row r="18984" spans="23:23">
      <c r="W18984" s="503"/>
    </row>
    <row r="18985" spans="23:23">
      <c r="W18985" s="503"/>
    </row>
    <row r="18986" spans="23:23">
      <c r="W18986" s="503"/>
    </row>
    <row r="18987" spans="23:23">
      <c r="W18987" s="503"/>
    </row>
    <row r="18988" spans="23:23">
      <c r="W18988" s="503"/>
    </row>
    <row r="18989" spans="23:23">
      <c r="W18989" s="503"/>
    </row>
    <row r="18990" spans="23:23">
      <c r="W18990" s="503"/>
    </row>
    <row r="18991" spans="23:23">
      <c r="W18991" s="503"/>
    </row>
    <row r="18992" spans="23:23">
      <c r="W18992" s="503"/>
    </row>
    <row r="18993" spans="23:23">
      <c r="W18993" s="503"/>
    </row>
    <row r="18994" spans="23:23">
      <c r="W18994" s="503"/>
    </row>
    <row r="18995" spans="23:23">
      <c r="W18995" s="503"/>
    </row>
    <row r="18996" spans="23:23">
      <c r="W18996" s="503"/>
    </row>
    <row r="18997" spans="23:23">
      <c r="W18997" s="503"/>
    </row>
    <row r="18998" spans="23:23">
      <c r="W18998" s="503"/>
    </row>
    <row r="18999" spans="23:23">
      <c r="W18999" s="503"/>
    </row>
    <row r="19000" spans="23:23">
      <c r="W19000" s="503"/>
    </row>
    <row r="19001" spans="23:23">
      <c r="W19001" s="503"/>
    </row>
    <row r="19002" spans="23:23">
      <c r="W19002" s="503"/>
    </row>
    <row r="19003" spans="23:23">
      <c r="W19003" s="503"/>
    </row>
    <row r="19004" spans="23:23">
      <c r="W19004" s="503"/>
    </row>
    <row r="19005" spans="23:23">
      <c r="W19005" s="503"/>
    </row>
    <row r="19006" spans="23:23">
      <c r="W19006" s="503"/>
    </row>
    <row r="19007" spans="23:23">
      <c r="W19007" s="503"/>
    </row>
    <row r="19008" spans="23:23">
      <c r="W19008" s="503"/>
    </row>
    <row r="19009" spans="23:23">
      <c r="W19009" s="503"/>
    </row>
    <row r="19010" spans="23:23">
      <c r="W19010" s="503"/>
    </row>
    <row r="19011" spans="23:23">
      <c r="W19011" s="503"/>
    </row>
    <row r="19012" spans="23:23">
      <c r="W19012" s="503"/>
    </row>
    <row r="19013" spans="23:23">
      <c r="W19013" s="503"/>
    </row>
    <row r="19014" spans="23:23">
      <c r="W19014" s="503"/>
    </row>
    <row r="19015" spans="23:23">
      <c r="W19015" s="503"/>
    </row>
    <row r="19016" spans="23:23">
      <c r="W19016" s="503"/>
    </row>
    <row r="19017" spans="23:23">
      <c r="W19017" s="503"/>
    </row>
    <row r="19018" spans="23:23">
      <c r="W19018" s="503"/>
    </row>
    <row r="19019" spans="23:23">
      <c r="W19019" s="503"/>
    </row>
    <row r="19020" spans="23:23">
      <c r="W19020" s="503"/>
    </row>
    <row r="19021" spans="23:23">
      <c r="W19021" s="503"/>
    </row>
    <row r="19022" spans="23:23">
      <c r="W19022" s="503"/>
    </row>
    <row r="19023" spans="23:23">
      <c r="W19023" s="503"/>
    </row>
    <row r="19024" spans="23:23">
      <c r="W19024" s="503"/>
    </row>
    <row r="19025" spans="23:23">
      <c r="W19025" s="503"/>
    </row>
    <row r="19026" spans="23:23">
      <c r="W19026" s="503"/>
    </row>
    <row r="19027" spans="23:23">
      <c r="W19027" s="503"/>
    </row>
    <row r="19028" spans="23:23">
      <c r="W19028" s="503"/>
    </row>
    <row r="19029" spans="23:23">
      <c r="W19029" s="503"/>
    </row>
    <row r="19030" spans="23:23">
      <c r="W19030" s="503"/>
    </row>
    <row r="19031" spans="23:23">
      <c r="W19031" s="503"/>
    </row>
    <row r="19032" spans="23:23">
      <c r="W19032" s="503"/>
    </row>
    <row r="19033" spans="23:23">
      <c r="W19033" s="503"/>
    </row>
    <row r="19034" spans="23:23">
      <c r="W19034" s="503"/>
    </row>
    <row r="19035" spans="23:23">
      <c r="W19035" s="503"/>
    </row>
    <row r="19036" spans="23:23">
      <c r="W19036" s="503"/>
    </row>
    <row r="19037" spans="23:23">
      <c r="W19037" s="503"/>
    </row>
    <row r="19038" spans="23:23">
      <c r="W19038" s="503"/>
    </row>
    <row r="19039" spans="23:23">
      <c r="W19039" s="503"/>
    </row>
    <row r="19040" spans="23:23">
      <c r="W19040" s="503"/>
    </row>
    <row r="19041" spans="23:23">
      <c r="W19041" s="503"/>
    </row>
    <row r="19042" spans="23:23">
      <c r="W19042" s="503"/>
    </row>
    <row r="19043" spans="23:23">
      <c r="W19043" s="503"/>
    </row>
    <row r="19044" spans="23:23">
      <c r="W19044" s="503"/>
    </row>
    <row r="19045" spans="23:23">
      <c r="W19045" s="503"/>
    </row>
    <row r="19046" spans="23:23">
      <c r="W19046" s="503"/>
    </row>
    <row r="19047" spans="23:23">
      <c r="W19047" s="503"/>
    </row>
    <row r="19048" spans="23:23">
      <c r="W19048" s="503"/>
    </row>
    <row r="19049" spans="23:23">
      <c r="W19049" s="503"/>
    </row>
    <row r="19050" spans="23:23">
      <c r="W19050" s="503"/>
    </row>
    <row r="19051" spans="23:23">
      <c r="W19051" s="503"/>
    </row>
    <row r="19052" spans="23:23">
      <c r="W19052" s="503"/>
    </row>
    <row r="19053" spans="23:23">
      <c r="W19053" s="503"/>
    </row>
    <row r="19054" spans="23:23">
      <c r="W19054" s="503"/>
    </row>
    <row r="19055" spans="23:23">
      <c r="W19055" s="503"/>
    </row>
    <row r="19056" spans="23:23">
      <c r="W19056" s="503"/>
    </row>
    <row r="19057" spans="23:23">
      <c r="W19057" s="503"/>
    </row>
    <row r="19058" spans="23:23">
      <c r="W19058" s="503"/>
    </row>
    <row r="19059" spans="23:23">
      <c r="W19059" s="503"/>
    </row>
    <row r="19060" spans="23:23">
      <c r="W19060" s="503"/>
    </row>
    <row r="19061" spans="23:23">
      <c r="W19061" s="503"/>
    </row>
    <row r="19062" spans="23:23">
      <c r="W19062" s="503"/>
    </row>
    <row r="19063" spans="23:23">
      <c r="W19063" s="503"/>
    </row>
    <row r="19064" spans="23:23">
      <c r="W19064" s="503"/>
    </row>
    <row r="19065" spans="23:23">
      <c r="W19065" s="503"/>
    </row>
    <row r="19066" spans="23:23">
      <c r="W19066" s="503"/>
    </row>
    <row r="19067" spans="23:23">
      <c r="W19067" s="503"/>
    </row>
    <row r="19068" spans="23:23">
      <c r="W19068" s="503"/>
    </row>
    <row r="19069" spans="23:23">
      <c r="W19069" s="503"/>
    </row>
    <row r="19070" spans="23:23">
      <c r="W19070" s="503"/>
    </row>
    <row r="19071" spans="23:23">
      <c r="W19071" s="503"/>
    </row>
    <row r="19072" spans="23:23">
      <c r="W19072" s="503"/>
    </row>
    <row r="19073" spans="23:23">
      <c r="W19073" s="503"/>
    </row>
    <row r="19074" spans="23:23">
      <c r="W19074" s="503"/>
    </row>
    <row r="19075" spans="23:23">
      <c r="W19075" s="503"/>
    </row>
    <row r="19076" spans="23:23">
      <c r="W19076" s="503"/>
    </row>
    <row r="19077" spans="23:23">
      <c r="W19077" s="503"/>
    </row>
    <row r="19078" spans="23:23">
      <c r="W19078" s="503"/>
    </row>
    <row r="19079" spans="23:23">
      <c r="W19079" s="503"/>
    </row>
    <row r="19080" spans="23:23">
      <c r="W19080" s="503"/>
    </row>
    <row r="19081" spans="23:23">
      <c r="W19081" s="503"/>
    </row>
    <row r="19082" spans="23:23">
      <c r="W19082" s="503"/>
    </row>
    <row r="19083" spans="23:23">
      <c r="W19083" s="503"/>
    </row>
    <row r="19084" spans="23:23">
      <c r="W19084" s="503"/>
    </row>
    <row r="19085" spans="23:23">
      <c r="W19085" s="503"/>
    </row>
    <row r="19086" spans="23:23">
      <c r="W19086" s="503"/>
    </row>
    <row r="19087" spans="23:23">
      <c r="W19087" s="503"/>
    </row>
    <row r="19088" spans="23:23">
      <c r="W19088" s="503"/>
    </row>
    <row r="19089" spans="23:23">
      <c r="W19089" s="503"/>
    </row>
    <row r="19090" spans="23:23">
      <c r="W19090" s="503"/>
    </row>
    <row r="19091" spans="23:23">
      <c r="W19091" s="503"/>
    </row>
    <row r="19092" spans="23:23">
      <c r="W19092" s="503"/>
    </row>
    <row r="19093" spans="23:23">
      <c r="W19093" s="503"/>
    </row>
    <row r="19094" spans="23:23">
      <c r="W19094" s="503"/>
    </row>
    <row r="19095" spans="23:23">
      <c r="W19095" s="503"/>
    </row>
    <row r="19096" spans="23:23">
      <c r="W19096" s="503"/>
    </row>
    <row r="19097" spans="23:23">
      <c r="W19097" s="503"/>
    </row>
    <row r="19098" spans="23:23">
      <c r="W19098" s="503"/>
    </row>
    <row r="19099" spans="23:23">
      <c r="W19099" s="503"/>
    </row>
    <row r="19100" spans="23:23">
      <c r="W19100" s="503"/>
    </row>
    <row r="19101" spans="23:23">
      <c r="W19101" s="503"/>
    </row>
    <row r="19102" spans="23:23">
      <c r="W19102" s="503"/>
    </row>
    <row r="19103" spans="23:23">
      <c r="W19103" s="503"/>
    </row>
    <row r="19104" spans="23:23">
      <c r="W19104" s="503"/>
    </row>
    <row r="19105" spans="23:23">
      <c r="W19105" s="503"/>
    </row>
    <row r="19106" spans="23:23">
      <c r="W19106" s="503"/>
    </row>
    <row r="19107" spans="23:23">
      <c r="W19107" s="503"/>
    </row>
    <row r="19108" spans="23:23">
      <c r="W19108" s="503"/>
    </row>
    <row r="19109" spans="23:23">
      <c r="W19109" s="503"/>
    </row>
    <row r="19110" spans="23:23">
      <c r="W19110" s="503"/>
    </row>
    <row r="19111" spans="23:23">
      <c r="W19111" s="503"/>
    </row>
    <row r="19112" spans="23:23">
      <c r="W19112" s="503"/>
    </row>
    <row r="19113" spans="23:23">
      <c r="W19113" s="503"/>
    </row>
    <row r="19114" spans="23:23">
      <c r="W19114" s="503"/>
    </row>
    <row r="19115" spans="23:23">
      <c r="W19115" s="503"/>
    </row>
    <row r="19116" spans="23:23">
      <c r="W19116" s="503"/>
    </row>
    <row r="19117" spans="23:23">
      <c r="W19117" s="503"/>
    </row>
    <row r="19118" spans="23:23">
      <c r="W19118" s="503"/>
    </row>
    <row r="19119" spans="23:23">
      <c r="W19119" s="503"/>
    </row>
    <row r="19120" spans="23:23">
      <c r="W19120" s="503"/>
    </row>
    <row r="19121" spans="23:23">
      <c r="W19121" s="503"/>
    </row>
    <row r="19122" spans="23:23">
      <c r="W19122" s="503"/>
    </row>
    <row r="19123" spans="23:23">
      <c r="W19123" s="503"/>
    </row>
    <row r="19124" spans="23:23">
      <c r="W19124" s="503"/>
    </row>
    <row r="19125" spans="23:23">
      <c r="W19125" s="503"/>
    </row>
    <row r="19126" spans="23:23">
      <c r="W19126" s="503"/>
    </row>
    <row r="19127" spans="23:23">
      <c r="W19127" s="503"/>
    </row>
    <row r="19128" spans="23:23">
      <c r="W19128" s="503"/>
    </row>
    <row r="19129" spans="23:23">
      <c r="W19129" s="503"/>
    </row>
    <row r="19130" spans="23:23">
      <c r="W19130" s="503"/>
    </row>
    <row r="19131" spans="23:23">
      <c r="W19131" s="503"/>
    </row>
    <row r="19132" spans="23:23">
      <c r="W19132" s="503"/>
    </row>
    <row r="19133" spans="23:23">
      <c r="W19133" s="503"/>
    </row>
    <row r="19134" spans="23:23">
      <c r="W19134" s="503"/>
    </row>
    <row r="19135" spans="23:23">
      <c r="W19135" s="503"/>
    </row>
    <row r="19136" spans="23:23">
      <c r="W19136" s="503"/>
    </row>
    <row r="19137" spans="23:23">
      <c r="W19137" s="503"/>
    </row>
    <row r="19138" spans="23:23">
      <c r="W19138" s="503"/>
    </row>
    <row r="19139" spans="23:23">
      <c r="W19139" s="503"/>
    </row>
    <row r="19140" spans="23:23">
      <c r="W19140" s="503"/>
    </row>
    <row r="19141" spans="23:23">
      <c r="W19141" s="503"/>
    </row>
    <row r="19142" spans="23:23">
      <c r="W19142" s="503"/>
    </row>
    <row r="19143" spans="23:23">
      <c r="W19143" s="503"/>
    </row>
    <row r="19144" spans="23:23">
      <c r="W19144" s="503"/>
    </row>
    <row r="19145" spans="23:23">
      <c r="W19145" s="503"/>
    </row>
    <row r="19146" spans="23:23">
      <c r="W19146" s="503"/>
    </row>
    <row r="19147" spans="23:23">
      <c r="W19147" s="503"/>
    </row>
    <row r="19148" spans="23:23">
      <c r="W19148" s="503"/>
    </row>
    <row r="19149" spans="23:23">
      <c r="W19149" s="503"/>
    </row>
    <row r="19150" spans="23:23">
      <c r="W19150" s="503"/>
    </row>
    <row r="19151" spans="23:23">
      <c r="W19151" s="503"/>
    </row>
    <row r="19152" spans="23:23">
      <c r="W19152" s="503"/>
    </row>
    <row r="19153" spans="23:23">
      <c r="W19153" s="503"/>
    </row>
    <row r="19154" spans="23:23">
      <c r="W19154" s="503"/>
    </row>
    <row r="19155" spans="23:23">
      <c r="W19155" s="503"/>
    </row>
    <row r="19156" spans="23:23">
      <c r="W19156" s="503"/>
    </row>
    <row r="19157" spans="23:23">
      <c r="W19157" s="503"/>
    </row>
    <row r="19158" spans="23:23">
      <c r="W19158" s="503"/>
    </row>
    <row r="19159" spans="23:23">
      <c r="W19159" s="503"/>
    </row>
    <row r="19160" spans="23:23">
      <c r="W19160" s="503"/>
    </row>
    <row r="19161" spans="23:23">
      <c r="W19161" s="503"/>
    </row>
    <row r="19162" spans="23:23">
      <c r="W19162" s="503"/>
    </row>
    <row r="19163" spans="23:23">
      <c r="W19163" s="503"/>
    </row>
    <row r="19164" spans="23:23">
      <c r="W19164" s="503"/>
    </row>
    <row r="19165" spans="23:23">
      <c r="W19165" s="503"/>
    </row>
    <row r="19166" spans="23:23">
      <c r="W19166" s="503"/>
    </row>
    <row r="19167" spans="23:23">
      <c r="W19167" s="503"/>
    </row>
    <row r="19168" spans="23:23">
      <c r="W19168" s="503"/>
    </row>
    <row r="19169" spans="23:23">
      <c r="W19169" s="503"/>
    </row>
    <row r="19170" spans="23:23">
      <c r="W19170" s="503"/>
    </row>
    <row r="19171" spans="23:23">
      <c r="W19171" s="503"/>
    </row>
    <row r="19172" spans="23:23">
      <c r="W19172" s="503"/>
    </row>
    <row r="19173" spans="23:23">
      <c r="W19173" s="503"/>
    </row>
    <row r="19174" spans="23:23">
      <c r="W19174" s="503"/>
    </row>
    <row r="19175" spans="23:23">
      <c r="W19175" s="503"/>
    </row>
    <row r="19176" spans="23:23">
      <c r="W19176" s="503"/>
    </row>
    <row r="19177" spans="23:23">
      <c r="W19177" s="503"/>
    </row>
    <row r="19178" spans="23:23">
      <c r="W19178" s="503"/>
    </row>
    <row r="19179" spans="23:23">
      <c r="W19179" s="503"/>
    </row>
    <row r="19180" spans="23:23">
      <c r="W19180" s="503"/>
    </row>
    <row r="19181" spans="23:23">
      <c r="W19181" s="503"/>
    </row>
    <row r="19182" spans="23:23">
      <c r="W19182" s="503"/>
    </row>
    <row r="19183" spans="23:23">
      <c r="W19183" s="503"/>
    </row>
    <row r="19184" spans="23:23">
      <c r="W19184" s="503"/>
    </row>
    <row r="19185" spans="23:23">
      <c r="W19185" s="503"/>
    </row>
    <row r="19186" spans="23:23">
      <c r="W19186" s="503"/>
    </row>
    <row r="19187" spans="23:23">
      <c r="W19187" s="503"/>
    </row>
    <row r="19188" spans="23:23">
      <c r="W19188" s="503"/>
    </row>
    <row r="19189" spans="23:23">
      <c r="W19189" s="503"/>
    </row>
    <row r="19190" spans="23:23">
      <c r="W19190" s="503"/>
    </row>
    <row r="19191" spans="23:23">
      <c r="W19191" s="503"/>
    </row>
    <row r="19192" spans="23:23">
      <c r="W19192" s="503"/>
    </row>
    <row r="19193" spans="23:23">
      <c r="W19193" s="503"/>
    </row>
    <row r="19194" spans="23:23">
      <c r="W19194" s="503"/>
    </row>
    <row r="19195" spans="23:23">
      <c r="W19195" s="503"/>
    </row>
    <row r="19196" spans="23:23">
      <c r="W19196" s="503"/>
    </row>
    <row r="19197" spans="23:23">
      <c r="W19197" s="503"/>
    </row>
    <row r="19198" spans="23:23">
      <c r="W19198" s="503"/>
    </row>
    <row r="19199" spans="23:23">
      <c r="W19199" s="503"/>
    </row>
    <row r="19200" spans="23:23">
      <c r="W19200" s="503"/>
    </row>
    <row r="19201" spans="23:23">
      <c r="W19201" s="503"/>
    </row>
    <row r="19202" spans="23:23">
      <c r="W19202" s="503"/>
    </row>
    <row r="19203" spans="23:23">
      <c r="W19203" s="503"/>
    </row>
    <row r="19204" spans="23:23">
      <c r="W19204" s="503"/>
    </row>
    <row r="19205" spans="23:23">
      <c r="W19205" s="503"/>
    </row>
    <row r="19206" spans="23:23">
      <c r="W19206" s="503"/>
    </row>
    <row r="19207" spans="23:23">
      <c r="W19207" s="503"/>
    </row>
    <row r="19208" spans="23:23">
      <c r="W19208" s="503"/>
    </row>
    <row r="19209" spans="23:23">
      <c r="W19209" s="503"/>
    </row>
    <row r="19210" spans="23:23">
      <c r="W19210" s="503"/>
    </row>
    <row r="19211" spans="23:23">
      <c r="W19211" s="503"/>
    </row>
    <row r="19212" spans="23:23">
      <c r="W19212" s="503"/>
    </row>
    <row r="19213" spans="23:23">
      <c r="W19213" s="503"/>
    </row>
    <row r="19214" spans="23:23">
      <c r="W19214" s="503"/>
    </row>
    <row r="19215" spans="23:23">
      <c r="W19215" s="503"/>
    </row>
    <row r="19216" spans="23:23">
      <c r="W19216" s="503"/>
    </row>
    <row r="19217" spans="23:23">
      <c r="W19217" s="503"/>
    </row>
    <row r="19218" spans="23:23">
      <c r="W19218" s="503"/>
    </row>
    <row r="19219" spans="23:23">
      <c r="W19219" s="503"/>
    </row>
    <row r="19220" spans="23:23">
      <c r="W19220" s="503"/>
    </row>
    <row r="19221" spans="23:23">
      <c r="W19221" s="503"/>
    </row>
    <row r="19222" spans="23:23">
      <c r="W19222" s="503"/>
    </row>
    <row r="19223" spans="23:23">
      <c r="W19223" s="503"/>
    </row>
    <row r="19224" spans="23:23">
      <c r="W19224" s="503"/>
    </row>
    <row r="19225" spans="23:23">
      <c r="W19225" s="503"/>
    </row>
    <row r="19226" spans="23:23">
      <c r="W19226" s="503"/>
    </row>
    <row r="19227" spans="23:23">
      <c r="W19227" s="503"/>
    </row>
    <row r="19228" spans="23:23">
      <c r="W19228" s="503"/>
    </row>
    <row r="19229" spans="23:23">
      <c r="W19229" s="503"/>
    </row>
    <row r="19230" spans="23:23">
      <c r="W19230" s="503"/>
    </row>
    <row r="19231" spans="23:23">
      <c r="W19231" s="503"/>
    </row>
    <row r="19232" spans="23:23">
      <c r="W19232" s="503"/>
    </row>
    <row r="19233" spans="23:23">
      <c r="W19233" s="503"/>
    </row>
    <row r="19234" spans="23:23">
      <c r="W19234" s="503"/>
    </row>
    <row r="19235" spans="23:23">
      <c r="W19235" s="503"/>
    </row>
    <row r="19236" spans="23:23">
      <c r="W19236" s="503"/>
    </row>
    <row r="19237" spans="23:23">
      <c r="W19237" s="503"/>
    </row>
    <row r="19238" spans="23:23">
      <c r="W19238" s="503"/>
    </row>
    <row r="19239" spans="23:23">
      <c r="W19239" s="503"/>
    </row>
    <row r="19240" spans="23:23">
      <c r="W19240" s="503"/>
    </row>
    <row r="19241" spans="23:23">
      <c r="W19241" s="503"/>
    </row>
    <row r="19242" spans="23:23">
      <c r="W19242" s="503"/>
    </row>
    <row r="19243" spans="23:23">
      <c r="W19243" s="503"/>
    </row>
    <row r="19244" spans="23:23">
      <c r="W19244" s="503"/>
    </row>
    <row r="19245" spans="23:23">
      <c r="W19245" s="503"/>
    </row>
    <row r="19246" spans="23:23">
      <c r="W19246" s="503"/>
    </row>
    <row r="19247" spans="23:23">
      <c r="W19247" s="503"/>
    </row>
    <row r="19248" spans="23:23">
      <c r="W19248" s="503"/>
    </row>
    <row r="19249" spans="23:23">
      <c r="W19249" s="503"/>
    </row>
    <row r="19250" spans="23:23">
      <c r="W19250" s="503"/>
    </row>
    <row r="19251" spans="23:23">
      <c r="W19251" s="503"/>
    </row>
    <row r="19252" spans="23:23">
      <c r="W19252" s="503"/>
    </row>
    <row r="19253" spans="23:23">
      <c r="W19253" s="503"/>
    </row>
    <row r="19254" spans="23:23">
      <c r="W19254" s="503"/>
    </row>
    <row r="19255" spans="23:23">
      <c r="W19255" s="503"/>
    </row>
    <row r="19256" spans="23:23">
      <c r="W19256" s="503"/>
    </row>
    <row r="19257" spans="23:23">
      <c r="W19257" s="503"/>
    </row>
    <row r="19258" spans="23:23">
      <c r="W19258" s="503"/>
    </row>
    <row r="19259" spans="23:23">
      <c r="W19259" s="503"/>
    </row>
    <row r="19260" spans="23:23">
      <c r="W19260" s="503"/>
    </row>
    <row r="19261" spans="23:23">
      <c r="W19261" s="503"/>
    </row>
    <row r="19262" spans="23:23">
      <c r="W19262" s="503"/>
    </row>
    <row r="19263" spans="23:23">
      <c r="W19263" s="503"/>
    </row>
    <row r="19264" spans="23:23">
      <c r="W19264" s="503"/>
    </row>
    <row r="19265" spans="23:23">
      <c r="W19265" s="503"/>
    </row>
    <row r="19266" spans="23:23">
      <c r="W19266" s="503"/>
    </row>
    <row r="19267" spans="23:23">
      <c r="W19267" s="503"/>
    </row>
    <row r="19268" spans="23:23">
      <c r="W19268" s="503"/>
    </row>
    <row r="19269" spans="23:23">
      <c r="W19269" s="503"/>
    </row>
    <row r="19270" spans="23:23">
      <c r="W19270" s="503"/>
    </row>
    <row r="19271" spans="23:23">
      <c r="W19271" s="503"/>
    </row>
    <row r="19272" spans="23:23">
      <c r="W19272" s="503"/>
    </row>
    <row r="19273" spans="23:23">
      <c r="W19273" s="503"/>
    </row>
    <row r="19274" spans="23:23">
      <c r="W19274" s="503"/>
    </row>
    <row r="19275" spans="23:23">
      <c r="W19275" s="503"/>
    </row>
    <row r="19276" spans="23:23">
      <c r="W19276" s="503"/>
    </row>
    <row r="19277" spans="23:23">
      <c r="W19277" s="503"/>
    </row>
    <row r="19278" spans="23:23">
      <c r="W19278" s="503"/>
    </row>
    <row r="19279" spans="23:23">
      <c r="W19279" s="503"/>
    </row>
    <row r="19280" spans="23:23">
      <c r="W19280" s="503"/>
    </row>
    <row r="19281" spans="23:23">
      <c r="W19281" s="503"/>
    </row>
    <row r="19282" spans="23:23">
      <c r="W19282" s="503"/>
    </row>
    <row r="19283" spans="23:23">
      <c r="W19283" s="503"/>
    </row>
    <row r="19284" spans="23:23">
      <c r="W19284" s="503"/>
    </row>
    <row r="19285" spans="23:23">
      <c r="W19285" s="503"/>
    </row>
    <row r="19286" spans="23:23">
      <c r="W19286" s="503"/>
    </row>
    <row r="19287" spans="23:23">
      <c r="W19287" s="503"/>
    </row>
    <row r="19288" spans="23:23">
      <c r="W19288" s="503"/>
    </row>
    <row r="19289" spans="23:23">
      <c r="W19289" s="503"/>
    </row>
    <row r="19290" spans="23:23">
      <c r="W19290" s="503"/>
    </row>
    <row r="19291" spans="23:23">
      <c r="W19291" s="503"/>
    </row>
    <row r="19292" spans="23:23">
      <c r="W19292" s="503"/>
    </row>
    <row r="19293" spans="23:23">
      <c r="W19293" s="503"/>
    </row>
    <row r="19294" spans="23:23">
      <c r="W19294" s="503"/>
    </row>
    <row r="19295" spans="23:23">
      <c r="W19295" s="503"/>
    </row>
    <row r="19296" spans="23:23">
      <c r="W19296" s="503"/>
    </row>
    <row r="19297" spans="23:23">
      <c r="W19297" s="503"/>
    </row>
    <row r="19298" spans="23:23">
      <c r="W19298" s="503"/>
    </row>
    <row r="19299" spans="23:23">
      <c r="W19299" s="503"/>
    </row>
    <row r="19300" spans="23:23">
      <c r="W19300" s="503"/>
    </row>
    <row r="19301" spans="23:23">
      <c r="W19301" s="503"/>
    </row>
    <row r="19302" spans="23:23">
      <c r="W19302" s="503"/>
    </row>
    <row r="19303" spans="23:23">
      <c r="W19303" s="503"/>
    </row>
    <row r="19304" spans="23:23">
      <c r="W19304" s="503"/>
    </row>
    <row r="19305" spans="23:23">
      <c r="W19305" s="503"/>
    </row>
    <row r="19306" spans="23:23">
      <c r="W19306" s="503"/>
    </row>
    <row r="19307" spans="23:23">
      <c r="W19307" s="503"/>
    </row>
    <row r="19308" spans="23:23">
      <c r="W19308" s="503"/>
    </row>
    <row r="19309" spans="23:23">
      <c r="W19309" s="503"/>
    </row>
    <row r="19310" spans="23:23">
      <c r="W19310" s="503"/>
    </row>
    <row r="19311" spans="23:23">
      <c r="W19311" s="503"/>
    </row>
    <row r="19312" spans="23:23">
      <c r="W19312" s="503"/>
    </row>
    <row r="19313" spans="23:23">
      <c r="W19313" s="503"/>
    </row>
    <row r="19314" spans="23:23">
      <c r="W19314" s="503"/>
    </row>
    <row r="19315" spans="23:23">
      <c r="W19315" s="503"/>
    </row>
    <row r="19316" spans="23:23">
      <c r="W19316" s="503"/>
    </row>
    <row r="19317" spans="23:23">
      <c r="W19317" s="503"/>
    </row>
    <row r="19318" spans="23:23">
      <c r="W19318" s="503"/>
    </row>
    <row r="19319" spans="23:23">
      <c r="W19319" s="503"/>
    </row>
    <row r="19320" spans="23:23">
      <c r="W19320" s="503"/>
    </row>
    <row r="19321" spans="23:23">
      <c r="W19321" s="503"/>
    </row>
    <row r="19322" spans="23:23">
      <c r="W19322" s="503"/>
    </row>
    <row r="19323" spans="23:23">
      <c r="W19323" s="503"/>
    </row>
    <row r="19324" spans="23:23">
      <c r="W19324" s="503"/>
    </row>
    <row r="19325" spans="23:23">
      <c r="W19325" s="503"/>
    </row>
    <row r="19326" spans="23:23">
      <c r="W19326" s="503"/>
    </row>
    <row r="19327" spans="23:23">
      <c r="W19327" s="503"/>
    </row>
    <row r="19328" spans="23:23">
      <c r="W19328" s="503"/>
    </row>
    <row r="19329" spans="23:23">
      <c r="W19329" s="503"/>
    </row>
    <row r="19330" spans="23:23">
      <c r="W19330" s="503"/>
    </row>
    <row r="19331" spans="23:23">
      <c r="W19331" s="503"/>
    </row>
    <row r="19332" spans="23:23">
      <c r="W19332" s="503"/>
    </row>
    <row r="19333" spans="23:23">
      <c r="W19333" s="503"/>
    </row>
    <row r="19334" spans="23:23">
      <c r="W19334" s="503"/>
    </row>
    <row r="19335" spans="23:23">
      <c r="W19335" s="503"/>
    </row>
    <row r="19336" spans="23:23">
      <c r="W19336" s="503"/>
    </row>
    <row r="19337" spans="23:23">
      <c r="W19337" s="503"/>
    </row>
    <row r="19338" spans="23:23">
      <c r="W19338" s="503"/>
    </row>
    <row r="19339" spans="23:23">
      <c r="W19339" s="503"/>
    </row>
    <row r="19340" spans="23:23">
      <c r="W19340" s="503"/>
    </row>
    <row r="19341" spans="23:23">
      <c r="W19341" s="503"/>
    </row>
    <row r="19342" spans="23:23">
      <c r="W19342" s="503"/>
    </row>
    <row r="19343" spans="23:23">
      <c r="W19343" s="503"/>
    </row>
    <row r="19344" spans="23:23">
      <c r="W19344" s="503"/>
    </row>
    <row r="19345" spans="23:23">
      <c r="W19345" s="503"/>
    </row>
    <row r="19346" spans="23:23">
      <c r="W19346" s="503"/>
    </row>
    <row r="19347" spans="23:23">
      <c r="W19347" s="503"/>
    </row>
    <row r="19348" spans="23:23">
      <c r="W19348" s="503"/>
    </row>
    <row r="19349" spans="23:23">
      <c r="W19349" s="503"/>
    </row>
    <row r="19350" spans="23:23">
      <c r="W19350" s="503"/>
    </row>
    <row r="19351" spans="23:23">
      <c r="W19351" s="503"/>
    </row>
    <row r="19352" spans="23:23">
      <c r="W19352" s="503"/>
    </row>
    <row r="19353" spans="23:23">
      <c r="W19353" s="503"/>
    </row>
    <row r="19354" spans="23:23">
      <c r="W19354" s="503"/>
    </row>
    <row r="19355" spans="23:23">
      <c r="W19355" s="503"/>
    </row>
    <row r="19356" spans="23:23">
      <c r="W19356" s="503"/>
    </row>
    <row r="19357" spans="23:23">
      <c r="W19357" s="503"/>
    </row>
    <row r="19358" spans="23:23">
      <c r="W19358" s="503"/>
    </row>
    <row r="19359" spans="23:23">
      <c r="W19359" s="503"/>
    </row>
    <row r="19360" spans="23:23">
      <c r="W19360" s="503"/>
    </row>
    <row r="19361" spans="23:23">
      <c r="W19361" s="503"/>
    </row>
    <row r="19362" spans="23:23">
      <c r="W19362" s="503"/>
    </row>
    <row r="19363" spans="23:23">
      <c r="W19363" s="503"/>
    </row>
    <row r="19364" spans="23:23">
      <c r="W19364" s="503"/>
    </row>
    <row r="19365" spans="23:23">
      <c r="W19365" s="503"/>
    </row>
    <row r="19366" spans="23:23">
      <c r="W19366" s="503"/>
    </row>
    <row r="19367" spans="23:23">
      <c r="W19367" s="503"/>
    </row>
    <row r="19368" spans="23:23">
      <c r="W19368" s="503"/>
    </row>
    <row r="19369" spans="23:23">
      <c r="W19369" s="503"/>
    </row>
    <row r="19370" spans="23:23">
      <c r="W19370" s="503"/>
    </row>
    <row r="19371" spans="23:23">
      <c r="W19371" s="503"/>
    </row>
    <row r="19372" spans="23:23">
      <c r="W19372" s="503"/>
    </row>
    <row r="19373" spans="23:23">
      <c r="W19373" s="503"/>
    </row>
    <row r="19374" spans="23:23">
      <c r="W19374" s="503"/>
    </row>
    <row r="19375" spans="23:23">
      <c r="W19375" s="503"/>
    </row>
    <row r="19376" spans="23:23">
      <c r="W19376" s="503"/>
    </row>
    <row r="19377" spans="23:23">
      <c r="W19377" s="503"/>
    </row>
    <row r="19378" spans="23:23">
      <c r="W19378" s="503"/>
    </row>
    <row r="19379" spans="23:23">
      <c r="W19379" s="503"/>
    </row>
    <row r="19380" spans="23:23">
      <c r="W19380" s="503"/>
    </row>
    <row r="19381" spans="23:23">
      <c r="W19381" s="503"/>
    </row>
    <row r="19382" spans="23:23">
      <c r="W19382" s="503"/>
    </row>
    <row r="19383" spans="23:23">
      <c r="W19383" s="503"/>
    </row>
    <row r="19384" spans="23:23">
      <c r="W19384" s="503"/>
    </row>
    <row r="19385" spans="23:23">
      <c r="W19385" s="503"/>
    </row>
    <row r="19386" spans="23:23">
      <c r="W19386" s="503"/>
    </row>
    <row r="19387" spans="23:23">
      <c r="W19387" s="503"/>
    </row>
    <row r="19388" spans="23:23">
      <c r="W19388" s="503"/>
    </row>
    <row r="19389" spans="23:23">
      <c r="W19389" s="503"/>
    </row>
    <row r="19390" spans="23:23">
      <c r="W19390" s="503"/>
    </row>
    <row r="19391" spans="23:23">
      <c r="W19391" s="503"/>
    </row>
    <row r="19392" spans="23:23">
      <c r="W19392" s="503"/>
    </row>
    <row r="19393" spans="23:23">
      <c r="W19393" s="503"/>
    </row>
    <row r="19394" spans="23:23">
      <c r="W19394" s="503"/>
    </row>
    <row r="19395" spans="23:23">
      <c r="W19395" s="503"/>
    </row>
    <row r="19396" spans="23:23">
      <c r="W19396" s="503"/>
    </row>
    <row r="19397" spans="23:23">
      <c r="W19397" s="503"/>
    </row>
    <row r="19398" spans="23:23">
      <c r="W19398" s="503"/>
    </row>
    <row r="19399" spans="23:23">
      <c r="W19399" s="503"/>
    </row>
    <row r="19400" spans="23:23">
      <c r="W19400" s="503"/>
    </row>
    <row r="19401" spans="23:23">
      <c r="W19401" s="503"/>
    </row>
    <row r="19402" spans="23:23">
      <c r="W19402" s="503"/>
    </row>
    <row r="19403" spans="23:23">
      <c r="W19403" s="503"/>
    </row>
    <row r="19404" spans="23:23">
      <c r="W19404" s="503"/>
    </row>
    <row r="19405" spans="23:23">
      <c r="W19405" s="503"/>
    </row>
    <row r="19406" spans="23:23">
      <c r="W19406" s="503"/>
    </row>
    <row r="19407" spans="23:23">
      <c r="W19407" s="503"/>
    </row>
    <row r="19408" spans="23:23">
      <c r="W19408" s="503"/>
    </row>
    <row r="19409" spans="23:23">
      <c r="W19409" s="503"/>
    </row>
    <row r="19410" spans="23:23">
      <c r="W19410" s="503"/>
    </row>
    <row r="19411" spans="23:23">
      <c r="W19411" s="503"/>
    </row>
    <row r="19412" spans="23:23">
      <c r="W19412" s="503"/>
    </row>
    <row r="19413" spans="23:23">
      <c r="W19413" s="503"/>
    </row>
    <row r="19414" spans="23:23">
      <c r="W19414" s="503"/>
    </row>
    <row r="19415" spans="23:23">
      <c r="W19415" s="503"/>
    </row>
    <row r="19416" spans="23:23">
      <c r="W19416" s="503"/>
    </row>
    <row r="19417" spans="23:23">
      <c r="W19417" s="503"/>
    </row>
    <row r="19418" spans="23:23">
      <c r="W19418" s="503"/>
    </row>
    <row r="19419" spans="23:23">
      <c r="W19419" s="503"/>
    </row>
    <row r="19420" spans="23:23">
      <c r="W19420" s="503"/>
    </row>
    <row r="19421" spans="23:23">
      <c r="W19421" s="503"/>
    </row>
    <row r="19422" spans="23:23">
      <c r="W19422" s="503"/>
    </row>
    <row r="19423" spans="23:23">
      <c r="W19423" s="503"/>
    </row>
    <row r="19424" spans="23:23">
      <c r="W19424" s="503"/>
    </row>
    <row r="19425" spans="23:23">
      <c r="W19425" s="503"/>
    </row>
    <row r="19426" spans="23:23">
      <c r="W19426" s="503"/>
    </row>
    <row r="19427" spans="23:23">
      <c r="W19427" s="503"/>
    </row>
    <row r="19428" spans="23:23">
      <c r="W19428" s="503"/>
    </row>
    <row r="19429" spans="23:23">
      <c r="W19429" s="503"/>
    </row>
    <row r="19430" spans="23:23">
      <c r="W19430" s="503"/>
    </row>
    <row r="19431" spans="23:23">
      <c r="W19431" s="503"/>
    </row>
    <row r="19432" spans="23:23">
      <c r="W19432" s="503"/>
    </row>
    <row r="19433" spans="23:23">
      <c r="W19433" s="503"/>
    </row>
    <row r="19434" spans="23:23">
      <c r="W19434" s="503"/>
    </row>
    <row r="19435" spans="23:23">
      <c r="W19435" s="503"/>
    </row>
    <row r="19436" spans="23:23">
      <c r="W19436" s="503"/>
    </row>
    <row r="19437" spans="23:23">
      <c r="W19437" s="503"/>
    </row>
    <row r="19438" spans="23:23">
      <c r="W19438" s="503"/>
    </row>
    <row r="19439" spans="23:23">
      <c r="W19439" s="503"/>
    </row>
    <row r="19440" spans="23:23">
      <c r="W19440" s="503"/>
    </row>
    <row r="19441" spans="23:23">
      <c r="W19441" s="503"/>
    </row>
    <row r="19442" spans="23:23">
      <c r="W19442" s="503"/>
    </row>
    <row r="19443" spans="23:23">
      <c r="W19443" s="503"/>
    </row>
    <row r="19444" spans="23:23">
      <c r="W19444" s="503"/>
    </row>
    <row r="19445" spans="23:23">
      <c r="W19445" s="503"/>
    </row>
    <row r="19446" spans="23:23">
      <c r="W19446" s="503"/>
    </row>
    <row r="19447" spans="23:23">
      <c r="W19447" s="503"/>
    </row>
    <row r="19448" spans="23:23">
      <c r="W19448" s="503"/>
    </row>
    <row r="19449" spans="23:23">
      <c r="W19449" s="503"/>
    </row>
    <row r="19450" spans="23:23">
      <c r="W19450" s="503"/>
    </row>
    <row r="19451" spans="23:23">
      <c r="W19451" s="503"/>
    </row>
    <row r="19452" spans="23:23">
      <c r="W19452" s="503"/>
    </row>
    <row r="19453" spans="23:23">
      <c r="W19453" s="503"/>
    </row>
    <row r="19454" spans="23:23">
      <c r="W19454" s="503"/>
    </row>
    <row r="19455" spans="23:23">
      <c r="W19455" s="503"/>
    </row>
    <row r="19456" spans="23:23">
      <c r="W19456" s="503"/>
    </row>
    <row r="19457" spans="23:23">
      <c r="W19457" s="503"/>
    </row>
    <row r="19458" spans="23:23">
      <c r="W19458" s="503"/>
    </row>
    <row r="19459" spans="23:23">
      <c r="W19459" s="503"/>
    </row>
    <row r="19460" spans="23:23">
      <c r="W19460" s="503"/>
    </row>
    <row r="19461" spans="23:23">
      <c r="W19461" s="503"/>
    </row>
    <row r="19462" spans="23:23">
      <c r="W19462" s="503"/>
    </row>
    <row r="19463" spans="23:23">
      <c r="W19463" s="503"/>
    </row>
    <row r="19464" spans="23:23">
      <c r="W19464" s="503"/>
    </row>
    <row r="19465" spans="23:23">
      <c r="W19465" s="503"/>
    </row>
    <row r="19466" spans="23:23">
      <c r="W19466" s="503"/>
    </row>
    <row r="19467" spans="23:23">
      <c r="W19467" s="503"/>
    </row>
    <row r="19468" spans="23:23">
      <c r="W19468" s="503"/>
    </row>
    <row r="19469" spans="23:23">
      <c r="W19469" s="503"/>
    </row>
    <row r="19470" spans="23:23">
      <c r="W19470" s="503"/>
    </row>
    <row r="19471" spans="23:23">
      <c r="W19471" s="503"/>
    </row>
    <row r="19472" spans="23:23">
      <c r="W19472" s="503"/>
    </row>
    <row r="19473" spans="23:23">
      <c r="W19473" s="503"/>
    </row>
    <row r="19474" spans="23:23">
      <c r="W19474" s="503"/>
    </row>
    <row r="19475" spans="23:23">
      <c r="W19475" s="503"/>
    </row>
    <row r="19476" spans="23:23">
      <c r="W19476" s="503"/>
    </row>
    <row r="19477" spans="23:23">
      <c r="W19477" s="503"/>
    </row>
    <row r="19478" spans="23:23">
      <c r="W19478" s="503"/>
    </row>
    <row r="19479" spans="23:23">
      <c r="W19479" s="503"/>
    </row>
    <row r="19480" spans="23:23">
      <c r="W19480" s="503"/>
    </row>
    <row r="19481" spans="23:23">
      <c r="W19481" s="503"/>
    </row>
    <row r="19482" spans="23:23">
      <c r="W19482" s="503"/>
    </row>
    <row r="19483" spans="23:23">
      <c r="W19483" s="503"/>
    </row>
    <row r="19484" spans="23:23">
      <c r="W19484" s="503"/>
    </row>
    <row r="19485" spans="23:23">
      <c r="W19485" s="503"/>
    </row>
    <row r="19486" spans="23:23">
      <c r="W19486" s="503"/>
    </row>
    <row r="19487" spans="23:23">
      <c r="W19487" s="503"/>
    </row>
    <row r="19488" spans="23:23">
      <c r="W19488" s="503"/>
    </row>
    <row r="19489" spans="23:23">
      <c r="W19489" s="503"/>
    </row>
    <row r="19490" spans="23:23">
      <c r="W19490" s="503"/>
    </row>
    <row r="19491" spans="23:23">
      <c r="W19491" s="503"/>
    </row>
    <row r="19492" spans="23:23">
      <c r="W19492" s="503"/>
    </row>
    <row r="19493" spans="23:23">
      <c r="W19493" s="503"/>
    </row>
    <row r="19494" spans="23:23">
      <c r="W19494" s="503"/>
    </row>
    <row r="19495" spans="23:23">
      <c r="W19495" s="503"/>
    </row>
    <row r="19496" spans="23:23">
      <c r="W19496" s="503"/>
    </row>
    <row r="19497" spans="23:23">
      <c r="W19497" s="503"/>
    </row>
    <row r="19498" spans="23:23">
      <c r="W19498" s="503"/>
    </row>
    <row r="19499" spans="23:23">
      <c r="W19499" s="503"/>
    </row>
    <row r="19500" spans="23:23">
      <c r="W19500" s="503"/>
    </row>
    <row r="19501" spans="23:23">
      <c r="W19501" s="503"/>
    </row>
    <row r="19502" spans="23:23">
      <c r="W19502" s="503"/>
    </row>
    <row r="19503" spans="23:23">
      <c r="W19503" s="503"/>
    </row>
    <row r="19504" spans="23:23">
      <c r="W19504" s="503"/>
    </row>
    <row r="19505" spans="23:23">
      <c r="W19505" s="503"/>
    </row>
    <row r="19506" spans="23:23">
      <c r="W19506" s="503"/>
    </row>
    <row r="19507" spans="23:23">
      <c r="W19507" s="503"/>
    </row>
    <row r="19508" spans="23:23">
      <c r="W19508" s="503"/>
    </row>
    <row r="19509" spans="23:23">
      <c r="W19509" s="503"/>
    </row>
    <row r="19510" spans="23:23">
      <c r="W19510" s="503"/>
    </row>
    <row r="19511" spans="23:23">
      <c r="W19511" s="503"/>
    </row>
    <row r="19512" spans="23:23">
      <c r="W19512" s="503"/>
    </row>
    <row r="19513" spans="23:23">
      <c r="W19513" s="503"/>
    </row>
    <row r="19514" spans="23:23">
      <c r="W19514" s="503"/>
    </row>
    <row r="19515" spans="23:23">
      <c r="W19515" s="503"/>
    </row>
    <row r="19516" spans="23:23">
      <c r="W19516" s="503"/>
    </row>
    <row r="19517" spans="23:23">
      <c r="W19517" s="503"/>
    </row>
    <row r="19518" spans="23:23">
      <c r="W19518" s="503"/>
    </row>
    <row r="19519" spans="23:23">
      <c r="W19519" s="503"/>
    </row>
    <row r="19520" spans="23:23">
      <c r="W19520" s="503"/>
    </row>
    <row r="19521" spans="23:23">
      <c r="W19521" s="503"/>
    </row>
    <row r="19522" spans="23:23">
      <c r="W19522" s="503"/>
    </row>
    <row r="19523" spans="23:23">
      <c r="W19523" s="503"/>
    </row>
    <row r="19524" spans="23:23">
      <c r="W19524" s="503"/>
    </row>
    <row r="19525" spans="23:23">
      <c r="W19525" s="503"/>
    </row>
    <row r="19526" spans="23:23">
      <c r="W19526" s="503"/>
    </row>
    <row r="19527" spans="23:23">
      <c r="W19527" s="503"/>
    </row>
    <row r="19528" spans="23:23">
      <c r="W19528" s="503"/>
    </row>
    <row r="19529" spans="23:23">
      <c r="W19529" s="503"/>
    </row>
    <row r="19530" spans="23:23">
      <c r="W19530" s="503"/>
    </row>
    <row r="19531" spans="23:23">
      <c r="W19531" s="503"/>
    </row>
    <row r="19532" spans="23:23">
      <c r="W19532" s="503"/>
    </row>
    <row r="19533" spans="23:23">
      <c r="W19533" s="503"/>
    </row>
    <row r="19534" spans="23:23">
      <c r="W19534" s="503"/>
    </row>
    <row r="19535" spans="23:23">
      <c r="W19535" s="503"/>
    </row>
    <row r="19536" spans="23:23">
      <c r="W19536" s="503"/>
    </row>
    <row r="19537" spans="23:23">
      <c r="W19537" s="503"/>
    </row>
    <row r="19538" spans="23:23">
      <c r="W19538" s="503"/>
    </row>
    <row r="19539" spans="23:23">
      <c r="W19539" s="503"/>
    </row>
    <row r="19540" spans="23:23">
      <c r="W19540" s="503"/>
    </row>
    <row r="19541" spans="23:23">
      <c r="W19541" s="503"/>
    </row>
    <row r="19542" spans="23:23">
      <c r="W19542" s="503"/>
    </row>
    <row r="19543" spans="23:23">
      <c r="W19543" s="503"/>
    </row>
    <row r="19544" spans="23:23">
      <c r="W19544" s="503"/>
    </row>
    <row r="19545" spans="23:23">
      <c r="W19545" s="503"/>
    </row>
    <row r="19546" spans="23:23">
      <c r="W19546" s="503"/>
    </row>
    <row r="19547" spans="23:23">
      <c r="W19547" s="503"/>
    </row>
    <row r="19548" spans="23:23">
      <c r="W19548" s="503"/>
    </row>
    <row r="19549" spans="23:23">
      <c r="W19549" s="503"/>
    </row>
    <row r="19550" spans="23:23">
      <c r="W19550" s="503"/>
    </row>
    <row r="19551" spans="23:23">
      <c r="W19551" s="503"/>
    </row>
    <row r="19552" spans="23:23">
      <c r="W19552" s="503"/>
    </row>
    <row r="19553" spans="23:23">
      <c r="W19553" s="503"/>
    </row>
    <row r="19554" spans="23:23">
      <c r="W19554" s="503"/>
    </row>
    <row r="19555" spans="23:23">
      <c r="W19555" s="503"/>
    </row>
    <row r="19556" spans="23:23">
      <c r="W19556" s="503"/>
    </row>
    <row r="19557" spans="23:23">
      <c r="W19557" s="503"/>
    </row>
    <row r="19558" spans="23:23">
      <c r="W19558" s="503"/>
    </row>
    <row r="19559" spans="23:23">
      <c r="W19559" s="503"/>
    </row>
    <row r="19560" spans="23:23">
      <c r="W19560" s="503"/>
    </row>
    <row r="19561" spans="23:23">
      <c r="W19561" s="503"/>
    </row>
    <row r="19562" spans="23:23">
      <c r="W19562" s="503"/>
    </row>
    <row r="19563" spans="23:23">
      <c r="W19563" s="503"/>
    </row>
    <row r="19564" spans="23:23">
      <c r="W19564" s="503"/>
    </row>
    <row r="19565" spans="23:23">
      <c r="W19565" s="503"/>
    </row>
    <row r="19566" spans="23:23">
      <c r="W19566" s="503"/>
    </row>
    <row r="19567" spans="23:23">
      <c r="W19567" s="503"/>
    </row>
    <row r="19568" spans="23:23">
      <c r="W19568" s="503"/>
    </row>
    <row r="19569" spans="23:23">
      <c r="W19569" s="503"/>
    </row>
    <row r="19570" spans="23:23">
      <c r="W19570" s="503"/>
    </row>
    <row r="19571" spans="23:23">
      <c r="W19571" s="503"/>
    </row>
    <row r="19572" spans="23:23">
      <c r="W19572" s="503"/>
    </row>
    <row r="19573" spans="23:23">
      <c r="W19573" s="503"/>
    </row>
    <row r="19574" spans="23:23">
      <c r="W19574" s="503"/>
    </row>
    <row r="19575" spans="23:23">
      <c r="W19575" s="503"/>
    </row>
    <row r="19576" spans="23:23">
      <c r="W19576" s="503"/>
    </row>
    <row r="19577" spans="23:23">
      <c r="W19577" s="503"/>
    </row>
    <row r="19578" spans="23:23">
      <c r="W19578" s="503"/>
    </row>
    <row r="19579" spans="23:23">
      <c r="W19579" s="503"/>
    </row>
    <row r="19580" spans="23:23">
      <c r="W19580" s="503"/>
    </row>
    <row r="19581" spans="23:23">
      <c r="W19581" s="503"/>
    </row>
    <row r="19582" spans="23:23">
      <c r="W19582" s="503"/>
    </row>
    <row r="19583" spans="23:23">
      <c r="W19583" s="503"/>
    </row>
    <row r="19584" spans="23:23">
      <c r="W19584" s="503"/>
    </row>
    <row r="19585" spans="23:23">
      <c r="W19585" s="503"/>
    </row>
    <row r="19586" spans="23:23">
      <c r="W19586" s="503"/>
    </row>
    <row r="19587" spans="23:23">
      <c r="W19587" s="503"/>
    </row>
    <row r="19588" spans="23:23">
      <c r="W19588" s="503"/>
    </row>
    <row r="19589" spans="23:23">
      <c r="W19589" s="503"/>
    </row>
    <row r="19590" spans="23:23">
      <c r="W19590" s="503"/>
    </row>
    <row r="19591" spans="23:23">
      <c r="W19591" s="503"/>
    </row>
    <row r="19592" spans="23:23">
      <c r="W19592" s="503"/>
    </row>
    <row r="19593" spans="23:23">
      <c r="W19593" s="503"/>
    </row>
    <row r="19594" spans="23:23">
      <c r="W19594" s="503"/>
    </row>
    <row r="19595" spans="23:23">
      <c r="W19595" s="503"/>
    </row>
    <row r="19596" spans="23:23">
      <c r="W19596" s="503"/>
    </row>
    <row r="19597" spans="23:23">
      <c r="W19597" s="503"/>
    </row>
    <row r="19598" spans="23:23">
      <c r="W19598" s="503"/>
    </row>
    <row r="19599" spans="23:23">
      <c r="W19599" s="503"/>
    </row>
    <row r="19600" spans="23:23">
      <c r="W19600" s="503"/>
    </row>
    <row r="19601" spans="23:23">
      <c r="W19601" s="503"/>
    </row>
    <row r="19602" spans="23:23">
      <c r="W19602" s="503"/>
    </row>
    <row r="19603" spans="23:23">
      <c r="W19603" s="503"/>
    </row>
    <row r="19604" spans="23:23">
      <c r="W19604" s="503"/>
    </row>
    <row r="19605" spans="23:23">
      <c r="W19605" s="503"/>
    </row>
    <row r="19606" spans="23:23">
      <c r="W19606" s="503"/>
    </row>
    <row r="19607" spans="23:23">
      <c r="W19607" s="503"/>
    </row>
    <row r="19608" spans="23:23">
      <c r="W19608" s="503"/>
    </row>
    <row r="19609" spans="23:23">
      <c r="W19609" s="503"/>
    </row>
    <row r="19610" spans="23:23">
      <c r="W19610" s="503"/>
    </row>
    <row r="19611" spans="23:23">
      <c r="W19611" s="503"/>
    </row>
    <row r="19612" spans="23:23">
      <c r="W19612" s="503"/>
    </row>
    <row r="19613" spans="23:23">
      <c r="W19613" s="503"/>
    </row>
    <row r="19614" spans="23:23">
      <c r="W19614" s="503"/>
    </row>
    <row r="19615" spans="23:23">
      <c r="W19615" s="503"/>
    </row>
    <row r="19616" spans="23:23">
      <c r="W19616" s="503"/>
    </row>
    <row r="19617" spans="23:23">
      <c r="W19617" s="503"/>
    </row>
    <row r="19618" spans="23:23">
      <c r="W19618" s="503"/>
    </row>
    <row r="19619" spans="23:23">
      <c r="W19619" s="503"/>
    </row>
    <row r="19620" spans="23:23">
      <c r="W19620" s="503"/>
    </row>
    <row r="19621" spans="23:23">
      <c r="W19621" s="503"/>
    </row>
    <row r="19622" spans="23:23">
      <c r="W19622" s="503"/>
    </row>
    <row r="19623" spans="23:23">
      <c r="W19623" s="503"/>
    </row>
    <row r="19624" spans="23:23">
      <c r="W19624" s="503"/>
    </row>
    <row r="19625" spans="23:23">
      <c r="W19625" s="503"/>
    </row>
    <row r="19626" spans="23:23">
      <c r="W19626" s="503"/>
    </row>
    <row r="19627" spans="23:23">
      <c r="W19627" s="503"/>
    </row>
    <row r="19628" spans="23:23">
      <c r="W19628" s="503"/>
    </row>
    <row r="19629" spans="23:23">
      <c r="W19629" s="503"/>
    </row>
    <row r="19630" spans="23:23">
      <c r="W19630" s="503"/>
    </row>
    <row r="19631" spans="23:23">
      <c r="W19631" s="503"/>
    </row>
    <row r="19632" spans="23:23">
      <c r="W19632" s="503"/>
    </row>
    <row r="19633" spans="23:23">
      <c r="W19633" s="503"/>
    </row>
    <row r="19634" spans="23:23">
      <c r="W19634" s="503"/>
    </row>
    <row r="19635" spans="23:23">
      <c r="W19635" s="503"/>
    </row>
    <row r="19636" spans="23:23">
      <c r="W19636" s="503"/>
    </row>
    <row r="19637" spans="23:23">
      <c r="W19637" s="503"/>
    </row>
    <row r="19638" spans="23:23">
      <c r="W19638" s="503"/>
    </row>
    <row r="19639" spans="23:23">
      <c r="W19639" s="503"/>
    </row>
    <row r="19640" spans="23:23">
      <c r="W19640" s="503"/>
    </row>
    <row r="19641" spans="23:23">
      <c r="W19641" s="503"/>
    </row>
    <row r="19642" spans="23:23">
      <c r="W19642" s="503"/>
    </row>
    <row r="19643" spans="23:23">
      <c r="W19643" s="503"/>
    </row>
    <row r="19644" spans="23:23">
      <c r="W19644" s="503"/>
    </row>
    <row r="19645" spans="23:23">
      <c r="W19645" s="503"/>
    </row>
    <row r="19646" spans="23:23">
      <c r="W19646" s="503"/>
    </row>
    <row r="19647" spans="23:23">
      <c r="W19647" s="503"/>
    </row>
    <row r="19648" spans="23:23">
      <c r="W19648" s="503"/>
    </row>
    <row r="19649" spans="23:23">
      <c r="W19649" s="503"/>
    </row>
    <row r="19650" spans="23:23">
      <c r="W19650" s="503"/>
    </row>
    <row r="19651" spans="23:23">
      <c r="W19651" s="503"/>
    </row>
    <row r="19652" spans="23:23">
      <c r="W19652" s="503"/>
    </row>
    <row r="19653" spans="23:23">
      <c r="W19653" s="503"/>
    </row>
    <row r="19654" spans="23:23">
      <c r="W19654" s="503"/>
    </row>
    <row r="19655" spans="23:23">
      <c r="W19655" s="503"/>
    </row>
    <row r="19656" spans="23:23">
      <c r="W19656" s="503"/>
    </row>
    <row r="19657" spans="23:23">
      <c r="W19657" s="503"/>
    </row>
    <row r="19658" spans="23:23">
      <c r="W19658" s="503"/>
    </row>
    <row r="19659" spans="23:23">
      <c r="W19659" s="503"/>
    </row>
    <row r="19660" spans="23:23">
      <c r="W19660" s="503"/>
    </row>
    <row r="19661" spans="23:23">
      <c r="W19661" s="503"/>
    </row>
    <row r="19662" spans="23:23">
      <c r="W19662" s="503"/>
    </row>
    <row r="19663" spans="23:23">
      <c r="W19663" s="503"/>
    </row>
    <row r="19664" spans="23:23">
      <c r="W19664" s="503"/>
    </row>
    <row r="19665" spans="23:23">
      <c r="W19665" s="503"/>
    </row>
    <row r="19666" spans="23:23">
      <c r="W19666" s="503"/>
    </row>
    <row r="19667" spans="23:23">
      <c r="W19667" s="503"/>
    </row>
    <row r="19668" spans="23:23">
      <c r="W19668" s="503"/>
    </row>
    <row r="19669" spans="23:23">
      <c r="W19669" s="503"/>
    </row>
    <row r="19670" spans="23:23">
      <c r="W19670" s="503"/>
    </row>
    <row r="19671" spans="23:23">
      <c r="W19671" s="503"/>
    </row>
    <row r="19672" spans="23:23">
      <c r="W19672" s="503"/>
    </row>
    <row r="19673" spans="23:23">
      <c r="W19673" s="503"/>
    </row>
    <row r="19674" spans="23:23">
      <c r="W19674" s="503"/>
    </row>
    <row r="19675" spans="23:23">
      <c r="W19675" s="503"/>
    </row>
    <row r="19676" spans="23:23">
      <c r="W19676" s="503"/>
    </row>
    <row r="19677" spans="23:23">
      <c r="W19677" s="503"/>
    </row>
    <row r="19678" spans="23:23">
      <c r="W19678" s="503"/>
    </row>
    <row r="19679" spans="23:23">
      <c r="W19679" s="503"/>
    </row>
    <row r="19680" spans="23:23">
      <c r="W19680" s="503"/>
    </row>
    <row r="19681" spans="23:23">
      <c r="W19681" s="503"/>
    </row>
    <row r="19682" spans="23:23">
      <c r="W19682" s="503"/>
    </row>
    <row r="19683" spans="23:23">
      <c r="W19683" s="503"/>
    </row>
    <row r="19684" spans="23:23">
      <c r="W19684" s="503"/>
    </row>
    <row r="19685" spans="23:23">
      <c r="W19685" s="503"/>
    </row>
    <row r="19686" spans="23:23">
      <c r="W19686" s="503"/>
    </row>
    <row r="19687" spans="23:23">
      <c r="W19687" s="503"/>
    </row>
    <row r="19688" spans="23:23">
      <c r="W19688" s="503"/>
    </row>
    <row r="19689" spans="23:23">
      <c r="W19689" s="503"/>
    </row>
    <row r="19690" spans="23:23">
      <c r="W19690" s="503"/>
    </row>
    <row r="19691" spans="23:23">
      <c r="W19691" s="503"/>
    </row>
    <row r="19692" spans="23:23">
      <c r="W19692" s="503"/>
    </row>
    <row r="19693" spans="23:23">
      <c r="W19693" s="503"/>
    </row>
    <row r="19694" spans="23:23">
      <c r="W19694" s="503"/>
    </row>
    <row r="19695" spans="23:23">
      <c r="W19695" s="503"/>
    </row>
    <row r="19696" spans="23:23">
      <c r="W19696" s="503"/>
    </row>
    <row r="19697" spans="23:23">
      <c r="W19697" s="503"/>
    </row>
    <row r="19698" spans="23:23">
      <c r="W19698" s="503"/>
    </row>
    <row r="19699" spans="23:23">
      <c r="W19699" s="503"/>
    </row>
    <row r="19700" spans="23:23">
      <c r="W19700" s="503"/>
    </row>
    <row r="19701" spans="23:23">
      <c r="W19701" s="503"/>
    </row>
    <row r="19702" spans="23:23">
      <c r="W19702" s="503"/>
    </row>
    <row r="19703" spans="23:23">
      <c r="W19703" s="503"/>
    </row>
    <row r="19704" spans="23:23">
      <c r="W19704" s="503"/>
    </row>
    <row r="19705" spans="23:23">
      <c r="W19705" s="503"/>
    </row>
    <row r="19706" spans="23:23">
      <c r="W19706" s="503"/>
    </row>
    <row r="19707" spans="23:23">
      <c r="W19707" s="503"/>
    </row>
    <row r="19708" spans="23:23">
      <c r="W19708" s="503"/>
    </row>
    <row r="19709" spans="23:23">
      <c r="W19709" s="503"/>
    </row>
    <row r="19710" spans="23:23">
      <c r="W19710" s="503"/>
    </row>
    <row r="19711" spans="23:23">
      <c r="W19711" s="503"/>
    </row>
    <row r="19712" spans="23:23">
      <c r="W19712" s="503"/>
    </row>
    <row r="19713" spans="23:23">
      <c r="W19713" s="503"/>
    </row>
    <row r="19714" spans="23:23">
      <c r="W19714" s="503"/>
    </row>
    <row r="19715" spans="23:23">
      <c r="W19715" s="503"/>
    </row>
    <row r="19716" spans="23:23">
      <c r="W19716" s="503"/>
    </row>
    <row r="19717" spans="23:23">
      <c r="W19717" s="503"/>
    </row>
    <row r="19718" spans="23:23">
      <c r="W19718" s="503"/>
    </row>
    <row r="19719" spans="23:23">
      <c r="W19719" s="503"/>
    </row>
    <row r="19720" spans="23:23">
      <c r="W19720" s="503"/>
    </row>
    <row r="19721" spans="23:23">
      <c r="W19721" s="503"/>
    </row>
    <row r="19722" spans="23:23">
      <c r="W19722" s="503"/>
    </row>
    <row r="19723" spans="23:23">
      <c r="W19723" s="503"/>
    </row>
    <row r="19724" spans="23:23">
      <c r="W19724" s="503"/>
    </row>
    <row r="19725" spans="23:23">
      <c r="W19725" s="503"/>
    </row>
    <row r="19726" spans="23:23">
      <c r="W19726" s="503"/>
    </row>
    <row r="19727" spans="23:23">
      <c r="W19727" s="503"/>
    </row>
    <row r="19728" spans="23:23">
      <c r="W19728" s="503"/>
    </row>
    <row r="19729" spans="23:23">
      <c r="W19729" s="503"/>
    </row>
    <row r="19730" spans="23:23">
      <c r="W19730" s="503"/>
    </row>
    <row r="19731" spans="23:23">
      <c r="W19731" s="503"/>
    </row>
    <row r="19732" spans="23:23">
      <c r="W19732" s="503"/>
    </row>
    <row r="19733" spans="23:23">
      <c r="W19733" s="503"/>
    </row>
    <row r="19734" spans="23:23">
      <c r="W19734" s="503"/>
    </row>
    <row r="19735" spans="23:23">
      <c r="W19735" s="503"/>
    </row>
    <row r="19736" spans="23:23">
      <c r="W19736" s="503"/>
    </row>
    <row r="19737" spans="23:23">
      <c r="W19737" s="503"/>
    </row>
    <row r="19738" spans="23:23">
      <c r="W19738" s="503"/>
    </row>
    <row r="19739" spans="23:23">
      <c r="W19739" s="503"/>
    </row>
    <row r="19740" spans="23:23">
      <c r="W19740" s="503"/>
    </row>
    <row r="19741" spans="23:23">
      <c r="W19741" s="503"/>
    </row>
    <row r="19742" spans="23:23">
      <c r="W19742" s="503"/>
    </row>
    <row r="19743" spans="23:23">
      <c r="W19743" s="503"/>
    </row>
    <row r="19744" spans="23:23">
      <c r="W19744" s="503"/>
    </row>
    <row r="19745" spans="23:23">
      <c r="W19745" s="503"/>
    </row>
    <row r="19746" spans="23:23">
      <c r="W19746" s="503"/>
    </row>
    <row r="19747" spans="23:23">
      <c r="W19747" s="503"/>
    </row>
    <row r="19748" spans="23:23">
      <c r="W19748" s="503"/>
    </row>
    <row r="19749" spans="23:23">
      <c r="W19749" s="503"/>
    </row>
    <row r="19750" spans="23:23">
      <c r="W19750" s="503"/>
    </row>
    <row r="19751" spans="23:23">
      <c r="W19751" s="503"/>
    </row>
    <row r="19752" spans="23:23">
      <c r="W19752" s="503"/>
    </row>
    <row r="19753" spans="23:23">
      <c r="W19753" s="503"/>
    </row>
    <row r="19754" spans="23:23">
      <c r="W19754" s="503"/>
    </row>
    <row r="19755" spans="23:23">
      <c r="W19755" s="503"/>
    </row>
    <row r="19756" spans="23:23">
      <c r="W19756" s="503"/>
    </row>
    <row r="19757" spans="23:23">
      <c r="W19757" s="503"/>
    </row>
    <row r="19758" spans="23:23">
      <c r="W19758" s="503"/>
    </row>
    <row r="19759" spans="23:23">
      <c r="W19759" s="503"/>
    </row>
    <row r="19760" spans="23:23">
      <c r="W19760" s="503"/>
    </row>
    <row r="19761" spans="23:23">
      <c r="W19761" s="503"/>
    </row>
    <row r="19762" spans="23:23">
      <c r="W19762" s="503"/>
    </row>
    <row r="19763" spans="23:23">
      <c r="W19763" s="503"/>
    </row>
    <row r="19764" spans="23:23">
      <c r="W19764" s="503"/>
    </row>
    <row r="19765" spans="23:23">
      <c r="W19765" s="503"/>
    </row>
    <row r="19766" spans="23:23">
      <c r="W19766" s="503"/>
    </row>
    <row r="19767" spans="23:23">
      <c r="W19767" s="503"/>
    </row>
    <row r="19768" spans="23:23">
      <c r="W19768" s="503"/>
    </row>
    <row r="19769" spans="23:23">
      <c r="W19769" s="503"/>
    </row>
    <row r="19770" spans="23:23">
      <c r="W19770" s="503"/>
    </row>
    <row r="19771" spans="23:23">
      <c r="W19771" s="503"/>
    </row>
    <row r="19772" spans="23:23">
      <c r="W19772" s="503"/>
    </row>
    <row r="19773" spans="23:23">
      <c r="W19773" s="503"/>
    </row>
    <row r="19774" spans="23:23">
      <c r="W19774" s="503"/>
    </row>
    <row r="19775" spans="23:23">
      <c r="W19775" s="503"/>
    </row>
    <row r="19776" spans="23:23">
      <c r="W19776" s="503"/>
    </row>
    <row r="19777" spans="23:23">
      <c r="W19777" s="503"/>
    </row>
    <row r="19778" spans="23:23">
      <c r="W19778" s="503"/>
    </row>
    <row r="19779" spans="23:23">
      <c r="W19779" s="503"/>
    </row>
    <row r="19780" spans="23:23">
      <c r="W19780" s="503"/>
    </row>
    <row r="19781" spans="23:23">
      <c r="W19781" s="503"/>
    </row>
    <row r="19782" spans="23:23">
      <c r="W19782" s="503"/>
    </row>
    <row r="19783" spans="23:23">
      <c r="W19783" s="503"/>
    </row>
    <row r="19784" spans="23:23">
      <c r="W19784" s="503"/>
    </row>
    <row r="19785" spans="23:23">
      <c r="W19785" s="503"/>
    </row>
    <row r="19786" spans="23:23">
      <c r="W19786" s="503"/>
    </row>
    <row r="19787" spans="23:23">
      <c r="W19787" s="503"/>
    </row>
    <row r="19788" spans="23:23">
      <c r="W19788" s="503"/>
    </row>
    <row r="19789" spans="23:23">
      <c r="W19789" s="503"/>
    </row>
    <row r="19790" spans="23:23">
      <c r="W19790" s="503"/>
    </row>
    <row r="19791" spans="23:23">
      <c r="W19791" s="503"/>
    </row>
    <row r="19792" spans="23:23">
      <c r="W19792" s="503"/>
    </row>
    <row r="19793" spans="23:23">
      <c r="W19793" s="503"/>
    </row>
    <row r="19794" spans="23:23">
      <c r="W19794" s="503"/>
    </row>
    <row r="19795" spans="23:23">
      <c r="W19795" s="503"/>
    </row>
    <row r="19796" spans="23:23">
      <c r="W19796" s="503"/>
    </row>
    <row r="19797" spans="23:23">
      <c r="W19797" s="503"/>
    </row>
    <row r="19798" spans="23:23">
      <c r="W19798" s="503"/>
    </row>
    <row r="19799" spans="23:23">
      <c r="W19799" s="503"/>
    </row>
    <row r="19800" spans="23:23">
      <c r="W19800" s="503"/>
    </row>
    <row r="19801" spans="23:23">
      <c r="W19801" s="503"/>
    </row>
    <row r="19802" spans="23:23">
      <c r="W19802" s="503"/>
    </row>
    <row r="19803" spans="23:23">
      <c r="W19803" s="503"/>
    </row>
    <row r="19804" spans="23:23">
      <c r="W19804" s="503"/>
    </row>
    <row r="19805" spans="23:23">
      <c r="W19805" s="503"/>
    </row>
    <row r="19806" spans="23:23">
      <c r="W19806" s="503"/>
    </row>
    <row r="19807" spans="23:23">
      <c r="W19807" s="503"/>
    </row>
    <row r="19808" spans="23:23">
      <c r="W19808" s="503"/>
    </row>
    <row r="19809" spans="23:23">
      <c r="W19809" s="503"/>
    </row>
    <row r="19810" spans="23:23">
      <c r="W19810" s="503"/>
    </row>
    <row r="19811" spans="23:23">
      <c r="W19811" s="503"/>
    </row>
    <row r="19812" spans="23:23">
      <c r="W19812" s="503"/>
    </row>
    <row r="19813" spans="23:23">
      <c r="W19813" s="503"/>
    </row>
    <row r="19814" spans="23:23">
      <c r="W19814" s="503"/>
    </row>
    <row r="19815" spans="23:23">
      <c r="W19815" s="503"/>
    </row>
    <row r="19816" spans="23:23">
      <c r="W19816" s="503"/>
    </row>
    <row r="19817" spans="23:23">
      <c r="W19817" s="503"/>
    </row>
    <row r="19818" spans="23:23">
      <c r="W19818" s="503"/>
    </row>
    <row r="19819" spans="23:23">
      <c r="W19819" s="503"/>
    </row>
    <row r="19820" spans="23:23">
      <c r="W19820" s="503"/>
    </row>
    <row r="19821" spans="23:23">
      <c r="W19821" s="503"/>
    </row>
    <row r="19822" spans="23:23">
      <c r="W19822" s="503"/>
    </row>
    <row r="19823" spans="23:23">
      <c r="W19823" s="503"/>
    </row>
    <row r="19824" spans="23:23">
      <c r="W19824" s="503"/>
    </row>
    <row r="19825" spans="23:23">
      <c r="W19825" s="503"/>
    </row>
    <row r="19826" spans="23:23">
      <c r="W19826" s="503"/>
    </row>
    <row r="19827" spans="23:23">
      <c r="W19827" s="503"/>
    </row>
    <row r="19828" spans="23:23">
      <c r="W19828" s="503"/>
    </row>
    <row r="19829" spans="23:23">
      <c r="W19829" s="503"/>
    </row>
    <row r="19830" spans="23:23">
      <c r="W19830" s="503"/>
    </row>
    <row r="19831" spans="23:23">
      <c r="W19831" s="503"/>
    </row>
    <row r="19832" spans="23:23">
      <c r="W19832" s="503"/>
    </row>
    <row r="19833" spans="23:23">
      <c r="W19833" s="503"/>
    </row>
    <row r="19834" spans="23:23">
      <c r="W19834" s="503"/>
    </row>
    <row r="19835" spans="23:23">
      <c r="W19835" s="503"/>
    </row>
    <row r="19836" spans="23:23">
      <c r="W19836" s="503"/>
    </row>
    <row r="19837" spans="23:23">
      <c r="W19837" s="503"/>
    </row>
    <row r="19838" spans="23:23">
      <c r="W19838" s="503"/>
    </row>
    <row r="19839" spans="23:23">
      <c r="W19839" s="503"/>
    </row>
    <row r="19840" spans="23:23">
      <c r="W19840" s="503"/>
    </row>
    <row r="19841" spans="23:23">
      <c r="W19841" s="503"/>
    </row>
    <row r="19842" spans="23:23">
      <c r="W19842" s="503"/>
    </row>
    <row r="19843" spans="23:23">
      <c r="W19843" s="503"/>
    </row>
    <row r="19844" spans="23:23">
      <c r="W19844" s="503"/>
    </row>
    <row r="19845" spans="23:23">
      <c r="W19845" s="503"/>
    </row>
    <row r="19846" spans="23:23">
      <c r="W19846" s="503"/>
    </row>
    <row r="19847" spans="23:23">
      <c r="W19847" s="503"/>
    </row>
    <row r="19848" spans="23:23">
      <c r="W19848" s="503"/>
    </row>
    <row r="19849" spans="23:23">
      <c r="W19849" s="503"/>
    </row>
    <row r="19850" spans="23:23">
      <c r="W19850" s="503"/>
    </row>
    <row r="19851" spans="23:23">
      <c r="W19851" s="503"/>
    </row>
    <row r="19852" spans="23:23">
      <c r="W19852" s="503"/>
    </row>
    <row r="19853" spans="23:23">
      <c r="W19853" s="503"/>
    </row>
    <row r="19854" spans="23:23">
      <c r="W19854" s="503"/>
    </row>
    <row r="19855" spans="23:23">
      <c r="W19855" s="503"/>
    </row>
    <row r="19856" spans="23:23">
      <c r="W19856" s="503"/>
    </row>
    <row r="19857" spans="23:23">
      <c r="W19857" s="503"/>
    </row>
    <row r="19858" spans="23:23">
      <c r="W19858" s="503"/>
    </row>
    <row r="19859" spans="23:23">
      <c r="W19859" s="503"/>
    </row>
    <row r="19860" spans="23:23">
      <c r="W19860" s="503"/>
    </row>
    <row r="19861" spans="23:23">
      <c r="W19861" s="503"/>
    </row>
    <row r="19862" spans="23:23">
      <c r="W19862" s="503"/>
    </row>
    <row r="19863" spans="23:23">
      <c r="W19863" s="503"/>
    </row>
    <row r="19864" spans="23:23">
      <c r="W19864" s="503"/>
    </row>
    <row r="19865" spans="23:23">
      <c r="W19865" s="503"/>
    </row>
    <row r="19866" spans="23:23">
      <c r="W19866" s="503"/>
    </row>
    <row r="19867" spans="23:23">
      <c r="W19867" s="503"/>
    </row>
    <row r="19868" spans="23:23">
      <c r="W19868" s="503"/>
    </row>
    <row r="19869" spans="23:23">
      <c r="W19869" s="503"/>
    </row>
    <row r="19870" spans="23:23">
      <c r="W19870" s="503"/>
    </row>
    <row r="19871" spans="23:23">
      <c r="W19871" s="503"/>
    </row>
    <row r="19872" spans="23:23">
      <c r="W19872" s="503"/>
    </row>
    <row r="19873" spans="23:23">
      <c r="W19873" s="503"/>
    </row>
    <row r="19874" spans="23:23">
      <c r="W19874" s="503"/>
    </row>
    <row r="19875" spans="23:23">
      <c r="W19875" s="503"/>
    </row>
    <row r="19876" spans="23:23">
      <c r="W19876" s="503"/>
    </row>
    <row r="19877" spans="23:23">
      <c r="W19877" s="503"/>
    </row>
    <row r="19878" spans="23:23">
      <c r="W19878" s="503"/>
    </row>
    <row r="19879" spans="23:23">
      <c r="W19879" s="503"/>
    </row>
    <row r="19880" spans="23:23">
      <c r="W19880" s="503"/>
    </row>
    <row r="19881" spans="23:23">
      <c r="W19881" s="503"/>
    </row>
    <row r="19882" spans="23:23">
      <c r="W19882" s="503"/>
    </row>
    <row r="19883" spans="23:23">
      <c r="W19883" s="503"/>
    </row>
    <row r="19884" spans="23:23">
      <c r="W19884" s="503"/>
    </row>
    <row r="19885" spans="23:23">
      <c r="W19885" s="503"/>
    </row>
    <row r="19886" spans="23:23">
      <c r="W19886" s="503"/>
    </row>
    <row r="19887" spans="23:23">
      <c r="W19887" s="503"/>
    </row>
    <row r="19888" spans="23:23">
      <c r="W19888" s="503"/>
    </row>
    <row r="19889" spans="23:23">
      <c r="W19889" s="503"/>
    </row>
    <row r="19890" spans="23:23">
      <c r="W19890" s="503"/>
    </row>
    <row r="19891" spans="23:23">
      <c r="W19891" s="503"/>
    </row>
    <row r="19892" spans="23:23">
      <c r="W19892" s="503"/>
    </row>
    <row r="19893" spans="23:23">
      <c r="W19893" s="503"/>
    </row>
    <row r="19894" spans="23:23">
      <c r="W19894" s="503"/>
    </row>
    <row r="19895" spans="23:23">
      <c r="W19895" s="503"/>
    </row>
    <row r="19896" spans="23:23">
      <c r="W19896" s="503"/>
    </row>
    <row r="19897" spans="23:23">
      <c r="W19897" s="503"/>
    </row>
    <row r="19898" spans="23:23">
      <c r="W19898" s="503"/>
    </row>
    <row r="19899" spans="23:23">
      <c r="W19899" s="503"/>
    </row>
    <row r="19900" spans="23:23">
      <c r="W19900" s="503"/>
    </row>
    <row r="19901" spans="23:23">
      <c r="W19901" s="503"/>
    </row>
    <row r="19902" spans="23:23">
      <c r="W19902" s="503"/>
    </row>
    <row r="19903" spans="23:23">
      <c r="W19903" s="503"/>
    </row>
    <row r="19904" spans="23:23">
      <c r="W19904" s="503"/>
    </row>
    <row r="19905" spans="23:23">
      <c r="W19905" s="503"/>
    </row>
    <row r="19906" spans="23:23">
      <c r="W19906" s="503"/>
    </row>
    <row r="19907" spans="23:23">
      <c r="W19907" s="503"/>
    </row>
    <row r="19908" spans="23:23">
      <c r="W19908" s="503"/>
    </row>
    <row r="19909" spans="23:23">
      <c r="W19909" s="503"/>
    </row>
    <row r="19910" spans="23:23">
      <c r="W19910" s="503"/>
    </row>
    <row r="19911" spans="23:23">
      <c r="W19911" s="503"/>
    </row>
    <row r="19912" spans="23:23">
      <c r="W19912" s="503"/>
    </row>
    <row r="19913" spans="23:23">
      <c r="W19913" s="503"/>
    </row>
    <row r="19914" spans="23:23">
      <c r="W19914" s="503"/>
    </row>
    <row r="19915" spans="23:23">
      <c r="W19915" s="503"/>
    </row>
    <row r="19916" spans="23:23">
      <c r="W19916" s="503"/>
    </row>
    <row r="19917" spans="23:23">
      <c r="W19917" s="503"/>
    </row>
    <row r="19918" spans="23:23">
      <c r="W19918" s="503"/>
    </row>
    <row r="19919" spans="23:23">
      <c r="W19919" s="503"/>
    </row>
    <row r="19920" spans="23:23">
      <c r="W19920" s="503"/>
    </row>
    <row r="19921" spans="23:23">
      <c r="W19921" s="503"/>
    </row>
    <row r="19922" spans="23:23">
      <c r="W19922" s="503"/>
    </row>
    <row r="19923" spans="23:23">
      <c r="W19923" s="503"/>
    </row>
    <row r="19924" spans="23:23">
      <c r="W19924" s="503"/>
    </row>
    <row r="19925" spans="23:23">
      <c r="W19925" s="503"/>
    </row>
    <row r="19926" spans="23:23">
      <c r="W19926" s="503"/>
    </row>
    <row r="19927" spans="23:23">
      <c r="W19927" s="503"/>
    </row>
    <row r="19928" spans="23:23">
      <c r="W19928" s="503"/>
    </row>
    <row r="19929" spans="23:23">
      <c r="W19929" s="503"/>
    </row>
    <row r="19930" spans="23:23">
      <c r="W19930" s="503"/>
    </row>
    <row r="19931" spans="23:23">
      <c r="W19931" s="503"/>
    </row>
    <row r="19932" spans="23:23">
      <c r="W19932" s="503"/>
    </row>
    <row r="19933" spans="23:23">
      <c r="W19933" s="503"/>
    </row>
    <row r="19934" spans="23:23">
      <c r="W19934" s="503"/>
    </row>
    <row r="19935" spans="23:23">
      <c r="W19935" s="503"/>
    </row>
    <row r="19936" spans="23:23">
      <c r="W19936" s="503"/>
    </row>
    <row r="19937" spans="23:23">
      <c r="W19937" s="503"/>
    </row>
    <row r="19938" spans="23:23">
      <c r="W19938" s="503"/>
    </row>
    <row r="19939" spans="23:23">
      <c r="W19939" s="503"/>
    </row>
    <row r="19940" spans="23:23">
      <c r="W19940" s="503"/>
    </row>
    <row r="19941" spans="23:23">
      <c r="W19941" s="503"/>
    </row>
    <row r="19942" spans="23:23">
      <c r="W19942" s="503"/>
    </row>
    <row r="19943" spans="23:23">
      <c r="W19943" s="503"/>
    </row>
    <row r="19944" spans="23:23">
      <c r="W19944" s="503"/>
    </row>
    <row r="19945" spans="23:23">
      <c r="W19945" s="503"/>
    </row>
    <row r="19946" spans="23:23">
      <c r="W19946" s="503"/>
    </row>
    <row r="19947" spans="23:23">
      <c r="W19947" s="503"/>
    </row>
    <row r="19948" spans="23:23">
      <c r="W19948" s="503"/>
    </row>
    <row r="19949" spans="23:23">
      <c r="W19949" s="503"/>
    </row>
    <row r="19950" spans="23:23">
      <c r="W19950" s="503"/>
    </row>
    <row r="19951" spans="23:23">
      <c r="W19951" s="503"/>
    </row>
    <row r="19952" spans="23:23">
      <c r="W19952" s="503"/>
    </row>
    <row r="19953" spans="23:23">
      <c r="W19953" s="503"/>
    </row>
    <row r="19954" spans="23:23">
      <c r="W19954" s="503"/>
    </row>
    <row r="19955" spans="23:23">
      <c r="W19955" s="503"/>
    </row>
    <row r="19956" spans="23:23">
      <c r="W19956" s="503"/>
    </row>
    <row r="19957" spans="23:23">
      <c r="W19957" s="503"/>
    </row>
    <row r="19958" spans="23:23">
      <c r="W19958" s="503"/>
    </row>
    <row r="19959" spans="23:23">
      <c r="W19959" s="503"/>
    </row>
    <row r="19960" spans="23:23">
      <c r="W19960" s="503"/>
    </row>
    <row r="19961" spans="23:23">
      <c r="W19961" s="503"/>
    </row>
    <row r="19962" spans="23:23">
      <c r="W19962" s="503"/>
    </row>
    <row r="19963" spans="23:23">
      <c r="W19963" s="503"/>
    </row>
    <row r="19964" spans="23:23">
      <c r="W19964" s="503"/>
    </row>
    <row r="19965" spans="23:23">
      <c r="W19965" s="503"/>
    </row>
    <row r="19966" spans="23:23">
      <c r="W19966" s="503"/>
    </row>
    <row r="19967" spans="23:23">
      <c r="W19967" s="503"/>
    </row>
    <row r="19968" spans="23:23">
      <c r="W19968" s="503"/>
    </row>
    <row r="19969" spans="23:23">
      <c r="W19969" s="503"/>
    </row>
    <row r="19970" spans="23:23">
      <c r="W19970" s="503"/>
    </row>
    <row r="19971" spans="23:23">
      <c r="W19971" s="503"/>
    </row>
    <row r="19972" spans="23:23">
      <c r="W19972" s="503"/>
    </row>
    <row r="19973" spans="23:23">
      <c r="W19973" s="503"/>
    </row>
    <row r="19974" spans="23:23">
      <c r="W19974" s="503"/>
    </row>
    <row r="19975" spans="23:23">
      <c r="W19975" s="503"/>
    </row>
    <row r="19976" spans="23:23">
      <c r="W19976" s="503"/>
    </row>
    <row r="19977" spans="23:23">
      <c r="W19977" s="503"/>
    </row>
    <row r="19978" spans="23:23">
      <c r="W19978" s="503"/>
    </row>
    <row r="19979" spans="23:23">
      <c r="W19979" s="503"/>
    </row>
    <row r="19980" spans="23:23">
      <c r="W19980" s="503"/>
    </row>
    <row r="19981" spans="23:23">
      <c r="W19981" s="503"/>
    </row>
    <row r="19982" spans="23:23">
      <c r="W19982" s="503"/>
    </row>
    <row r="19983" spans="23:23">
      <c r="W19983" s="503"/>
    </row>
    <row r="19984" spans="23:23">
      <c r="W19984" s="503"/>
    </row>
    <row r="19985" spans="23:23">
      <c r="W19985" s="503"/>
    </row>
    <row r="19986" spans="23:23">
      <c r="W19986" s="503"/>
    </row>
    <row r="19987" spans="23:23">
      <c r="W19987" s="503"/>
    </row>
    <row r="19988" spans="23:23">
      <c r="W19988" s="503"/>
    </row>
    <row r="19989" spans="23:23">
      <c r="W19989" s="503"/>
    </row>
    <row r="19990" spans="23:23">
      <c r="W19990" s="503"/>
    </row>
    <row r="19991" spans="23:23">
      <c r="W19991" s="503"/>
    </row>
    <row r="19992" spans="23:23">
      <c r="W19992" s="503"/>
    </row>
    <row r="19993" spans="23:23">
      <c r="W19993" s="503"/>
    </row>
    <row r="19994" spans="23:23">
      <c r="W19994" s="503"/>
    </row>
    <row r="19995" spans="23:23">
      <c r="W19995" s="503"/>
    </row>
    <row r="19996" spans="23:23">
      <c r="W19996" s="503"/>
    </row>
    <row r="19997" spans="23:23">
      <c r="W19997" s="503"/>
    </row>
    <row r="19998" spans="23:23">
      <c r="W19998" s="503"/>
    </row>
    <row r="19999" spans="23:23">
      <c r="W19999" s="503"/>
    </row>
    <row r="20000" spans="23:23">
      <c r="W20000" s="503"/>
    </row>
    <row r="20001" spans="23:23">
      <c r="W20001" s="503"/>
    </row>
    <row r="20002" spans="23:23">
      <c r="W20002" s="503"/>
    </row>
    <row r="20003" spans="23:23">
      <c r="W20003" s="503"/>
    </row>
    <row r="20004" spans="23:23">
      <c r="W20004" s="503"/>
    </row>
    <row r="20005" spans="23:23">
      <c r="W20005" s="503"/>
    </row>
    <row r="20006" spans="23:23">
      <c r="W20006" s="503"/>
    </row>
    <row r="20007" spans="23:23">
      <c r="W20007" s="503"/>
    </row>
    <row r="20008" spans="23:23">
      <c r="W20008" s="503"/>
    </row>
    <row r="20009" spans="23:23">
      <c r="W20009" s="503"/>
    </row>
    <row r="20010" spans="23:23">
      <c r="W20010" s="503"/>
    </row>
    <row r="20011" spans="23:23">
      <c r="W20011" s="503"/>
    </row>
    <row r="20012" spans="23:23">
      <c r="W20012" s="503"/>
    </row>
    <row r="20013" spans="23:23">
      <c r="W20013" s="503"/>
    </row>
    <row r="20014" spans="23:23">
      <c r="W20014" s="503"/>
    </row>
    <row r="20015" spans="23:23">
      <c r="W20015" s="503"/>
    </row>
    <row r="20016" spans="23:23">
      <c r="W20016" s="503"/>
    </row>
    <row r="20017" spans="23:23">
      <c r="W20017" s="503"/>
    </row>
    <row r="20018" spans="23:23">
      <c r="W20018" s="503"/>
    </row>
    <row r="20019" spans="23:23">
      <c r="W20019" s="503"/>
    </row>
    <row r="20020" spans="23:23">
      <c r="W20020" s="503"/>
    </row>
    <row r="20021" spans="23:23">
      <c r="W20021" s="503"/>
    </row>
    <row r="20022" spans="23:23">
      <c r="W20022" s="503"/>
    </row>
    <row r="20023" spans="23:23">
      <c r="W20023" s="503"/>
    </row>
    <row r="20024" spans="23:23">
      <c r="W20024" s="503"/>
    </row>
    <row r="20025" spans="23:23">
      <c r="W20025" s="503"/>
    </row>
    <row r="20026" spans="23:23">
      <c r="W20026" s="503"/>
    </row>
    <row r="20027" spans="23:23">
      <c r="W20027" s="503"/>
    </row>
    <row r="20028" spans="23:23">
      <c r="W20028" s="503"/>
    </row>
    <row r="20029" spans="23:23">
      <c r="W20029" s="503"/>
    </row>
    <row r="20030" spans="23:23">
      <c r="W20030" s="503"/>
    </row>
    <row r="20031" spans="23:23">
      <c r="W20031" s="503"/>
    </row>
    <row r="20032" spans="23:23">
      <c r="W20032" s="503"/>
    </row>
    <row r="20033" spans="23:23">
      <c r="W20033" s="503"/>
    </row>
    <row r="20034" spans="23:23">
      <c r="W20034" s="503"/>
    </row>
    <row r="20035" spans="23:23">
      <c r="W20035" s="503"/>
    </row>
    <row r="20036" spans="23:23">
      <c r="W20036" s="503"/>
    </row>
    <row r="20037" spans="23:23">
      <c r="W20037" s="503"/>
    </row>
    <row r="20038" spans="23:23">
      <c r="W20038" s="503"/>
    </row>
    <row r="20039" spans="23:23">
      <c r="W20039" s="503"/>
    </row>
    <row r="20040" spans="23:23">
      <c r="W20040" s="503"/>
    </row>
    <row r="20041" spans="23:23">
      <c r="W20041" s="503"/>
    </row>
    <row r="20042" spans="23:23">
      <c r="W20042" s="503"/>
    </row>
    <row r="20043" spans="23:23">
      <c r="W20043" s="503"/>
    </row>
    <row r="20044" spans="23:23">
      <c r="W20044" s="503"/>
    </row>
    <row r="20045" spans="23:23">
      <c r="W20045" s="503"/>
    </row>
    <row r="20046" spans="23:23">
      <c r="W20046" s="503"/>
    </row>
    <row r="20047" spans="23:23">
      <c r="W20047" s="503"/>
    </row>
    <row r="20048" spans="23:23">
      <c r="W20048" s="503"/>
    </row>
    <row r="20049" spans="23:23">
      <c r="W20049" s="503"/>
    </row>
    <row r="20050" spans="23:23">
      <c r="W20050" s="503"/>
    </row>
    <row r="20051" spans="23:23">
      <c r="W20051" s="503"/>
    </row>
    <row r="20052" spans="23:23">
      <c r="W20052" s="503"/>
    </row>
    <row r="20053" spans="23:23">
      <c r="W20053" s="503"/>
    </row>
    <row r="20054" spans="23:23">
      <c r="W20054" s="503"/>
    </row>
    <row r="20055" spans="23:23">
      <c r="W20055" s="503"/>
    </row>
    <row r="20056" spans="23:23">
      <c r="W20056" s="503"/>
    </row>
    <row r="20057" spans="23:23">
      <c r="W20057" s="503"/>
    </row>
    <row r="20058" spans="23:23">
      <c r="W20058" s="503"/>
    </row>
    <row r="20059" spans="23:23">
      <c r="W20059" s="503"/>
    </row>
    <row r="20060" spans="23:23">
      <c r="W20060" s="503"/>
    </row>
    <row r="20061" spans="23:23">
      <c r="W20061" s="503"/>
    </row>
    <row r="20062" spans="23:23">
      <c r="W20062" s="503"/>
    </row>
    <row r="20063" spans="23:23">
      <c r="W20063" s="503"/>
    </row>
    <row r="20064" spans="23:23">
      <c r="W20064" s="503"/>
    </row>
    <row r="20065" spans="23:23">
      <c r="W20065" s="503"/>
    </row>
    <row r="20066" spans="23:23">
      <c r="W20066" s="503"/>
    </row>
    <row r="20067" spans="23:23">
      <c r="W20067" s="503"/>
    </row>
    <row r="20068" spans="23:23">
      <c r="W20068" s="503"/>
    </row>
    <row r="20069" spans="23:23">
      <c r="W20069" s="503"/>
    </row>
    <row r="20070" spans="23:23">
      <c r="W20070" s="503"/>
    </row>
    <row r="20071" spans="23:23">
      <c r="W20071" s="503"/>
    </row>
    <row r="20072" spans="23:23">
      <c r="W20072" s="503"/>
    </row>
    <row r="20073" spans="23:23">
      <c r="W20073" s="503"/>
    </row>
    <row r="20074" spans="23:23">
      <c r="W20074" s="503"/>
    </row>
    <row r="20075" spans="23:23">
      <c r="W20075" s="503"/>
    </row>
    <row r="20076" spans="23:23">
      <c r="W20076" s="503"/>
    </row>
    <row r="20077" spans="23:23">
      <c r="W20077" s="503"/>
    </row>
    <row r="20078" spans="23:23">
      <c r="W20078" s="503"/>
    </row>
    <row r="20079" spans="23:23">
      <c r="W20079" s="503"/>
    </row>
    <row r="20080" spans="23:23">
      <c r="W20080" s="503"/>
    </row>
    <row r="20081" spans="23:23">
      <c r="W20081" s="503"/>
    </row>
    <row r="20082" spans="23:23">
      <c r="W20082" s="503"/>
    </row>
    <row r="20083" spans="23:23">
      <c r="W20083" s="503"/>
    </row>
    <row r="20084" spans="23:23">
      <c r="W20084" s="503"/>
    </row>
    <row r="20085" spans="23:23">
      <c r="W20085" s="503"/>
    </row>
    <row r="20086" spans="23:23">
      <c r="W20086" s="503"/>
    </row>
    <row r="20087" spans="23:23">
      <c r="W20087" s="503"/>
    </row>
    <row r="20088" spans="23:23">
      <c r="W20088" s="503"/>
    </row>
    <row r="20089" spans="23:23">
      <c r="W20089" s="503"/>
    </row>
    <row r="20090" spans="23:23">
      <c r="W20090" s="503"/>
    </row>
    <row r="20091" spans="23:23">
      <c r="W20091" s="503"/>
    </row>
    <row r="20092" spans="23:23">
      <c r="W20092" s="503"/>
    </row>
    <row r="20093" spans="23:23">
      <c r="W20093" s="503"/>
    </row>
    <row r="20094" spans="23:23">
      <c r="W20094" s="503"/>
    </row>
    <row r="20095" spans="23:23">
      <c r="W20095" s="503"/>
    </row>
    <row r="20096" spans="23:23">
      <c r="W20096" s="503"/>
    </row>
    <row r="20097" spans="23:23">
      <c r="W20097" s="503"/>
    </row>
    <row r="20098" spans="23:23">
      <c r="W20098" s="503"/>
    </row>
    <row r="20099" spans="23:23">
      <c r="W20099" s="503"/>
    </row>
    <row r="20100" spans="23:23">
      <c r="W20100" s="503"/>
    </row>
    <row r="20101" spans="23:23">
      <c r="W20101" s="503"/>
    </row>
    <row r="20102" spans="23:23">
      <c r="W20102" s="503"/>
    </row>
    <row r="20103" spans="23:23">
      <c r="W20103" s="503"/>
    </row>
    <row r="20104" spans="23:23">
      <c r="W20104" s="503"/>
    </row>
    <row r="20105" spans="23:23">
      <c r="W20105" s="503"/>
    </row>
    <row r="20106" spans="23:23">
      <c r="W20106" s="503"/>
    </row>
    <row r="20107" spans="23:23">
      <c r="W20107" s="503"/>
    </row>
    <row r="20108" spans="23:23">
      <c r="W20108" s="503"/>
    </row>
    <row r="20109" spans="23:23">
      <c r="W20109" s="503"/>
    </row>
    <row r="20110" spans="23:23">
      <c r="W20110" s="503"/>
    </row>
    <row r="20111" spans="23:23">
      <c r="W20111" s="503"/>
    </row>
    <row r="20112" spans="23:23">
      <c r="W20112" s="503"/>
    </row>
    <row r="20113" spans="23:23">
      <c r="W20113" s="503"/>
    </row>
    <row r="20114" spans="23:23">
      <c r="W20114" s="503"/>
    </row>
    <row r="20115" spans="23:23">
      <c r="W20115" s="503"/>
    </row>
    <row r="20116" spans="23:23">
      <c r="W20116" s="503"/>
    </row>
    <row r="20117" spans="23:23">
      <c r="W20117" s="503"/>
    </row>
    <row r="20118" spans="23:23">
      <c r="W20118" s="503"/>
    </row>
    <row r="20119" spans="23:23">
      <c r="W20119" s="503"/>
    </row>
    <row r="20120" spans="23:23">
      <c r="W20120" s="503"/>
    </row>
    <row r="20121" spans="23:23">
      <c r="W20121" s="503"/>
    </row>
    <row r="20122" spans="23:23">
      <c r="W20122" s="503"/>
    </row>
    <row r="20123" spans="23:23">
      <c r="W20123" s="503"/>
    </row>
    <row r="20124" spans="23:23">
      <c r="W20124" s="503"/>
    </row>
    <row r="20125" spans="23:23">
      <c r="W20125" s="503"/>
    </row>
    <row r="20126" spans="23:23">
      <c r="W20126" s="503"/>
    </row>
    <row r="20127" spans="23:23">
      <c r="W20127" s="503"/>
    </row>
    <row r="20128" spans="23:23">
      <c r="W20128" s="503"/>
    </row>
    <row r="20129" spans="23:23">
      <c r="W20129" s="503"/>
    </row>
    <row r="20130" spans="23:23">
      <c r="W20130" s="503"/>
    </row>
    <row r="20131" spans="23:23">
      <c r="W20131" s="503"/>
    </row>
    <row r="20132" spans="23:23">
      <c r="W20132" s="503"/>
    </row>
    <row r="20133" spans="23:23">
      <c r="W20133" s="503"/>
    </row>
    <row r="20134" spans="23:23">
      <c r="W20134" s="503"/>
    </row>
    <row r="20135" spans="23:23">
      <c r="W20135" s="503"/>
    </row>
    <row r="20136" spans="23:23">
      <c r="W20136" s="503"/>
    </row>
    <row r="20137" spans="23:23">
      <c r="W20137" s="503"/>
    </row>
    <row r="20138" spans="23:23">
      <c r="W20138" s="503"/>
    </row>
    <row r="20139" spans="23:23">
      <c r="W20139" s="503"/>
    </row>
    <row r="20140" spans="23:23">
      <c r="W20140" s="503"/>
    </row>
    <row r="20141" spans="23:23">
      <c r="W20141" s="503"/>
    </row>
    <row r="20142" spans="23:23">
      <c r="W20142" s="503"/>
    </row>
    <row r="20143" spans="23:23">
      <c r="W20143" s="503"/>
    </row>
    <row r="20144" spans="23:23">
      <c r="W20144" s="503"/>
    </row>
    <row r="20145" spans="23:23">
      <c r="W20145" s="503"/>
    </row>
    <row r="20146" spans="23:23">
      <c r="W20146" s="503"/>
    </row>
    <row r="20147" spans="23:23">
      <c r="W20147" s="503"/>
    </row>
    <row r="20148" spans="23:23">
      <c r="W20148" s="503"/>
    </row>
    <row r="20149" spans="23:23">
      <c r="W20149" s="503"/>
    </row>
    <row r="20150" spans="23:23">
      <c r="W20150" s="503"/>
    </row>
    <row r="20151" spans="23:23">
      <c r="W20151" s="503"/>
    </row>
    <row r="20152" spans="23:23">
      <c r="W20152" s="503"/>
    </row>
    <row r="20153" spans="23:23">
      <c r="W20153" s="503"/>
    </row>
    <row r="20154" spans="23:23">
      <c r="W20154" s="503"/>
    </row>
    <row r="20155" spans="23:23">
      <c r="W20155" s="503"/>
    </row>
    <row r="20156" spans="23:23">
      <c r="W20156" s="503"/>
    </row>
    <row r="20157" spans="23:23">
      <c r="W20157" s="503"/>
    </row>
    <row r="20158" spans="23:23">
      <c r="W20158" s="503"/>
    </row>
    <row r="20159" spans="23:23">
      <c r="W20159" s="503"/>
    </row>
    <row r="20160" spans="23:23">
      <c r="W20160" s="503"/>
    </row>
    <row r="20161" spans="23:23">
      <c r="W20161" s="503"/>
    </row>
    <row r="20162" spans="23:23">
      <c r="W20162" s="503"/>
    </row>
    <row r="20163" spans="23:23">
      <c r="W20163" s="503"/>
    </row>
    <row r="20164" spans="23:23">
      <c r="W20164" s="503"/>
    </row>
    <row r="20165" spans="23:23">
      <c r="W20165" s="503"/>
    </row>
    <row r="20166" spans="23:23">
      <c r="W20166" s="503"/>
    </row>
    <row r="20167" spans="23:23">
      <c r="W20167" s="503"/>
    </row>
    <row r="20168" spans="23:23">
      <c r="W20168" s="503"/>
    </row>
    <row r="20169" spans="23:23">
      <c r="W20169" s="503"/>
    </row>
    <row r="20170" spans="23:23">
      <c r="W20170" s="503"/>
    </row>
    <row r="20171" spans="23:23">
      <c r="W20171" s="503"/>
    </row>
    <row r="20172" spans="23:23">
      <c r="W20172" s="503"/>
    </row>
    <row r="20173" spans="23:23">
      <c r="W20173" s="503"/>
    </row>
    <row r="20174" spans="23:23">
      <c r="W20174" s="503"/>
    </row>
    <row r="20175" spans="23:23">
      <c r="W20175" s="503"/>
    </row>
    <row r="20176" spans="23:23">
      <c r="W20176" s="503"/>
    </row>
    <row r="20177" spans="23:23">
      <c r="W20177" s="503"/>
    </row>
    <row r="20178" spans="23:23">
      <c r="W20178" s="503"/>
    </row>
    <row r="20179" spans="23:23">
      <c r="W20179" s="503"/>
    </row>
    <row r="20180" spans="23:23">
      <c r="W20180" s="503"/>
    </row>
    <row r="20181" spans="23:23">
      <c r="W20181" s="503"/>
    </row>
    <row r="20182" spans="23:23">
      <c r="W20182" s="503"/>
    </row>
    <row r="20183" spans="23:23">
      <c r="W20183" s="503"/>
    </row>
    <row r="20184" spans="23:23">
      <c r="W20184" s="503"/>
    </row>
    <row r="20185" spans="23:23">
      <c r="W20185" s="503"/>
    </row>
    <row r="20186" spans="23:23">
      <c r="W20186" s="503"/>
    </row>
    <row r="20187" spans="23:23">
      <c r="W20187" s="503"/>
    </row>
    <row r="20188" spans="23:23">
      <c r="W20188" s="503"/>
    </row>
    <row r="20189" spans="23:23">
      <c r="W20189" s="503"/>
    </row>
    <row r="20190" spans="23:23">
      <c r="W20190" s="503"/>
    </row>
    <row r="20191" spans="23:23">
      <c r="W20191" s="503"/>
    </row>
    <row r="20192" spans="23:23">
      <c r="W20192" s="503"/>
    </row>
    <row r="20193" spans="23:23">
      <c r="W20193" s="503"/>
    </row>
    <row r="20194" spans="23:23">
      <c r="W20194" s="503"/>
    </row>
    <row r="20195" spans="23:23">
      <c r="W20195" s="503"/>
    </row>
    <row r="20196" spans="23:23">
      <c r="W20196" s="503"/>
    </row>
    <row r="20197" spans="23:23">
      <c r="W20197" s="503"/>
    </row>
    <row r="20198" spans="23:23">
      <c r="W20198" s="503"/>
    </row>
    <row r="20199" spans="23:23">
      <c r="W20199" s="503"/>
    </row>
    <row r="20200" spans="23:23">
      <c r="W20200" s="503"/>
    </row>
    <row r="20201" spans="23:23">
      <c r="W20201" s="503"/>
    </row>
    <row r="20202" spans="23:23">
      <c r="W20202" s="503"/>
    </row>
    <row r="20203" spans="23:23">
      <c r="W20203" s="503"/>
    </row>
    <row r="20204" spans="23:23">
      <c r="W20204" s="503"/>
    </row>
    <row r="20205" spans="23:23">
      <c r="W20205" s="503"/>
    </row>
    <row r="20206" spans="23:23">
      <c r="W20206" s="503"/>
    </row>
    <row r="20207" spans="23:23">
      <c r="W20207" s="503"/>
    </row>
    <row r="20208" spans="23:23">
      <c r="W20208" s="503"/>
    </row>
    <row r="20209" spans="23:23">
      <c r="W20209" s="503"/>
    </row>
    <row r="20210" spans="23:23">
      <c r="W20210" s="503"/>
    </row>
    <row r="20211" spans="23:23">
      <c r="W20211" s="503"/>
    </row>
    <row r="20212" spans="23:23">
      <c r="W20212" s="503"/>
    </row>
    <row r="20213" spans="23:23">
      <c r="W20213" s="503"/>
    </row>
    <row r="20214" spans="23:23">
      <c r="W20214" s="503"/>
    </row>
    <row r="20215" spans="23:23">
      <c r="W20215" s="503"/>
    </row>
    <row r="20216" spans="23:23">
      <c r="W20216" s="503"/>
    </row>
    <row r="20217" spans="23:23">
      <c r="W20217" s="503"/>
    </row>
    <row r="20218" spans="23:23">
      <c r="W20218" s="503"/>
    </row>
    <row r="20219" spans="23:23">
      <c r="W20219" s="503"/>
    </row>
    <row r="20220" spans="23:23">
      <c r="W20220" s="503"/>
    </row>
    <row r="20221" spans="23:23">
      <c r="W20221" s="503"/>
    </row>
    <row r="20222" spans="23:23">
      <c r="W20222" s="503"/>
    </row>
    <row r="20223" spans="23:23">
      <c r="W20223" s="503"/>
    </row>
    <row r="20224" spans="23:23">
      <c r="W20224" s="503"/>
    </row>
    <row r="20225" spans="23:23">
      <c r="W20225" s="503"/>
    </row>
    <row r="20226" spans="23:23">
      <c r="W20226" s="503"/>
    </row>
    <row r="20227" spans="23:23">
      <c r="W20227" s="503"/>
    </row>
    <row r="20228" spans="23:23">
      <c r="W20228" s="503"/>
    </row>
    <row r="20229" spans="23:23">
      <c r="W20229" s="503"/>
    </row>
    <row r="20230" spans="23:23">
      <c r="W20230" s="503"/>
    </row>
    <row r="20231" spans="23:23">
      <c r="W20231" s="503"/>
    </row>
    <row r="20232" spans="23:23">
      <c r="W20232" s="503"/>
    </row>
    <row r="20233" spans="23:23">
      <c r="W20233" s="503"/>
    </row>
    <row r="20234" spans="23:23">
      <c r="W20234" s="503"/>
    </row>
    <row r="20235" spans="23:23">
      <c r="W20235" s="503"/>
    </row>
    <row r="20236" spans="23:23">
      <c r="W20236" s="503"/>
    </row>
    <row r="20237" spans="23:23">
      <c r="W20237" s="503"/>
    </row>
    <row r="20238" spans="23:23">
      <c r="W20238" s="503"/>
    </row>
    <row r="20239" spans="23:23">
      <c r="W20239" s="503"/>
    </row>
    <row r="20240" spans="23:23">
      <c r="W20240" s="503"/>
    </row>
    <row r="20241" spans="23:23">
      <c r="W20241" s="503"/>
    </row>
    <row r="20242" spans="23:23">
      <c r="W20242" s="503"/>
    </row>
    <row r="20243" spans="23:23">
      <c r="W20243" s="503"/>
    </row>
    <row r="20244" spans="23:23">
      <c r="W20244" s="503"/>
    </row>
    <row r="20245" spans="23:23">
      <c r="W20245" s="503"/>
    </row>
    <row r="20246" spans="23:23">
      <c r="W20246" s="503"/>
    </row>
    <row r="20247" spans="23:23">
      <c r="W20247" s="503"/>
    </row>
    <row r="20248" spans="23:23">
      <c r="W20248" s="503"/>
    </row>
    <row r="20249" spans="23:23">
      <c r="W20249" s="503"/>
    </row>
    <row r="20250" spans="23:23">
      <c r="W20250" s="503"/>
    </row>
    <row r="20251" spans="23:23">
      <c r="W20251" s="503"/>
    </row>
    <row r="20252" spans="23:23">
      <c r="W20252" s="503"/>
    </row>
    <row r="20253" spans="23:23">
      <c r="W20253" s="503"/>
    </row>
    <row r="20254" spans="23:23">
      <c r="W20254" s="503"/>
    </row>
    <row r="20255" spans="23:23">
      <c r="W20255" s="503"/>
    </row>
    <row r="20256" spans="23:23">
      <c r="W20256" s="503"/>
    </row>
    <row r="20257" spans="23:23">
      <c r="W20257" s="503"/>
    </row>
    <row r="20258" spans="23:23">
      <c r="W20258" s="503"/>
    </row>
    <row r="20259" spans="23:23">
      <c r="W20259" s="503"/>
    </row>
    <row r="20260" spans="23:23">
      <c r="W20260" s="503"/>
    </row>
    <row r="20261" spans="23:23">
      <c r="W20261" s="503"/>
    </row>
    <row r="20262" spans="23:23">
      <c r="W20262" s="503"/>
    </row>
    <row r="20263" spans="23:23">
      <c r="W20263" s="503"/>
    </row>
    <row r="20264" spans="23:23">
      <c r="W20264" s="503"/>
    </row>
    <row r="20265" spans="23:23">
      <c r="W20265" s="503"/>
    </row>
    <row r="20266" spans="23:23">
      <c r="W20266" s="503"/>
    </row>
    <row r="20267" spans="23:23">
      <c r="W20267" s="503"/>
    </row>
    <row r="20268" spans="23:23">
      <c r="W20268" s="503"/>
    </row>
    <row r="20269" spans="23:23">
      <c r="W20269" s="503"/>
    </row>
    <row r="20270" spans="23:23">
      <c r="W20270" s="503"/>
    </row>
    <row r="20271" spans="23:23">
      <c r="W20271" s="503"/>
    </row>
    <row r="20272" spans="23:23">
      <c r="W20272" s="503"/>
    </row>
    <row r="20273" spans="23:23">
      <c r="W20273" s="503"/>
    </row>
    <row r="20274" spans="23:23">
      <c r="W20274" s="503"/>
    </row>
    <row r="20275" spans="23:23">
      <c r="W20275" s="503"/>
    </row>
    <row r="20276" spans="23:23">
      <c r="W20276" s="503"/>
    </row>
    <row r="20277" spans="23:23">
      <c r="W20277" s="503"/>
    </row>
    <row r="20278" spans="23:23">
      <c r="W20278" s="503"/>
    </row>
    <row r="20279" spans="23:23">
      <c r="W20279" s="503"/>
    </row>
    <row r="20280" spans="23:23">
      <c r="W20280" s="503"/>
    </row>
    <row r="20281" spans="23:23">
      <c r="W20281" s="503"/>
    </row>
    <row r="20282" spans="23:23">
      <c r="W20282" s="503"/>
    </row>
    <row r="20283" spans="23:23">
      <c r="W20283" s="503"/>
    </row>
    <row r="20284" spans="23:23">
      <c r="W20284" s="503"/>
    </row>
    <row r="20285" spans="23:23">
      <c r="W20285" s="503"/>
    </row>
    <row r="20286" spans="23:23">
      <c r="W20286" s="503"/>
    </row>
    <row r="20287" spans="23:23">
      <c r="W20287" s="503"/>
    </row>
    <row r="20288" spans="23:23">
      <c r="W20288" s="503"/>
    </row>
    <row r="20289" spans="23:23">
      <c r="W20289" s="503"/>
    </row>
    <row r="20290" spans="23:23">
      <c r="W20290" s="503"/>
    </row>
    <row r="20291" spans="23:23">
      <c r="W20291" s="503"/>
    </row>
    <row r="20292" spans="23:23">
      <c r="W20292" s="503"/>
    </row>
    <row r="20293" spans="23:23">
      <c r="W20293" s="503"/>
    </row>
    <row r="20294" spans="23:23">
      <c r="W20294" s="503"/>
    </row>
    <row r="20295" spans="23:23">
      <c r="W20295" s="503"/>
    </row>
    <row r="20296" spans="23:23">
      <c r="W20296" s="503"/>
    </row>
    <row r="20297" spans="23:23">
      <c r="W20297" s="503"/>
    </row>
    <row r="20298" spans="23:23">
      <c r="W20298" s="503"/>
    </row>
    <row r="20299" spans="23:23">
      <c r="W20299" s="503"/>
    </row>
    <row r="20300" spans="23:23">
      <c r="W20300" s="503"/>
    </row>
    <row r="20301" spans="23:23">
      <c r="W20301" s="503"/>
    </row>
    <row r="20302" spans="23:23">
      <c r="W20302" s="503"/>
    </row>
    <row r="20303" spans="23:23">
      <c r="W20303" s="503"/>
    </row>
    <row r="20304" spans="23:23">
      <c r="W20304" s="503"/>
    </row>
    <row r="20305" spans="23:23">
      <c r="W20305" s="503"/>
    </row>
    <row r="20306" spans="23:23">
      <c r="W20306" s="503"/>
    </row>
    <row r="20307" spans="23:23">
      <c r="W20307" s="503"/>
    </row>
    <row r="20308" spans="23:23">
      <c r="W20308" s="503"/>
    </row>
    <row r="20309" spans="23:23">
      <c r="W20309" s="503"/>
    </row>
    <row r="20310" spans="23:23">
      <c r="W20310" s="503"/>
    </row>
    <row r="20311" spans="23:23">
      <c r="W20311" s="503"/>
    </row>
    <row r="20312" spans="23:23">
      <c r="W20312" s="503"/>
    </row>
    <row r="20313" spans="23:23">
      <c r="W20313" s="503"/>
    </row>
    <row r="20314" spans="23:23">
      <c r="W20314" s="503"/>
    </row>
    <row r="20315" spans="23:23">
      <c r="W20315" s="503"/>
    </row>
    <row r="20316" spans="23:23">
      <c r="W20316" s="503"/>
    </row>
    <row r="20317" spans="23:23">
      <c r="W20317" s="503"/>
    </row>
    <row r="20318" spans="23:23">
      <c r="W20318" s="503"/>
    </row>
    <row r="20319" spans="23:23">
      <c r="W20319" s="503"/>
    </row>
    <row r="20320" spans="23:23">
      <c r="W20320" s="503"/>
    </row>
    <row r="20321" spans="23:23">
      <c r="W20321" s="503"/>
    </row>
    <row r="20322" spans="23:23">
      <c r="W20322" s="503"/>
    </row>
    <row r="20323" spans="23:23">
      <c r="W20323" s="503"/>
    </row>
    <row r="20324" spans="23:23">
      <c r="W20324" s="503"/>
    </row>
    <row r="20325" spans="23:23">
      <c r="W20325" s="503"/>
    </row>
    <row r="20326" spans="23:23">
      <c r="W20326" s="503"/>
    </row>
    <row r="20327" spans="23:23">
      <c r="W20327" s="503"/>
    </row>
    <row r="20328" spans="23:23">
      <c r="W20328" s="503"/>
    </row>
    <row r="20329" spans="23:23">
      <c r="W20329" s="503"/>
    </row>
    <row r="20330" spans="23:23">
      <c r="W20330" s="503"/>
    </row>
    <row r="20331" spans="23:23">
      <c r="W20331" s="503"/>
    </row>
    <row r="20332" spans="23:23">
      <c r="W20332" s="503"/>
    </row>
    <row r="20333" spans="23:23">
      <c r="W20333" s="503"/>
    </row>
    <row r="20334" spans="23:23">
      <c r="W20334" s="503"/>
    </row>
    <row r="20335" spans="23:23">
      <c r="W20335" s="503"/>
    </row>
    <row r="20336" spans="23:23">
      <c r="W20336" s="503"/>
    </row>
    <row r="20337" spans="23:23">
      <c r="W20337" s="503"/>
    </row>
    <row r="20338" spans="23:23">
      <c r="W20338" s="503"/>
    </row>
    <row r="20339" spans="23:23">
      <c r="W20339" s="503"/>
    </row>
    <row r="20340" spans="23:23">
      <c r="W20340" s="503"/>
    </row>
    <row r="20341" spans="23:23">
      <c r="W20341" s="503"/>
    </row>
    <row r="20342" spans="23:23">
      <c r="W20342" s="503"/>
    </row>
    <row r="20343" spans="23:23">
      <c r="W20343" s="503"/>
    </row>
    <row r="20344" spans="23:23">
      <c r="W20344" s="503"/>
    </row>
    <row r="20345" spans="23:23">
      <c r="W20345" s="503"/>
    </row>
    <row r="20346" spans="23:23">
      <c r="W20346" s="503"/>
    </row>
    <row r="20347" spans="23:23">
      <c r="W20347" s="503"/>
    </row>
    <row r="20348" spans="23:23">
      <c r="W20348" s="503"/>
    </row>
    <row r="20349" spans="23:23">
      <c r="W20349" s="503"/>
    </row>
    <row r="20350" spans="23:23">
      <c r="W20350" s="503"/>
    </row>
    <row r="20351" spans="23:23">
      <c r="W20351" s="503"/>
    </row>
    <row r="20352" spans="23:23">
      <c r="W20352" s="503"/>
    </row>
    <row r="20353" spans="23:23">
      <c r="W20353" s="503"/>
    </row>
    <row r="20354" spans="23:23">
      <c r="W20354" s="503"/>
    </row>
    <row r="20355" spans="23:23">
      <c r="W20355" s="503"/>
    </row>
    <row r="20356" spans="23:23">
      <c r="W20356" s="503"/>
    </row>
    <row r="20357" spans="23:23">
      <c r="W20357" s="503"/>
    </row>
    <row r="20358" spans="23:23">
      <c r="W20358" s="503"/>
    </row>
    <row r="20359" spans="23:23">
      <c r="W20359" s="503"/>
    </row>
    <row r="20360" spans="23:23">
      <c r="W20360" s="503"/>
    </row>
    <row r="20361" spans="23:23">
      <c r="W20361" s="503"/>
    </row>
    <row r="20362" spans="23:23">
      <c r="W20362" s="503"/>
    </row>
    <row r="20363" spans="23:23">
      <c r="W20363" s="503"/>
    </row>
    <row r="20364" spans="23:23">
      <c r="W20364" s="503"/>
    </row>
    <row r="20365" spans="23:23">
      <c r="W20365" s="503"/>
    </row>
    <row r="20366" spans="23:23">
      <c r="W20366" s="503"/>
    </row>
    <row r="20367" spans="23:23">
      <c r="W20367" s="503"/>
    </row>
    <row r="20368" spans="23:23">
      <c r="W20368" s="503"/>
    </row>
    <row r="20369" spans="23:23">
      <c r="W20369" s="503"/>
    </row>
    <row r="20370" spans="23:23">
      <c r="W20370" s="503"/>
    </row>
    <row r="20371" spans="23:23">
      <c r="W20371" s="503"/>
    </row>
    <row r="20372" spans="23:23">
      <c r="W20372" s="503"/>
    </row>
    <row r="20373" spans="23:23">
      <c r="W20373" s="503"/>
    </row>
    <row r="20374" spans="23:23">
      <c r="W20374" s="503"/>
    </row>
    <row r="20375" spans="23:23">
      <c r="W20375" s="503"/>
    </row>
    <row r="20376" spans="23:23">
      <c r="W20376" s="503"/>
    </row>
    <row r="20377" spans="23:23">
      <c r="W20377" s="503"/>
    </row>
    <row r="20378" spans="23:23">
      <c r="W20378" s="503"/>
    </row>
    <row r="20379" spans="23:23">
      <c r="W20379" s="503"/>
    </row>
    <row r="20380" spans="23:23">
      <c r="W20380" s="503"/>
    </row>
    <row r="20381" spans="23:23">
      <c r="W20381" s="503"/>
    </row>
    <row r="20382" spans="23:23">
      <c r="W20382" s="503"/>
    </row>
    <row r="20383" spans="23:23">
      <c r="W20383" s="503"/>
    </row>
    <row r="20384" spans="23:23">
      <c r="W20384" s="503"/>
    </row>
    <row r="20385" spans="23:23">
      <c r="W20385" s="503"/>
    </row>
    <row r="20386" spans="23:23">
      <c r="W20386" s="503"/>
    </row>
    <row r="20387" spans="23:23">
      <c r="W20387" s="503"/>
    </row>
    <row r="20388" spans="23:23">
      <c r="W20388" s="503"/>
    </row>
    <row r="20389" spans="23:23">
      <c r="W20389" s="503"/>
    </row>
    <row r="20390" spans="23:23">
      <c r="W20390" s="503"/>
    </row>
    <row r="20391" spans="23:23">
      <c r="W20391" s="503"/>
    </row>
    <row r="20392" spans="23:23">
      <c r="W20392" s="503"/>
    </row>
    <row r="20393" spans="23:23">
      <c r="W20393" s="503"/>
    </row>
    <row r="20394" spans="23:23">
      <c r="W20394" s="503"/>
    </row>
    <row r="20395" spans="23:23">
      <c r="W20395" s="503"/>
    </row>
    <row r="20396" spans="23:23">
      <c r="W20396" s="503"/>
    </row>
    <row r="20397" spans="23:23">
      <c r="W20397" s="503"/>
    </row>
    <row r="20398" spans="23:23">
      <c r="W20398" s="503"/>
    </row>
    <row r="20399" spans="23:23">
      <c r="W20399" s="503"/>
    </row>
    <row r="20400" spans="23:23">
      <c r="W20400" s="503"/>
    </row>
    <row r="20401" spans="23:23">
      <c r="W20401" s="503"/>
    </row>
    <row r="20402" spans="23:23">
      <c r="W20402" s="503"/>
    </row>
    <row r="20403" spans="23:23">
      <c r="W20403" s="503"/>
    </row>
    <row r="20404" spans="23:23">
      <c r="W20404" s="503"/>
    </row>
    <row r="20405" spans="23:23">
      <c r="W20405" s="503"/>
    </row>
    <row r="20406" spans="23:23">
      <c r="W20406" s="503"/>
    </row>
    <row r="20407" spans="23:23">
      <c r="W20407" s="503"/>
    </row>
    <row r="20408" spans="23:23">
      <c r="W20408" s="503"/>
    </row>
    <row r="20409" spans="23:23">
      <c r="W20409" s="503"/>
    </row>
    <row r="20410" spans="23:23">
      <c r="W20410" s="503"/>
    </row>
    <row r="20411" spans="23:23">
      <c r="W20411" s="503"/>
    </row>
    <row r="20412" spans="23:23">
      <c r="W20412" s="503"/>
    </row>
    <row r="20413" spans="23:23">
      <c r="W20413" s="503"/>
    </row>
    <row r="20414" spans="23:23">
      <c r="W20414" s="503"/>
    </row>
    <row r="20415" spans="23:23">
      <c r="W20415" s="503"/>
    </row>
    <row r="20416" spans="23:23">
      <c r="W20416" s="503"/>
    </row>
    <row r="20417" spans="23:23">
      <c r="W20417" s="503"/>
    </row>
    <row r="20418" spans="23:23">
      <c r="W20418" s="503"/>
    </row>
    <row r="20419" spans="23:23">
      <c r="W20419" s="503"/>
    </row>
    <row r="20420" spans="23:23">
      <c r="W20420" s="503"/>
    </row>
    <row r="20421" spans="23:23">
      <c r="W20421" s="503"/>
    </row>
    <row r="20422" spans="23:23">
      <c r="W20422" s="503"/>
    </row>
    <row r="20423" spans="23:23">
      <c r="W20423" s="503"/>
    </row>
    <row r="20424" spans="23:23">
      <c r="W20424" s="503"/>
    </row>
    <row r="20425" spans="23:23">
      <c r="W20425" s="503"/>
    </row>
    <row r="20426" spans="23:23">
      <c r="W20426" s="503"/>
    </row>
    <row r="20427" spans="23:23">
      <c r="W20427" s="503"/>
    </row>
    <row r="20428" spans="23:23">
      <c r="W20428" s="503"/>
    </row>
    <row r="20429" spans="23:23">
      <c r="W20429" s="503"/>
    </row>
    <row r="20430" spans="23:23">
      <c r="W20430" s="503"/>
    </row>
    <row r="20431" spans="23:23">
      <c r="W20431" s="503"/>
    </row>
    <row r="20432" spans="23:23">
      <c r="W20432" s="503"/>
    </row>
    <row r="20433" spans="23:23">
      <c r="W20433" s="503"/>
    </row>
    <row r="20434" spans="23:23">
      <c r="W20434" s="503"/>
    </row>
    <row r="20435" spans="23:23">
      <c r="W20435" s="503"/>
    </row>
    <row r="20436" spans="23:23">
      <c r="W20436" s="503"/>
    </row>
    <row r="20437" spans="23:23">
      <c r="W20437" s="503"/>
    </row>
    <row r="20438" spans="23:23">
      <c r="W20438" s="503"/>
    </row>
    <row r="20439" spans="23:23">
      <c r="W20439" s="503"/>
    </row>
    <row r="20440" spans="23:23">
      <c r="W20440" s="503"/>
    </row>
    <row r="20441" spans="23:23">
      <c r="W20441" s="503"/>
    </row>
    <row r="20442" spans="23:23">
      <c r="W20442" s="503"/>
    </row>
    <row r="20443" spans="23:23">
      <c r="W20443" s="503"/>
    </row>
    <row r="20444" spans="23:23">
      <c r="W20444" s="503"/>
    </row>
    <row r="20445" spans="23:23">
      <c r="W20445" s="503"/>
    </row>
    <row r="20446" spans="23:23">
      <c r="W20446" s="503"/>
    </row>
    <row r="20447" spans="23:23">
      <c r="W20447" s="503"/>
    </row>
    <row r="20448" spans="23:23">
      <c r="W20448" s="503"/>
    </row>
    <row r="20449" spans="23:23">
      <c r="W20449" s="503"/>
    </row>
    <row r="20450" spans="23:23">
      <c r="W20450" s="503"/>
    </row>
    <row r="20451" spans="23:23">
      <c r="W20451" s="503"/>
    </row>
    <row r="20452" spans="23:23">
      <c r="W20452" s="503"/>
    </row>
    <row r="20453" spans="23:23">
      <c r="W20453" s="503"/>
    </row>
    <row r="20454" spans="23:23">
      <c r="W20454" s="503"/>
    </row>
    <row r="20455" spans="23:23">
      <c r="W20455" s="503"/>
    </row>
    <row r="20456" spans="23:23">
      <c r="W20456" s="503"/>
    </row>
    <row r="20457" spans="23:23">
      <c r="W20457" s="503"/>
    </row>
    <row r="20458" spans="23:23">
      <c r="W20458" s="503"/>
    </row>
    <row r="20459" spans="23:23">
      <c r="W20459" s="503"/>
    </row>
    <row r="20460" spans="23:23">
      <c r="W20460" s="503"/>
    </row>
    <row r="20461" spans="23:23">
      <c r="W20461" s="503"/>
    </row>
    <row r="20462" spans="23:23">
      <c r="W20462" s="503"/>
    </row>
    <row r="20463" spans="23:23">
      <c r="W20463" s="503"/>
    </row>
    <row r="20464" spans="23:23">
      <c r="W20464" s="503"/>
    </row>
    <row r="20465" spans="23:23">
      <c r="W20465" s="503"/>
    </row>
    <row r="20466" spans="23:23">
      <c r="W20466" s="503"/>
    </row>
    <row r="20467" spans="23:23">
      <c r="W20467" s="503"/>
    </row>
    <row r="20468" spans="23:23">
      <c r="W20468" s="503"/>
    </row>
    <row r="20469" spans="23:23">
      <c r="W20469" s="503"/>
    </row>
    <row r="20470" spans="23:23">
      <c r="W20470" s="503"/>
    </row>
    <row r="20471" spans="23:23">
      <c r="W20471" s="503"/>
    </row>
    <row r="20472" spans="23:23">
      <c r="W20472" s="503"/>
    </row>
    <row r="20473" spans="23:23">
      <c r="W20473" s="503"/>
    </row>
    <row r="20474" spans="23:23">
      <c r="W20474" s="503"/>
    </row>
    <row r="20475" spans="23:23">
      <c r="W20475" s="503"/>
    </row>
    <row r="20476" spans="23:23">
      <c r="W20476" s="503"/>
    </row>
    <row r="20477" spans="23:23">
      <c r="W20477" s="503"/>
    </row>
    <row r="20478" spans="23:23">
      <c r="W20478" s="503"/>
    </row>
    <row r="20479" spans="23:23">
      <c r="W20479" s="503"/>
    </row>
    <row r="20480" spans="23:23">
      <c r="W20480" s="503"/>
    </row>
    <row r="20481" spans="23:23">
      <c r="W20481" s="503"/>
    </row>
    <row r="20482" spans="23:23">
      <c r="W20482" s="503"/>
    </row>
    <row r="20483" spans="23:23">
      <c r="W20483" s="503"/>
    </row>
    <row r="20484" spans="23:23">
      <c r="W20484" s="503"/>
    </row>
    <row r="20485" spans="23:23">
      <c r="W20485" s="503"/>
    </row>
    <row r="20486" spans="23:23">
      <c r="W20486" s="503"/>
    </row>
    <row r="20487" spans="23:23">
      <c r="W20487" s="503"/>
    </row>
    <row r="20488" spans="23:23">
      <c r="W20488" s="503"/>
    </row>
    <row r="20489" spans="23:23">
      <c r="W20489" s="503"/>
    </row>
    <row r="20490" spans="23:23">
      <c r="W20490" s="503"/>
    </row>
    <row r="20491" spans="23:23">
      <c r="W20491" s="503"/>
    </row>
    <row r="20492" spans="23:23">
      <c r="W20492" s="503"/>
    </row>
    <row r="20493" spans="23:23">
      <c r="W20493" s="503"/>
    </row>
    <row r="20494" spans="23:23">
      <c r="W20494" s="503"/>
    </row>
    <row r="20495" spans="23:23">
      <c r="W20495" s="503"/>
    </row>
    <row r="20496" spans="23:23">
      <c r="W20496" s="503"/>
    </row>
    <row r="20497" spans="23:23">
      <c r="W20497" s="503"/>
    </row>
    <row r="20498" spans="23:23">
      <c r="W20498" s="503"/>
    </row>
    <row r="20499" spans="23:23">
      <c r="W20499" s="503"/>
    </row>
    <row r="20500" spans="23:23">
      <c r="W20500" s="503"/>
    </row>
    <row r="20501" spans="23:23">
      <c r="W20501" s="503"/>
    </row>
    <row r="20502" spans="23:23">
      <c r="W20502" s="503"/>
    </row>
    <row r="20503" spans="23:23">
      <c r="W20503" s="503"/>
    </row>
    <row r="20504" spans="23:23">
      <c r="W20504" s="503"/>
    </row>
    <row r="20505" spans="23:23">
      <c r="W20505" s="503"/>
    </row>
    <row r="20506" spans="23:23">
      <c r="W20506" s="503"/>
    </row>
    <row r="20507" spans="23:23">
      <c r="W20507" s="503"/>
    </row>
    <row r="20508" spans="23:23">
      <c r="W20508" s="503"/>
    </row>
    <row r="20509" spans="23:23">
      <c r="W20509" s="503"/>
    </row>
    <row r="20510" spans="23:23">
      <c r="W20510" s="503"/>
    </row>
    <row r="20511" spans="23:23">
      <c r="W20511" s="503"/>
    </row>
    <row r="20512" spans="23:23">
      <c r="W20512" s="503"/>
    </row>
    <row r="20513" spans="23:23">
      <c r="W20513" s="503"/>
    </row>
    <row r="20514" spans="23:23">
      <c r="W20514" s="503"/>
    </row>
    <row r="20515" spans="23:23">
      <c r="W20515" s="503"/>
    </row>
    <row r="20516" spans="23:23">
      <c r="W20516" s="503"/>
    </row>
    <row r="20517" spans="23:23">
      <c r="W20517" s="503"/>
    </row>
    <row r="20518" spans="23:23">
      <c r="W20518" s="503"/>
    </row>
    <row r="20519" spans="23:23">
      <c r="W20519" s="503"/>
    </row>
    <row r="20520" spans="23:23">
      <c r="W20520" s="503"/>
    </row>
    <row r="20521" spans="23:23">
      <c r="W20521" s="503"/>
    </row>
    <row r="20522" spans="23:23">
      <c r="W20522" s="503"/>
    </row>
    <row r="20523" spans="23:23">
      <c r="W20523" s="503"/>
    </row>
    <row r="20524" spans="23:23">
      <c r="W20524" s="503"/>
    </row>
    <row r="20525" spans="23:23">
      <c r="W20525" s="503"/>
    </row>
    <row r="20526" spans="23:23">
      <c r="W20526" s="503"/>
    </row>
    <row r="20527" spans="23:23">
      <c r="W20527" s="503"/>
    </row>
    <row r="20528" spans="23:23">
      <c r="W20528" s="503"/>
    </row>
    <row r="20529" spans="23:23">
      <c r="W20529" s="503"/>
    </row>
    <row r="20530" spans="23:23">
      <c r="W20530" s="503"/>
    </row>
    <row r="20531" spans="23:23">
      <c r="W20531" s="503"/>
    </row>
    <row r="20532" spans="23:23">
      <c r="W20532" s="503"/>
    </row>
    <row r="20533" spans="23:23">
      <c r="W20533" s="503"/>
    </row>
    <row r="20534" spans="23:23">
      <c r="W20534" s="503"/>
    </row>
    <row r="20535" spans="23:23">
      <c r="W20535" s="503"/>
    </row>
    <row r="20536" spans="23:23">
      <c r="W20536" s="503"/>
    </row>
    <row r="20537" spans="23:23">
      <c r="W20537" s="503"/>
    </row>
    <row r="20538" spans="23:23">
      <c r="W20538" s="503"/>
    </row>
    <row r="20539" spans="23:23">
      <c r="W20539" s="503"/>
    </row>
    <row r="20540" spans="23:23">
      <c r="W20540" s="503"/>
    </row>
    <row r="20541" spans="23:23">
      <c r="W20541" s="503"/>
    </row>
    <row r="20542" spans="23:23">
      <c r="W20542" s="503"/>
    </row>
    <row r="20543" spans="23:23">
      <c r="W20543" s="503"/>
    </row>
    <row r="20544" spans="23:23">
      <c r="W20544" s="503"/>
    </row>
    <row r="20545" spans="23:23">
      <c r="W20545" s="503"/>
    </row>
    <row r="20546" spans="23:23">
      <c r="W20546" s="503"/>
    </row>
    <row r="20547" spans="23:23">
      <c r="W20547" s="503"/>
    </row>
    <row r="20548" spans="23:23">
      <c r="W20548" s="503"/>
    </row>
    <row r="20549" spans="23:23">
      <c r="W20549" s="503"/>
    </row>
    <row r="20550" spans="23:23">
      <c r="W20550" s="503"/>
    </row>
    <row r="20551" spans="23:23">
      <c r="W20551" s="503"/>
    </row>
    <row r="20552" spans="23:23">
      <c r="W20552" s="503"/>
    </row>
    <row r="20553" spans="23:23">
      <c r="W20553" s="503"/>
    </row>
    <row r="20554" spans="23:23">
      <c r="W20554" s="503"/>
    </row>
    <row r="20555" spans="23:23">
      <c r="W20555" s="503"/>
    </row>
    <row r="20556" spans="23:23">
      <c r="W20556" s="503"/>
    </row>
    <row r="20557" spans="23:23">
      <c r="W20557" s="503"/>
    </row>
    <row r="20558" spans="23:23">
      <c r="W20558" s="503"/>
    </row>
    <row r="20559" spans="23:23">
      <c r="W20559" s="503"/>
    </row>
    <row r="20560" spans="23:23">
      <c r="W20560" s="503"/>
    </row>
    <row r="20561" spans="23:23">
      <c r="W20561" s="503"/>
    </row>
    <row r="20562" spans="23:23">
      <c r="W20562" s="503"/>
    </row>
    <row r="20563" spans="23:23">
      <c r="W20563" s="503"/>
    </row>
    <row r="20564" spans="23:23">
      <c r="W20564" s="503"/>
    </row>
    <row r="20565" spans="23:23">
      <c r="W20565" s="503"/>
    </row>
    <row r="20566" spans="23:23">
      <c r="W20566" s="503"/>
    </row>
    <row r="20567" spans="23:23">
      <c r="W20567" s="503"/>
    </row>
    <row r="20568" spans="23:23">
      <c r="W20568" s="503"/>
    </row>
    <row r="20569" spans="23:23">
      <c r="W20569" s="503"/>
    </row>
    <row r="20570" spans="23:23">
      <c r="W20570" s="503"/>
    </row>
    <row r="20571" spans="23:23">
      <c r="W20571" s="503"/>
    </row>
    <row r="20572" spans="23:23">
      <c r="W20572" s="503"/>
    </row>
    <row r="20573" spans="23:23">
      <c r="W20573" s="503"/>
    </row>
    <row r="20574" spans="23:23">
      <c r="W20574" s="503"/>
    </row>
    <row r="20575" spans="23:23">
      <c r="W20575" s="503"/>
    </row>
    <row r="20576" spans="23:23">
      <c r="W20576" s="503"/>
    </row>
    <row r="20577" spans="23:23">
      <c r="W20577" s="503"/>
    </row>
    <row r="20578" spans="23:23">
      <c r="W20578" s="503"/>
    </row>
    <row r="20579" spans="23:23">
      <c r="W20579" s="503"/>
    </row>
    <row r="20580" spans="23:23">
      <c r="W20580" s="503"/>
    </row>
    <row r="20581" spans="23:23">
      <c r="W20581" s="503"/>
    </row>
    <row r="20582" spans="23:23">
      <c r="W20582" s="503"/>
    </row>
    <row r="20583" spans="23:23">
      <c r="W20583" s="503"/>
    </row>
    <row r="20584" spans="23:23">
      <c r="W20584" s="503"/>
    </row>
    <row r="20585" spans="23:23">
      <c r="W20585" s="503"/>
    </row>
    <row r="20586" spans="23:23">
      <c r="W20586" s="503"/>
    </row>
    <row r="20587" spans="23:23">
      <c r="W20587" s="503"/>
    </row>
    <row r="20588" spans="23:23">
      <c r="W20588" s="503"/>
    </row>
    <row r="20589" spans="23:23">
      <c r="W20589" s="503"/>
    </row>
    <row r="20590" spans="23:23">
      <c r="W20590" s="503"/>
    </row>
    <row r="20591" spans="23:23">
      <c r="W20591" s="503"/>
    </row>
    <row r="20592" spans="23:23">
      <c r="W20592" s="503"/>
    </row>
    <row r="20593" spans="23:23">
      <c r="W20593" s="503"/>
    </row>
    <row r="20594" spans="23:23">
      <c r="W20594" s="503"/>
    </row>
    <row r="20595" spans="23:23">
      <c r="W20595" s="503"/>
    </row>
    <row r="20596" spans="23:23">
      <c r="W20596" s="503"/>
    </row>
    <row r="20597" spans="23:23">
      <c r="W20597" s="503"/>
    </row>
    <row r="20598" spans="23:23">
      <c r="W20598" s="503"/>
    </row>
    <row r="20599" spans="23:23">
      <c r="W20599" s="503"/>
    </row>
    <row r="20600" spans="23:23">
      <c r="W20600" s="503"/>
    </row>
    <row r="20601" spans="23:23">
      <c r="W20601" s="503"/>
    </row>
    <row r="20602" spans="23:23">
      <c r="W20602" s="503"/>
    </row>
    <row r="20603" spans="23:23">
      <c r="W20603" s="503"/>
    </row>
    <row r="20604" spans="23:23">
      <c r="W20604" s="503"/>
    </row>
    <row r="20605" spans="23:23">
      <c r="W20605" s="503"/>
    </row>
    <row r="20606" spans="23:23">
      <c r="W20606" s="503"/>
    </row>
    <row r="20607" spans="23:23">
      <c r="W20607" s="503"/>
    </row>
    <row r="20608" spans="23:23">
      <c r="W20608" s="503"/>
    </row>
    <row r="20609" spans="23:23">
      <c r="W20609" s="503"/>
    </row>
    <row r="20610" spans="23:23">
      <c r="W20610" s="503"/>
    </row>
    <row r="20611" spans="23:23">
      <c r="W20611" s="503"/>
    </row>
    <row r="20612" spans="23:23">
      <c r="W20612" s="503"/>
    </row>
    <row r="20613" spans="23:23">
      <c r="W20613" s="503"/>
    </row>
    <row r="20614" spans="23:23">
      <c r="W20614" s="503"/>
    </row>
    <row r="20615" spans="23:23">
      <c r="W20615" s="503"/>
    </row>
    <row r="20616" spans="23:23">
      <c r="W20616" s="503"/>
    </row>
    <row r="20617" spans="23:23">
      <c r="W20617" s="503"/>
    </row>
    <row r="20618" spans="23:23">
      <c r="W20618" s="503"/>
    </row>
    <row r="20619" spans="23:23">
      <c r="W20619" s="503"/>
    </row>
    <row r="20620" spans="23:23">
      <c r="W20620" s="503"/>
    </row>
    <row r="20621" spans="23:23">
      <c r="W20621" s="503"/>
    </row>
    <row r="20622" spans="23:23">
      <c r="W20622" s="503"/>
    </row>
    <row r="20623" spans="23:23">
      <c r="W20623" s="503"/>
    </row>
    <row r="20624" spans="23:23">
      <c r="W20624" s="503"/>
    </row>
    <row r="20625" spans="23:23">
      <c r="W20625" s="503"/>
    </row>
    <row r="20626" spans="23:23">
      <c r="W20626" s="503"/>
    </row>
    <row r="20627" spans="23:23">
      <c r="W20627" s="503"/>
    </row>
    <row r="20628" spans="23:23">
      <c r="W20628" s="503"/>
    </row>
    <row r="20629" spans="23:23">
      <c r="W20629" s="503"/>
    </row>
    <row r="20630" spans="23:23">
      <c r="W20630" s="503"/>
    </row>
    <row r="20631" spans="23:23">
      <c r="W20631" s="503"/>
    </row>
    <row r="20632" spans="23:23">
      <c r="W20632" s="503"/>
    </row>
    <row r="20633" spans="23:23">
      <c r="W20633" s="503"/>
    </row>
    <row r="20634" spans="23:23">
      <c r="W20634" s="503"/>
    </row>
    <row r="20635" spans="23:23">
      <c r="W20635" s="503"/>
    </row>
    <row r="20636" spans="23:23">
      <c r="W20636" s="503"/>
    </row>
    <row r="20637" spans="23:23">
      <c r="W20637" s="503"/>
    </row>
    <row r="20638" spans="23:23">
      <c r="W20638" s="503"/>
    </row>
    <row r="20639" spans="23:23">
      <c r="W20639" s="503"/>
    </row>
    <row r="20640" spans="23:23">
      <c r="W20640" s="503"/>
    </row>
    <row r="20641" spans="23:23">
      <c r="W20641" s="503"/>
    </row>
    <row r="20642" spans="23:23">
      <c r="W20642" s="503"/>
    </row>
    <row r="20643" spans="23:23">
      <c r="W20643" s="503"/>
    </row>
    <row r="20644" spans="23:23">
      <c r="W20644" s="503"/>
    </row>
    <row r="20645" spans="23:23">
      <c r="W20645" s="503"/>
    </row>
    <row r="20646" spans="23:23">
      <c r="W20646" s="503"/>
    </row>
    <row r="20647" spans="23:23">
      <c r="W20647" s="503"/>
    </row>
    <row r="20648" spans="23:23">
      <c r="W20648" s="503"/>
    </row>
    <row r="20649" spans="23:23">
      <c r="W20649" s="503"/>
    </row>
    <row r="20650" spans="23:23">
      <c r="W20650" s="503"/>
    </row>
    <row r="20651" spans="23:23">
      <c r="W20651" s="503"/>
    </row>
    <row r="20652" spans="23:23">
      <c r="W20652" s="503"/>
    </row>
    <row r="20653" spans="23:23">
      <c r="W20653" s="503"/>
    </row>
    <row r="20654" spans="23:23">
      <c r="W20654" s="503"/>
    </row>
    <row r="20655" spans="23:23">
      <c r="W20655" s="503"/>
    </row>
    <row r="20656" spans="23:23">
      <c r="W20656" s="503"/>
    </row>
    <row r="20657" spans="23:23">
      <c r="W20657" s="503"/>
    </row>
    <row r="20658" spans="23:23">
      <c r="W20658" s="503"/>
    </row>
    <row r="20659" spans="23:23">
      <c r="W20659" s="503"/>
    </row>
    <row r="20660" spans="23:23">
      <c r="W20660" s="503"/>
    </row>
    <row r="20661" spans="23:23">
      <c r="W20661" s="503"/>
    </row>
    <row r="20662" spans="23:23">
      <c r="W20662" s="503"/>
    </row>
    <row r="20663" spans="23:23">
      <c r="W20663" s="503"/>
    </row>
    <row r="20664" spans="23:23">
      <c r="W20664" s="503"/>
    </row>
    <row r="20665" spans="23:23">
      <c r="W20665" s="503"/>
    </row>
    <row r="20666" spans="23:23">
      <c r="W20666" s="503"/>
    </row>
    <row r="20667" spans="23:23">
      <c r="W20667" s="503"/>
    </row>
    <row r="20668" spans="23:23">
      <c r="W20668" s="503"/>
    </row>
    <row r="20669" spans="23:23">
      <c r="W20669" s="503"/>
    </row>
    <row r="20670" spans="23:23">
      <c r="W20670" s="503"/>
    </row>
    <row r="20671" spans="23:23">
      <c r="W20671" s="503"/>
    </row>
    <row r="20672" spans="23:23">
      <c r="W20672" s="503"/>
    </row>
    <row r="20673" spans="23:23">
      <c r="W20673" s="503"/>
    </row>
    <row r="20674" spans="23:23">
      <c r="W20674" s="503"/>
    </row>
    <row r="20675" spans="23:23">
      <c r="W20675" s="503"/>
    </row>
    <row r="20676" spans="23:23">
      <c r="W20676" s="503"/>
    </row>
    <row r="20677" spans="23:23">
      <c r="W20677" s="503"/>
    </row>
    <row r="20678" spans="23:23">
      <c r="W20678" s="503"/>
    </row>
    <row r="20679" spans="23:23">
      <c r="W20679" s="503"/>
    </row>
    <row r="20680" spans="23:23">
      <c r="W20680" s="503"/>
    </row>
    <row r="20681" spans="23:23">
      <c r="W20681" s="503"/>
    </row>
    <row r="20682" spans="23:23">
      <c r="W20682" s="503"/>
    </row>
    <row r="20683" spans="23:23">
      <c r="W20683" s="503"/>
    </row>
    <row r="20684" spans="23:23">
      <c r="W20684" s="503"/>
    </row>
    <row r="20685" spans="23:23">
      <c r="W20685" s="503"/>
    </row>
    <row r="20686" spans="23:23">
      <c r="W20686" s="503"/>
    </row>
    <row r="20687" spans="23:23">
      <c r="W20687" s="503"/>
    </row>
    <row r="20688" spans="23:23">
      <c r="W20688" s="503"/>
    </row>
    <row r="20689" spans="23:23">
      <c r="W20689" s="503"/>
    </row>
    <row r="20690" spans="23:23">
      <c r="W20690" s="503"/>
    </row>
    <row r="20691" spans="23:23">
      <c r="W20691" s="503"/>
    </row>
    <row r="20692" spans="23:23">
      <c r="W20692" s="503"/>
    </row>
    <row r="20693" spans="23:23">
      <c r="W20693" s="503"/>
    </row>
    <row r="20694" spans="23:23">
      <c r="W20694" s="503"/>
    </row>
    <row r="20695" spans="23:23">
      <c r="W20695" s="503"/>
    </row>
    <row r="20696" spans="23:23">
      <c r="W20696" s="503"/>
    </row>
    <row r="20697" spans="23:23">
      <c r="W20697" s="503"/>
    </row>
    <row r="20698" spans="23:23">
      <c r="W20698" s="503"/>
    </row>
    <row r="20699" spans="23:23">
      <c r="W20699" s="503"/>
    </row>
    <row r="20700" spans="23:23">
      <c r="W20700" s="503"/>
    </row>
    <row r="20701" spans="23:23">
      <c r="W20701" s="503"/>
    </row>
    <row r="20702" spans="23:23">
      <c r="W20702" s="503"/>
    </row>
    <row r="20703" spans="23:23">
      <c r="W20703" s="503"/>
    </row>
    <row r="20704" spans="23:23">
      <c r="W20704" s="503"/>
    </row>
    <row r="20705" spans="23:23">
      <c r="W20705" s="503"/>
    </row>
    <row r="20706" spans="23:23">
      <c r="W20706" s="503"/>
    </row>
    <row r="20707" spans="23:23">
      <c r="W20707" s="503"/>
    </row>
    <row r="20708" spans="23:23">
      <c r="W20708" s="503"/>
    </row>
    <row r="20709" spans="23:23">
      <c r="W20709" s="503"/>
    </row>
    <row r="20710" spans="23:23">
      <c r="W20710" s="503"/>
    </row>
    <row r="20711" spans="23:23">
      <c r="W20711" s="503"/>
    </row>
    <row r="20712" spans="23:23">
      <c r="W20712" s="503"/>
    </row>
    <row r="20713" spans="23:23">
      <c r="W20713" s="503"/>
    </row>
    <row r="20714" spans="23:23">
      <c r="W20714" s="503"/>
    </row>
    <row r="20715" spans="23:23">
      <c r="W20715" s="503"/>
    </row>
    <row r="20716" spans="23:23">
      <c r="W20716" s="503"/>
    </row>
    <row r="20717" spans="23:23">
      <c r="W20717" s="503"/>
    </row>
    <row r="20718" spans="23:23">
      <c r="W20718" s="503"/>
    </row>
    <row r="20719" spans="23:23">
      <c r="W20719" s="503"/>
    </row>
    <row r="20720" spans="23:23">
      <c r="W20720" s="503"/>
    </row>
    <row r="20721" spans="23:23">
      <c r="W20721" s="503"/>
    </row>
    <row r="20722" spans="23:23">
      <c r="W20722" s="503"/>
    </row>
    <row r="20723" spans="23:23">
      <c r="W20723" s="503"/>
    </row>
    <row r="20724" spans="23:23">
      <c r="W20724" s="503"/>
    </row>
    <row r="20725" spans="23:23">
      <c r="W20725" s="503"/>
    </row>
    <row r="20726" spans="23:23">
      <c r="W20726" s="503"/>
    </row>
    <row r="20727" spans="23:23">
      <c r="W20727" s="503"/>
    </row>
    <row r="20728" spans="23:23">
      <c r="W20728" s="503"/>
    </row>
    <row r="20729" spans="23:23">
      <c r="W20729" s="503"/>
    </row>
    <row r="20730" spans="23:23">
      <c r="W20730" s="503"/>
    </row>
    <row r="20731" spans="23:23">
      <c r="W20731" s="503"/>
    </row>
    <row r="20732" spans="23:23">
      <c r="W20732" s="503"/>
    </row>
    <row r="20733" spans="23:23">
      <c r="W20733" s="503"/>
    </row>
    <row r="20734" spans="23:23">
      <c r="W20734" s="503"/>
    </row>
    <row r="20735" spans="23:23">
      <c r="W20735" s="503"/>
    </row>
    <row r="20736" spans="23:23">
      <c r="W20736" s="503"/>
    </row>
    <row r="20737" spans="23:23">
      <c r="W20737" s="503"/>
    </row>
    <row r="20738" spans="23:23">
      <c r="W20738" s="503"/>
    </row>
    <row r="20739" spans="23:23">
      <c r="W20739" s="503"/>
    </row>
    <row r="20740" spans="23:23">
      <c r="W20740" s="503"/>
    </row>
    <row r="20741" spans="23:23">
      <c r="W20741" s="503"/>
    </row>
    <row r="20742" spans="23:23">
      <c r="W20742" s="503"/>
    </row>
    <row r="20743" spans="23:23">
      <c r="W20743" s="503"/>
    </row>
    <row r="20744" spans="23:23">
      <c r="W20744" s="503"/>
    </row>
    <row r="20745" spans="23:23">
      <c r="W20745" s="503"/>
    </row>
    <row r="20746" spans="23:23">
      <c r="W20746" s="503"/>
    </row>
    <row r="20747" spans="23:23">
      <c r="W20747" s="503"/>
    </row>
    <row r="20748" spans="23:23">
      <c r="W20748" s="503"/>
    </row>
    <row r="20749" spans="23:23">
      <c r="W20749" s="503"/>
    </row>
    <row r="20750" spans="23:23">
      <c r="W20750" s="503"/>
    </row>
    <row r="20751" spans="23:23">
      <c r="W20751" s="503"/>
    </row>
    <row r="20752" spans="23:23">
      <c r="W20752" s="503"/>
    </row>
    <row r="20753" spans="23:23">
      <c r="W20753" s="503"/>
    </row>
    <row r="20754" spans="23:23">
      <c r="W20754" s="503"/>
    </row>
    <row r="20755" spans="23:23">
      <c r="W20755" s="503"/>
    </row>
    <row r="20756" spans="23:23">
      <c r="W20756" s="503"/>
    </row>
    <row r="20757" spans="23:23">
      <c r="W20757" s="503"/>
    </row>
    <row r="20758" spans="23:23">
      <c r="W20758" s="503"/>
    </row>
    <row r="20759" spans="23:23">
      <c r="W20759" s="503"/>
    </row>
    <row r="20760" spans="23:23">
      <c r="W20760" s="503"/>
    </row>
    <row r="20761" spans="23:23">
      <c r="W20761" s="503"/>
    </row>
    <row r="20762" spans="23:23">
      <c r="W20762" s="503"/>
    </row>
    <row r="20763" spans="23:23">
      <c r="W20763" s="503"/>
    </row>
    <row r="20764" spans="23:23">
      <c r="W20764" s="503"/>
    </row>
    <row r="20765" spans="23:23">
      <c r="W20765" s="503"/>
    </row>
    <row r="20766" spans="23:23">
      <c r="W20766" s="503"/>
    </row>
    <row r="20767" spans="23:23">
      <c r="W20767" s="503"/>
    </row>
    <row r="20768" spans="23:23">
      <c r="W20768" s="503"/>
    </row>
    <row r="20769" spans="23:23">
      <c r="W20769" s="503"/>
    </row>
    <row r="20770" spans="23:23">
      <c r="W20770" s="503"/>
    </row>
    <row r="20771" spans="23:23">
      <c r="W20771" s="503"/>
    </row>
    <row r="20772" spans="23:23">
      <c r="W20772" s="503"/>
    </row>
    <row r="20773" spans="23:23">
      <c r="W20773" s="503"/>
    </row>
    <row r="20774" spans="23:23">
      <c r="W20774" s="503"/>
    </row>
    <row r="20775" spans="23:23">
      <c r="W20775" s="503"/>
    </row>
    <row r="20776" spans="23:23">
      <c r="W20776" s="503"/>
    </row>
    <row r="20777" spans="23:23">
      <c r="W20777" s="503"/>
    </row>
    <row r="20778" spans="23:23">
      <c r="W20778" s="503"/>
    </row>
    <row r="20779" spans="23:23">
      <c r="W20779" s="503"/>
    </row>
    <row r="20780" spans="23:23">
      <c r="W20780" s="503"/>
    </row>
    <row r="20781" spans="23:23">
      <c r="W20781" s="503"/>
    </row>
    <row r="20782" spans="23:23">
      <c r="W20782" s="503"/>
    </row>
    <row r="20783" spans="23:23">
      <c r="W20783" s="503"/>
    </row>
    <row r="20784" spans="23:23">
      <c r="W20784" s="503"/>
    </row>
    <row r="20785" spans="23:23">
      <c r="W20785" s="503"/>
    </row>
    <row r="20786" spans="23:23">
      <c r="W20786" s="503"/>
    </row>
    <row r="20787" spans="23:23">
      <c r="W20787" s="503"/>
    </row>
    <row r="20788" spans="23:23">
      <c r="W20788" s="503"/>
    </row>
    <row r="20789" spans="23:23">
      <c r="W20789" s="503"/>
    </row>
    <row r="20790" spans="23:23">
      <c r="W20790" s="503"/>
    </row>
    <row r="20791" spans="23:23">
      <c r="W20791" s="503"/>
    </row>
    <row r="20792" spans="23:23">
      <c r="W20792" s="503"/>
    </row>
    <row r="20793" spans="23:23">
      <c r="W20793" s="503"/>
    </row>
    <row r="20794" spans="23:23">
      <c r="W20794" s="503"/>
    </row>
    <row r="20795" spans="23:23">
      <c r="W20795" s="503"/>
    </row>
    <row r="20796" spans="23:23">
      <c r="W20796" s="503"/>
    </row>
    <row r="20797" spans="23:23">
      <c r="W20797" s="503"/>
    </row>
    <row r="20798" spans="23:23">
      <c r="W20798" s="503"/>
    </row>
    <row r="20799" spans="23:23">
      <c r="W20799" s="503"/>
    </row>
    <row r="20800" spans="23:23">
      <c r="W20800" s="503"/>
    </row>
    <row r="20801" spans="23:23">
      <c r="W20801" s="503"/>
    </row>
    <row r="20802" spans="23:23">
      <c r="W20802" s="503"/>
    </row>
    <row r="20803" spans="23:23">
      <c r="W20803" s="503"/>
    </row>
    <row r="20804" spans="23:23">
      <c r="W20804" s="503"/>
    </row>
    <row r="20805" spans="23:23">
      <c r="W20805" s="503"/>
    </row>
    <row r="20806" spans="23:23">
      <c r="W20806" s="503"/>
    </row>
    <row r="20807" spans="23:23">
      <c r="W20807" s="503"/>
    </row>
    <row r="20808" spans="23:23">
      <c r="W20808" s="503"/>
    </row>
    <row r="20809" spans="23:23">
      <c r="W20809" s="503"/>
    </row>
    <row r="20810" spans="23:23">
      <c r="W20810" s="503"/>
    </row>
    <row r="20811" spans="23:23">
      <c r="W20811" s="503"/>
    </row>
    <row r="20812" spans="23:23">
      <c r="W20812" s="503"/>
    </row>
    <row r="20813" spans="23:23">
      <c r="W20813" s="503"/>
    </row>
    <row r="20814" spans="23:23">
      <c r="W20814" s="503"/>
    </row>
    <row r="20815" spans="23:23">
      <c r="W20815" s="503"/>
    </row>
    <row r="20816" spans="23:23">
      <c r="W20816" s="503"/>
    </row>
    <row r="20817" spans="23:23">
      <c r="W20817" s="503"/>
    </row>
    <row r="20818" spans="23:23">
      <c r="W20818" s="503"/>
    </row>
    <row r="20819" spans="23:23">
      <c r="W20819" s="503"/>
    </row>
    <row r="20820" spans="23:23">
      <c r="W20820" s="503"/>
    </row>
    <row r="20821" spans="23:23">
      <c r="W20821" s="503"/>
    </row>
    <row r="20822" spans="23:23">
      <c r="W20822" s="503"/>
    </row>
    <row r="20823" spans="23:23">
      <c r="W20823" s="503"/>
    </row>
    <row r="20824" spans="23:23">
      <c r="W20824" s="503"/>
    </row>
    <row r="20825" spans="23:23">
      <c r="W20825" s="503"/>
    </row>
    <row r="20826" spans="23:23">
      <c r="W20826" s="503"/>
    </row>
    <row r="20827" spans="23:23">
      <c r="W20827" s="503"/>
    </row>
    <row r="20828" spans="23:23">
      <c r="W20828" s="503"/>
    </row>
    <row r="20829" spans="23:23">
      <c r="W20829" s="503"/>
    </row>
    <row r="20830" spans="23:23">
      <c r="W20830" s="503"/>
    </row>
    <row r="20831" spans="23:23">
      <c r="W20831" s="503"/>
    </row>
    <row r="20832" spans="23:23">
      <c r="W20832" s="503"/>
    </row>
    <row r="20833" spans="23:23">
      <c r="W20833" s="503"/>
    </row>
    <row r="20834" spans="23:23">
      <c r="W20834" s="503"/>
    </row>
    <row r="20835" spans="23:23">
      <c r="W20835" s="503"/>
    </row>
    <row r="20836" spans="23:23">
      <c r="W20836" s="503"/>
    </row>
    <row r="20837" spans="23:23">
      <c r="W20837" s="503"/>
    </row>
    <row r="20838" spans="23:23">
      <c r="W20838" s="503"/>
    </row>
    <row r="20839" spans="23:23">
      <c r="W20839" s="503"/>
    </row>
    <row r="20840" spans="23:23">
      <c r="W20840" s="503"/>
    </row>
    <row r="20841" spans="23:23">
      <c r="W20841" s="503"/>
    </row>
    <row r="20842" spans="23:23">
      <c r="W20842" s="503"/>
    </row>
    <row r="20843" spans="23:23">
      <c r="W20843" s="503"/>
    </row>
    <row r="20844" spans="23:23">
      <c r="W20844" s="503"/>
    </row>
    <row r="20845" spans="23:23">
      <c r="W20845" s="503"/>
    </row>
    <row r="20846" spans="23:23">
      <c r="W20846" s="503"/>
    </row>
    <row r="20847" spans="23:23">
      <c r="W20847" s="503"/>
    </row>
    <row r="20848" spans="23:23">
      <c r="W20848" s="503"/>
    </row>
    <row r="20849" spans="23:23">
      <c r="W20849" s="503"/>
    </row>
    <row r="20850" spans="23:23">
      <c r="W20850" s="503"/>
    </row>
    <row r="20851" spans="23:23">
      <c r="W20851" s="503"/>
    </row>
    <row r="20852" spans="23:23">
      <c r="W20852" s="503"/>
    </row>
    <row r="20853" spans="23:23">
      <c r="W20853" s="503"/>
    </row>
    <row r="20854" spans="23:23">
      <c r="W20854" s="503"/>
    </row>
    <row r="20855" spans="23:23">
      <c r="W20855" s="503"/>
    </row>
    <row r="20856" spans="23:23">
      <c r="W20856" s="503"/>
    </row>
    <row r="20857" spans="23:23">
      <c r="W20857" s="503"/>
    </row>
    <row r="20858" spans="23:23">
      <c r="W20858" s="503"/>
    </row>
    <row r="20859" spans="23:23">
      <c r="W20859" s="503"/>
    </row>
    <row r="20860" spans="23:23">
      <c r="W20860" s="503"/>
    </row>
    <row r="20861" spans="23:23">
      <c r="W20861" s="503"/>
    </row>
    <row r="20862" spans="23:23">
      <c r="W20862" s="503"/>
    </row>
    <row r="20863" spans="23:23">
      <c r="W20863" s="503"/>
    </row>
    <row r="20864" spans="23:23">
      <c r="W20864" s="503"/>
    </row>
    <row r="20865" spans="23:23">
      <c r="W20865" s="503"/>
    </row>
    <row r="20866" spans="23:23">
      <c r="W20866" s="503"/>
    </row>
    <row r="20867" spans="23:23">
      <c r="W20867" s="503"/>
    </row>
    <row r="20868" spans="23:23">
      <c r="W20868" s="503"/>
    </row>
    <row r="20869" spans="23:23">
      <c r="W20869" s="503"/>
    </row>
    <row r="20870" spans="23:23">
      <c r="W20870" s="503"/>
    </row>
    <row r="20871" spans="23:23">
      <c r="W20871" s="503"/>
    </row>
    <row r="20872" spans="23:23">
      <c r="W20872" s="503"/>
    </row>
    <row r="20873" spans="23:23">
      <c r="W20873" s="503"/>
    </row>
    <row r="20874" spans="23:23">
      <c r="W20874" s="503"/>
    </row>
    <row r="20875" spans="23:23">
      <c r="W20875" s="503"/>
    </row>
    <row r="20876" spans="23:23">
      <c r="W20876" s="503"/>
    </row>
    <row r="20877" spans="23:23">
      <c r="W20877" s="503"/>
    </row>
    <row r="20878" spans="23:23">
      <c r="W20878" s="503"/>
    </row>
    <row r="20879" spans="23:23">
      <c r="W20879" s="503"/>
    </row>
    <row r="20880" spans="23:23">
      <c r="W20880" s="503"/>
    </row>
    <row r="20881" spans="23:23">
      <c r="W20881" s="503"/>
    </row>
    <row r="20882" spans="23:23">
      <c r="W20882" s="503"/>
    </row>
    <row r="20883" spans="23:23">
      <c r="W20883" s="503"/>
    </row>
    <row r="20884" spans="23:23">
      <c r="W20884" s="503"/>
    </row>
    <row r="20885" spans="23:23">
      <c r="W20885" s="503"/>
    </row>
    <row r="20886" spans="23:23">
      <c r="W20886" s="503"/>
    </row>
    <row r="20887" spans="23:23">
      <c r="W20887" s="503"/>
    </row>
    <row r="20888" spans="23:23">
      <c r="W20888" s="503"/>
    </row>
    <row r="20889" spans="23:23">
      <c r="W20889" s="503"/>
    </row>
    <row r="20890" spans="23:23">
      <c r="W20890" s="503"/>
    </row>
    <row r="20891" spans="23:23">
      <c r="W20891" s="503"/>
    </row>
    <row r="20892" spans="23:23">
      <c r="W20892" s="503"/>
    </row>
    <row r="20893" spans="23:23">
      <c r="W20893" s="503"/>
    </row>
    <row r="20894" spans="23:23">
      <c r="W20894" s="503"/>
    </row>
    <row r="20895" spans="23:23">
      <c r="W20895" s="503"/>
    </row>
    <row r="20896" spans="23:23">
      <c r="W20896" s="503"/>
    </row>
    <row r="20897" spans="23:23">
      <c r="W20897" s="503"/>
    </row>
    <row r="20898" spans="23:23">
      <c r="W20898" s="503"/>
    </row>
    <row r="20899" spans="23:23">
      <c r="W20899" s="503"/>
    </row>
    <row r="20900" spans="23:23">
      <c r="W20900" s="503"/>
    </row>
    <row r="20901" spans="23:23">
      <c r="W20901" s="503"/>
    </row>
    <row r="20902" spans="23:23">
      <c r="W20902" s="503"/>
    </row>
    <row r="20903" spans="23:23">
      <c r="W20903" s="503"/>
    </row>
    <row r="20904" spans="23:23">
      <c r="W20904" s="503"/>
    </row>
    <row r="20905" spans="23:23">
      <c r="W20905" s="503"/>
    </row>
    <row r="20906" spans="23:23">
      <c r="W20906" s="503"/>
    </row>
    <row r="20907" spans="23:23">
      <c r="W20907" s="503"/>
    </row>
    <row r="20908" spans="23:23">
      <c r="W20908" s="503"/>
    </row>
    <row r="20909" spans="23:23">
      <c r="W20909" s="503"/>
    </row>
    <row r="20910" spans="23:23">
      <c r="W20910" s="503"/>
    </row>
    <row r="20911" spans="23:23">
      <c r="W20911" s="503"/>
    </row>
    <row r="20912" spans="23:23">
      <c r="W20912" s="503"/>
    </row>
    <row r="20913" spans="23:23">
      <c r="W20913" s="503"/>
    </row>
    <row r="20914" spans="23:23">
      <c r="W20914" s="503"/>
    </row>
    <row r="20915" spans="23:23">
      <c r="W20915" s="503"/>
    </row>
    <row r="20916" spans="23:23">
      <c r="W20916" s="503"/>
    </row>
    <row r="20917" spans="23:23">
      <c r="W20917" s="503"/>
    </row>
    <row r="20918" spans="23:23">
      <c r="W20918" s="503"/>
    </row>
    <row r="20919" spans="23:23">
      <c r="W20919" s="503"/>
    </row>
    <row r="20920" spans="23:23">
      <c r="W20920" s="503"/>
    </row>
    <row r="20921" spans="23:23">
      <c r="W20921" s="503"/>
    </row>
    <row r="20922" spans="23:23">
      <c r="W20922" s="503"/>
    </row>
    <row r="20923" spans="23:23">
      <c r="W20923" s="503"/>
    </row>
    <row r="20924" spans="23:23">
      <c r="W20924" s="503"/>
    </row>
    <row r="20925" spans="23:23">
      <c r="W20925" s="503"/>
    </row>
    <row r="20926" spans="23:23">
      <c r="W20926" s="503"/>
    </row>
    <row r="20927" spans="23:23">
      <c r="W20927" s="503"/>
    </row>
    <row r="20928" spans="23:23">
      <c r="W20928" s="503"/>
    </row>
    <row r="20929" spans="23:23">
      <c r="W20929" s="503"/>
    </row>
    <row r="20930" spans="23:23">
      <c r="W20930" s="503"/>
    </row>
    <row r="20931" spans="23:23">
      <c r="W20931" s="503"/>
    </row>
    <row r="20932" spans="23:23">
      <c r="W20932" s="503"/>
    </row>
    <row r="20933" spans="23:23">
      <c r="W20933" s="503"/>
    </row>
    <row r="20934" spans="23:23">
      <c r="W20934" s="503"/>
    </row>
    <row r="20935" spans="23:23">
      <c r="W20935" s="503"/>
    </row>
    <row r="20936" spans="23:23">
      <c r="W20936" s="503"/>
    </row>
    <row r="20937" spans="23:23">
      <c r="W20937" s="503"/>
    </row>
    <row r="20938" spans="23:23">
      <c r="W20938" s="503"/>
    </row>
    <row r="20939" spans="23:23">
      <c r="W20939" s="503"/>
    </row>
    <row r="20940" spans="23:23">
      <c r="W20940" s="503"/>
    </row>
    <row r="20941" spans="23:23">
      <c r="W20941" s="503"/>
    </row>
    <row r="20942" spans="23:23">
      <c r="W20942" s="503"/>
    </row>
    <row r="20943" spans="23:23">
      <c r="W20943" s="503"/>
    </row>
    <row r="20944" spans="23:23">
      <c r="W20944" s="503"/>
    </row>
    <row r="20945" spans="23:23">
      <c r="W20945" s="503"/>
    </row>
    <row r="20946" spans="23:23">
      <c r="W20946" s="503"/>
    </row>
    <row r="20947" spans="23:23">
      <c r="W20947" s="503"/>
    </row>
    <row r="20948" spans="23:23">
      <c r="W20948" s="503"/>
    </row>
    <row r="20949" spans="23:23">
      <c r="W20949" s="503"/>
    </row>
    <row r="20950" spans="23:23">
      <c r="W20950" s="503"/>
    </row>
    <row r="20951" spans="23:23">
      <c r="W20951" s="503"/>
    </row>
    <row r="20952" spans="23:23">
      <c r="W20952" s="503"/>
    </row>
    <row r="20953" spans="23:23">
      <c r="W20953" s="503"/>
    </row>
    <row r="20954" spans="23:23">
      <c r="W20954" s="503"/>
    </row>
    <row r="20955" spans="23:23">
      <c r="W20955" s="503"/>
    </row>
    <row r="20956" spans="23:23">
      <c r="W20956" s="503"/>
    </row>
    <row r="20957" spans="23:23">
      <c r="W20957" s="503"/>
    </row>
    <row r="20958" spans="23:23">
      <c r="W20958" s="503"/>
    </row>
    <row r="20959" spans="23:23">
      <c r="W20959" s="503"/>
    </row>
    <row r="20960" spans="23:23">
      <c r="W20960" s="503"/>
    </row>
    <row r="20961" spans="23:23">
      <c r="W20961" s="503"/>
    </row>
    <row r="20962" spans="23:23">
      <c r="W20962" s="503"/>
    </row>
    <row r="20963" spans="23:23">
      <c r="W20963" s="503"/>
    </row>
    <row r="20964" spans="23:23">
      <c r="W20964" s="503"/>
    </row>
    <row r="20965" spans="23:23">
      <c r="W20965" s="503"/>
    </row>
    <row r="20966" spans="23:23">
      <c r="W20966" s="503"/>
    </row>
    <row r="20967" spans="23:23">
      <c r="W20967" s="503"/>
    </row>
    <row r="20968" spans="23:23">
      <c r="W20968" s="503"/>
    </row>
    <row r="20969" spans="23:23">
      <c r="W20969" s="503"/>
    </row>
    <row r="20970" spans="23:23">
      <c r="W20970" s="503"/>
    </row>
    <row r="20971" spans="23:23">
      <c r="W20971" s="503"/>
    </row>
    <row r="20972" spans="23:23">
      <c r="W20972" s="503"/>
    </row>
    <row r="20973" spans="23:23">
      <c r="W20973" s="503"/>
    </row>
    <row r="20974" spans="23:23">
      <c r="W20974" s="503"/>
    </row>
    <row r="20975" spans="23:23">
      <c r="W20975" s="503"/>
    </row>
    <row r="20976" spans="23:23">
      <c r="W20976" s="503"/>
    </row>
    <row r="20977" spans="23:23">
      <c r="W20977" s="503"/>
    </row>
    <row r="20978" spans="23:23">
      <c r="W20978" s="503"/>
    </row>
    <row r="20979" spans="23:23">
      <c r="W20979" s="503"/>
    </row>
    <row r="20980" spans="23:23">
      <c r="W20980" s="503"/>
    </row>
    <row r="20981" spans="23:23">
      <c r="W20981" s="503"/>
    </row>
    <row r="20982" spans="23:23">
      <c r="W20982" s="503"/>
    </row>
    <row r="20983" spans="23:23">
      <c r="W20983" s="503"/>
    </row>
    <row r="20984" spans="23:23">
      <c r="W20984" s="503"/>
    </row>
    <row r="20985" spans="23:23">
      <c r="W20985" s="503"/>
    </row>
    <row r="20986" spans="23:23">
      <c r="W20986" s="503"/>
    </row>
    <row r="20987" spans="23:23">
      <c r="W20987" s="503"/>
    </row>
    <row r="20988" spans="23:23">
      <c r="W20988" s="503"/>
    </row>
    <row r="20989" spans="23:23">
      <c r="W20989" s="503"/>
    </row>
    <row r="20990" spans="23:23">
      <c r="W20990" s="503"/>
    </row>
    <row r="20991" spans="23:23">
      <c r="W20991" s="503"/>
    </row>
    <row r="20992" spans="23:23">
      <c r="W20992" s="503"/>
    </row>
    <row r="20993" spans="23:23">
      <c r="W20993" s="503"/>
    </row>
    <row r="20994" spans="23:23">
      <c r="W20994" s="503"/>
    </row>
    <row r="20995" spans="23:23">
      <c r="W20995" s="503"/>
    </row>
    <row r="20996" spans="23:23">
      <c r="W20996" s="503"/>
    </row>
    <row r="20997" spans="23:23">
      <c r="W20997" s="503"/>
    </row>
    <row r="20998" spans="23:23">
      <c r="W20998" s="503"/>
    </row>
    <row r="20999" spans="23:23">
      <c r="W20999" s="503"/>
    </row>
    <row r="21000" spans="23:23">
      <c r="W21000" s="503"/>
    </row>
    <row r="21001" spans="23:23">
      <c r="W21001" s="503"/>
    </row>
    <row r="21002" spans="23:23">
      <c r="W21002" s="503"/>
    </row>
    <row r="21003" spans="23:23">
      <c r="W21003" s="503"/>
    </row>
    <row r="21004" spans="23:23">
      <c r="W21004" s="503"/>
    </row>
    <row r="21005" spans="23:23">
      <c r="W21005" s="503"/>
    </row>
    <row r="21006" spans="23:23">
      <c r="W21006" s="503"/>
    </row>
    <row r="21007" spans="23:23">
      <c r="W21007" s="503"/>
    </row>
    <row r="21008" spans="23:23">
      <c r="W21008" s="503"/>
    </row>
    <row r="21009" spans="23:23">
      <c r="W21009" s="503"/>
    </row>
    <row r="21010" spans="23:23">
      <c r="W21010" s="503"/>
    </row>
    <row r="21011" spans="23:23">
      <c r="W21011" s="503"/>
    </row>
    <row r="21012" spans="23:23">
      <c r="W21012" s="503"/>
    </row>
    <row r="21013" spans="23:23">
      <c r="W21013" s="503"/>
    </row>
    <row r="21014" spans="23:23">
      <c r="W21014" s="503"/>
    </row>
    <row r="21015" spans="23:23">
      <c r="W21015" s="503"/>
    </row>
    <row r="21016" spans="23:23">
      <c r="W21016" s="503"/>
    </row>
    <row r="21017" spans="23:23">
      <c r="W21017" s="503"/>
    </row>
    <row r="21018" spans="23:23">
      <c r="W21018" s="503"/>
    </row>
    <row r="21019" spans="23:23">
      <c r="W21019" s="503"/>
    </row>
    <row r="21020" spans="23:23">
      <c r="W21020" s="503"/>
    </row>
    <row r="21021" spans="23:23">
      <c r="W21021" s="503"/>
    </row>
    <row r="21022" spans="23:23">
      <c r="W21022" s="503"/>
    </row>
    <row r="21023" spans="23:23">
      <c r="W21023" s="503"/>
    </row>
    <row r="21024" spans="23:23">
      <c r="W21024" s="503"/>
    </row>
    <row r="21025" spans="23:23">
      <c r="W21025" s="503"/>
    </row>
    <row r="21026" spans="23:23">
      <c r="W21026" s="503"/>
    </row>
    <row r="21027" spans="23:23">
      <c r="W21027" s="503"/>
    </row>
    <row r="21028" spans="23:23">
      <c r="W21028" s="503"/>
    </row>
    <row r="21029" spans="23:23">
      <c r="W21029" s="503"/>
    </row>
    <row r="21030" spans="23:23">
      <c r="W21030" s="503"/>
    </row>
    <row r="21031" spans="23:23">
      <c r="W21031" s="503"/>
    </row>
    <row r="21032" spans="23:23">
      <c r="W21032" s="503"/>
    </row>
    <row r="21033" spans="23:23">
      <c r="W21033" s="503"/>
    </row>
    <row r="21034" spans="23:23">
      <c r="W21034" s="503"/>
    </row>
    <row r="21035" spans="23:23">
      <c r="W21035" s="503"/>
    </row>
    <row r="21036" spans="23:23">
      <c r="W21036" s="503"/>
    </row>
    <row r="21037" spans="23:23">
      <c r="W21037" s="503"/>
    </row>
    <row r="21038" spans="23:23">
      <c r="W21038" s="503"/>
    </row>
    <row r="21039" spans="23:23">
      <c r="W21039" s="503"/>
    </row>
    <row r="21040" spans="23:23">
      <c r="W21040" s="503"/>
    </row>
    <row r="21041" spans="23:23">
      <c r="W21041" s="503"/>
    </row>
    <row r="21042" spans="23:23">
      <c r="W21042" s="503"/>
    </row>
    <row r="21043" spans="23:23">
      <c r="W21043" s="503"/>
    </row>
    <row r="21044" spans="23:23">
      <c r="W21044" s="503"/>
    </row>
    <row r="21045" spans="23:23">
      <c r="W21045" s="503"/>
    </row>
    <row r="21046" spans="23:23">
      <c r="W21046" s="503"/>
    </row>
    <row r="21047" spans="23:23">
      <c r="W21047" s="503"/>
    </row>
    <row r="21048" spans="23:23">
      <c r="W21048" s="503"/>
    </row>
    <row r="21049" spans="23:23">
      <c r="W21049" s="503"/>
    </row>
    <row r="21050" spans="23:23">
      <c r="W21050" s="503"/>
    </row>
    <row r="21051" spans="23:23">
      <c r="W21051" s="503"/>
    </row>
    <row r="21052" spans="23:23">
      <c r="W21052" s="503"/>
    </row>
    <row r="21053" spans="23:23">
      <c r="W21053" s="503"/>
    </row>
    <row r="21054" spans="23:23">
      <c r="W21054" s="503"/>
    </row>
    <row r="21055" spans="23:23">
      <c r="W21055" s="503"/>
    </row>
    <row r="21056" spans="23:23">
      <c r="W21056" s="503"/>
    </row>
    <row r="21057" spans="23:23">
      <c r="W21057" s="503"/>
    </row>
    <row r="21058" spans="23:23">
      <c r="W21058" s="503"/>
    </row>
    <row r="21059" spans="23:23">
      <c r="W21059" s="503"/>
    </row>
    <row r="21060" spans="23:23">
      <c r="W21060" s="503"/>
    </row>
    <row r="21061" spans="23:23">
      <c r="W21061" s="503"/>
    </row>
    <row r="21062" spans="23:23">
      <c r="W21062" s="503"/>
    </row>
    <row r="21063" spans="23:23">
      <c r="W21063" s="503"/>
    </row>
    <row r="21064" spans="23:23">
      <c r="W21064" s="503"/>
    </row>
    <row r="21065" spans="23:23">
      <c r="W21065" s="503"/>
    </row>
    <row r="21066" spans="23:23">
      <c r="W21066" s="503"/>
    </row>
    <row r="21067" spans="23:23">
      <c r="W21067" s="503"/>
    </row>
    <row r="21068" spans="23:23">
      <c r="W21068" s="503"/>
    </row>
    <row r="21069" spans="23:23">
      <c r="W21069" s="503"/>
    </row>
    <row r="21070" spans="23:23">
      <c r="W21070" s="503"/>
    </row>
    <row r="21071" spans="23:23">
      <c r="W21071" s="503"/>
    </row>
    <row r="21072" spans="23:23">
      <c r="W21072" s="503"/>
    </row>
    <row r="21073" spans="23:23">
      <c r="W21073" s="503"/>
    </row>
    <row r="21074" spans="23:23">
      <c r="W21074" s="503"/>
    </row>
    <row r="21075" spans="23:23">
      <c r="W21075" s="503"/>
    </row>
    <row r="21076" spans="23:23">
      <c r="W21076" s="503"/>
    </row>
    <row r="21077" spans="23:23">
      <c r="W21077" s="503"/>
    </row>
    <row r="21078" spans="23:23">
      <c r="W21078" s="503"/>
    </row>
    <row r="21079" spans="23:23">
      <c r="W21079" s="503"/>
    </row>
    <row r="21080" spans="23:23">
      <c r="W21080" s="503"/>
    </row>
    <row r="21081" spans="23:23">
      <c r="W21081" s="503"/>
    </row>
    <row r="21082" spans="23:23">
      <c r="W21082" s="503"/>
    </row>
    <row r="21083" spans="23:23">
      <c r="W21083" s="503"/>
    </row>
    <row r="21084" spans="23:23">
      <c r="W21084" s="503"/>
    </row>
    <row r="21085" spans="23:23">
      <c r="W21085" s="503"/>
    </row>
    <row r="21086" spans="23:23">
      <c r="W21086" s="503"/>
    </row>
    <row r="21087" spans="23:23">
      <c r="W21087" s="503"/>
    </row>
    <row r="21088" spans="23:23">
      <c r="W21088" s="503"/>
    </row>
    <row r="21089" spans="23:23">
      <c r="W21089" s="503"/>
    </row>
    <row r="21090" spans="23:23">
      <c r="W21090" s="503"/>
    </row>
    <row r="21091" spans="23:23">
      <c r="W21091" s="503"/>
    </row>
    <row r="21092" spans="23:23">
      <c r="W21092" s="503"/>
    </row>
    <row r="21093" spans="23:23">
      <c r="W21093" s="503"/>
    </row>
    <row r="21094" spans="23:23">
      <c r="W21094" s="503"/>
    </row>
    <row r="21095" spans="23:23">
      <c r="W21095" s="503"/>
    </row>
    <row r="21096" spans="23:23">
      <c r="W21096" s="503"/>
    </row>
    <row r="21097" spans="23:23">
      <c r="W21097" s="503"/>
    </row>
    <row r="21098" spans="23:23">
      <c r="W21098" s="503"/>
    </row>
    <row r="21099" spans="23:23">
      <c r="W21099" s="503"/>
    </row>
    <row r="21100" spans="23:23">
      <c r="W21100" s="503"/>
    </row>
    <row r="21101" spans="23:23">
      <c r="W21101" s="503"/>
    </row>
    <row r="21102" spans="23:23">
      <c r="W21102" s="503"/>
    </row>
    <row r="21103" spans="23:23">
      <c r="W21103" s="503"/>
    </row>
    <row r="21104" spans="23:23">
      <c r="W21104" s="503"/>
    </row>
    <row r="21105" spans="23:23">
      <c r="W21105" s="503"/>
    </row>
    <row r="21106" spans="23:23">
      <c r="W21106" s="503"/>
    </row>
    <row r="21107" spans="23:23">
      <c r="W21107" s="503"/>
    </row>
    <row r="21108" spans="23:23">
      <c r="W21108" s="503"/>
    </row>
    <row r="21109" spans="23:23">
      <c r="W21109" s="503"/>
    </row>
    <row r="21110" spans="23:23">
      <c r="W21110" s="503"/>
    </row>
    <row r="21111" spans="23:23">
      <c r="W21111" s="503"/>
    </row>
    <row r="21112" spans="23:23">
      <c r="W21112" s="503"/>
    </row>
    <row r="21113" spans="23:23">
      <c r="W21113" s="503"/>
    </row>
    <row r="21114" spans="23:23">
      <c r="W21114" s="503"/>
    </row>
    <row r="21115" spans="23:23">
      <c r="W21115" s="503"/>
    </row>
    <row r="21116" spans="23:23">
      <c r="W21116" s="503"/>
    </row>
    <row r="21117" spans="23:23">
      <c r="W21117" s="503"/>
    </row>
    <row r="21118" spans="23:23">
      <c r="W21118" s="503"/>
    </row>
    <row r="21119" spans="23:23">
      <c r="W21119" s="503"/>
    </row>
    <row r="21120" spans="23:23">
      <c r="W21120" s="503"/>
    </row>
    <row r="21121" spans="23:23">
      <c r="W21121" s="503"/>
    </row>
    <row r="21122" spans="23:23">
      <c r="W21122" s="503"/>
    </row>
    <row r="21123" spans="23:23">
      <c r="W21123" s="503"/>
    </row>
    <row r="21124" spans="23:23">
      <c r="W21124" s="503"/>
    </row>
    <row r="21125" spans="23:23">
      <c r="W21125" s="503"/>
    </row>
    <row r="21126" spans="23:23">
      <c r="W21126" s="503"/>
    </row>
    <row r="21127" spans="23:23">
      <c r="W21127" s="503"/>
    </row>
    <row r="21128" spans="23:23">
      <c r="W21128" s="503"/>
    </row>
    <row r="21129" spans="23:23">
      <c r="W21129" s="503"/>
    </row>
    <row r="21130" spans="23:23">
      <c r="W21130" s="503"/>
    </row>
    <row r="21131" spans="23:23">
      <c r="W21131" s="503"/>
    </row>
    <row r="21132" spans="23:23">
      <c r="W21132" s="503"/>
    </row>
    <row r="21133" spans="23:23">
      <c r="W21133" s="503"/>
    </row>
    <row r="21134" spans="23:23">
      <c r="W21134" s="503"/>
    </row>
    <row r="21135" spans="23:23">
      <c r="W21135" s="503"/>
    </row>
    <row r="21136" spans="23:23">
      <c r="W21136" s="503"/>
    </row>
    <row r="21137" spans="23:23">
      <c r="W21137" s="503"/>
    </row>
    <row r="21138" spans="23:23">
      <c r="W21138" s="503"/>
    </row>
    <row r="21139" spans="23:23">
      <c r="W21139" s="503"/>
    </row>
    <row r="21140" spans="23:23">
      <c r="W21140" s="503"/>
    </row>
    <row r="21141" spans="23:23">
      <c r="W21141" s="503"/>
    </row>
    <row r="21142" spans="23:23">
      <c r="W21142" s="503"/>
    </row>
    <row r="21143" spans="23:23">
      <c r="W21143" s="503"/>
    </row>
    <row r="21144" spans="23:23">
      <c r="W21144" s="503"/>
    </row>
    <row r="21145" spans="23:23">
      <c r="W21145" s="503"/>
    </row>
    <row r="21146" spans="23:23">
      <c r="W21146" s="503"/>
    </row>
    <row r="21147" spans="23:23">
      <c r="W21147" s="503"/>
    </row>
    <row r="21148" spans="23:23">
      <c r="W21148" s="503"/>
    </row>
    <row r="21149" spans="23:23">
      <c r="W21149" s="503"/>
    </row>
    <row r="21150" spans="23:23">
      <c r="W21150" s="503"/>
    </row>
    <row r="21151" spans="23:23">
      <c r="W21151" s="503"/>
    </row>
    <row r="21152" spans="23:23">
      <c r="W21152" s="503"/>
    </row>
    <row r="21153" spans="23:23">
      <c r="W21153" s="503"/>
    </row>
    <row r="21154" spans="23:23">
      <c r="W21154" s="503"/>
    </row>
    <row r="21155" spans="23:23">
      <c r="W21155" s="503"/>
    </row>
    <row r="21156" spans="23:23">
      <c r="W21156" s="503"/>
    </row>
    <row r="21157" spans="23:23">
      <c r="W21157" s="503"/>
    </row>
    <row r="21158" spans="23:23">
      <c r="W21158" s="503"/>
    </row>
    <row r="21159" spans="23:23">
      <c r="W21159" s="503"/>
    </row>
    <row r="21160" spans="23:23">
      <c r="W21160" s="503"/>
    </row>
    <row r="21161" spans="23:23">
      <c r="W21161" s="503"/>
    </row>
    <row r="21162" spans="23:23">
      <c r="W21162" s="503"/>
    </row>
    <row r="21163" spans="23:23">
      <c r="W21163" s="503"/>
    </row>
    <row r="21164" spans="23:23">
      <c r="W21164" s="503"/>
    </row>
    <row r="21165" spans="23:23">
      <c r="W21165" s="503"/>
    </row>
    <row r="21166" spans="23:23">
      <c r="W21166" s="503"/>
    </row>
    <row r="21167" spans="23:23">
      <c r="W21167" s="503"/>
    </row>
    <row r="21168" spans="23:23">
      <c r="W21168" s="503"/>
    </row>
    <row r="21169" spans="23:23">
      <c r="W21169" s="503"/>
    </row>
    <row r="21170" spans="23:23">
      <c r="W21170" s="503"/>
    </row>
    <row r="21171" spans="23:23">
      <c r="W21171" s="503"/>
    </row>
    <row r="21172" spans="23:23">
      <c r="W21172" s="503"/>
    </row>
    <row r="21173" spans="23:23">
      <c r="W21173" s="503"/>
    </row>
    <row r="21174" spans="23:23">
      <c r="W21174" s="503"/>
    </row>
    <row r="21175" spans="23:23">
      <c r="W21175" s="503"/>
    </row>
    <row r="21176" spans="23:23">
      <c r="W21176" s="503"/>
    </row>
    <row r="21177" spans="23:23">
      <c r="W21177" s="503"/>
    </row>
    <row r="21178" spans="23:23">
      <c r="W21178" s="503"/>
    </row>
    <row r="21179" spans="23:23">
      <c r="W21179" s="503"/>
    </row>
    <row r="21180" spans="23:23">
      <c r="W21180" s="503"/>
    </row>
    <row r="21181" spans="23:23">
      <c r="W21181" s="503"/>
    </row>
    <row r="21182" spans="23:23">
      <c r="W21182" s="503"/>
    </row>
    <row r="21183" spans="23:23">
      <c r="W21183" s="503"/>
    </row>
    <row r="21184" spans="23:23">
      <c r="W21184" s="503"/>
    </row>
    <row r="21185" spans="23:23">
      <c r="W21185" s="503"/>
    </row>
    <row r="21186" spans="23:23">
      <c r="W21186" s="503"/>
    </row>
    <row r="21187" spans="23:23">
      <c r="W21187" s="503"/>
    </row>
    <row r="21188" spans="23:23">
      <c r="W21188" s="503"/>
    </row>
    <row r="21189" spans="23:23">
      <c r="W21189" s="503"/>
    </row>
    <row r="21190" spans="23:23">
      <c r="W21190" s="503"/>
    </row>
    <row r="21191" spans="23:23">
      <c r="W21191" s="503"/>
    </row>
    <row r="21192" spans="23:23">
      <c r="W21192" s="503"/>
    </row>
    <row r="21193" spans="23:23">
      <c r="W21193" s="503"/>
    </row>
    <row r="21194" spans="23:23">
      <c r="W21194" s="503"/>
    </row>
    <row r="21195" spans="23:23">
      <c r="W21195" s="503"/>
    </row>
    <row r="21196" spans="23:23">
      <c r="W21196" s="503"/>
    </row>
    <row r="21197" spans="23:23">
      <c r="W21197" s="503"/>
    </row>
    <row r="21198" spans="23:23">
      <c r="W21198" s="503"/>
    </row>
    <row r="21199" spans="23:23">
      <c r="W21199" s="503"/>
    </row>
    <row r="21200" spans="23:23">
      <c r="W21200" s="503"/>
    </row>
    <row r="21201" spans="23:23">
      <c r="W21201" s="503"/>
    </row>
    <row r="21202" spans="23:23">
      <c r="W21202" s="503"/>
    </row>
    <row r="21203" spans="23:23">
      <c r="W21203" s="503"/>
    </row>
    <row r="21204" spans="23:23">
      <c r="W21204" s="503"/>
    </row>
    <row r="21205" spans="23:23">
      <c r="W21205" s="503"/>
    </row>
    <row r="21206" spans="23:23">
      <c r="W21206" s="503"/>
    </row>
    <row r="21207" spans="23:23">
      <c r="W21207" s="503"/>
    </row>
    <row r="21208" spans="23:23">
      <c r="W21208" s="503"/>
    </row>
    <row r="21209" spans="23:23">
      <c r="W21209" s="503"/>
    </row>
    <row r="21210" spans="23:23">
      <c r="W21210" s="503"/>
    </row>
    <row r="21211" spans="23:23">
      <c r="W21211" s="503"/>
    </row>
    <row r="21212" spans="23:23">
      <c r="W21212" s="503"/>
    </row>
    <row r="21213" spans="23:23">
      <c r="W21213" s="503"/>
    </row>
    <row r="21214" spans="23:23">
      <c r="W21214" s="503"/>
    </row>
    <row r="21215" spans="23:23">
      <c r="W21215" s="503"/>
    </row>
    <row r="21216" spans="23:23">
      <c r="W21216" s="503"/>
    </row>
    <row r="21217" spans="23:23">
      <c r="W21217" s="503"/>
    </row>
    <row r="21218" spans="23:23">
      <c r="W21218" s="503"/>
    </row>
    <row r="21219" spans="23:23">
      <c r="W21219" s="503"/>
    </row>
    <row r="21220" spans="23:23">
      <c r="W21220" s="503"/>
    </row>
    <row r="21221" spans="23:23">
      <c r="W21221" s="503"/>
    </row>
    <row r="21222" spans="23:23">
      <c r="W21222" s="503"/>
    </row>
    <row r="21223" spans="23:23">
      <c r="W21223" s="503"/>
    </row>
    <row r="21224" spans="23:23">
      <c r="W21224" s="503"/>
    </row>
    <row r="21225" spans="23:23">
      <c r="W21225" s="503"/>
    </row>
    <row r="21226" spans="23:23">
      <c r="W21226" s="503"/>
    </row>
    <row r="21227" spans="23:23">
      <c r="W21227" s="503"/>
    </row>
    <row r="21228" spans="23:23">
      <c r="W21228" s="503"/>
    </row>
    <row r="21229" spans="23:23">
      <c r="W21229" s="503"/>
    </row>
    <row r="21230" spans="23:23">
      <c r="W21230" s="503"/>
    </row>
    <row r="21231" spans="23:23">
      <c r="W21231" s="503"/>
    </row>
    <row r="21232" spans="23:23">
      <c r="W21232" s="503"/>
    </row>
    <row r="21233" spans="23:23">
      <c r="W21233" s="503"/>
    </row>
    <row r="21234" spans="23:23">
      <c r="W21234" s="503"/>
    </row>
    <row r="21235" spans="23:23">
      <c r="W21235" s="503"/>
    </row>
    <row r="21236" spans="23:23">
      <c r="W21236" s="503"/>
    </row>
    <row r="21237" spans="23:23">
      <c r="W21237" s="503"/>
    </row>
    <row r="21238" spans="23:23">
      <c r="W21238" s="503"/>
    </row>
    <row r="21239" spans="23:23">
      <c r="W21239" s="503"/>
    </row>
    <row r="21240" spans="23:23">
      <c r="W21240" s="503"/>
    </row>
    <row r="21241" spans="23:23">
      <c r="W21241" s="503"/>
    </row>
    <row r="21242" spans="23:23">
      <c r="W21242" s="503"/>
    </row>
    <row r="21243" spans="23:23">
      <c r="W21243" s="503"/>
    </row>
    <row r="21244" spans="23:23">
      <c r="W21244" s="503"/>
    </row>
    <row r="21245" spans="23:23">
      <c r="W21245" s="503"/>
    </row>
    <row r="21246" spans="23:23">
      <c r="W21246" s="503"/>
    </row>
    <row r="21247" spans="23:23">
      <c r="W21247" s="503"/>
    </row>
    <row r="21248" spans="23:23">
      <c r="W21248" s="503"/>
    </row>
    <row r="21249" spans="23:23">
      <c r="W21249" s="503"/>
    </row>
    <row r="21250" spans="23:23">
      <c r="W21250" s="503"/>
    </row>
    <row r="21251" spans="23:23">
      <c r="W21251" s="503"/>
    </row>
    <row r="21252" spans="23:23">
      <c r="W21252" s="503"/>
    </row>
    <row r="21253" spans="23:23">
      <c r="W21253" s="503"/>
    </row>
    <row r="21254" spans="23:23">
      <c r="W21254" s="503"/>
    </row>
    <row r="21255" spans="23:23">
      <c r="W21255" s="503"/>
    </row>
    <row r="21256" spans="23:23">
      <c r="W21256" s="503"/>
    </row>
    <row r="21257" spans="23:23">
      <c r="W21257" s="503"/>
    </row>
    <row r="21258" spans="23:23">
      <c r="W21258" s="503"/>
    </row>
    <row r="21259" spans="23:23">
      <c r="W21259" s="503"/>
    </row>
    <row r="21260" spans="23:23">
      <c r="W21260" s="503"/>
    </row>
    <row r="21261" spans="23:23">
      <c r="W21261" s="503"/>
    </row>
    <row r="21262" spans="23:23">
      <c r="W21262" s="503"/>
    </row>
    <row r="21263" spans="23:23">
      <c r="W21263" s="503"/>
    </row>
    <row r="21264" spans="23:23">
      <c r="W21264" s="503"/>
    </row>
    <row r="21265" spans="23:23">
      <c r="W21265" s="503"/>
    </row>
    <row r="21266" spans="23:23">
      <c r="W21266" s="503"/>
    </row>
    <row r="21267" spans="23:23">
      <c r="W21267" s="503"/>
    </row>
    <row r="21268" spans="23:23">
      <c r="W21268" s="503"/>
    </row>
    <row r="21269" spans="23:23">
      <c r="W21269" s="503"/>
    </row>
    <row r="21270" spans="23:23">
      <c r="W21270" s="503"/>
    </row>
    <row r="21271" spans="23:23">
      <c r="W21271" s="503"/>
    </row>
    <row r="21272" spans="23:23">
      <c r="W21272" s="503"/>
    </row>
    <row r="21273" spans="23:23">
      <c r="W21273" s="503"/>
    </row>
    <row r="21274" spans="23:23">
      <c r="W21274" s="503"/>
    </row>
    <row r="21275" spans="23:23">
      <c r="W21275" s="503"/>
    </row>
    <row r="21276" spans="23:23">
      <c r="W21276" s="503"/>
    </row>
    <row r="21277" spans="23:23">
      <c r="W21277" s="503"/>
    </row>
    <row r="21278" spans="23:23">
      <c r="W21278" s="503"/>
    </row>
    <row r="21279" spans="23:23">
      <c r="W21279" s="503"/>
    </row>
    <row r="21280" spans="23:23">
      <c r="W21280" s="503"/>
    </row>
    <row r="21281" spans="23:23">
      <c r="W21281" s="503"/>
    </row>
    <row r="21282" spans="23:23">
      <c r="W21282" s="503"/>
    </row>
    <row r="21283" spans="23:23">
      <c r="W21283" s="503"/>
    </row>
    <row r="21284" spans="23:23">
      <c r="W21284" s="503"/>
    </row>
    <row r="21285" spans="23:23">
      <c r="W21285" s="503"/>
    </row>
    <row r="21286" spans="23:23">
      <c r="W21286" s="503"/>
    </row>
    <row r="21287" spans="23:23">
      <c r="W21287" s="503"/>
    </row>
    <row r="21288" spans="23:23">
      <c r="W21288" s="503"/>
    </row>
    <row r="21289" spans="23:23">
      <c r="W21289" s="503"/>
    </row>
    <row r="21290" spans="23:23">
      <c r="W21290" s="503"/>
    </row>
    <row r="21291" spans="23:23">
      <c r="W21291" s="503"/>
    </row>
    <row r="21292" spans="23:23">
      <c r="W21292" s="503"/>
    </row>
    <row r="21293" spans="23:23">
      <c r="W21293" s="503"/>
    </row>
    <row r="21294" spans="23:23">
      <c r="W21294" s="503"/>
    </row>
    <row r="21295" spans="23:23">
      <c r="W21295" s="503"/>
    </row>
    <row r="21296" spans="23:23">
      <c r="W21296" s="503"/>
    </row>
    <row r="21297" spans="23:23">
      <c r="W21297" s="503"/>
    </row>
    <row r="21298" spans="23:23">
      <c r="W21298" s="503"/>
    </row>
    <row r="21299" spans="23:23">
      <c r="W21299" s="503"/>
    </row>
    <row r="21300" spans="23:23">
      <c r="W21300" s="503"/>
    </row>
    <row r="21301" spans="23:23">
      <c r="W21301" s="503"/>
    </row>
    <row r="21302" spans="23:23">
      <c r="W21302" s="503"/>
    </row>
    <row r="21303" spans="23:23">
      <c r="W21303" s="503"/>
    </row>
    <row r="21304" spans="23:23">
      <c r="W21304" s="503"/>
    </row>
    <row r="21305" spans="23:23">
      <c r="W21305" s="503"/>
    </row>
    <row r="21306" spans="23:23">
      <c r="W21306" s="503"/>
    </row>
    <row r="21307" spans="23:23">
      <c r="W21307" s="503"/>
    </row>
    <row r="21308" spans="23:23">
      <c r="W21308" s="503"/>
    </row>
    <row r="21309" spans="23:23">
      <c r="W21309" s="503"/>
    </row>
    <row r="21310" spans="23:23">
      <c r="W21310" s="503"/>
    </row>
    <row r="21311" spans="23:23">
      <c r="W21311" s="503"/>
    </row>
    <row r="21312" spans="23:23">
      <c r="W21312" s="503"/>
    </row>
    <row r="21313" spans="23:23">
      <c r="W21313" s="503"/>
    </row>
    <row r="21314" spans="23:23">
      <c r="W21314" s="503"/>
    </row>
    <row r="21315" spans="23:23">
      <c r="W21315" s="503"/>
    </row>
    <row r="21316" spans="23:23">
      <c r="W21316" s="503"/>
    </row>
    <row r="21317" spans="23:23">
      <c r="W21317" s="503"/>
    </row>
    <row r="21318" spans="23:23">
      <c r="W21318" s="503"/>
    </row>
    <row r="21319" spans="23:23">
      <c r="W21319" s="503"/>
    </row>
    <row r="21320" spans="23:23">
      <c r="W21320" s="503"/>
    </row>
    <row r="21321" spans="23:23">
      <c r="W21321" s="503"/>
    </row>
    <row r="21322" spans="23:23">
      <c r="W21322" s="503"/>
    </row>
    <row r="21323" spans="23:23">
      <c r="W21323" s="503"/>
    </row>
    <row r="21324" spans="23:23">
      <c r="W21324" s="503"/>
    </row>
    <row r="21325" spans="23:23">
      <c r="W21325" s="503"/>
    </row>
    <row r="21326" spans="23:23">
      <c r="W21326" s="503"/>
    </row>
    <row r="21327" spans="23:23">
      <c r="W21327" s="503"/>
    </row>
    <row r="21328" spans="23:23">
      <c r="W21328" s="503"/>
    </row>
    <row r="21329" spans="23:23">
      <c r="W21329" s="503"/>
    </row>
    <row r="21330" spans="23:23">
      <c r="W21330" s="503"/>
    </row>
    <row r="21331" spans="23:23">
      <c r="W21331" s="503"/>
    </row>
    <row r="21332" spans="23:23">
      <c r="W21332" s="503"/>
    </row>
    <row r="21333" spans="23:23">
      <c r="W21333" s="503"/>
    </row>
    <row r="21334" spans="23:23">
      <c r="W21334" s="503"/>
    </row>
    <row r="21335" spans="23:23">
      <c r="W21335" s="503"/>
    </row>
    <row r="21336" spans="23:23">
      <c r="W21336" s="503"/>
    </row>
    <row r="21337" spans="23:23">
      <c r="W21337" s="503"/>
    </row>
    <row r="21338" spans="23:23">
      <c r="W21338" s="503"/>
    </row>
    <row r="21339" spans="23:23">
      <c r="W21339" s="503"/>
    </row>
    <row r="21340" spans="23:23">
      <c r="W21340" s="503"/>
    </row>
    <row r="21341" spans="23:23">
      <c r="W21341" s="503"/>
    </row>
    <row r="21342" spans="23:23">
      <c r="W21342" s="503"/>
    </row>
    <row r="21343" spans="23:23">
      <c r="W21343" s="503"/>
    </row>
    <row r="21344" spans="23:23">
      <c r="W21344" s="503"/>
    </row>
    <row r="21345" spans="23:23">
      <c r="W21345" s="503"/>
    </row>
    <row r="21346" spans="23:23">
      <c r="W21346" s="503"/>
    </row>
    <row r="21347" spans="23:23">
      <c r="W21347" s="503"/>
    </row>
    <row r="21348" spans="23:23">
      <c r="W21348" s="503"/>
    </row>
    <row r="21349" spans="23:23">
      <c r="W21349" s="503"/>
    </row>
    <row r="21350" spans="23:23">
      <c r="W21350" s="503"/>
    </row>
    <row r="21351" spans="23:23">
      <c r="W21351" s="503"/>
    </row>
    <row r="21352" spans="23:23">
      <c r="W21352" s="503"/>
    </row>
    <row r="21353" spans="23:23">
      <c r="W21353" s="503"/>
    </row>
    <row r="21354" spans="23:23">
      <c r="W21354" s="503"/>
    </row>
    <row r="21355" spans="23:23">
      <c r="W21355" s="503"/>
    </row>
    <row r="21356" spans="23:23">
      <c r="W21356" s="503"/>
    </row>
    <row r="21357" spans="23:23">
      <c r="W21357" s="503"/>
    </row>
    <row r="21358" spans="23:23">
      <c r="W21358" s="503"/>
    </row>
    <row r="21359" spans="23:23">
      <c r="W21359" s="503"/>
    </row>
    <row r="21360" spans="23:23">
      <c r="W21360" s="503"/>
    </row>
    <row r="21361" spans="23:23">
      <c r="W21361" s="503"/>
    </row>
    <row r="21362" spans="23:23">
      <c r="W21362" s="503"/>
    </row>
    <row r="21363" spans="23:23">
      <c r="W21363" s="503"/>
    </row>
    <row r="21364" spans="23:23">
      <c r="W21364" s="503"/>
    </row>
    <row r="21365" spans="23:23">
      <c r="W21365" s="503"/>
    </row>
    <row r="21366" spans="23:23">
      <c r="W21366" s="503"/>
    </row>
    <row r="21367" spans="23:23">
      <c r="W21367" s="503"/>
    </row>
    <row r="21368" spans="23:23">
      <c r="W21368" s="503"/>
    </row>
    <row r="21369" spans="23:23">
      <c r="W21369" s="503"/>
    </row>
    <row r="21370" spans="23:23">
      <c r="W21370" s="503"/>
    </row>
    <row r="21371" spans="23:23">
      <c r="W21371" s="503"/>
    </row>
    <row r="21372" spans="23:23">
      <c r="W21372" s="503"/>
    </row>
    <row r="21373" spans="23:23">
      <c r="W21373" s="503"/>
    </row>
    <row r="21374" spans="23:23">
      <c r="W21374" s="503"/>
    </row>
    <row r="21375" spans="23:23">
      <c r="W21375" s="503"/>
    </row>
    <row r="21376" spans="23:23">
      <c r="W21376" s="503"/>
    </row>
    <row r="21377" spans="23:23">
      <c r="W21377" s="503"/>
    </row>
    <row r="21378" spans="23:23">
      <c r="W21378" s="503"/>
    </row>
    <row r="21379" spans="23:23">
      <c r="W21379" s="503"/>
    </row>
    <row r="21380" spans="23:23">
      <c r="W21380" s="503"/>
    </row>
    <row r="21381" spans="23:23">
      <c r="W21381" s="503"/>
    </row>
    <row r="21382" spans="23:23">
      <c r="W21382" s="503"/>
    </row>
    <row r="21383" spans="23:23">
      <c r="W21383" s="503"/>
    </row>
    <row r="21384" spans="23:23">
      <c r="W21384" s="503"/>
    </row>
    <row r="21385" spans="23:23">
      <c r="W21385" s="503"/>
    </row>
    <row r="21386" spans="23:23">
      <c r="W21386" s="503"/>
    </row>
    <row r="21387" spans="23:23">
      <c r="W21387" s="503"/>
    </row>
    <row r="21388" spans="23:23">
      <c r="W21388" s="503"/>
    </row>
    <row r="21389" spans="23:23">
      <c r="W21389" s="503"/>
    </row>
    <row r="21390" spans="23:23">
      <c r="W21390" s="503"/>
    </row>
    <row r="21391" spans="23:23">
      <c r="W21391" s="503"/>
    </row>
    <row r="21392" spans="23:23">
      <c r="W21392" s="503"/>
    </row>
    <row r="21393" spans="23:23">
      <c r="W21393" s="503"/>
    </row>
    <row r="21394" spans="23:23">
      <c r="W21394" s="503"/>
    </row>
    <row r="21395" spans="23:23">
      <c r="W21395" s="503"/>
    </row>
    <row r="21396" spans="23:23">
      <c r="W21396" s="503"/>
    </row>
    <row r="21397" spans="23:23">
      <c r="W21397" s="503"/>
    </row>
    <row r="21398" spans="23:23">
      <c r="W21398" s="503"/>
    </row>
    <row r="21399" spans="23:23">
      <c r="W21399" s="503"/>
    </row>
    <row r="21400" spans="23:23">
      <c r="W21400" s="503"/>
    </row>
    <row r="21401" spans="23:23">
      <c r="W21401" s="503"/>
    </row>
    <row r="21402" spans="23:23">
      <c r="W21402" s="503"/>
    </row>
    <row r="21403" spans="23:23">
      <c r="W21403" s="503"/>
    </row>
    <row r="21404" spans="23:23">
      <c r="W21404" s="503"/>
    </row>
    <row r="21405" spans="23:23">
      <c r="W21405" s="503"/>
    </row>
    <row r="21406" spans="23:23">
      <c r="W21406" s="503"/>
    </row>
    <row r="21407" spans="23:23">
      <c r="W21407" s="503"/>
    </row>
    <row r="21408" spans="23:23">
      <c r="W21408" s="503"/>
    </row>
    <row r="21409" spans="23:23">
      <c r="W21409" s="503"/>
    </row>
    <row r="21410" spans="23:23">
      <c r="W21410" s="503"/>
    </row>
    <row r="21411" spans="23:23">
      <c r="W21411" s="503"/>
    </row>
    <row r="21412" spans="23:23">
      <c r="W21412" s="503"/>
    </row>
    <row r="21413" spans="23:23">
      <c r="W21413" s="503"/>
    </row>
    <row r="21414" spans="23:23">
      <c r="W21414" s="503"/>
    </row>
    <row r="21415" spans="23:23">
      <c r="W21415" s="503"/>
    </row>
    <row r="21416" spans="23:23">
      <c r="W21416" s="503"/>
    </row>
    <row r="21417" spans="23:23">
      <c r="W21417" s="503"/>
    </row>
    <row r="21418" spans="23:23">
      <c r="W21418" s="503"/>
    </row>
    <row r="21419" spans="23:23">
      <c r="W21419" s="503"/>
    </row>
    <row r="21420" spans="23:23">
      <c r="W21420" s="503"/>
    </row>
    <row r="21421" spans="23:23">
      <c r="W21421" s="503"/>
    </row>
    <row r="21422" spans="23:23">
      <c r="W21422" s="503"/>
    </row>
    <row r="21423" spans="23:23">
      <c r="W21423" s="503"/>
    </row>
    <row r="21424" spans="23:23">
      <c r="W21424" s="503"/>
    </row>
    <row r="21425" spans="23:23">
      <c r="W21425" s="503"/>
    </row>
    <row r="21426" spans="23:23">
      <c r="W21426" s="503"/>
    </row>
    <row r="21427" spans="23:23">
      <c r="W21427" s="503"/>
    </row>
    <row r="21428" spans="23:23">
      <c r="W21428" s="503"/>
    </row>
    <row r="21429" spans="23:23">
      <c r="W21429" s="503"/>
    </row>
    <row r="21430" spans="23:23">
      <c r="W21430" s="503"/>
    </row>
    <row r="21431" spans="23:23">
      <c r="W21431" s="503"/>
    </row>
    <row r="21432" spans="23:23">
      <c r="W21432" s="503"/>
    </row>
    <row r="21433" spans="23:23">
      <c r="W21433" s="503"/>
    </row>
    <row r="21434" spans="23:23">
      <c r="W21434" s="503"/>
    </row>
    <row r="21435" spans="23:23">
      <c r="W21435" s="503"/>
    </row>
    <row r="21436" spans="23:23">
      <c r="W21436" s="503"/>
    </row>
    <row r="21437" spans="23:23">
      <c r="W21437" s="503"/>
    </row>
    <row r="21438" spans="23:23">
      <c r="W21438" s="503"/>
    </row>
    <row r="21439" spans="23:23">
      <c r="W21439" s="503"/>
    </row>
    <row r="21440" spans="23:23">
      <c r="W21440" s="503"/>
    </row>
    <row r="21441" spans="23:23">
      <c r="W21441" s="503"/>
    </row>
    <row r="21442" spans="23:23">
      <c r="W21442" s="503"/>
    </row>
    <row r="21443" spans="23:23">
      <c r="W21443" s="503"/>
    </row>
    <row r="21444" spans="23:23">
      <c r="W21444" s="503"/>
    </row>
    <row r="21445" spans="23:23">
      <c r="W21445" s="503"/>
    </row>
    <row r="21446" spans="23:23">
      <c r="W21446" s="503"/>
    </row>
    <row r="21447" spans="23:23">
      <c r="W21447" s="503"/>
    </row>
    <row r="21448" spans="23:23">
      <c r="W21448" s="503"/>
    </row>
    <row r="21449" spans="23:23">
      <c r="W21449" s="503"/>
    </row>
    <row r="21450" spans="23:23">
      <c r="W21450" s="503"/>
    </row>
    <row r="21451" spans="23:23">
      <c r="W21451" s="503"/>
    </row>
    <row r="21452" spans="23:23">
      <c r="W21452" s="503"/>
    </row>
    <row r="21453" spans="23:23">
      <c r="W21453" s="503"/>
    </row>
    <row r="21454" spans="23:23">
      <c r="W21454" s="503"/>
    </row>
    <row r="21455" spans="23:23">
      <c r="W21455" s="503"/>
    </row>
    <row r="21456" spans="23:23">
      <c r="W21456" s="503"/>
    </row>
    <row r="21457" spans="23:23">
      <c r="W21457" s="503"/>
    </row>
    <row r="21458" spans="23:23">
      <c r="W21458" s="503"/>
    </row>
    <row r="21459" spans="23:23">
      <c r="W21459" s="503"/>
    </row>
    <row r="21460" spans="23:23">
      <c r="W21460" s="503"/>
    </row>
    <row r="21461" spans="23:23">
      <c r="W21461" s="503"/>
    </row>
    <row r="21462" spans="23:23">
      <c r="W21462" s="503"/>
    </row>
    <row r="21463" spans="23:23">
      <c r="W21463" s="503"/>
    </row>
    <row r="21464" spans="23:23">
      <c r="W21464" s="503"/>
    </row>
    <row r="21465" spans="23:23">
      <c r="W21465" s="503"/>
    </row>
    <row r="21466" spans="23:23">
      <c r="W21466" s="503"/>
    </row>
    <row r="21467" spans="23:23">
      <c r="W21467" s="503"/>
    </row>
    <row r="21468" spans="23:23">
      <c r="W21468" s="503"/>
    </row>
    <row r="21469" spans="23:23">
      <c r="W21469" s="503"/>
    </row>
    <row r="21470" spans="23:23">
      <c r="W21470" s="503"/>
    </row>
    <row r="21471" spans="23:23">
      <c r="W21471" s="503"/>
    </row>
    <row r="21472" spans="23:23">
      <c r="W21472" s="503"/>
    </row>
    <row r="21473" spans="23:23">
      <c r="W21473" s="503"/>
    </row>
    <row r="21474" spans="23:23">
      <c r="W21474" s="503"/>
    </row>
    <row r="21475" spans="23:23">
      <c r="W21475" s="503"/>
    </row>
    <row r="21476" spans="23:23">
      <c r="W21476" s="503"/>
    </row>
    <row r="21477" spans="23:23">
      <c r="W21477" s="503"/>
    </row>
    <row r="21478" spans="23:23">
      <c r="W21478" s="503"/>
    </row>
    <row r="21479" spans="23:23">
      <c r="W21479" s="503"/>
    </row>
    <row r="21480" spans="23:23">
      <c r="W21480" s="503"/>
    </row>
    <row r="21481" spans="23:23">
      <c r="W21481" s="503"/>
    </row>
    <row r="21482" spans="23:23">
      <c r="W21482" s="503"/>
    </row>
    <row r="21483" spans="23:23">
      <c r="W21483" s="503"/>
    </row>
    <row r="21484" spans="23:23">
      <c r="W21484" s="503"/>
    </row>
    <row r="21485" spans="23:23">
      <c r="W21485" s="503"/>
    </row>
    <row r="21486" spans="23:23">
      <c r="W21486" s="503"/>
    </row>
    <row r="21487" spans="23:23">
      <c r="W21487" s="503"/>
    </row>
    <row r="21488" spans="23:23">
      <c r="W21488" s="503"/>
    </row>
    <row r="21489" spans="23:23">
      <c r="W21489" s="503"/>
    </row>
    <row r="21490" spans="23:23">
      <c r="W21490" s="503"/>
    </row>
    <row r="21491" spans="23:23">
      <c r="W21491" s="503"/>
    </row>
    <row r="21492" spans="23:23">
      <c r="W21492" s="503"/>
    </row>
    <row r="21493" spans="23:23">
      <c r="W21493" s="503"/>
    </row>
    <row r="21494" spans="23:23">
      <c r="W21494" s="503"/>
    </row>
    <row r="21495" spans="23:23">
      <c r="W21495" s="503"/>
    </row>
    <row r="21496" spans="23:23">
      <c r="W21496" s="503"/>
    </row>
    <row r="21497" spans="23:23">
      <c r="W21497" s="503"/>
    </row>
    <row r="21498" spans="23:23">
      <c r="W21498" s="503"/>
    </row>
    <row r="21499" spans="23:23">
      <c r="W21499" s="503"/>
    </row>
    <row r="21500" spans="23:23">
      <c r="W21500" s="503"/>
    </row>
    <row r="21501" spans="23:23">
      <c r="W21501" s="503"/>
    </row>
    <row r="21502" spans="23:23">
      <c r="W21502" s="503"/>
    </row>
    <row r="21503" spans="23:23">
      <c r="W21503" s="503"/>
    </row>
    <row r="21504" spans="23:23">
      <c r="W21504" s="503"/>
    </row>
    <row r="21505" spans="23:23">
      <c r="W21505" s="503"/>
    </row>
    <row r="21506" spans="23:23">
      <c r="W21506" s="503"/>
    </row>
    <row r="21507" spans="23:23">
      <c r="W21507" s="503"/>
    </row>
    <row r="21508" spans="23:23">
      <c r="W21508" s="503"/>
    </row>
    <row r="21509" spans="23:23">
      <c r="W21509" s="503"/>
    </row>
    <row r="21510" spans="23:23">
      <c r="W21510" s="503"/>
    </row>
    <row r="21511" spans="23:23">
      <c r="W21511" s="503"/>
    </row>
    <row r="21512" spans="23:23">
      <c r="W21512" s="503"/>
    </row>
    <row r="21513" spans="23:23">
      <c r="W21513" s="503"/>
    </row>
    <row r="21514" spans="23:23">
      <c r="W21514" s="503"/>
    </row>
    <row r="21515" spans="23:23">
      <c r="W21515" s="503"/>
    </row>
    <row r="21516" spans="23:23">
      <c r="W21516" s="503"/>
    </row>
    <row r="21517" spans="23:23">
      <c r="W21517" s="503"/>
    </row>
    <row r="21518" spans="23:23">
      <c r="W21518" s="503"/>
    </row>
    <row r="21519" spans="23:23">
      <c r="W21519" s="503"/>
    </row>
    <row r="21520" spans="23:23">
      <c r="W21520" s="503"/>
    </row>
    <row r="21521" spans="23:23">
      <c r="W21521" s="503"/>
    </row>
    <row r="21522" spans="23:23">
      <c r="W21522" s="503"/>
    </row>
    <row r="21523" spans="23:23">
      <c r="W21523" s="503"/>
    </row>
    <row r="21524" spans="23:23">
      <c r="W21524" s="503"/>
    </row>
    <row r="21525" spans="23:23">
      <c r="W21525" s="503"/>
    </row>
    <row r="21526" spans="23:23">
      <c r="W21526" s="503"/>
    </row>
    <row r="21527" spans="23:23">
      <c r="W21527" s="503"/>
    </row>
    <row r="21528" spans="23:23">
      <c r="W21528" s="503"/>
    </row>
    <row r="21529" spans="23:23">
      <c r="W21529" s="503"/>
    </row>
    <row r="21530" spans="23:23">
      <c r="W21530" s="503"/>
    </row>
    <row r="21531" spans="23:23">
      <c r="W21531" s="503"/>
    </row>
    <row r="21532" spans="23:23">
      <c r="W21532" s="503"/>
    </row>
    <row r="21533" spans="23:23">
      <c r="W21533" s="503"/>
    </row>
    <row r="21534" spans="23:23">
      <c r="W21534" s="503"/>
    </row>
    <row r="21535" spans="23:23">
      <c r="W21535" s="503"/>
    </row>
    <row r="21536" spans="23:23">
      <c r="W21536" s="503"/>
    </row>
    <row r="21537" spans="23:23">
      <c r="W21537" s="503"/>
    </row>
    <row r="21538" spans="23:23">
      <c r="W21538" s="503"/>
    </row>
    <row r="21539" spans="23:23">
      <c r="W21539" s="503"/>
    </row>
    <row r="21540" spans="23:23">
      <c r="W21540" s="503"/>
    </row>
    <row r="21541" spans="23:23">
      <c r="W21541" s="503"/>
    </row>
    <row r="21542" spans="23:23">
      <c r="W21542" s="503"/>
    </row>
    <row r="21543" spans="23:23">
      <c r="W21543" s="503"/>
    </row>
    <row r="21544" spans="23:23">
      <c r="W21544" s="503"/>
    </row>
    <row r="21545" spans="23:23">
      <c r="W21545" s="503"/>
    </row>
    <row r="21546" spans="23:23">
      <c r="W21546" s="503"/>
    </row>
    <row r="21547" spans="23:23">
      <c r="W21547" s="503"/>
    </row>
    <row r="21548" spans="23:23">
      <c r="W21548" s="503"/>
    </row>
    <row r="21549" spans="23:23">
      <c r="W21549" s="503"/>
    </row>
    <row r="21550" spans="23:23">
      <c r="W21550" s="503"/>
    </row>
    <row r="21551" spans="23:23">
      <c r="W21551" s="503"/>
    </row>
    <row r="21552" spans="23:23">
      <c r="W21552" s="503"/>
    </row>
    <row r="21553" spans="23:23">
      <c r="W21553" s="503"/>
    </row>
    <row r="21554" spans="23:23">
      <c r="W21554" s="503"/>
    </row>
    <row r="21555" spans="23:23">
      <c r="W21555" s="503"/>
    </row>
    <row r="21556" spans="23:23">
      <c r="W21556" s="503"/>
    </row>
    <row r="21557" spans="23:23">
      <c r="W21557" s="503"/>
    </row>
    <row r="21558" spans="23:23">
      <c r="W21558" s="503"/>
    </row>
    <row r="21559" spans="23:23">
      <c r="W21559" s="503"/>
    </row>
    <row r="21560" spans="23:23">
      <c r="W21560" s="503"/>
    </row>
    <row r="21561" spans="23:23">
      <c r="W21561" s="503"/>
    </row>
    <row r="21562" spans="23:23">
      <c r="W21562" s="503"/>
    </row>
    <row r="21563" spans="23:23">
      <c r="W21563" s="503"/>
    </row>
    <row r="21564" spans="23:23">
      <c r="W21564" s="503"/>
    </row>
    <row r="21565" spans="23:23">
      <c r="W21565" s="503"/>
    </row>
    <row r="21566" spans="23:23">
      <c r="W21566" s="503"/>
    </row>
    <row r="21567" spans="23:23">
      <c r="W21567" s="503"/>
    </row>
    <row r="21568" spans="23:23">
      <c r="W21568" s="503"/>
    </row>
    <row r="21569" spans="23:23">
      <c r="W21569" s="503"/>
    </row>
    <row r="21570" spans="23:23">
      <c r="W21570" s="503"/>
    </row>
    <row r="21571" spans="23:23">
      <c r="W21571" s="503"/>
    </row>
    <row r="21572" spans="23:23">
      <c r="W21572" s="503"/>
    </row>
    <row r="21573" spans="23:23">
      <c r="W21573" s="503"/>
    </row>
    <row r="21574" spans="23:23">
      <c r="W21574" s="503"/>
    </row>
    <row r="21575" spans="23:23">
      <c r="W21575" s="503"/>
    </row>
    <row r="21576" spans="23:23">
      <c r="W21576" s="503"/>
    </row>
    <row r="21577" spans="23:23">
      <c r="W21577" s="503"/>
    </row>
    <row r="21578" spans="23:23">
      <c r="W21578" s="503"/>
    </row>
    <row r="21579" spans="23:23">
      <c r="W21579" s="503"/>
    </row>
    <row r="21580" spans="23:23">
      <c r="W21580" s="503"/>
    </row>
    <row r="21581" spans="23:23">
      <c r="W21581" s="503"/>
    </row>
    <row r="21582" spans="23:23">
      <c r="W21582" s="503"/>
    </row>
    <row r="21583" spans="23:23">
      <c r="W21583" s="503"/>
    </row>
    <row r="21584" spans="23:23">
      <c r="W21584" s="503"/>
    </row>
    <row r="21585" spans="23:23">
      <c r="W21585" s="503"/>
    </row>
    <row r="21586" spans="23:23">
      <c r="W21586" s="503"/>
    </row>
    <row r="21587" spans="23:23">
      <c r="W21587" s="503"/>
    </row>
    <row r="21588" spans="23:23">
      <c r="W21588" s="503"/>
    </row>
    <row r="21589" spans="23:23">
      <c r="W21589" s="503"/>
    </row>
    <row r="21590" spans="23:23">
      <c r="W21590" s="503"/>
    </row>
    <row r="21591" spans="23:23">
      <c r="W21591" s="503"/>
    </row>
    <row r="21592" spans="23:23">
      <c r="W21592" s="503"/>
    </row>
    <row r="21593" spans="23:23">
      <c r="W21593" s="503"/>
    </row>
    <row r="21594" spans="23:23">
      <c r="W21594" s="503"/>
    </row>
    <row r="21595" spans="23:23">
      <c r="W21595" s="503"/>
    </row>
    <row r="21596" spans="23:23">
      <c r="W21596" s="503"/>
    </row>
    <row r="21597" spans="23:23">
      <c r="W21597" s="503"/>
    </row>
    <row r="21598" spans="23:23">
      <c r="W21598" s="503"/>
    </row>
    <row r="21599" spans="23:23">
      <c r="W21599" s="503"/>
    </row>
    <row r="21600" spans="23:23">
      <c r="W21600" s="503"/>
    </row>
    <row r="21601" spans="23:23">
      <c r="W21601" s="503"/>
    </row>
    <row r="21602" spans="23:23">
      <c r="W21602" s="503"/>
    </row>
    <row r="21603" spans="23:23">
      <c r="W21603" s="503"/>
    </row>
    <row r="21604" spans="23:23">
      <c r="W21604" s="503"/>
    </row>
    <row r="21605" spans="23:23">
      <c r="W21605" s="503"/>
    </row>
    <row r="21606" spans="23:23">
      <c r="W21606" s="503"/>
    </row>
    <row r="21607" spans="23:23">
      <c r="W21607" s="503"/>
    </row>
    <row r="21608" spans="23:23">
      <c r="W21608" s="503"/>
    </row>
    <row r="21609" spans="23:23">
      <c r="W21609" s="503"/>
    </row>
    <row r="21610" spans="23:23">
      <c r="W21610" s="503"/>
    </row>
    <row r="21611" spans="23:23">
      <c r="W21611" s="503"/>
    </row>
    <row r="21612" spans="23:23">
      <c r="W21612" s="503"/>
    </row>
    <row r="21613" spans="23:23">
      <c r="W21613" s="503"/>
    </row>
    <row r="21614" spans="23:23">
      <c r="W21614" s="503"/>
    </row>
    <row r="21615" spans="23:23">
      <c r="W21615" s="503"/>
    </row>
    <row r="21616" spans="23:23">
      <c r="W21616" s="503"/>
    </row>
    <row r="21617" spans="23:23">
      <c r="W21617" s="503"/>
    </row>
    <row r="21618" spans="23:23">
      <c r="W21618" s="503"/>
    </row>
    <row r="21619" spans="23:23">
      <c r="W21619" s="503"/>
    </row>
    <row r="21620" spans="23:23">
      <c r="W21620" s="503"/>
    </row>
    <row r="21621" spans="23:23">
      <c r="W21621" s="503"/>
    </row>
    <row r="21622" spans="23:23">
      <c r="W21622" s="503"/>
    </row>
    <row r="21623" spans="23:23">
      <c r="W21623" s="503"/>
    </row>
    <row r="21624" spans="23:23">
      <c r="W21624" s="503"/>
    </row>
    <row r="21625" spans="23:23">
      <c r="W21625" s="503"/>
    </row>
    <row r="21626" spans="23:23">
      <c r="W21626" s="503"/>
    </row>
    <row r="21627" spans="23:23">
      <c r="W21627" s="503"/>
    </row>
    <row r="21628" spans="23:23">
      <c r="W21628" s="503"/>
    </row>
    <row r="21629" spans="23:23">
      <c r="W21629" s="503"/>
    </row>
    <row r="21630" spans="23:23">
      <c r="W21630" s="503"/>
    </row>
    <row r="21631" spans="23:23">
      <c r="W21631" s="503"/>
    </row>
    <row r="21632" spans="23:23">
      <c r="W21632" s="503"/>
    </row>
    <row r="21633" spans="23:23">
      <c r="W21633" s="503"/>
    </row>
    <row r="21634" spans="23:23">
      <c r="W21634" s="503"/>
    </row>
    <row r="21635" spans="23:23">
      <c r="W21635" s="503"/>
    </row>
    <row r="21636" spans="23:23">
      <c r="W21636" s="503"/>
    </row>
    <row r="21637" spans="23:23">
      <c r="W21637" s="503"/>
    </row>
    <row r="21638" spans="23:23">
      <c r="W21638" s="503"/>
    </row>
    <row r="21639" spans="23:23">
      <c r="W21639" s="503"/>
    </row>
    <row r="21640" spans="23:23">
      <c r="W21640" s="503"/>
    </row>
    <row r="21641" spans="23:23">
      <c r="W21641" s="503"/>
    </row>
    <row r="21642" spans="23:23">
      <c r="W21642" s="503"/>
    </row>
    <row r="21643" spans="23:23">
      <c r="W21643" s="503"/>
    </row>
    <row r="21644" spans="23:23">
      <c r="W21644" s="503"/>
    </row>
    <row r="21645" spans="23:23">
      <c r="W21645" s="503"/>
    </row>
    <row r="21646" spans="23:23">
      <c r="W21646" s="503"/>
    </row>
    <row r="21647" spans="23:23">
      <c r="W21647" s="503"/>
    </row>
    <row r="21648" spans="23:23">
      <c r="W21648" s="503"/>
    </row>
    <row r="21649" spans="23:23">
      <c r="W21649" s="503"/>
    </row>
    <row r="21650" spans="23:23">
      <c r="W21650" s="503"/>
    </row>
    <row r="21651" spans="23:23">
      <c r="W21651" s="503"/>
    </row>
    <row r="21652" spans="23:23">
      <c r="W21652" s="503"/>
    </row>
    <row r="21653" spans="23:23">
      <c r="W21653" s="503"/>
    </row>
    <row r="21654" spans="23:23">
      <c r="W21654" s="503"/>
    </row>
    <row r="21655" spans="23:23">
      <c r="W21655" s="503"/>
    </row>
    <row r="21656" spans="23:23">
      <c r="W21656" s="503"/>
    </row>
    <row r="21657" spans="23:23">
      <c r="W21657" s="503"/>
    </row>
    <row r="21658" spans="23:23">
      <c r="W21658" s="503"/>
    </row>
    <row r="21659" spans="23:23">
      <c r="W21659" s="503"/>
    </row>
    <row r="21660" spans="23:23">
      <c r="W21660" s="503"/>
    </row>
    <row r="21661" spans="23:23">
      <c r="W21661" s="503"/>
    </row>
    <row r="21662" spans="23:23">
      <c r="W21662" s="503"/>
    </row>
    <row r="21663" spans="23:23">
      <c r="W21663" s="503"/>
    </row>
    <row r="21664" spans="23:23">
      <c r="W21664" s="503"/>
    </row>
    <row r="21665" spans="23:23">
      <c r="W21665" s="503"/>
    </row>
    <row r="21666" spans="23:23">
      <c r="W21666" s="503"/>
    </row>
    <row r="21667" spans="23:23">
      <c r="W21667" s="503"/>
    </row>
    <row r="21668" spans="23:23">
      <c r="W21668" s="503"/>
    </row>
    <row r="21669" spans="23:23">
      <c r="W21669" s="503"/>
    </row>
    <row r="21670" spans="23:23">
      <c r="W21670" s="503"/>
    </row>
    <row r="21671" spans="23:23">
      <c r="W21671" s="503"/>
    </row>
    <row r="21672" spans="23:23">
      <c r="W21672" s="503"/>
    </row>
    <row r="21673" spans="23:23">
      <c r="W21673" s="503"/>
    </row>
    <row r="21674" spans="23:23">
      <c r="W21674" s="503"/>
    </row>
    <row r="21675" spans="23:23">
      <c r="W21675" s="503"/>
    </row>
    <row r="21676" spans="23:23">
      <c r="W21676" s="503"/>
    </row>
    <row r="21677" spans="23:23">
      <c r="W21677" s="503"/>
    </row>
    <row r="21678" spans="23:23">
      <c r="W21678" s="503"/>
    </row>
    <row r="21679" spans="23:23">
      <c r="W21679" s="503"/>
    </row>
    <row r="21680" spans="23:23">
      <c r="W21680" s="503"/>
    </row>
    <row r="21681" spans="23:23">
      <c r="W21681" s="503"/>
    </row>
    <row r="21682" spans="23:23">
      <c r="W21682" s="503"/>
    </row>
    <row r="21683" spans="23:23">
      <c r="W21683" s="503"/>
    </row>
    <row r="21684" spans="23:23">
      <c r="W21684" s="503"/>
    </row>
    <row r="21685" spans="23:23">
      <c r="W21685" s="503"/>
    </row>
    <row r="21686" spans="23:23">
      <c r="W21686" s="503"/>
    </row>
    <row r="21687" spans="23:23">
      <c r="W21687" s="503"/>
    </row>
    <row r="21688" spans="23:23">
      <c r="W21688" s="503"/>
    </row>
    <row r="21689" spans="23:23">
      <c r="W21689" s="503"/>
    </row>
    <row r="21690" spans="23:23">
      <c r="W21690" s="503"/>
    </row>
    <row r="21691" spans="23:23">
      <c r="W21691" s="503"/>
    </row>
    <row r="21692" spans="23:23">
      <c r="W21692" s="503"/>
    </row>
    <row r="21693" spans="23:23">
      <c r="W21693" s="503"/>
    </row>
    <row r="21694" spans="23:23">
      <c r="W21694" s="503"/>
    </row>
    <row r="21695" spans="23:23">
      <c r="W21695" s="503"/>
    </row>
    <row r="21696" spans="23:23">
      <c r="W21696" s="503"/>
    </row>
    <row r="21697" spans="23:23">
      <c r="W21697" s="503"/>
    </row>
    <row r="21698" spans="23:23">
      <c r="W21698" s="503"/>
    </row>
    <row r="21699" spans="23:23">
      <c r="W21699" s="503"/>
    </row>
    <row r="21700" spans="23:23">
      <c r="W21700" s="503"/>
    </row>
    <row r="21701" spans="23:23">
      <c r="W21701" s="503"/>
    </row>
    <row r="21702" spans="23:23">
      <c r="W21702" s="503"/>
    </row>
    <row r="21703" spans="23:23">
      <c r="W21703" s="503"/>
    </row>
    <row r="21704" spans="23:23">
      <c r="W21704" s="503"/>
    </row>
    <row r="21705" spans="23:23">
      <c r="W21705" s="503"/>
    </row>
    <row r="21706" spans="23:23">
      <c r="W21706" s="503"/>
    </row>
    <row r="21707" spans="23:23">
      <c r="W21707" s="503"/>
    </row>
    <row r="21708" spans="23:23">
      <c r="W21708" s="503"/>
    </row>
    <row r="21709" spans="23:23">
      <c r="W21709" s="503"/>
    </row>
    <row r="21710" spans="23:23">
      <c r="W21710" s="503"/>
    </row>
    <row r="21711" spans="23:23">
      <c r="W21711" s="503"/>
    </row>
    <row r="21712" spans="23:23">
      <c r="W21712" s="503"/>
    </row>
    <row r="21713" spans="23:23">
      <c r="W21713" s="503"/>
    </row>
    <row r="21714" spans="23:23">
      <c r="W21714" s="503"/>
    </row>
    <row r="21715" spans="23:23">
      <c r="W21715" s="503"/>
    </row>
    <row r="21716" spans="23:23">
      <c r="W21716" s="503"/>
    </row>
    <row r="21717" spans="23:23">
      <c r="W21717" s="503"/>
    </row>
    <row r="21718" spans="23:23">
      <c r="W21718" s="503"/>
    </row>
    <row r="21719" spans="23:23">
      <c r="W21719" s="503"/>
    </row>
    <row r="21720" spans="23:23">
      <c r="W21720" s="503"/>
    </row>
    <row r="21721" spans="23:23">
      <c r="W21721" s="503"/>
    </row>
    <row r="21722" spans="23:23">
      <c r="W21722" s="503"/>
    </row>
    <row r="21723" spans="23:23">
      <c r="W21723" s="503"/>
    </row>
    <row r="21724" spans="23:23">
      <c r="W21724" s="503"/>
    </row>
    <row r="21725" spans="23:23">
      <c r="W21725" s="503"/>
    </row>
    <row r="21726" spans="23:23">
      <c r="W21726" s="503"/>
    </row>
    <row r="21727" spans="23:23">
      <c r="W21727" s="503"/>
    </row>
    <row r="21728" spans="23:23">
      <c r="W21728" s="503"/>
    </row>
    <row r="21729" spans="23:23">
      <c r="W21729" s="503"/>
    </row>
    <row r="21730" spans="23:23">
      <c r="W21730" s="503"/>
    </row>
    <row r="21731" spans="23:23">
      <c r="W21731" s="503"/>
    </row>
    <row r="21732" spans="23:23">
      <c r="W21732" s="503"/>
    </row>
    <row r="21733" spans="23:23">
      <c r="W21733" s="503"/>
    </row>
    <row r="21734" spans="23:23">
      <c r="W21734" s="503"/>
    </row>
    <row r="21735" spans="23:23">
      <c r="W21735" s="503"/>
    </row>
    <row r="21736" spans="23:23">
      <c r="W21736" s="503"/>
    </row>
    <row r="21737" spans="23:23">
      <c r="W21737" s="503"/>
    </row>
    <row r="21738" spans="23:23">
      <c r="W21738" s="503"/>
    </row>
    <row r="21739" spans="23:23">
      <c r="W21739" s="503"/>
    </row>
    <row r="21740" spans="23:23">
      <c r="W21740" s="503"/>
    </row>
    <row r="21741" spans="23:23">
      <c r="W21741" s="503"/>
    </row>
    <row r="21742" spans="23:23">
      <c r="W21742" s="503"/>
    </row>
    <row r="21743" spans="23:23">
      <c r="W21743" s="503"/>
    </row>
    <row r="21744" spans="23:23">
      <c r="W21744" s="503"/>
    </row>
    <row r="21745" spans="23:23">
      <c r="W21745" s="503"/>
    </row>
    <row r="21746" spans="23:23">
      <c r="W21746" s="503"/>
    </row>
    <row r="21747" spans="23:23">
      <c r="W21747" s="503"/>
    </row>
    <row r="21748" spans="23:23">
      <c r="W21748" s="503"/>
    </row>
    <row r="21749" spans="23:23">
      <c r="W21749" s="503"/>
    </row>
    <row r="21750" spans="23:23">
      <c r="W21750" s="503"/>
    </row>
    <row r="21751" spans="23:23">
      <c r="W21751" s="503"/>
    </row>
    <row r="21752" spans="23:23">
      <c r="W21752" s="503"/>
    </row>
    <row r="21753" spans="23:23">
      <c r="W21753" s="503"/>
    </row>
    <row r="21754" spans="23:23">
      <c r="W21754" s="503"/>
    </row>
    <row r="21755" spans="23:23">
      <c r="W21755" s="503"/>
    </row>
    <row r="21756" spans="23:23">
      <c r="W21756" s="503"/>
    </row>
    <row r="21757" spans="23:23">
      <c r="W21757" s="503"/>
    </row>
    <row r="21758" spans="23:23">
      <c r="W21758" s="503"/>
    </row>
    <row r="21759" spans="23:23">
      <c r="W21759" s="503"/>
    </row>
    <row r="21760" spans="23:23">
      <c r="W21760" s="503"/>
    </row>
    <row r="21761" spans="23:23">
      <c r="W21761" s="503"/>
    </row>
    <row r="21762" spans="23:23">
      <c r="W21762" s="503"/>
    </row>
    <row r="21763" spans="23:23">
      <c r="W21763" s="503"/>
    </row>
    <row r="21764" spans="23:23">
      <c r="W21764" s="503"/>
    </row>
    <row r="21765" spans="23:23">
      <c r="W21765" s="503"/>
    </row>
    <row r="21766" spans="23:23">
      <c r="W21766" s="503"/>
    </row>
    <row r="21767" spans="23:23">
      <c r="W21767" s="503"/>
    </row>
    <row r="21768" spans="23:23">
      <c r="W21768" s="503"/>
    </row>
    <row r="21769" spans="23:23">
      <c r="W21769" s="503"/>
    </row>
    <row r="21770" spans="23:23">
      <c r="W21770" s="503"/>
    </row>
    <row r="21771" spans="23:23">
      <c r="W21771" s="503"/>
    </row>
    <row r="21772" spans="23:23">
      <c r="W21772" s="503"/>
    </row>
    <row r="21773" spans="23:23">
      <c r="W21773" s="503"/>
    </row>
    <row r="21774" spans="23:23">
      <c r="W21774" s="503"/>
    </row>
    <row r="21775" spans="23:23">
      <c r="W21775" s="503"/>
    </row>
    <row r="21776" spans="23:23">
      <c r="W21776" s="503"/>
    </row>
    <row r="21777" spans="23:23">
      <c r="W21777" s="503"/>
    </row>
    <row r="21778" spans="23:23">
      <c r="W21778" s="503"/>
    </row>
    <row r="21779" spans="23:23">
      <c r="W21779" s="503"/>
    </row>
    <row r="21780" spans="23:23">
      <c r="W21780" s="503"/>
    </row>
    <row r="21781" spans="23:23">
      <c r="W21781" s="503"/>
    </row>
    <row r="21782" spans="23:23">
      <c r="W21782" s="503"/>
    </row>
    <row r="21783" spans="23:23">
      <c r="W21783" s="503"/>
    </row>
    <row r="21784" spans="23:23">
      <c r="W21784" s="503"/>
    </row>
    <row r="21785" spans="23:23">
      <c r="W21785" s="503"/>
    </row>
    <row r="21786" spans="23:23">
      <c r="W21786" s="503"/>
    </row>
    <row r="21787" spans="23:23">
      <c r="W21787" s="503"/>
    </row>
    <row r="21788" spans="23:23">
      <c r="W21788" s="503"/>
    </row>
    <row r="21789" spans="23:23">
      <c r="W21789" s="503"/>
    </row>
    <row r="21790" spans="23:23">
      <c r="W21790" s="503"/>
    </row>
    <row r="21791" spans="23:23">
      <c r="W21791" s="503"/>
    </row>
    <row r="21792" spans="23:23">
      <c r="W21792" s="503"/>
    </row>
    <row r="21793" spans="23:23">
      <c r="W21793" s="503"/>
    </row>
    <row r="21794" spans="23:23">
      <c r="W21794" s="503"/>
    </row>
    <row r="21795" spans="23:23">
      <c r="W21795" s="503"/>
    </row>
    <row r="21796" spans="23:23">
      <c r="W21796" s="503"/>
    </row>
    <row r="21797" spans="23:23">
      <c r="W21797" s="503"/>
    </row>
    <row r="21798" spans="23:23">
      <c r="W21798" s="503"/>
    </row>
    <row r="21799" spans="23:23">
      <c r="W21799" s="503"/>
    </row>
    <row r="21800" spans="23:23">
      <c r="W21800" s="503"/>
    </row>
    <row r="21801" spans="23:23">
      <c r="W21801" s="503"/>
    </row>
    <row r="21802" spans="23:23">
      <c r="W21802" s="503"/>
    </row>
    <row r="21803" spans="23:23">
      <c r="W21803" s="503"/>
    </row>
    <row r="21804" spans="23:23">
      <c r="W21804" s="503"/>
    </row>
    <row r="21805" spans="23:23">
      <c r="W21805" s="503"/>
    </row>
    <row r="21806" spans="23:23">
      <c r="W21806" s="503"/>
    </row>
    <row r="21807" spans="23:23">
      <c r="W21807" s="503"/>
    </row>
    <row r="21808" spans="23:23">
      <c r="W21808" s="503"/>
    </row>
    <row r="21809" spans="23:23">
      <c r="W21809" s="503"/>
    </row>
    <row r="21810" spans="23:23">
      <c r="W21810" s="503"/>
    </row>
    <row r="21811" spans="23:23">
      <c r="W21811" s="503"/>
    </row>
    <row r="21812" spans="23:23">
      <c r="W21812" s="503"/>
    </row>
    <row r="21813" spans="23:23">
      <c r="W21813" s="503"/>
    </row>
    <row r="21814" spans="23:23">
      <c r="W21814" s="503"/>
    </row>
    <row r="21815" spans="23:23">
      <c r="W21815" s="503"/>
    </row>
    <row r="21816" spans="23:23">
      <c r="W21816" s="503"/>
    </row>
    <row r="21817" spans="23:23">
      <c r="W21817" s="503"/>
    </row>
    <row r="21818" spans="23:23">
      <c r="W21818" s="503"/>
    </row>
    <row r="21819" spans="23:23">
      <c r="W21819" s="503"/>
    </row>
    <row r="21820" spans="23:23">
      <c r="W21820" s="503"/>
    </row>
    <row r="21821" spans="23:23">
      <c r="W21821" s="503"/>
    </row>
    <row r="21822" spans="23:23">
      <c r="W21822" s="503"/>
    </row>
    <row r="21823" spans="23:23">
      <c r="W21823" s="503"/>
    </row>
    <row r="21824" spans="23:23">
      <c r="W21824" s="503"/>
    </row>
    <row r="21825" spans="23:23">
      <c r="W21825" s="503"/>
    </row>
    <row r="21826" spans="23:23">
      <c r="W21826" s="503"/>
    </row>
    <row r="21827" spans="23:23">
      <c r="W21827" s="503"/>
    </row>
    <row r="21828" spans="23:23">
      <c r="W21828" s="503"/>
    </row>
    <row r="21829" spans="23:23">
      <c r="W21829" s="503"/>
    </row>
    <row r="21830" spans="23:23">
      <c r="W21830" s="503"/>
    </row>
    <row r="21831" spans="23:23">
      <c r="W21831" s="503"/>
    </row>
    <row r="21832" spans="23:23">
      <c r="W21832" s="503"/>
    </row>
    <row r="21833" spans="23:23">
      <c r="W21833" s="503"/>
    </row>
    <row r="21834" spans="23:23">
      <c r="W21834" s="503"/>
    </row>
    <row r="21835" spans="23:23">
      <c r="W21835" s="503"/>
    </row>
    <row r="21836" spans="23:23">
      <c r="W21836" s="503"/>
    </row>
    <row r="21837" spans="23:23">
      <c r="W21837" s="503"/>
    </row>
    <row r="21838" spans="23:23">
      <c r="W21838" s="503"/>
    </row>
    <row r="21839" spans="23:23">
      <c r="W21839" s="503"/>
    </row>
    <row r="21840" spans="23:23">
      <c r="W21840" s="503"/>
    </row>
    <row r="21841" spans="23:23">
      <c r="W21841" s="503"/>
    </row>
    <row r="21842" spans="23:23">
      <c r="W21842" s="503"/>
    </row>
    <row r="21843" spans="23:23">
      <c r="W21843" s="503"/>
    </row>
    <row r="21844" spans="23:23">
      <c r="W21844" s="503"/>
    </row>
    <row r="21845" spans="23:23">
      <c r="W21845" s="503"/>
    </row>
    <row r="21846" spans="23:23">
      <c r="W21846" s="503"/>
    </row>
    <row r="21847" spans="23:23">
      <c r="W21847" s="503"/>
    </row>
    <row r="21848" spans="23:23">
      <c r="W21848" s="503"/>
    </row>
    <row r="21849" spans="23:23">
      <c r="W21849" s="503"/>
    </row>
    <row r="21850" spans="23:23">
      <c r="W21850" s="503"/>
    </row>
    <row r="21851" spans="23:23">
      <c r="W21851" s="503"/>
    </row>
    <row r="21852" spans="23:23">
      <c r="W21852" s="503"/>
    </row>
    <row r="21853" spans="23:23">
      <c r="W21853" s="503"/>
    </row>
    <row r="21854" spans="23:23">
      <c r="W21854" s="503"/>
    </row>
    <row r="21855" spans="23:23">
      <c r="W21855" s="503"/>
    </row>
    <row r="21856" spans="23:23">
      <c r="W21856" s="503"/>
    </row>
    <row r="21857" spans="23:23">
      <c r="W21857" s="503"/>
    </row>
    <row r="21858" spans="23:23">
      <c r="W21858" s="503"/>
    </row>
    <row r="21859" spans="23:23">
      <c r="W21859" s="503"/>
    </row>
    <row r="21860" spans="23:23">
      <c r="W21860" s="503"/>
    </row>
    <row r="21861" spans="23:23">
      <c r="W21861" s="503"/>
    </row>
    <row r="21862" spans="23:23">
      <c r="W21862" s="503"/>
    </row>
    <row r="21863" spans="23:23">
      <c r="W21863" s="503"/>
    </row>
    <row r="21864" spans="23:23">
      <c r="W21864" s="503"/>
    </row>
    <row r="21865" spans="23:23">
      <c r="W21865" s="503"/>
    </row>
    <row r="21866" spans="23:23">
      <c r="W21866" s="503"/>
    </row>
    <row r="21867" spans="23:23">
      <c r="W21867" s="503"/>
    </row>
    <row r="21868" spans="23:23">
      <c r="W21868" s="503"/>
    </row>
    <row r="21869" spans="23:23">
      <c r="W21869" s="503"/>
    </row>
    <row r="21870" spans="23:23">
      <c r="W21870" s="503"/>
    </row>
    <row r="21871" spans="23:23">
      <c r="W21871" s="503"/>
    </row>
    <row r="21872" spans="23:23">
      <c r="W21872" s="503"/>
    </row>
    <row r="21873" spans="23:23">
      <c r="W21873" s="503"/>
    </row>
    <row r="21874" spans="23:23">
      <c r="W21874" s="503"/>
    </row>
    <row r="21875" spans="23:23">
      <c r="W21875" s="503"/>
    </row>
    <row r="21876" spans="23:23">
      <c r="W21876" s="503"/>
    </row>
    <row r="21877" spans="23:23">
      <c r="W21877" s="503"/>
    </row>
    <row r="21878" spans="23:23">
      <c r="W21878" s="503"/>
    </row>
    <row r="21879" spans="23:23">
      <c r="W21879" s="503"/>
    </row>
    <row r="21880" spans="23:23">
      <c r="W21880" s="503"/>
    </row>
    <row r="21881" spans="23:23">
      <c r="W21881" s="503"/>
    </row>
    <row r="21882" spans="23:23">
      <c r="W21882" s="503"/>
    </row>
    <row r="21883" spans="23:23">
      <c r="W21883" s="503"/>
    </row>
    <row r="21884" spans="23:23">
      <c r="W21884" s="503"/>
    </row>
    <row r="21885" spans="23:23">
      <c r="W21885" s="503"/>
    </row>
    <row r="21886" spans="23:23">
      <c r="W21886" s="503"/>
    </row>
    <row r="21887" spans="23:23">
      <c r="W21887" s="503"/>
    </row>
    <row r="21888" spans="23:23">
      <c r="W21888" s="503"/>
    </row>
    <row r="21889" spans="23:23">
      <c r="W21889" s="503"/>
    </row>
    <row r="21890" spans="23:23">
      <c r="W21890" s="503"/>
    </row>
    <row r="21891" spans="23:23">
      <c r="W21891" s="503"/>
    </row>
    <row r="21892" spans="23:23">
      <c r="W21892" s="503"/>
    </row>
    <row r="21893" spans="23:23">
      <c r="W21893" s="503"/>
    </row>
    <row r="21894" spans="23:23">
      <c r="W21894" s="503"/>
    </row>
    <row r="21895" spans="23:23">
      <c r="W21895" s="503"/>
    </row>
    <row r="21896" spans="23:23">
      <c r="W21896" s="503"/>
    </row>
    <row r="21897" spans="23:23">
      <c r="W21897" s="503"/>
    </row>
    <row r="21898" spans="23:23">
      <c r="W21898" s="503"/>
    </row>
    <row r="21899" spans="23:23">
      <c r="W21899" s="503"/>
    </row>
    <row r="21900" spans="23:23">
      <c r="W21900" s="503"/>
    </row>
    <row r="21901" spans="23:23">
      <c r="W21901" s="503"/>
    </row>
    <row r="21902" spans="23:23">
      <c r="W21902" s="503"/>
    </row>
    <row r="21903" spans="23:23">
      <c r="W21903" s="503"/>
    </row>
    <row r="21904" spans="23:23">
      <c r="W21904" s="503"/>
    </row>
    <row r="21905" spans="23:23">
      <c r="W21905" s="503"/>
    </row>
    <row r="21906" spans="23:23">
      <c r="W21906" s="503"/>
    </row>
    <row r="21907" spans="23:23">
      <c r="W21907" s="503"/>
    </row>
    <row r="21908" spans="23:23">
      <c r="W21908" s="503"/>
    </row>
    <row r="21909" spans="23:23">
      <c r="W21909" s="503"/>
    </row>
    <row r="21910" spans="23:23">
      <c r="W21910" s="503"/>
    </row>
    <row r="21911" spans="23:23">
      <c r="W21911" s="503"/>
    </row>
    <row r="21912" spans="23:23">
      <c r="W21912" s="503"/>
    </row>
    <row r="21913" spans="23:23">
      <c r="W21913" s="503"/>
    </row>
    <row r="21914" spans="23:23">
      <c r="W21914" s="503"/>
    </row>
    <row r="21915" spans="23:23">
      <c r="W21915" s="503"/>
    </row>
    <row r="21916" spans="23:23">
      <c r="W21916" s="503"/>
    </row>
    <row r="21917" spans="23:23">
      <c r="W21917" s="503"/>
    </row>
    <row r="21918" spans="23:23">
      <c r="W21918" s="503"/>
    </row>
    <row r="21919" spans="23:23">
      <c r="W21919" s="503"/>
    </row>
    <row r="21920" spans="23:23">
      <c r="W21920" s="503"/>
    </row>
    <row r="21921" spans="23:23">
      <c r="W21921" s="503"/>
    </row>
    <row r="21922" spans="23:23">
      <c r="W21922" s="503"/>
    </row>
    <row r="21923" spans="23:23">
      <c r="W21923" s="503"/>
    </row>
    <row r="21924" spans="23:23">
      <c r="W21924" s="503"/>
    </row>
    <row r="21925" spans="23:23">
      <c r="W21925" s="503"/>
    </row>
    <row r="21926" spans="23:23">
      <c r="W21926" s="503"/>
    </row>
    <row r="21927" spans="23:23">
      <c r="W21927" s="503"/>
    </row>
    <row r="21928" spans="23:23">
      <c r="W21928" s="503"/>
    </row>
    <row r="21929" spans="23:23">
      <c r="W21929" s="503"/>
    </row>
    <row r="21930" spans="23:23">
      <c r="W21930" s="503"/>
    </row>
    <row r="21931" spans="23:23">
      <c r="W21931" s="503"/>
    </row>
    <row r="21932" spans="23:23">
      <c r="W21932" s="503"/>
    </row>
    <row r="21933" spans="23:23">
      <c r="W21933" s="503"/>
    </row>
    <row r="21934" spans="23:23">
      <c r="W21934" s="503"/>
    </row>
    <row r="21935" spans="23:23">
      <c r="W21935" s="503"/>
    </row>
    <row r="21936" spans="23:23">
      <c r="W21936" s="503"/>
    </row>
    <row r="21937" spans="23:23">
      <c r="W21937" s="503"/>
    </row>
    <row r="21938" spans="23:23">
      <c r="W21938" s="503"/>
    </row>
    <row r="21939" spans="23:23">
      <c r="W21939" s="503"/>
    </row>
    <row r="21940" spans="23:23">
      <c r="W21940" s="503"/>
    </row>
    <row r="21941" spans="23:23">
      <c r="W21941" s="503"/>
    </row>
    <row r="21942" spans="23:23">
      <c r="W21942" s="503"/>
    </row>
    <row r="21943" spans="23:23">
      <c r="W21943" s="503"/>
    </row>
    <row r="21944" spans="23:23">
      <c r="W21944" s="503"/>
    </row>
    <row r="21945" spans="23:23">
      <c r="W21945" s="503"/>
    </row>
    <row r="21946" spans="23:23">
      <c r="W21946" s="503"/>
    </row>
    <row r="21947" spans="23:23">
      <c r="W21947" s="503"/>
    </row>
    <row r="21948" spans="23:23">
      <c r="W21948" s="503"/>
    </row>
    <row r="21949" spans="23:23">
      <c r="W21949" s="503"/>
    </row>
    <row r="21950" spans="23:23">
      <c r="W21950" s="503"/>
    </row>
    <row r="21951" spans="23:23">
      <c r="W21951" s="503"/>
    </row>
    <row r="21952" spans="23:23">
      <c r="W21952" s="503"/>
    </row>
    <row r="21953" spans="23:23">
      <c r="W21953" s="503"/>
    </row>
    <row r="21954" spans="23:23">
      <c r="W21954" s="503"/>
    </row>
    <row r="21955" spans="23:23">
      <c r="W21955" s="503"/>
    </row>
    <row r="21956" spans="23:23">
      <c r="W21956" s="503"/>
    </row>
    <row r="21957" spans="23:23">
      <c r="W21957" s="503"/>
    </row>
    <row r="21958" spans="23:23">
      <c r="W21958" s="503"/>
    </row>
    <row r="21959" spans="23:23">
      <c r="W21959" s="503"/>
    </row>
    <row r="21960" spans="23:23">
      <c r="W21960" s="503"/>
    </row>
    <row r="21961" spans="23:23">
      <c r="W21961" s="503"/>
    </row>
    <row r="21962" spans="23:23">
      <c r="W21962" s="503"/>
    </row>
    <row r="21963" spans="23:23">
      <c r="W21963" s="503"/>
    </row>
    <row r="21964" spans="23:23">
      <c r="W21964" s="503"/>
    </row>
    <row r="21965" spans="23:23">
      <c r="W21965" s="503"/>
    </row>
    <row r="21966" spans="23:23">
      <c r="W21966" s="503"/>
    </row>
    <row r="21967" spans="23:23">
      <c r="W21967" s="503"/>
    </row>
    <row r="21968" spans="23:23">
      <c r="W21968" s="503"/>
    </row>
    <row r="21969" spans="23:23">
      <c r="W21969" s="503"/>
    </row>
    <row r="21970" spans="23:23">
      <c r="W21970" s="503"/>
    </row>
    <row r="21971" spans="23:23">
      <c r="W21971" s="503"/>
    </row>
    <row r="21972" spans="23:23">
      <c r="W21972" s="503"/>
    </row>
    <row r="21973" spans="23:23">
      <c r="W21973" s="503"/>
    </row>
    <row r="21974" spans="23:23">
      <c r="W21974" s="503"/>
    </row>
    <row r="21975" spans="23:23">
      <c r="W21975" s="503"/>
    </row>
    <row r="21976" spans="23:23">
      <c r="W21976" s="503"/>
    </row>
    <row r="21977" spans="23:23">
      <c r="W21977" s="503"/>
    </row>
    <row r="21978" spans="23:23">
      <c r="W21978" s="503"/>
    </row>
    <row r="21979" spans="23:23">
      <c r="W21979" s="503"/>
    </row>
    <row r="21980" spans="23:23">
      <c r="W21980" s="503"/>
    </row>
    <row r="21981" spans="23:23">
      <c r="W21981" s="503"/>
    </row>
    <row r="21982" spans="23:23">
      <c r="W21982" s="503"/>
    </row>
    <row r="21983" spans="23:23">
      <c r="W21983" s="503"/>
    </row>
    <row r="21984" spans="23:23">
      <c r="W21984" s="503"/>
    </row>
    <row r="21985" spans="23:23">
      <c r="W21985" s="503"/>
    </row>
    <row r="21986" spans="23:23">
      <c r="W21986" s="503"/>
    </row>
    <row r="21987" spans="23:23">
      <c r="W21987" s="503"/>
    </row>
    <row r="21988" spans="23:23">
      <c r="W21988" s="503"/>
    </row>
    <row r="21989" spans="23:23">
      <c r="W21989" s="503"/>
    </row>
    <row r="21990" spans="23:23">
      <c r="W21990" s="503"/>
    </row>
    <row r="21991" spans="23:23">
      <c r="W21991" s="503"/>
    </row>
    <row r="21992" spans="23:23">
      <c r="W21992" s="503"/>
    </row>
    <row r="21993" spans="23:23">
      <c r="W21993" s="503"/>
    </row>
    <row r="21994" spans="23:23">
      <c r="W21994" s="503"/>
    </row>
    <row r="21995" spans="23:23">
      <c r="W21995" s="503"/>
    </row>
    <row r="21996" spans="23:23">
      <c r="W21996" s="503"/>
    </row>
    <row r="21997" spans="23:23">
      <c r="W21997" s="503"/>
    </row>
    <row r="21998" spans="23:23">
      <c r="W21998" s="503"/>
    </row>
    <row r="21999" spans="23:23">
      <c r="W21999" s="503"/>
    </row>
    <row r="22000" spans="23:23">
      <c r="W22000" s="503"/>
    </row>
    <row r="22001" spans="23:23">
      <c r="W22001" s="503"/>
    </row>
    <row r="22002" spans="23:23">
      <c r="W22002" s="503"/>
    </row>
    <row r="22003" spans="23:23">
      <c r="W22003" s="503"/>
    </row>
    <row r="22004" spans="23:23">
      <c r="W22004" s="503"/>
    </row>
    <row r="22005" spans="23:23">
      <c r="W22005" s="503"/>
    </row>
    <row r="22006" spans="23:23">
      <c r="W22006" s="503"/>
    </row>
    <row r="22007" spans="23:23">
      <c r="W22007" s="503"/>
    </row>
    <row r="22008" spans="23:23">
      <c r="W22008" s="503"/>
    </row>
    <row r="22009" spans="23:23">
      <c r="W22009" s="503"/>
    </row>
    <row r="22010" spans="23:23">
      <c r="W22010" s="503"/>
    </row>
    <row r="22011" spans="23:23">
      <c r="W22011" s="503"/>
    </row>
    <row r="22012" spans="23:23">
      <c r="W22012" s="503"/>
    </row>
    <row r="22013" spans="23:23">
      <c r="W22013" s="503"/>
    </row>
    <row r="22014" spans="23:23">
      <c r="W22014" s="503"/>
    </row>
    <row r="22015" spans="23:23">
      <c r="W22015" s="503"/>
    </row>
    <row r="22016" spans="23:23">
      <c r="W22016" s="503"/>
    </row>
    <row r="22017" spans="23:23">
      <c r="W22017" s="503"/>
    </row>
    <row r="22018" spans="23:23">
      <c r="W22018" s="503"/>
    </row>
    <row r="22019" spans="23:23">
      <c r="W22019" s="503"/>
    </row>
    <row r="22020" spans="23:23">
      <c r="W22020" s="503"/>
    </row>
    <row r="22021" spans="23:23">
      <c r="W22021" s="503"/>
    </row>
    <row r="22022" spans="23:23">
      <c r="W22022" s="503"/>
    </row>
    <row r="22023" spans="23:23">
      <c r="W22023" s="503"/>
    </row>
    <row r="22024" spans="23:23">
      <c r="W22024" s="503"/>
    </row>
    <row r="22025" spans="23:23">
      <c r="W22025" s="503"/>
    </row>
    <row r="22026" spans="23:23">
      <c r="W22026" s="503"/>
    </row>
    <row r="22027" spans="23:23">
      <c r="W22027" s="503"/>
    </row>
    <row r="22028" spans="23:23">
      <c r="W22028" s="503"/>
    </row>
    <row r="22029" spans="23:23">
      <c r="W22029" s="503"/>
    </row>
    <row r="22030" spans="23:23">
      <c r="W22030" s="503"/>
    </row>
    <row r="22031" spans="23:23">
      <c r="W22031" s="503"/>
    </row>
    <row r="22032" spans="23:23">
      <c r="W22032" s="503"/>
    </row>
    <row r="22033" spans="23:23">
      <c r="W22033" s="503"/>
    </row>
    <row r="22034" spans="23:23">
      <c r="W22034" s="503"/>
    </row>
    <row r="22035" spans="23:23">
      <c r="W22035" s="503"/>
    </row>
    <row r="22036" spans="23:23">
      <c r="W22036" s="503"/>
    </row>
    <row r="22037" spans="23:23">
      <c r="W22037" s="503"/>
    </row>
    <row r="22038" spans="23:23">
      <c r="W22038" s="503"/>
    </row>
    <row r="22039" spans="23:23">
      <c r="W22039" s="503"/>
    </row>
    <row r="22040" spans="23:23">
      <c r="W22040" s="503"/>
    </row>
    <row r="22041" spans="23:23">
      <c r="W22041" s="503"/>
    </row>
    <row r="22042" spans="23:23">
      <c r="W22042" s="503"/>
    </row>
    <row r="22043" spans="23:23">
      <c r="W22043" s="503"/>
    </row>
    <row r="22044" spans="23:23">
      <c r="W22044" s="503"/>
    </row>
    <row r="22045" spans="23:23">
      <c r="W22045" s="503"/>
    </row>
    <row r="22046" spans="23:23">
      <c r="W22046" s="503"/>
    </row>
    <row r="22047" spans="23:23">
      <c r="W22047" s="503"/>
    </row>
    <row r="22048" spans="23:23">
      <c r="W22048" s="503"/>
    </row>
    <row r="22049" spans="23:23">
      <c r="W22049" s="503"/>
    </row>
    <row r="22050" spans="23:23">
      <c r="W22050" s="503"/>
    </row>
    <row r="22051" spans="23:23">
      <c r="W22051" s="503"/>
    </row>
    <row r="22052" spans="23:23">
      <c r="W22052" s="503"/>
    </row>
    <row r="22053" spans="23:23">
      <c r="W22053" s="503"/>
    </row>
    <row r="22054" spans="23:23">
      <c r="W22054" s="503"/>
    </row>
    <row r="22055" spans="23:23">
      <c r="W22055" s="503"/>
    </row>
    <row r="22056" spans="23:23">
      <c r="W22056" s="503"/>
    </row>
    <row r="22057" spans="23:23">
      <c r="W22057" s="503"/>
    </row>
    <row r="22058" spans="23:23">
      <c r="W22058" s="503"/>
    </row>
    <row r="22059" spans="23:23">
      <c r="W22059" s="503"/>
    </row>
    <row r="22060" spans="23:23">
      <c r="W22060" s="503"/>
    </row>
    <row r="22061" spans="23:23">
      <c r="W22061" s="503"/>
    </row>
    <row r="22062" spans="23:23">
      <c r="W22062" s="503"/>
    </row>
    <row r="22063" spans="23:23">
      <c r="W22063" s="503"/>
    </row>
    <row r="22064" spans="23:23">
      <c r="W22064" s="503"/>
    </row>
    <row r="22065" spans="23:23">
      <c r="W22065" s="503"/>
    </row>
    <row r="22066" spans="23:23">
      <c r="W22066" s="503"/>
    </row>
    <row r="22067" spans="23:23">
      <c r="W22067" s="503"/>
    </row>
    <row r="22068" spans="23:23">
      <c r="W22068" s="503"/>
    </row>
    <row r="22069" spans="23:23">
      <c r="W22069" s="503"/>
    </row>
    <row r="22070" spans="23:23">
      <c r="W22070" s="503"/>
    </row>
    <row r="22071" spans="23:23">
      <c r="W22071" s="503"/>
    </row>
    <row r="22072" spans="23:23">
      <c r="W22072" s="503"/>
    </row>
    <row r="22073" spans="23:23">
      <c r="W22073" s="503"/>
    </row>
    <row r="22074" spans="23:23">
      <c r="W22074" s="503"/>
    </row>
    <row r="22075" spans="23:23">
      <c r="W22075" s="503"/>
    </row>
    <row r="22076" spans="23:23">
      <c r="W22076" s="503"/>
    </row>
    <row r="22077" spans="23:23">
      <c r="W22077" s="503"/>
    </row>
    <row r="22078" spans="23:23">
      <c r="W22078" s="503"/>
    </row>
    <row r="22079" spans="23:23">
      <c r="W22079" s="503"/>
    </row>
    <row r="22080" spans="23:23">
      <c r="W22080" s="503"/>
    </row>
    <row r="22081" spans="23:23">
      <c r="W22081" s="503"/>
    </row>
    <row r="22082" spans="23:23">
      <c r="W22082" s="503"/>
    </row>
    <row r="22083" spans="23:23">
      <c r="W22083" s="503"/>
    </row>
    <row r="22084" spans="23:23">
      <c r="W22084" s="503"/>
    </row>
    <row r="22085" spans="23:23">
      <c r="W22085" s="503"/>
    </row>
    <row r="22086" spans="23:23">
      <c r="W22086" s="503"/>
    </row>
    <row r="22087" spans="23:23">
      <c r="W22087" s="503"/>
    </row>
    <row r="22088" spans="23:23">
      <c r="W22088" s="503"/>
    </row>
    <row r="22089" spans="23:23">
      <c r="W22089" s="503"/>
    </row>
    <row r="22090" spans="23:23">
      <c r="W22090" s="503"/>
    </row>
    <row r="22091" spans="23:23">
      <c r="W22091" s="503"/>
    </row>
    <row r="22092" spans="23:23">
      <c r="W22092" s="503"/>
    </row>
    <row r="22093" spans="23:23">
      <c r="W22093" s="503"/>
    </row>
    <row r="22094" spans="23:23">
      <c r="W22094" s="503"/>
    </row>
    <row r="22095" spans="23:23">
      <c r="W22095" s="503"/>
    </row>
    <row r="22096" spans="23:23">
      <c r="W22096" s="503"/>
    </row>
    <row r="22097" spans="23:23">
      <c r="W22097" s="503"/>
    </row>
    <row r="22098" spans="23:23">
      <c r="W22098" s="503"/>
    </row>
    <row r="22099" spans="23:23">
      <c r="W22099" s="503"/>
    </row>
    <row r="22100" spans="23:23">
      <c r="W22100" s="503"/>
    </row>
    <row r="22101" spans="23:23">
      <c r="W22101" s="503"/>
    </row>
    <row r="22102" spans="23:23">
      <c r="W22102" s="503"/>
    </row>
    <row r="22103" spans="23:23">
      <c r="W22103" s="503"/>
    </row>
    <row r="22104" spans="23:23">
      <c r="W22104" s="503"/>
    </row>
    <row r="22105" spans="23:23">
      <c r="W22105" s="503"/>
    </row>
    <row r="22106" spans="23:23">
      <c r="W22106" s="503"/>
    </row>
    <row r="22107" spans="23:23">
      <c r="W22107" s="503"/>
    </row>
    <row r="22108" spans="23:23">
      <c r="W22108" s="503"/>
    </row>
    <row r="22109" spans="23:23">
      <c r="W22109" s="503"/>
    </row>
    <row r="22110" spans="23:23">
      <c r="W22110" s="503"/>
    </row>
    <row r="22111" spans="23:23">
      <c r="W22111" s="503"/>
    </row>
    <row r="22112" spans="23:23">
      <c r="W22112" s="503"/>
    </row>
    <row r="22113" spans="23:23">
      <c r="W22113" s="503"/>
    </row>
    <row r="22114" spans="23:23">
      <c r="W22114" s="503"/>
    </row>
    <row r="22115" spans="23:23">
      <c r="W22115" s="503"/>
    </row>
    <row r="22116" spans="23:23">
      <c r="W22116" s="503"/>
    </row>
    <row r="22117" spans="23:23">
      <c r="W22117" s="503"/>
    </row>
    <row r="22118" spans="23:23">
      <c r="W22118" s="503"/>
    </row>
    <row r="22119" spans="23:23">
      <c r="W22119" s="503"/>
    </row>
    <row r="22120" spans="23:23">
      <c r="W22120" s="503"/>
    </row>
    <row r="22121" spans="23:23">
      <c r="W22121" s="503"/>
    </row>
    <row r="22122" spans="23:23">
      <c r="W22122" s="503"/>
    </row>
    <row r="22123" spans="23:23">
      <c r="W22123" s="503"/>
    </row>
    <row r="22124" spans="23:23">
      <c r="W22124" s="503"/>
    </row>
    <row r="22125" spans="23:23">
      <c r="W22125" s="503"/>
    </row>
    <row r="22126" spans="23:23">
      <c r="W22126" s="503"/>
    </row>
    <row r="22127" spans="23:23">
      <c r="W22127" s="503"/>
    </row>
    <row r="22128" spans="23:23">
      <c r="W22128" s="503"/>
    </row>
    <row r="22129" spans="23:23">
      <c r="W22129" s="503"/>
    </row>
    <row r="22130" spans="23:23">
      <c r="W22130" s="503"/>
    </row>
    <row r="22131" spans="23:23">
      <c r="W22131" s="503"/>
    </row>
    <row r="22132" spans="23:23">
      <c r="W22132" s="503"/>
    </row>
    <row r="22133" spans="23:23">
      <c r="W22133" s="503"/>
    </row>
    <row r="22134" spans="23:23">
      <c r="W22134" s="503"/>
    </row>
    <row r="22135" spans="23:23">
      <c r="W22135" s="503"/>
    </row>
    <row r="22136" spans="23:23">
      <c r="W22136" s="503"/>
    </row>
    <row r="22137" spans="23:23">
      <c r="W22137" s="503"/>
    </row>
    <row r="22138" spans="23:23">
      <c r="W22138" s="503"/>
    </row>
    <row r="22139" spans="23:23">
      <c r="W22139" s="503"/>
    </row>
    <row r="22140" spans="23:23">
      <c r="W22140" s="503"/>
    </row>
    <row r="22141" spans="23:23">
      <c r="W22141" s="503"/>
    </row>
    <row r="22142" spans="23:23">
      <c r="W22142" s="503"/>
    </row>
    <row r="22143" spans="23:23">
      <c r="W22143" s="503"/>
    </row>
    <row r="22144" spans="23:23">
      <c r="W22144" s="503"/>
    </row>
    <row r="22145" spans="23:23">
      <c r="W22145" s="503"/>
    </row>
    <row r="22146" spans="23:23">
      <c r="W22146" s="503"/>
    </row>
    <row r="22147" spans="23:23">
      <c r="W22147" s="503"/>
    </row>
    <row r="22148" spans="23:23">
      <c r="W22148" s="503"/>
    </row>
    <row r="22149" spans="23:23">
      <c r="W22149" s="503"/>
    </row>
    <row r="22150" spans="23:23">
      <c r="W22150" s="503"/>
    </row>
    <row r="22151" spans="23:23">
      <c r="W22151" s="503"/>
    </row>
    <row r="22152" spans="23:23">
      <c r="W22152" s="503"/>
    </row>
    <row r="22153" spans="23:23">
      <c r="W22153" s="503"/>
    </row>
    <row r="22154" spans="23:23">
      <c r="W22154" s="503"/>
    </row>
    <row r="22155" spans="23:23">
      <c r="W22155" s="503"/>
    </row>
    <row r="22156" spans="23:23">
      <c r="W22156" s="503"/>
    </row>
    <row r="22157" spans="23:23">
      <c r="W22157" s="503"/>
    </row>
    <row r="22158" spans="23:23">
      <c r="W22158" s="503"/>
    </row>
    <row r="22159" spans="23:23">
      <c r="W22159" s="503"/>
    </row>
    <row r="22160" spans="23:23">
      <c r="W22160" s="503"/>
    </row>
    <row r="22161" spans="23:23">
      <c r="W22161" s="503"/>
    </row>
    <row r="22162" spans="23:23">
      <c r="W22162" s="503"/>
    </row>
    <row r="22163" spans="23:23">
      <c r="W22163" s="503"/>
    </row>
    <row r="22164" spans="23:23">
      <c r="W22164" s="503"/>
    </row>
    <row r="22165" spans="23:23">
      <c r="W22165" s="503"/>
    </row>
    <row r="22166" spans="23:23">
      <c r="W22166" s="503"/>
    </row>
    <row r="22167" spans="23:23">
      <c r="W22167" s="503"/>
    </row>
    <row r="22168" spans="23:23">
      <c r="W22168" s="503"/>
    </row>
    <row r="22169" spans="23:23">
      <c r="W22169" s="503"/>
    </row>
    <row r="22170" spans="23:23">
      <c r="W22170" s="503"/>
    </row>
    <row r="22171" spans="23:23">
      <c r="W22171" s="503"/>
    </row>
    <row r="22172" spans="23:23">
      <c r="W22172" s="503"/>
    </row>
    <row r="22173" spans="23:23">
      <c r="W22173" s="503"/>
    </row>
    <row r="22174" spans="23:23">
      <c r="W22174" s="503"/>
    </row>
    <row r="22175" spans="23:23">
      <c r="W22175" s="503"/>
    </row>
    <row r="22176" spans="23:23">
      <c r="W22176" s="503"/>
    </row>
    <row r="22177" spans="23:23">
      <c r="W22177" s="503"/>
    </row>
    <row r="22178" spans="23:23">
      <c r="W22178" s="503"/>
    </row>
    <row r="22179" spans="23:23">
      <c r="W22179" s="503"/>
    </row>
    <row r="22180" spans="23:23">
      <c r="W22180" s="503"/>
    </row>
    <row r="22181" spans="23:23">
      <c r="W22181" s="503"/>
    </row>
    <row r="22182" spans="23:23">
      <c r="W22182" s="503"/>
    </row>
    <row r="22183" spans="23:23">
      <c r="W22183" s="503"/>
    </row>
    <row r="22184" spans="23:23">
      <c r="W22184" s="503"/>
    </row>
    <row r="22185" spans="23:23">
      <c r="W22185" s="503"/>
    </row>
    <row r="22186" spans="23:23">
      <c r="W22186" s="503"/>
    </row>
    <row r="22187" spans="23:23">
      <c r="W22187" s="503"/>
    </row>
    <row r="22188" spans="23:23">
      <c r="W22188" s="503"/>
    </row>
    <row r="22189" spans="23:23">
      <c r="W22189" s="503"/>
    </row>
    <row r="22190" spans="23:23">
      <c r="W22190" s="503"/>
    </row>
    <row r="22191" spans="23:23">
      <c r="W22191" s="503"/>
    </row>
    <row r="22192" spans="23:23">
      <c r="W22192" s="503"/>
    </row>
    <row r="22193" spans="23:23">
      <c r="W22193" s="503"/>
    </row>
    <row r="22194" spans="23:23">
      <c r="W22194" s="503"/>
    </row>
    <row r="22195" spans="23:23">
      <c r="W22195" s="503"/>
    </row>
    <row r="22196" spans="23:23">
      <c r="W22196" s="503"/>
    </row>
    <row r="22197" spans="23:23">
      <c r="W22197" s="503"/>
    </row>
    <row r="22198" spans="23:23">
      <c r="W22198" s="503"/>
    </row>
    <row r="22199" spans="23:23">
      <c r="W22199" s="503"/>
    </row>
    <row r="22200" spans="23:23">
      <c r="W22200" s="503"/>
    </row>
    <row r="22201" spans="23:23">
      <c r="W22201" s="503"/>
    </row>
    <row r="22202" spans="23:23">
      <c r="W22202" s="503"/>
    </row>
    <row r="22203" spans="23:23">
      <c r="W22203" s="503"/>
    </row>
    <row r="22204" spans="23:23">
      <c r="W22204" s="503"/>
    </row>
    <row r="22205" spans="23:23">
      <c r="W22205" s="503"/>
    </row>
    <row r="22206" spans="23:23">
      <c r="W22206" s="503"/>
    </row>
    <row r="22207" spans="23:23">
      <c r="W22207" s="503"/>
    </row>
    <row r="22208" spans="23:23">
      <c r="W22208" s="503"/>
    </row>
    <row r="22209" spans="23:23">
      <c r="W22209" s="503"/>
    </row>
    <row r="22210" spans="23:23">
      <c r="W22210" s="503"/>
    </row>
    <row r="22211" spans="23:23">
      <c r="W22211" s="503"/>
    </row>
    <row r="22212" spans="23:23">
      <c r="W22212" s="503"/>
    </row>
    <row r="22213" spans="23:23">
      <c r="W22213" s="503"/>
    </row>
    <row r="22214" spans="23:23">
      <c r="W22214" s="503"/>
    </row>
    <row r="22215" spans="23:23">
      <c r="W22215" s="503"/>
    </row>
    <row r="22216" spans="23:23">
      <c r="W22216" s="503"/>
    </row>
    <row r="22217" spans="23:23">
      <c r="W22217" s="503"/>
    </row>
    <row r="22218" spans="23:23">
      <c r="W22218" s="503"/>
    </row>
    <row r="22219" spans="23:23">
      <c r="W22219" s="503"/>
    </row>
    <row r="22220" spans="23:23">
      <c r="W22220" s="503"/>
    </row>
    <row r="22221" spans="23:23">
      <c r="W22221" s="503"/>
    </row>
    <row r="22222" spans="23:23">
      <c r="W22222" s="503"/>
    </row>
    <row r="22223" spans="23:23">
      <c r="W22223" s="503"/>
    </row>
    <row r="22224" spans="23:23">
      <c r="W22224" s="503"/>
    </row>
    <row r="22225" spans="23:23">
      <c r="W22225" s="503"/>
    </row>
    <row r="22226" spans="23:23">
      <c r="W22226" s="503"/>
    </row>
    <row r="22227" spans="23:23">
      <c r="W22227" s="503"/>
    </row>
    <row r="22228" spans="23:23">
      <c r="W22228" s="503"/>
    </row>
    <row r="22229" spans="23:23">
      <c r="W22229" s="503"/>
    </row>
    <row r="22230" spans="23:23">
      <c r="W22230" s="503"/>
    </row>
    <row r="22231" spans="23:23">
      <c r="W22231" s="503"/>
    </row>
    <row r="22232" spans="23:23">
      <c r="W22232" s="503"/>
    </row>
    <row r="22233" spans="23:23">
      <c r="W22233" s="503"/>
    </row>
    <row r="22234" spans="23:23">
      <c r="W22234" s="503"/>
    </row>
    <row r="22235" spans="23:23">
      <c r="W22235" s="503"/>
    </row>
    <row r="22236" spans="23:23">
      <c r="W22236" s="503"/>
    </row>
    <row r="22237" spans="23:23">
      <c r="W22237" s="503"/>
    </row>
    <row r="22238" spans="23:23">
      <c r="W22238" s="503"/>
    </row>
    <row r="22239" spans="23:23">
      <c r="W22239" s="503"/>
    </row>
    <row r="22240" spans="23:23">
      <c r="W22240" s="503"/>
    </row>
    <row r="22241" spans="23:23">
      <c r="W22241" s="503"/>
    </row>
    <row r="22242" spans="23:23">
      <c r="W22242" s="503"/>
    </row>
    <row r="22243" spans="23:23">
      <c r="W22243" s="503"/>
    </row>
    <row r="22244" spans="23:23">
      <c r="W22244" s="503"/>
    </row>
    <row r="22245" spans="23:23">
      <c r="W22245" s="503"/>
    </row>
    <row r="22246" spans="23:23">
      <c r="W22246" s="503"/>
    </row>
    <row r="22247" spans="23:23">
      <c r="W22247" s="503"/>
    </row>
    <row r="22248" spans="23:23">
      <c r="W22248" s="503"/>
    </row>
    <row r="22249" spans="23:23">
      <c r="W22249" s="503"/>
    </row>
    <row r="22250" spans="23:23">
      <c r="W22250" s="503"/>
    </row>
    <row r="22251" spans="23:23">
      <c r="W22251" s="503"/>
    </row>
    <row r="22252" spans="23:23">
      <c r="W22252" s="503"/>
    </row>
    <row r="22253" spans="23:23">
      <c r="W22253" s="503"/>
    </row>
    <row r="22254" spans="23:23">
      <c r="W22254" s="503"/>
    </row>
    <row r="22255" spans="23:23">
      <c r="W22255" s="503"/>
    </row>
    <row r="22256" spans="23:23">
      <c r="W22256" s="503"/>
    </row>
    <row r="22257" spans="23:23">
      <c r="W22257" s="503"/>
    </row>
    <row r="22258" spans="23:23">
      <c r="W22258" s="503"/>
    </row>
    <row r="22259" spans="23:23">
      <c r="W22259" s="503"/>
    </row>
    <row r="22260" spans="23:23">
      <c r="W22260" s="503"/>
    </row>
    <row r="22261" spans="23:23">
      <c r="W22261" s="503"/>
    </row>
    <row r="22262" spans="23:23">
      <c r="W22262" s="503"/>
    </row>
    <row r="22263" spans="23:23">
      <c r="W22263" s="503"/>
    </row>
    <row r="22264" spans="23:23">
      <c r="W22264" s="503"/>
    </row>
    <row r="22265" spans="23:23">
      <c r="W22265" s="503"/>
    </row>
    <row r="22266" spans="23:23">
      <c r="W22266" s="503"/>
    </row>
    <row r="22267" spans="23:23">
      <c r="W22267" s="503"/>
    </row>
    <row r="22268" spans="23:23">
      <c r="W22268" s="503"/>
    </row>
    <row r="22269" spans="23:23">
      <c r="W22269" s="503"/>
    </row>
    <row r="22270" spans="23:23">
      <c r="W22270" s="503"/>
    </row>
    <row r="22271" spans="23:23">
      <c r="W22271" s="503"/>
    </row>
    <row r="22272" spans="23:23">
      <c r="W22272" s="503"/>
    </row>
    <row r="22273" spans="23:23">
      <c r="W22273" s="503"/>
    </row>
    <row r="22274" spans="23:23">
      <c r="W22274" s="503"/>
    </row>
    <row r="22275" spans="23:23">
      <c r="W22275" s="503"/>
    </row>
    <row r="22276" spans="23:23">
      <c r="W22276" s="503"/>
    </row>
    <row r="22277" spans="23:23">
      <c r="W22277" s="503"/>
    </row>
    <row r="22278" spans="23:23">
      <c r="W22278" s="503"/>
    </row>
    <row r="22279" spans="23:23">
      <c r="W22279" s="503"/>
    </row>
    <row r="22280" spans="23:23">
      <c r="W22280" s="503"/>
    </row>
    <row r="22281" spans="23:23">
      <c r="W22281" s="503"/>
    </row>
    <row r="22282" spans="23:23">
      <c r="W22282" s="503"/>
    </row>
    <row r="22283" spans="23:23">
      <c r="W22283" s="503"/>
    </row>
    <row r="22284" spans="23:23">
      <c r="W22284" s="503"/>
    </row>
    <row r="22285" spans="23:23">
      <c r="W22285" s="503"/>
    </row>
    <row r="22286" spans="23:23">
      <c r="W22286" s="503"/>
    </row>
    <row r="22287" spans="23:23">
      <c r="W22287" s="503"/>
    </row>
    <row r="22288" spans="23:23">
      <c r="W22288" s="503"/>
    </row>
    <row r="22289" spans="23:23">
      <c r="W22289" s="503"/>
    </row>
    <row r="22290" spans="23:23">
      <c r="W22290" s="503"/>
    </row>
    <row r="22291" spans="23:23">
      <c r="W22291" s="503"/>
    </row>
    <row r="22292" spans="23:23">
      <c r="W22292" s="503"/>
    </row>
    <row r="22293" spans="23:23">
      <c r="W22293" s="503"/>
    </row>
    <row r="22294" spans="23:23">
      <c r="W22294" s="503"/>
    </row>
    <row r="22295" spans="23:23">
      <c r="W22295" s="503"/>
    </row>
    <row r="22296" spans="23:23">
      <c r="W22296" s="503"/>
    </row>
    <row r="22297" spans="23:23">
      <c r="W22297" s="503"/>
    </row>
    <row r="22298" spans="23:23">
      <c r="W22298" s="503"/>
    </row>
    <row r="22299" spans="23:23">
      <c r="W22299" s="503"/>
    </row>
    <row r="22300" spans="23:23">
      <c r="W22300" s="503"/>
    </row>
    <row r="22301" spans="23:23">
      <c r="W22301" s="503"/>
    </row>
    <row r="22302" spans="23:23">
      <c r="W22302" s="503"/>
    </row>
    <row r="22303" spans="23:23">
      <c r="W22303" s="503"/>
    </row>
    <row r="22304" spans="23:23">
      <c r="W22304" s="503"/>
    </row>
    <row r="22305" spans="23:23">
      <c r="W22305" s="503"/>
    </row>
    <row r="22306" spans="23:23">
      <c r="W22306" s="503"/>
    </row>
    <row r="22307" spans="23:23">
      <c r="W22307" s="503"/>
    </row>
    <row r="22308" spans="23:23">
      <c r="W22308" s="503"/>
    </row>
    <row r="22309" spans="23:23">
      <c r="W22309" s="503"/>
    </row>
    <row r="22310" spans="23:23">
      <c r="W22310" s="503"/>
    </row>
    <row r="22311" spans="23:23">
      <c r="W22311" s="503"/>
    </row>
    <row r="22312" spans="23:23">
      <c r="W22312" s="503"/>
    </row>
    <row r="22313" spans="23:23">
      <c r="W22313" s="503"/>
    </row>
    <row r="22314" spans="23:23">
      <c r="W22314" s="503"/>
    </row>
    <row r="22315" spans="23:23">
      <c r="W22315" s="503"/>
    </row>
    <row r="22316" spans="23:23">
      <c r="W22316" s="503"/>
    </row>
    <row r="22317" spans="23:23">
      <c r="W22317" s="503"/>
    </row>
    <row r="22318" spans="23:23">
      <c r="W22318" s="503"/>
    </row>
    <row r="22319" spans="23:23">
      <c r="W22319" s="503"/>
    </row>
    <row r="22320" spans="23:23">
      <c r="W22320" s="503"/>
    </row>
    <row r="22321" spans="23:23">
      <c r="W22321" s="503"/>
    </row>
    <row r="22322" spans="23:23">
      <c r="W22322" s="503"/>
    </row>
    <row r="22323" spans="23:23">
      <c r="W22323" s="503"/>
    </row>
    <row r="22324" spans="23:23">
      <c r="W22324" s="503"/>
    </row>
    <row r="22325" spans="23:23">
      <c r="W22325" s="503"/>
    </row>
    <row r="22326" spans="23:23">
      <c r="W22326" s="503"/>
    </row>
    <row r="22327" spans="23:23">
      <c r="W22327" s="503"/>
    </row>
    <row r="22328" spans="23:23">
      <c r="W22328" s="503"/>
    </row>
    <row r="22329" spans="23:23">
      <c r="W22329" s="503"/>
    </row>
    <row r="22330" spans="23:23">
      <c r="W22330" s="503"/>
    </row>
    <row r="22331" spans="23:23">
      <c r="W22331" s="503"/>
    </row>
    <row r="22332" spans="23:23">
      <c r="W22332" s="503"/>
    </row>
    <row r="22333" spans="23:23">
      <c r="W22333" s="503"/>
    </row>
    <row r="22334" spans="23:23">
      <c r="W22334" s="503"/>
    </row>
    <row r="22335" spans="23:23">
      <c r="W22335" s="503"/>
    </row>
    <row r="22336" spans="23:23">
      <c r="W22336" s="503"/>
    </row>
    <row r="22337" spans="23:23">
      <c r="W22337" s="503"/>
    </row>
    <row r="22338" spans="23:23">
      <c r="W22338" s="503"/>
    </row>
    <row r="22339" spans="23:23">
      <c r="W22339" s="503"/>
    </row>
    <row r="22340" spans="23:23">
      <c r="W22340" s="503"/>
    </row>
    <row r="22341" spans="23:23">
      <c r="W22341" s="503"/>
    </row>
    <row r="22342" spans="23:23">
      <c r="W22342" s="503"/>
    </row>
    <row r="22343" spans="23:23">
      <c r="W22343" s="503"/>
    </row>
    <row r="22344" spans="23:23">
      <c r="W22344" s="503"/>
    </row>
    <row r="22345" spans="23:23">
      <c r="W22345" s="503"/>
    </row>
    <row r="22346" spans="23:23">
      <c r="W22346" s="503"/>
    </row>
    <row r="22347" spans="23:23">
      <c r="W22347" s="503"/>
    </row>
    <row r="22348" spans="23:23">
      <c r="W22348" s="503"/>
    </row>
    <row r="22349" spans="23:23">
      <c r="W22349" s="503"/>
    </row>
    <row r="22350" spans="23:23">
      <c r="W22350" s="503"/>
    </row>
    <row r="22351" spans="23:23">
      <c r="W22351" s="503"/>
    </row>
    <row r="22352" spans="23:23">
      <c r="W22352" s="503"/>
    </row>
    <row r="22353" spans="23:23">
      <c r="W22353" s="503"/>
    </row>
    <row r="22354" spans="23:23">
      <c r="W22354" s="503"/>
    </row>
    <row r="22355" spans="23:23">
      <c r="W22355" s="503"/>
    </row>
    <row r="22356" spans="23:23">
      <c r="W22356" s="503"/>
    </row>
    <row r="22357" spans="23:23">
      <c r="W22357" s="503"/>
    </row>
    <row r="22358" spans="23:23">
      <c r="W22358" s="503"/>
    </row>
    <row r="22359" spans="23:23">
      <c r="W22359" s="503"/>
    </row>
    <row r="22360" spans="23:23">
      <c r="W22360" s="503"/>
    </row>
    <row r="22361" spans="23:23">
      <c r="W22361" s="503"/>
    </row>
    <row r="22362" spans="23:23">
      <c r="W22362" s="503"/>
    </row>
    <row r="22363" spans="23:23">
      <c r="W22363" s="503"/>
    </row>
    <row r="22364" spans="23:23">
      <c r="W22364" s="503"/>
    </row>
    <row r="22365" spans="23:23">
      <c r="W22365" s="503"/>
    </row>
    <row r="22366" spans="23:23">
      <c r="W22366" s="503"/>
    </row>
    <row r="22367" spans="23:23">
      <c r="W22367" s="503"/>
    </row>
    <row r="22368" spans="23:23">
      <c r="W22368" s="503"/>
    </row>
    <row r="22369" spans="23:23">
      <c r="W22369" s="503"/>
    </row>
    <row r="22370" spans="23:23">
      <c r="W22370" s="503"/>
    </row>
    <row r="22371" spans="23:23">
      <c r="W22371" s="503"/>
    </row>
    <row r="22372" spans="23:23">
      <c r="W22372" s="503"/>
    </row>
    <row r="22373" spans="23:23">
      <c r="W22373" s="503"/>
    </row>
    <row r="22374" spans="23:23">
      <c r="W22374" s="503"/>
    </row>
    <row r="22375" spans="23:23">
      <c r="W22375" s="503"/>
    </row>
    <row r="22376" spans="23:23">
      <c r="W22376" s="503"/>
    </row>
    <row r="22377" spans="23:23">
      <c r="W22377" s="503"/>
    </row>
    <row r="22378" spans="23:23">
      <c r="W22378" s="503"/>
    </row>
    <row r="22379" spans="23:23">
      <c r="W22379" s="503"/>
    </row>
    <row r="22380" spans="23:23">
      <c r="W22380" s="503"/>
    </row>
    <row r="22381" spans="23:23">
      <c r="W22381" s="503"/>
    </row>
    <row r="22382" spans="23:23">
      <c r="W22382" s="503"/>
    </row>
    <row r="22383" spans="23:23">
      <c r="W22383" s="503"/>
    </row>
    <row r="22384" spans="23:23">
      <c r="W22384" s="503"/>
    </row>
    <row r="22385" spans="23:23">
      <c r="W22385" s="503"/>
    </row>
    <row r="22386" spans="23:23">
      <c r="W22386" s="503"/>
    </row>
    <row r="22387" spans="23:23">
      <c r="W22387" s="503"/>
    </row>
    <row r="22388" spans="23:23">
      <c r="W22388" s="503"/>
    </row>
    <row r="22389" spans="23:23">
      <c r="W22389" s="503"/>
    </row>
    <row r="22390" spans="23:23">
      <c r="W22390" s="503"/>
    </row>
    <row r="22391" spans="23:23">
      <c r="W22391" s="503"/>
    </row>
    <row r="22392" spans="23:23">
      <c r="W22392" s="503"/>
    </row>
    <row r="22393" spans="23:23">
      <c r="W22393" s="503"/>
    </row>
    <row r="22394" spans="23:23">
      <c r="W22394" s="503"/>
    </row>
    <row r="22395" spans="23:23">
      <c r="W22395" s="503"/>
    </row>
    <row r="22396" spans="23:23">
      <c r="W22396" s="503"/>
    </row>
    <row r="22397" spans="23:23">
      <c r="W22397" s="503"/>
    </row>
    <row r="22398" spans="23:23">
      <c r="W22398" s="503"/>
    </row>
    <row r="22399" spans="23:23">
      <c r="W22399" s="503"/>
    </row>
    <row r="22400" spans="23:23">
      <c r="W22400" s="503"/>
    </row>
    <row r="22401" spans="23:23">
      <c r="W22401" s="503"/>
    </row>
    <row r="22402" spans="23:23">
      <c r="W22402" s="503"/>
    </row>
    <row r="22403" spans="23:23">
      <c r="W22403" s="503"/>
    </row>
    <row r="22404" spans="23:23">
      <c r="W22404" s="503"/>
    </row>
    <row r="22405" spans="23:23">
      <c r="W22405" s="503"/>
    </row>
    <row r="22406" spans="23:23">
      <c r="W22406" s="503"/>
    </row>
    <row r="22407" spans="23:23">
      <c r="W22407" s="503"/>
    </row>
    <row r="22408" spans="23:23">
      <c r="W22408" s="503"/>
    </row>
    <row r="22409" spans="23:23">
      <c r="W22409" s="503"/>
    </row>
    <row r="22410" spans="23:23">
      <c r="W22410" s="503"/>
    </row>
    <row r="22411" spans="23:23">
      <c r="W22411" s="503"/>
    </row>
    <row r="22412" spans="23:23">
      <c r="W22412" s="503"/>
    </row>
    <row r="22413" spans="23:23">
      <c r="W22413" s="503"/>
    </row>
    <row r="22414" spans="23:23">
      <c r="W22414" s="503"/>
    </row>
    <row r="22415" spans="23:23">
      <c r="W22415" s="503"/>
    </row>
    <row r="22416" spans="23:23">
      <c r="W22416" s="503"/>
    </row>
    <row r="22417" spans="23:23">
      <c r="W22417" s="503"/>
    </row>
    <row r="22418" spans="23:23">
      <c r="W22418" s="503"/>
    </row>
    <row r="22419" spans="23:23">
      <c r="W22419" s="503"/>
    </row>
    <row r="22420" spans="23:23">
      <c r="W22420" s="503"/>
    </row>
    <row r="22421" spans="23:23">
      <c r="W22421" s="503"/>
    </row>
    <row r="22422" spans="23:23">
      <c r="W22422" s="503"/>
    </row>
    <row r="22423" spans="23:23">
      <c r="W22423" s="503"/>
    </row>
    <row r="22424" spans="23:23">
      <c r="W22424" s="503"/>
    </row>
    <row r="22425" spans="23:23">
      <c r="W22425" s="503"/>
    </row>
    <row r="22426" spans="23:23">
      <c r="W22426" s="503"/>
    </row>
    <row r="22427" spans="23:23">
      <c r="W22427" s="503"/>
    </row>
    <row r="22428" spans="23:23">
      <c r="W22428" s="503"/>
    </row>
    <row r="22429" spans="23:23">
      <c r="W22429" s="503"/>
    </row>
    <row r="22430" spans="23:23">
      <c r="W22430" s="503"/>
    </row>
    <row r="22431" spans="23:23">
      <c r="W22431" s="503"/>
    </row>
    <row r="22432" spans="23:23">
      <c r="W22432" s="503"/>
    </row>
    <row r="22433" spans="23:23">
      <c r="W22433" s="503"/>
    </row>
    <row r="22434" spans="23:23">
      <c r="W22434" s="503"/>
    </row>
    <row r="22435" spans="23:23">
      <c r="W22435" s="503"/>
    </row>
    <row r="22436" spans="23:23">
      <c r="W22436" s="503"/>
    </row>
    <row r="22437" spans="23:23">
      <c r="W22437" s="503"/>
    </row>
    <row r="22438" spans="23:23">
      <c r="W22438" s="503"/>
    </row>
    <row r="22439" spans="23:23">
      <c r="W22439" s="503"/>
    </row>
    <row r="22440" spans="23:23">
      <c r="W22440" s="503"/>
    </row>
    <row r="22441" spans="23:23">
      <c r="W22441" s="503"/>
    </row>
    <row r="22442" spans="23:23">
      <c r="W22442" s="503"/>
    </row>
    <row r="22443" spans="23:23">
      <c r="W22443" s="503"/>
    </row>
    <row r="22444" spans="23:23">
      <c r="W22444" s="503"/>
    </row>
    <row r="22445" spans="23:23">
      <c r="W22445" s="503"/>
    </row>
    <row r="22446" spans="23:23">
      <c r="W22446" s="503"/>
    </row>
    <row r="22447" spans="23:23">
      <c r="W22447" s="503"/>
    </row>
    <row r="22448" spans="23:23">
      <c r="W22448" s="503"/>
    </row>
    <row r="22449" spans="23:23">
      <c r="W22449" s="503"/>
    </row>
    <row r="22450" spans="23:23">
      <c r="W22450" s="503"/>
    </row>
    <row r="22451" spans="23:23">
      <c r="W22451" s="503"/>
    </row>
    <row r="22452" spans="23:23">
      <c r="W22452" s="503"/>
    </row>
    <row r="22453" spans="23:23">
      <c r="W22453" s="503"/>
    </row>
    <row r="22454" spans="23:23">
      <c r="W22454" s="503"/>
    </row>
    <row r="22455" spans="23:23">
      <c r="W22455" s="503"/>
    </row>
    <row r="22456" spans="23:23">
      <c r="W22456" s="503"/>
    </row>
    <row r="22457" spans="23:23">
      <c r="W22457" s="503"/>
    </row>
    <row r="22458" spans="23:23">
      <c r="W22458" s="503"/>
    </row>
    <row r="22459" spans="23:23">
      <c r="W22459" s="503"/>
    </row>
    <row r="22460" spans="23:23">
      <c r="W22460" s="503"/>
    </row>
    <row r="22461" spans="23:23">
      <c r="W22461" s="503"/>
    </row>
    <row r="22462" spans="23:23">
      <c r="W22462" s="503"/>
    </row>
    <row r="22463" spans="23:23">
      <c r="W22463" s="503"/>
    </row>
    <row r="22464" spans="23:23">
      <c r="W22464" s="503"/>
    </row>
    <row r="22465" spans="23:23">
      <c r="W22465" s="503"/>
    </row>
    <row r="22466" spans="23:23">
      <c r="W22466" s="503"/>
    </row>
    <row r="22467" spans="23:23">
      <c r="W22467" s="503"/>
    </row>
    <row r="22468" spans="23:23">
      <c r="W22468" s="503"/>
    </row>
    <row r="22469" spans="23:23">
      <c r="W22469" s="503"/>
    </row>
    <row r="22470" spans="23:23">
      <c r="W22470" s="503"/>
    </row>
    <row r="22471" spans="23:23">
      <c r="W22471" s="503"/>
    </row>
    <row r="22472" spans="23:23">
      <c r="W22472" s="503"/>
    </row>
    <row r="22473" spans="23:23">
      <c r="W22473" s="503"/>
    </row>
    <row r="22474" spans="23:23">
      <c r="W22474" s="503"/>
    </row>
    <row r="22475" spans="23:23">
      <c r="W22475" s="503"/>
    </row>
    <row r="22476" spans="23:23">
      <c r="W22476" s="503"/>
    </row>
    <row r="22477" spans="23:23">
      <c r="W22477" s="503"/>
    </row>
    <row r="22478" spans="23:23">
      <c r="W22478" s="503"/>
    </row>
    <row r="22479" spans="23:23">
      <c r="W22479" s="503"/>
    </row>
    <row r="22480" spans="23:23">
      <c r="W22480" s="503"/>
    </row>
    <row r="22481" spans="23:23">
      <c r="W22481" s="503"/>
    </row>
    <row r="22482" spans="23:23">
      <c r="W22482" s="503"/>
    </row>
    <row r="22483" spans="23:23">
      <c r="W22483" s="503"/>
    </row>
    <row r="22484" spans="23:23">
      <c r="W22484" s="503"/>
    </row>
    <row r="22485" spans="23:23">
      <c r="W22485" s="503"/>
    </row>
    <row r="22486" spans="23:23">
      <c r="W22486" s="503"/>
    </row>
    <row r="22487" spans="23:23">
      <c r="W22487" s="503"/>
    </row>
    <row r="22488" spans="23:23">
      <c r="W22488" s="503"/>
    </row>
    <row r="22489" spans="23:23">
      <c r="W22489" s="503"/>
    </row>
    <row r="22490" spans="23:23">
      <c r="W22490" s="503"/>
    </row>
    <row r="22491" spans="23:23">
      <c r="W22491" s="503"/>
    </row>
    <row r="22492" spans="23:23">
      <c r="W22492" s="503"/>
    </row>
    <row r="22493" spans="23:23">
      <c r="W22493" s="503"/>
    </row>
    <row r="22494" spans="23:23">
      <c r="W22494" s="503"/>
    </row>
    <row r="22495" spans="23:23">
      <c r="W22495" s="503"/>
    </row>
    <row r="22496" spans="23:23">
      <c r="W22496" s="503"/>
    </row>
    <row r="22497" spans="23:23">
      <c r="W22497" s="503"/>
    </row>
    <row r="22498" spans="23:23">
      <c r="W22498" s="503"/>
    </row>
    <row r="22499" spans="23:23">
      <c r="W22499" s="503"/>
    </row>
    <row r="22500" spans="23:23">
      <c r="W22500" s="503"/>
    </row>
    <row r="22501" spans="23:23">
      <c r="W22501" s="503"/>
    </row>
    <row r="22502" spans="23:23">
      <c r="W22502" s="503"/>
    </row>
    <row r="22503" spans="23:23">
      <c r="W22503" s="503"/>
    </row>
    <row r="22504" spans="23:23">
      <c r="W22504" s="503"/>
    </row>
    <row r="22505" spans="23:23">
      <c r="W22505" s="503"/>
    </row>
    <row r="22506" spans="23:23">
      <c r="W22506" s="503"/>
    </row>
    <row r="22507" spans="23:23">
      <c r="W22507" s="503"/>
    </row>
    <row r="22508" spans="23:23">
      <c r="W22508" s="503"/>
    </row>
    <row r="22509" spans="23:23">
      <c r="W22509" s="503"/>
    </row>
    <row r="22510" spans="23:23">
      <c r="W22510" s="503"/>
    </row>
    <row r="22511" spans="23:23">
      <c r="W22511" s="503"/>
    </row>
    <row r="22512" spans="23:23">
      <c r="W22512" s="503"/>
    </row>
    <row r="22513" spans="23:23">
      <c r="W22513" s="503"/>
    </row>
    <row r="22514" spans="23:23">
      <c r="W22514" s="503"/>
    </row>
    <row r="22515" spans="23:23">
      <c r="W22515" s="503"/>
    </row>
    <row r="22516" spans="23:23">
      <c r="W22516" s="503"/>
    </row>
    <row r="22517" spans="23:23">
      <c r="W22517" s="503"/>
    </row>
    <row r="22518" spans="23:23">
      <c r="W22518" s="503"/>
    </row>
    <row r="22519" spans="23:23">
      <c r="W22519" s="503"/>
    </row>
    <row r="22520" spans="23:23">
      <c r="W22520" s="503"/>
    </row>
    <row r="22521" spans="23:23">
      <c r="W22521" s="503"/>
    </row>
    <row r="22522" spans="23:23">
      <c r="W22522" s="503"/>
    </row>
    <row r="22523" spans="23:23">
      <c r="W22523" s="503"/>
    </row>
    <row r="22524" spans="23:23">
      <c r="W22524" s="503"/>
    </row>
    <row r="22525" spans="23:23">
      <c r="W22525" s="503"/>
    </row>
    <row r="22526" spans="23:23">
      <c r="W22526" s="503"/>
    </row>
    <row r="22527" spans="23:23">
      <c r="W22527" s="503"/>
    </row>
    <row r="22528" spans="23:23">
      <c r="W22528" s="503"/>
    </row>
    <row r="22529" spans="23:23">
      <c r="W22529" s="503"/>
    </row>
    <row r="22530" spans="23:23">
      <c r="W22530" s="503"/>
    </row>
    <row r="22531" spans="23:23">
      <c r="W22531" s="503"/>
    </row>
    <row r="22532" spans="23:23">
      <c r="W22532" s="503"/>
    </row>
    <row r="22533" spans="23:23">
      <c r="W22533" s="503"/>
    </row>
    <row r="22534" spans="23:23">
      <c r="W22534" s="503"/>
    </row>
    <row r="22535" spans="23:23">
      <c r="W22535" s="503"/>
    </row>
    <row r="22536" spans="23:23">
      <c r="W22536" s="503"/>
    </row>
    <row r="22537" spans="23:23">
      <c r="W22537" s="503"/>
    </row>
    <row r="22538" spans="23:23">
      <c r="W22538" s="503"/>
    </row>
    <row r="22539" spans="23:23">
      <c r="W22539" s="503"/>
    </row>
    <row r="22540" spans="23:23">
      <c r="W22540" s="503"/>
    </row>
    <row r="22541" spans="23:23">
      <c r="W22541" s="503"/>
    </row>
    <row r="22542" spans="23:23">
      <c r="W22542" s="503"/>
    </row>
    <row r="22543" spans="23:23">
      <c r="W22543" s="503"/>
    </row>
    <row r="22544" spans="23:23">
      <c r="W22544" s="503"/>
    </row>
    <row r="22545" spans="23:23">
      <c r="W22545" s="503"/>
    </row>
    <row r="22546" spans="23:23">
      <c r="W22546" s="503"/>
    </row>
    <row r="22547" spans="23:23">
      <c r="W22547" s="503"/>
    </row>
    <row r="22548" spans="23:23">
      <c r="W22548" s="503"/>
    </row>
    <row r="22549" spans="23:23">
      <c r="W22549" s="503"/>
    </row>
    <row r="22550" spans="23:23">
      <c r="W22550" s="503"/>
    </row>
    <row r="22551" spans="23:23">
      <c r="W22551" s="503"/>
    </row>
    <row r="22552" spans="23:23">
      <c r="W22552" s="503"/>
    </row>
    <row r="22553" spans="23:23">
      <c r="W22553" s="503"/>
    </row>
    <row r="22554" spans="23:23">
      <c r="W22554" s="503"/>
    </row>
    <row r="22555" spans="23:23">
      <c r="W22555" s="503"/>
    </row>
    <row r="22556" spans="23:23">
      <c r="W22556" s="503"/>
    </row>
    <row r="22557" spans="23:23">
      <c r="W22557" s="503"/>
    </row>
    <row r="22558" spans="23:23">
      <c r="W22558" s="503"/>
    </row>
    <row r="22559" spans="23:23">
      <c r="W22559" s="503"/>
    </row>
    <row r="22560" spans="23:23">
      <c r="W22560" s="503"/>
    </row>
    <row r="22561" spans="23:23">
      <c r="W22561" s="503"/>
    </row>
    <row r="22562" spans="23:23">
      <c r="W22562" s="503"/>
    </row>
    <row r="22563" spans="23:23">
      <c r="W22563" s="503"/>
    </row>
    <row r="22564" spans="23:23">
      <c r="W22564" s="503"/>
    </row>
    <row r="22565" spans="23:23">
      <c r="W22565" s="503"/>
    </row>
    <row r="22566" spans="23:23">
      <c r="W22566" s="503"/>
    </row>
    <row r="22567" spans="23:23">
      <c r="W22567" s="503"/>
    </row>
    <row r="22568" spans="23:23">
      <c r="W22568" s="503"/>
    </row>
    <row r="22569" spans="23:23">
      <c r="W22569" s="503"/>
    </row>
    <row r="22570" spans="23:23">
      <c r="W22570" s="503"/>
    </row>
    <row r="22571" spans="23:23">
      <c r="W22571" s="503"/>
    </row>
    <row r="22572" spans="23:23">
      <c r="W22572" s="503"/>
    </row>
    <row r="22573" spans="23:23">
      <c r="W22573" s="503"/>
    </row>
    <row r="22574" spans="23:23">
      <c r="W22574" s="503"/>
    </row>
    <row r="22575" spans="23:23">
      <c r="W22575" s="503"/>
    </row>
    <row r="22576" spans="23:23">
      <c r="W22576" s="503"/>
    </row>
    <row r="22577" spans="23:23">
      <c r="W22577" s="503"/>
    </row>
    <row r="22578" spans="23:23">
      <c r="W22578" s="503"/>
    </row>
    <row r="22579" spans="23:23">
      <c r="W22579" s="503"/>
    </row>
    <row r="22580" spans="23:23">
      <c r="W22580" s="503"/>
    </row>
    <row r="22581" spans="23:23">
      <c r="W22581" s="503"/>
    </row>
    <row r="22582" spans="23:23">
      <c r="W22582" s="503"/>
    </row>
    <row r="22583" spans="23:23">
      <c r="W22583" s="503"/>
    </row>
    <row r="22584" spans="23:23">
      <c r="W22584" s="503"/>
    </row>
    <row r="22585" spans="23:23">
      <c r="W22585" s="503"/>
    </row>
    <row r="22586" spans="23:23">
      <c r="W22586" s="503"/>
    </row>
    <row r="22587" spans="23:23">
      <c r="W22587" s="503"/>
    </row>
    <row r="22588" spans="23:23">
      <c r="W22588" s="503"/>
    </row>
    <row r="22589" spans="23:23">
      <c r="W22589" s="503"/>
    </row>
    <row r="22590" spans="23:23">
      <c r="W22590" s="503"/>
    </row>
    <row r="22591" spans="23:23">
      <c r="W22591" s="503"/>
    </row>
    <row r="22592" spans="23:23">
      <c r="W22592" s="503"/>
    </row>
    <row r="22593" spans="23:23">
      <c r="W22593" s="503"/>
    </row>
    <row r="22594" spans="23:23">
      <c r="W22594" s="503"/>
    </row>
    <row r="22595" spans="23:23">
      <c r="W22595" s="503"/>
    </row>
    <row r="22596" spans="23:23">
      <c r="W22596" s="503"/>
    </row>
    <row r="22597" spans="23:23">
      <c r="W22597" s="503"/>
    </row>
    <row r="22598" spans="23:23">
      <c r="W22598" s="503"/>
    </row>
    <row r="22599" spans="23:23">
      <c r="W22599" s="503"/>
    </row>
    <row r="22600" spans="23:23">
      <c r="W22600" s="503"/>
    </row>
    <row r="22601" spans="23:23">
      <c r="W22601" s="503"/>
    </row>
    <row r="22602" spans="23:23">
      <c r="W22602" s="503"/>
    </row>
    <row r="22603" spans="23:23">
      <c r="W22603" s="503"/>
    </row>
    <row r="22604" spans="23:23">
      <c r="W22604" s="503"/>
    </row>
    <row r="22605" spans="23:23">
      <c r="W22605" s="503"/>
    </row>
    <row r="22606" spans="23:23">
      <c r="W22606" s="503"/>
    </row>
    <row r="22607" spans="23:23">
      <c r="W22607" s="503"/>
    </row>
    <row r="22608" spans="23:23">
      <c r="W22608" s="503"/>
    </row>
    <row r="22609" spans="23:23">
      <c r="W22609" s="503"/>
    </row>
    <row r="22610" spans="23:23">
      <c r="W22610" s="503"/>
    </row>
    <row r="22611" spans="23:23">
      <c r="W22611" s="503"/>
    </row>
    <row r="22612" spans="23:23">
      <c r="W22612" s="503"/>
    </row>
    <row r="22613" spans="23:23">
      <c r="W22613" s="503"/>
    </row>
    <row r="22614" spans="23:23">
      <c r="W22614" s="503"/>
    </row>
    <row r="22615" spans="23:23">
      <c r="W22615" s="503"/>
    </row>
    <row r="22616" spans="23:23">
      <c r="W22616" s="503"/>
    </row>
    <row r="22617" spans="23:23">
      <c r="W22617" s="503"/>
    </row>
    <row r="22618" spans="23:23">
      <c r="W22618" s="503"/>
    </row>
    <row r="22619" spans="23:23">
      <c r="W22619" s="503"/>
    </row>
    <row r="22620" spans="23:23">
      <c r="W22620" s="503"/>
    </row>
    <row r="22621" spans="23:23">
      <c r="W22621" s="503"/>
    </row>
    <row r="22622" spans="23:23">
      <c r="W22622" s="503"/>
    </row>
    <row r="22623" spans="23:23">
      <c r="W22623" s="503"/>
    </row>
    <row r="22624" spans="23:23">
      <c r="W22624" s="503"/>
    </row>
    <row r="22625" spans="23:23">
      <c r="W22625" s="503"/>
    </row>
    <row r="22626" spans="23:23">
      <c r="W22626" s="503"/>
    </row>
    <row r="22627" spans="23:23">
      <c r="W22627" s="503"/>
    </row>
    <row r="22628" spans="23:23">
      <c r="W22628" s="503"/>
    </row>
    <row r="22629" spans="23:23">
      <c r="W22629" s="503"/>
    </row>
    <row r="22630" spans="23:23">
      <c r="W22630" s="503"/>
    </row>
    <row r="22631" spans="23:23">
      <c r="W22631" s="503"/>
    </row>
    <row r="22632" spans="23:23">
      <c r="W22632" s="503"/>
    </row>
    <row r="22633" spans="23:23">
      <c r="W22633" s="503"/>
    </row>
    <row r="22634" spans="23:23">
      <c r="W22634" s="503"/>
    </row>
    <row r="22635" spans="23:23">
      <c r="W22635" s="503"/>
    </row>
    <row r="22636" spans="23:23">
      <c r="W22636" s="503"/>
    </row>
    <row r="22637" spans="23:23">
      <c r="W22637" s="503"/>
    </row>
    <row r="22638" spans="23:23">
      <c r="W22638" s="503"/>
    </row>
    <row r="22639" spans="23:23">
      <c r="W22639" s="503"/>
    </row>
    <row r="22640" spans="23:23">
      <c r="W22640" s="503"/>
    </row>
    <row r="22641" spans="23:23">
      <c r="W22641" s="503"/>
    </row>
    <row r="22642" spans="23:23">
      <c r="W22642" s="503"/>
    </row>
    <row r="22643" spans="23:23">
      <c r="W22643" s="503"/>
    </row>
    <row r="22644" spans="23:23">
      <c r="W22644" s="503"/>
    </row>
    <row r="22645" spans="23:23">
      <c r="W22645" s="503"/>
    </row>
    <row r="22646" spans="23:23">
      <c r="W22646" s="503"/>
    </row>
    <row r="22647" spans="23:23">
      <c r="W22647" s="503"/>
    </row>
    <row r="22648" spans="23:23">
      <c r="W22648" s="503"/>
    </row>
    <row r="22649" spans="23:23">
      <c r="W22649" s="503"/>
    </row>
    <row r="22650" spans="23:23">
      <c r="W22650" s="503"/>
    </row>
    <row r="22651" spans="23:23">
      <c r="W22651" s="503"/>
    </row>
    <row r="22652" spans="23:23">
      <c r="W22652" s="503"/>
    </row>
    <row r="22653" spans="23:23">
      <c r="W22653" s="503"/>
    </row>
    <row r="22654" spans="23:23">
      <c r="W22654" s="503"/>
    </row>
    <row r="22655" spans="23:23">
      <c r="W22655" s="503"/>
    </row>
    <row r="22656" spans="23:23">
      <c r="W22656" s="503"/>
    </row>
    <row r="22657" spans="23:23">
      <c r="W22657" s="503"/>
    </row>
    <row r="22658" spans="23:23">
      <c r="W22658" s="503"/>
    </row>
    <row r="22659" spans="23:23">
      <c r="W22659" s="503"/>
    </row>
    <row r="22660" spans="23:23">
      <c r="W22660" s="503"/>
    </row>
    <row r="22661" spans="23:23">
      <c r="W22661" s="503"/>
    </row>
    <row r="22662" spans="23:23">
      <c r="W22662" s="503"/>
    </row>
    <row r="22663" spans="23:23">
      <c r="W22663" s="503"/>
    </row>
    <row r="22664" spans="23:23">
      <c r="W22664" s="503"/>
    </row>
    <row r="22665" spans="23:23">
      <c r="W22665" s="503"/>
    </row>
    <row r="22666" spans="23:23">
      <c r="W22666" s="503"/>
    </row>
    <row r="22667" spans="23:23">
      <c r="W22667" s="503"/>
    </row>
    <row r="22668" spans="23:23">
      <c r="W22668" s="503"/>
    </row>
    <row r="22669" spans="23:23">
      <c r="W22669" s="503"/>
    </row>
    <row r="22670" spans="23:23">
      <c r="W22670" s="503"/>
    </row>
    <row r="22671" spans="23:23">
      <c r="W22671" s="503"/>
    </row>
    <row r="22672" spans="23:23">
      <c r="W22672" s="503"/>
    </row>
    <row r="22673" spans="23:23">
      <c r="W22673" s="503"/>
    </row>
    <row r="22674" spans="23:23">
      <c r="W22674" s="503"/>
    </row>
    <row r="22675" spans="23:23">
      <c r="W22675" s="503"/>
    </row>
    <row r="22676" spans="23:23">
      <c r="W22676" s="503"/>
    </row>
    <row r="22677" spans="23:23">
      <c r="W22677" s="503"/>
    </row>
    <row r="22678" spans="23:23">
      <c r="W22678" s="503"/>
    </row>
    <row r="22679" spans="23:23">
      <c r="W22679" s="503"/>
    </row>
    <row r="22680" spans="23:23">
      <c r="W22680" s="503"/>
    </row>
    <row r="22681" spans="23:23">
      <c r="W22681" s="503"/>
    </row>
    <row r="22682" spans="23:23">
      <c r="W22682" s="503"/>
    </row>
    <row r="22683" spans="23:23">
      <c r="W22683" s="503"/>
    </row>
    <row r="22684" spans="23:23">
      <c r="W22684" s="503"/>
    </row>
    <row r="22685" spans="23:23">
      <c r="W22685" s="503"/>
    </row>
    <row r="22686" spans="23:23">
      <c r="W22686" s="503"/>
    </row>
    <row r="22687" spans="23:23">
      <c r="W22687" s="503"/>
    </row>
    <row r="22688" spans="23:23">
      <c r="W22688" s="503"/>
    </row>
    <row r="22689" spans="23:23">
      <c r="W22689" s="503"/>
    </row>
    <row r="22690" spans="23:23">
      <c r="W22690" s="503"/>
    </row>
    <row r="22691" spans="23:23">
      <c r="W22691" s="503"/>
    </row>
    <row r="22692" spans="23:23">
      <c r="W22692" s="503"/>
    </row>
    <row r="22693" spans="23:23">
      <c r="W22693" s="503"/>
    </row>
    <row r="22694" spans="23:23">
      <c r="W22694" s="503"/>
    </row>
    <row r="22695" spans="23:23">
      <c r="W22695" s="503"/>
    </row>
    <row r="22696" spans="23:23">
      <c r="W22696" s="503"/>
    </row>
    <row r="22697" spans="23:23">
      <c r="W22697" s="503"/>
    </row>
    <row r="22698" spans="23:23">
      <c r="W22698" s="503"/>
    </row>
    <row r="22699" spans="23:23">
      <c r="W22699" s="503"/>
    </row>
    <row r="22700" spans="23:23">
      <c r="W22700" s="503"/>
    </row>
    <row r="22701" spans="23:23">
      <c r="W22701" s="503"/>
    </row>
    <row r="22702" spans="23:23">
      <c r="W22702" s="503"/>
    </row>
    <row r="22703" spans="23:23">
      <c r="W22703" s="503"/>
    </row>
    <row r="22704" spans="23:23">
      <c r="W22704" s="503"/>
    </row>
    <row r="22705" spans="23:23">
      <c r="W22705" s="503"/>
    </row>
    <row r="22706" spans="23:23">
      <c r="W22706" s="503"/>
    </row>
    <row r="22707" spans="23:23">
      <c r="W22707" s="503"/>
    </row>
    <row r="22708" spans="23:23">
      <c r="W22708" s="503"/>
    </row>
    <row r="22709" spans="23:23">
      <c r="W22709" s="503"/>
    </row>
    <row r="22710" spans="23:23">
      <c r="W22710" s="503"/>
    </row>
    <row r="22711" spans="23:23">
      <c r="W22711" s="503"/>
    </row>
    <row r="22712" spans="23:23">
      <c r="W22712" s="503"/>
    </row>
    <row r="22713" spans="23:23">
      <c r="W22713" s="503"/>
    </row>
    <row r="22714" spans="23:23">
      <c r="W22714" s="503"/>
    </row>
    <row r="22715" spans="23:23">
      <c r="W22715" s="503"/>
    </row>
    <row r="22716" spans="23:23">
      <c r="W22716" s="503"/>
    </row>
    <row r="22717" spans="23:23">
      <c r="W22717" s="503"/>
    </row>
    <row r="22718" spans="23:23">
      <c r="W22718" s="503"/>
    </row>
    <row r="22719" spans="23:23">
      <c r="W22719" s="503"/>
    </row>
    <row r="22720" spans="23:23">
      <c r="W22720" s="503"/>
    </row>
    <row r="22721" spans="23:23">
      <c r="W22721" s="503"/>
    </row>
    <row r="22722" spans="23:23">
      <c r="W22722" s="503"/>
    </row>
    <row r="22723" spans="23:23">
      <c r="W22723" s="503"/>
    </row>
    <row r="22724" spans="23:23">
      <c r="W22724" s="503"/>
    </row>
    <row r="22725" spans="23:23">
      <c r="W22725" s="503"/>
    </row>
    <row r="22726" spans="23:23">
      <c r="W22726" s="503"/>
    </row>
    <row r="22727" spans="23:23">
      <c r="W22727" s="503"/>
    </row>
    <row r="22728" spans="23:23">
      <c r="W22728" s="503"/>
    </row>
    <row r="22729" spans="23:23">
      <c r="W22729" s="503"/>
    </row>
    <row r="22730" spans="23:23">
      <c r="W22730" s="503"/>
    </row>
    <row r="22731" spans="23:23">
      <c r="W22731" s="503"/>
    </row>
    <row r="22732" spans="23:23">
      <c r="W22732" s="503"/>
    </row>
    <row r="22733" spans="23:23">
      <c r="W22733" s="503"/>
    </row>
    <row r="22734" spans="23:23">
      <c r="W22734" s="503"/>
    </row>
    <row r="22735" spans="23:23">
      <c r="W22735" s="503"/>
    </row>
    <row r="22736" spans="23:23">
      <c r="W22736" s="503"/>
    </row>
    <row r="22737" spans="23:23">
      <c r="W22737" s="503"/>
    </row>
    <row r="22738" spans="23:23">
      <c r="W22738" s="503"/>
    </row>
    <row r="22739" spans="23:23">
      <c r="W22739" s="503"/>
    </row>
    <row r="22740" spans="23:23">
      <c r="W22740" s="503"/>
    </row>
    <row r="22741" spans="23:23">
      <c r="W22741" s="503"/>
    </row>
    <row r="22742" spans="23:23">
      <c r="W22742" s="503"/>
    </row>
    <row r="22743" spans="23:23">
      <c r="W22743" s="503"/>
    </row>
    <row r="22744" spans="23:23">
      <c r="W22744" s="503"/>
    </row>
    <row r="22745" spans="23:23">
      <c r="W22745" s="503"/>
    </row>
    <row r="22746" spans="23:23">
      <c r="W22746" s="503"/>
    </row>
    <row r="22747" spans="23:23">
      <c r="W22747" s="503"/>
    </row>
    <row r="22748" spans="23:23">
      <c r="W22748" s="503"/>
    </row>
    <row r="22749" spans="23:23">
      <c r="W22749" s="503"/>
    </row>
    <row r="22750" spans="23:23">
      <c r="W22750" s="503"/>
    </row>
    <row r="22751" spans="23:23">
      <c r="W22751" s="503"/>
    </row>
    <row r="22752" spans="23:23">
      <c r="W22752" s="503"/>
    </row>
    <row r="22753" spans="23:23">
      <c r="W22753" s="503"/>
    </row>
    <row r="22754" spans="23:23">
      <c r="W22754" s="503"/>
    </row>
    <row r="22755" spans="23:23">
      <c r="W22755" s="503"/>
    </row>
    <row r="22756" spans="23:23">
      <c r="W22756" s="503"/>
    </row>
    <row r="22757" spans="23:23">
      <c r="W22757" s="503"/>
    </row>
    <row r="22758" spans="23:23">
      <c r="W22758" s="503"/>
    </row>
    <row r="22759" spans="23:23">
      <c r="W22759" s="503"/>
    </row>
    <row r="22760" spans="23:23">
      <c r="W22760" s="503"/>
    </row>
    <row r="22761" spans="23:23">
      <c r="W22761" s="503"/>
    </row>
    <row r="22762" spans="23:23">
      <c r="W22762" s="503"/>
    </row>
    <row r="22763" spans="23:23">
      <c r="W22763" s="503"/>
    </row>
    <row r="22764" spans="23:23">
      <c r="W22764" s="503"/>
    </row>
    <row r="22765" spans="23:23">
      <c r="W22765" s="503"/>
    </row>
    <row r="22766" spans="23:23">
      <c r="W22766" s="503"/>
    </row>
    <row r="22767" spans="23:23">
      <c r="W22767" s="503"/>
    </row>
    <row r="22768" spans="23:23">
      <c r="W22768" s="503"/>
    </row>
    <row r="22769" spans="23:23">
      <c r="W22769" s="503"/>
    </row>
    <row r="22770" spans="23:23">
      <c r="W22770" s="503"/>
    </row>
    <row r="22771" spans="23:23">
      <c r="W22771" s="503"/>
    </row>
    <row r="22772" spans="23:23">
      <c r="W22772" s="503"/>
    </row>
    <row r="22773" spans="23:23">
      <c r="W22773" s="503"/>
    </row>
    <row r="22774" spans="23:23">
      <c r="W22774" s="503"/>
    </row>
    <row r="22775" spans="23:23">
      <c r="W22775" s="503"/>
    </row>
    <row r="22776" spans="23:23">
      <c r="W22776" s="503"/>
    </row>
    <row r="22777" spans="23:23">
      <c r="W22777" s="503"/>
    </row>
    <row r="22778" spans="23:23">
      <c r="W22778" s="503"/>
    </row>
    <row r="22779" spans="23:23">
      <c r="W22779" s="503"/>
    </row>
    <row r="22780" spans="23:23">
      <c r="W22780" s="503"/>
    </row>
    <row r="22781" spans="23:23">
      <c r="W22781" s="503"/>
    </row>
    <row r="22782" spans="23:23">
      <c r="W22782" s="503"/>
    </row>
    <row r="22783" spans="23:23">
      <c r="W22783" s="503"/>
    </row>
    <row r="22784" spans="23:23">
      <c r="W22784" s="503"/>
    </row>
    <row r="22785" spans="23:23">
      <c r="W22785" s="503"/>
    </row>
    <row r="22786" spans="23:23">
      <c r="W22786" s="503"/>
    </row>
    <row r="22787" spans="23:23">
      <c r="W22787" s="503"/>
    </row>
    <row r="22788" spans="23:23">
      <c r="W22788" s="503"/>
    </row>
    <row r="22789" spans="23:23">
      <c r="W22789" s="503"/>
    </row>
    <row r="22790" spans="23:23">
      <c r="W22790" s="503"/>
    </row>
    <row r="22791" spans="23:23">
      <c r="W22791" s="503"/>
    </row>
    <row r="22792" spans="23:23">
      <c r="W22792" s="503"/>
    </row>
    <row r="22793" spans="23:23">
      <c r="W22793" s="503"/>
    </row>
    <row r="22794" spans="23:23">
      <c r="W22794" s="503"/>
    </row>
    <row r="22795" spans="23:23">
      <c r="W22795" s="503"/>
    </row>
    <row r="22796" spans="23:23">
      <c r="W22796" s="503"/>
    </row>
    <row r="22797" spans="23:23">
      <c r="W22797" s="503"/>
    </row>
    <row r="22798" spans="23:23">
      <c r="W22798" s="503"/>
    </row>
    <row r="22799" spans="23:23">
      <c r="W22799" s="503"/>
    </row>
    <row r="22800" spans="23:23">
      <c r="W22800" s="503"/>
    </row>
    <row r="22801" spans="23:23">
      <c r="W22801" s="503"/>
    </row>
    <row r="22802" spans="23:23">
      <c r="W22802" s="503"/>
    </row>
    <row r="22803" spans="23:23">
      <c r="W22803" s="503"/>
    </row>
    <row r="22804" spans="23:23">
      <c r="W22804" s="503"/>
    </row>
    <row r="22805" spans="23:23">
      <c r="W22805" s="503"/>
    </row>
    <row r="22806" spans="23:23">
      <c r="W22806" s="503"/>
    </row>
    <row r="22807" spans="23:23">
      <c r="W22807" s="503"/>
    </row>
    <row r="22808" spans="23:23">
      <c r="W22808" s="503"/>
    </row>
    <row r="22809" spans="23:23">
      <c r="W22809" s="503"/>
    </row>
    <row r="22810" spans="23:23">
      <c r="W22810" s="503"/>
    </row>
    <row r="22811" spans="23:23">
      <c r="W22811" s="503"/>
    </row>
    <row r="22812" spans="23:23">
      <c r="W22812" s="503"/>
    </row>
    <row r="22813" spans="23:23">
      <c r="W22813" s="503"/>
    </row>
    <row r="22814" spans="23:23">
      <c r="W22814" s="503"/>
    </row>
    <row r="22815" spans="23:23">
      <c r="W22815" s="503"/>
    </row>
    <row r="22816" spans="23:23">
      <c r="W22816" s="503"/>
    </row>
    <row r="22817" spans="23:23">
      <c r="W22817" s="503"/>
    </row>
    <row r="22818" spans="23:23">
      <c r="W22818" s="503"/>
    </row>
    <row r="22819" spans="23:23">
      <c r="W22819" s="503"/>
    </row>
    <row r="22820" spans="23:23">
      <c r="W22820" s="503"/>
    </row>
    <row r="22821" spans="23:23">
      <c r="W22821" s="503"/>
    </row>
    <row r="22822" spans="23:23">
      <c r="W22822" s="503"/>
    </row>
    <row r="22823" spans="23:23">
      <c r="W22823" s="503"/>
    </row>
    <row r="22824" spans="23:23">
      <c r="W22824" s="503"/>
    </row>
    <row r="22825" spans="23:23">
      <c r="W22825" s="503"/>
    </row>
    <row r="22826" spans="23:23">
      <c r="W22826" s="503"/>
    </row>
    <row r="22827" spans="23:23">
      <c r="W22827" s="503"/>
    </row>
    <row r="22828" spans="23:23">
      <c r="W22828" s="503"/>
    </row>
    <row r="22829" spans="23:23">
      <c r="W22829" s="503"/>
    </row>
    <row r="22830" spans="23:23">
      <c r="W22830" s="503"/>
    </row>
    <row r="22831" spans="23:23">
      <c r="W22831" s="503"/>
    </row>
    <row r="22832" spans="23:23">
      <c r="W22832" s="503"/>
    </row>
    <row r="22833" spans="23:23">
      <c r="W22833" s="503"/>
    </row>
    <row r="22834" spans="23:23">
      <c r="W22834" s="503"/>
    </row>
    <row r="22835" spans="23:23">
      <c r="W22835" s="503"/>
    </row>
    <row r="22836" spans="23:23">
      <c r="W22836" s="503"/>
    </row>
    <row r="22837" spans="23:23">
      <c r="W22837" s="503"/>
    </row>
    <row r="22838" spans="23:23">
      <c r="W22838" s="503"/>
    </row>
    <row r="22839" spans="23:23">
      <c r="W22839" s="503"/>
    </row>
    <row r="22840" spans="23:23">
      <c r="W22840" s="503"/>
    </row>
    <row r="22841" spans="23:23">
      <c r="W22841" s="503"/>
    </row>
    <row r="22842" spans="23:23">
      <c r="W22842" s="503"/>
    </row>
    <row r="22843" spans="23:23">
      <c r="W22843" s="503"/>
    </row>
    <row r="22844" spans="23:23">
      <c r="W22844" s="503"/>
    </row>
    <row r="22845" spans="23:23">
      <c r="W22845" s="503"/>
    </row>
    <row r="22846" spans="23:23">
      <c r="W22846" s="503"/>
    </row>
    <row r="22847" spans="23:23">
      <c r="W22847" s="503"/>
    </row>
    <row r="22848" spans="23:23">
      <c r="W22848" s="503"/>
    </row>
    <row r="22849" spans="23:23">
      <c r="W22849" s="503"/>
    </row>
    <row r="22850" spans="23:23">
      <c r="W22850" s="503"/>
    </row>
    <row r="22851" spans="23:23">
      <c r="W22851" s="503"/>
    </row>
    <row r="22852" spans="23:23">
      <c r="W22852" s="503"/>
    </row>
    <row r="22853" spans="23:23">
      <c r="W22853" s="503"/>
    </row>
    <row r="22854" spans="23:23">
      <c r="W22854" s="503"/>
    </row>
    <row r="22855" spans="23:23">
      <c r="W22855" s="503"/>
    </row>
    <row r="22856" spans="23:23">
      <c r="W22856" s="503"/>
    </row>
    <row r="22857" spans="23:23">
      <c r="W22857" s="503"/>
    </row>
    <row r="22858" spans="23:23">
      <c r="W22858" s="503"/>
    </row>
    <row r="22859" spans="23:23">
      <c r="W22859" s="503"/>
    </row>
    <row r="22860" spans="23:23">
      <c r="W22860" s="503"/>
    </row>
    <row r="22861" spans="23:23">
      <c r="W22861" s="503"/>
    </row>
    <row r="22862" spans="23:23">
      <c r="W22862" s="503"/>
    </row>
    <row r="22863" spans="23:23">
      <c r="W22863" s="503"/>
    </row>
    <row r="22864" spans="23:23">
      <c r="W22864" s="503"/>
    </row>
    <row r="22865" spans="23:23">
      <c r="W22865" s="503"/>
    </row>
    <row r="22866" spans="23:23">
      <c r="W22866" s="503"/>
    </row>
    <row r="22867" spans="23:23">
      <c r="W22867" s="503"/>
    </row>
    <row r="22868" spans="23:23">
      <c r="W22868" s="503"/>
    </row>
    <row r="22869" spans="23:23">
      <c r="W22869" s="503"/>
    </row>
    <row r="22870" spans="23:23">
      <c r="W22870" s="503"/>
    </row>
    <row r="22871" spans="23:23">
      <c r="W22871" s="503"/>
    </row>
    <row r="22872" spans="23:23">
      <c r="W22872" s="503"/>
    </row>
    <row r="22873" spans="23:23">
      <c r="W22873" s="503"/>
    </row>
    <row r="22874" spans="23:23">
      <c r="W22874" s="503"/>
    </row>
    <row r="22875" spans="23:23">
      <c r="W22875" s="503"/>
    </row>
    <row r="22876" spans="23:23">
      <c r="W22876" s="503"/>
    </row>
    <row r="22877" spans="23:23">
      <c r="W22877" s="503"/>
    </row>
    <row r="22878" spans="23:23">
      <c r="W22878" s="503"/>
    </row>
    <row r="22879" spans="23:23">
      <c r="W22879" s="503"/>
    </row>
    <row r="22880" spans="23:23">
      <c r="W22880" s="503"/>
    </row>
    <row r="22881" spans="23:23">
      <c r="W22881" s="503"/>
    </row>
    <row r="22882" spans="23:23">
      <c r="W22882" s="503"/>
    </row>
    <row r="22883" spans="23:23">
      <c r="W22883" s="503"/>
    </row>
    <row r="22884" spans="23:23">
      <c r="W22884" s="503"/>
    </row>
    <row r="22885" spans="23:23">
      <c r="W22885" s="503"/>
    </row>
    <row r="22886" spans="23:23">
      <c r="W22886" s="503"/>
    </row>
    <row r="22887" spans="23:23">
      <c r="W22887" s="503"/>
    </row>
    <row r="22888" spans="23:23">
      <c r="W22888" s="503"/>
    </row>
    <row r="22889" spans="23:23">
      <c r="W22889" s="503"/>
    </row>
    <row r="22890" spans="23:23">
      <c r="W22890" s="503"/>
    </row>
    <row r="22891" spans="23:23">
      <c r="W22891" s="503"/>
    </row>
    <row r="22892" spans="23:23">
      <c r="W22892" s="503"/>
    </row>
    <row r="22893" spans="23:23">
      <c r="W22893" s="503"/>
    </row>
    <row r="22894" spans="23:23">
      <c r="W22894" s="503"/>
    </row>
    <row r="22895" spans="23:23">
      <c r="W22895" s="503"/>
    </row>
    <row r="22896" spans="23:23">
      <c r="W22896" s="503"/>
    </row>
    <row r="22897" spans="23:23">
      <c r="W22897" s="503"/>
    </row>
    <row r="22898" spans="23:23">
      <c r="W22898" s="503"/>
    </row>
    <row r="22899" spans="23:23">
      <c r="W22899" s="503"/>
    </row>
    <row r="22900" spans="23:23">
      <c r="W22900" s="503"/>
    </row>
    <row r="22901" spans="23:23">
      <c r="W22901" s="503"/>
    </row>
    <row r="22902" spans="23:23">
      <c r="W22902" s="503"/>
    </row>
    <row r="22903" spans="23:23">
      <c r="W22903" s="503"/>
    </row>
    <row r="22904" spans="23:23">
      <c r="W22904" s="503"/>
    </row>
    <row r="22905" spans="23:23">
      <c r="W22905" s="503"/>
    </row>
    <row r="22906" spans="23:23">
      <c r="W22906" s="503"/>
    </row>
    <row r="22907" spans="23:23">
      <c r="W22907" s="503"/>
    </row>
    <row r="22908" spans="23:23">
      <c r="W22908" s="503"/>
    </row>
    <row r="22909" spans="23:23">
      <c r="W22909" s="503"/>
    </row>
    <row r="22910" spans="23:23">
      <c r="W22910" s="503"/>
    </row>
    <row r="22911" spans="23:23">
      <c r="W22911" s="503"/>
    </row>
    <row r="22912" spans="23:23">
      <c r="W22912" s="503"/>
    </row>
    <row r="22913" spans="23:23">
      <c r="W22913" s="503"/>
    </row>
    <row r="22914" spans="23:23">
      <c r="W22914" s="503"/>
    </row>
    <row r="22915" spans="23:23">
      <c r="W22915" s="503"/>
    </row>
    <row r="22916" spans="23:23">
      <c r="W22916" s="503"/>
    </row>
    <row r="22917" spans="23:23">
      <c r="W22917" s="503"/>
    </row>
    <row r="22918" spans="23:23">
      <c r="W22918" s="503"/>
    </row>
    <row r="22919" spans="23:23">
      <c r="W22919" s="503"/>
    </row>
    <row r="22920" spans="23:23">
      <c r="W22920" s="503"/>
    </row>
    <row r="22921" spans="23:23">
      <c r="W22921" s="503"/>
    </row>
    <row r="22922" spans="23:23">
      <c r="W22922" s="503"/>
    </row>
    <row r="22923" spans="23:23">
      <c r="W22923" s="503"/>
    </row>
    <row r="22924" spans="23:23">
      <c r="W22924" s="503"/>
    </row>
    <row r="22925" spans="23:23">
      <c r="W22925" s="503"/>
    </row>
    <row r="22926" spans="23:23">
      <c r="W22926" s="503"/>
    </row>
    <row r="22927" spans="23:23">
      <c r="W22927" s="503"/>
    </row>
    <row r="22928" spans="23:23">
      <c r="W22928" s="503"/>
    </row>
    <row r="22929" spans="23:23">
      <c r="W22929" s="503"/>
    </row>
    <row r="22930" spans="23:23">
      <c r="W22930" s="503"/>
    </row>
    <row r="22931" spans="23:23">
      <c r="W22931" s="503"/>
    </row>
    <row r="22932" spans="23:23">
      <c r="W22932" s="503"/>
    </row>
    <row r="22933" spans="23:23">
      <c r="W22933" s="503"/>
    </row>
    <row r="22934" spans="23:23">
      <c r="W22934" s="503"/>
    </row>
    <row r="22935" spans="23:23">
      <c r="W22935" s="503"/>
    </row>
    <row r="22936" spans="23:23">
      <c r="W22936" s="503"/>
    </row>
    <row r="22937" spans="23:23">
      <c r="W22937" s="503"/>
    </row>
    <row r="22938" spans="23:23">
      <c r="W22938" s="503"/>
    </row>
    <row r="22939" spans="23:23">
      <c r="W22939" s="503"/>
    </row>
    <row r="22940" spans="23:23">
      <c r="W22940" s="503"/>
    </row>
    <row r="22941" spans="23:23">
      <c r="W22941" s="503"/>
    </row>
    <row r="22942" spans="23:23">
      <c r="W22942" s="503"/>
    </row>
    <row r="22943" spans="23:23">
      <c r="W22943" s="503"/>
    </row>
    <row r="22944" spans="23:23">
      <c r="W22944" s="503"/>
    </row>
    <row r="22945" spans="23:23">
      <c r="W22945" s="503"/>
    </row>
    <row r="22946" spans="23:23">
      <c r="W22946" s="503"/>
    </row>
    <row r="22947" spans="23:23">
      <c r="W22947" s="503"/>
    </row>
    <row r="22948" spans="23:23">
      <c r="W22948" s="503"/>
    </row>
    <row r="22949" spans="23:23">
      <c r="W22949" s="503"/>
    </row>
    <row r="22950" spans="23:23">
      <c r="W22950" s="503"/>
    </row>
    <row r="22951" spans="23:23">
      <c r="W22951" s="503"/>
    </row>
    <row r="22952" spans="23:23">
      <c r="W22952" s="503"/>
    </row>
    <row r="22953" spans="23:23">
      <c r="W22953" s="503"/>
    </row>
    <row r="22954" spans="23:23">
      <c r="W22954" s="503"/>
    </row>
    <row r="22955" spans="23:23">
      <c r="W22955" s="503"/>
    </row>
    <row r="22956" spans="23:23">
      <c r="W22956" s="503"/>
    </row>
    <row r="22957" spans="23:23">
      <c r="W22957" s="503"/>
    </row>
    <row r="22958" spans="23:23">
      <c r="W22958" s="503"/>
    </row>
    <row r="22959" spans="23:23">
      <c r="W22959" s="503"/>
    </row>
    <row r="22960" spans="23:23">
      <c r="W22960" s="503"/>
    </row>
    <row r="22961" spans="23:23">
      <c r="W22961" s="503"/>
    </row>
    <row r="22962" spans="23:23">
      <c r="W22962" s="503"/>
    </row>
    <row r="22963" spans="23:23">
      <c r="W22963" s="503"/>
    </row>
    <row r="22964" spans="23:23">
      <c r="W22964" s="503"/>
    </row>
    <row r="22965" spans="23:23">
      <c r="W22965" s="503"/>
    </row>
    <row r="22966" spans="23:23">
      <c r="W22966" s="503"/>
    </row>
    <row r="22967" spans="23:23">
      <c r="W22967" s="503"/>
    </row>
    <row r="22968" spans="23:23">
      <c r="W22968" s="503"/>
    </row>
    <row r="22969" spans="23:23">
      <c r="W22969" s="503"/>
    </row>
    <row r="22970" spans="23:23">
      <c r="W22970" s="503"/>
    </row>
    <row r="22971" spans="23:23">
      <c r="W22971" s="503"/>
    </row>
    <row r="22972" spans="23:23">
      <c r="W22972" s="503"/>
    </row>
    <row r="22973" spans="23:23">
      <c r="W22973" s="503"/>
    </row>
    <row r="22974" spans="23:23">
      <c r="W22974" s="503"/>
    </row>
    <row r="22975" spans="23:23">
      <c r="W22975" s="503"/>
    </row>
    <row r="22976" spans="23:23">
      <c r="W22976" s="503"/>
    </row>
    <row r="22977" spans="23:23">
      <c r="W22977" s="503"/>
    </row>
    <row r="22978" spans="23:23">
      <c r="W22978" s="503"/>
    </row>
    <row r="22979" spans="23:23">
      <c r="W22979" s="503"/>
    </row>
    <row r="22980" spans="23:23">
      <c r="W22980" s="503"/>
    </row>
    <row r="22981" spans="23:23">
      <c r="W22981" s="503"/>
    </row>
    <row r="22982" spans="23:23">
      <c r="W22982" s="503"/>
    </row>
    <row r="22983" spans="23:23">
      <c r="W22983" s="503"/>
    </row>
    <row r="22984" spans="23:23">
      <c r="W22984" s="503"/>
    </row>
    <row r="22985" spans="23:23">
      <c r="W22985" s="503"/>
    </row>
    <row r="22986" spans="23:23">
      <c r="W22986" s="503"/>
    </row>
    <row r="22987" spans="23:23">
      <c r="W22987" s="503"/>
    </row>
    <row r="22988" spans="23:23">
      <c r="W22988" s="503"/>
    </row>
    <row r="22989" spans="23:23">
      <c r="W22989" s="503"/>
    </row>
    <row r="22990" spans="23:23">
      <c r="W22990" s="503"/>
    </row>
    <row r="22991" spans="23:23">
      <c r="W22991" s="503"/>
    </row>
    <row r="22992" spans="23:23">
      <c r="W22992" s="503"/>
    </row>
    <row r="22993" spans="23:23">
      <c r="W22993" s="503"/>
    </row>
    <row r="22994" spans="23:23">
      <c r="W22994" s="503"/>
    </row>
    <row r="22995" spans="23:23">
      <c r="W22995" s="503"/>
    </row>
    <row r="22996" spans="23:23">
      <c r="W22996" s="503"/>
    </row>
    <row r="22997" spans="23:23">
      <c r="W22997" s="503"/>
    </row>
    <row r="22998" spans="23:23">
      <c r="W22998" s="503"/>
    </row>
    <row r="22999" spans="23:23">
      <c r="W22999" s="503"/>
    </row>
    <row r="23000" spans="23:23">
      <c r="W23000" s="503"/>
    </row>
    <row r="23001" spans="23:23">
      <c r="W23001" s="503"/>
    </row>
    <row r="23002" spans="23:23">
      <c r="W23002" s="503"/>
    </row>
    <row r="23003" spans="23:23">
      <c r="W23003" s="503"/>
    </row>
    <row r="23004" spans="23:23">
      <c r="W23004" s="503"/>
    </row>
    <row r="23005" spans="23:23">
      <c r="W23005" s="503"/>
    </row>
    <row r="23006" spans="23:23">
      <c r="W23006" s="503"/>
    </row>
    <row r="23007" spans="23:23">
      <c r="W23007" s="503"/>
    </row>
    <row r="23008" spans="23:23">
      <c r="W23008" s="503"/>
    </row>
    <row r="23009" spans="23:23">
      <c r="W23009" s="503"/>
    </row>
    <row r="23010" spans="23:23">
      <c r="W23010" s="503"/>
    </row>
    <row r="23011" spans="23:23">
      <c r="W23011" s="503"/>
    </row>
    <row r="23012" spans="23:23">
      <c r="W23012" s="503"/>
    </row>
    <row r="23013" spans="23:23">
      <c r="W23013" s="503"/>
    </row>
    <row r="23014" spans="23:23">
      <c r="W23014" s="503"/>
    </row>
    <row r="23015" spans="23:23">
      <c r="W23015" s="503"/>
    </row>
    <row r="23016" spans="23:23">
      <c r="W23016" s="503"/>
    </row>
    <row r="23017" spans="23:23">
      <c r="W23017" s="503"/>
    </row>
    <row r="23018" spans="23:23">
      <c r="W23018" s="503"/>
    </row>
    <row r="23019" spans="23:23">
      <c r="W23019" s="503"/>
    </row>
    <row r="23020" spans="23:23">
      <c r="W23020" s="503"/>
    </row>
    <row r="23021" spans="23:23">
      <c r="W23021" s="503"/>
    </row>
    <row r="23022" spans="23:23">
      <c r="W23022" s="503"/>
    </row>
    <row r="23023" spans="23:23">
      <c r="W23023" s="503"/>
    </row>
    <row r="23024" spans="23:23">
      <c r="W23024" s="503"/>
    </row>
    <row r="23025" spans="23:23">
      <c r="W23025" s="503"/>
    </row>
    <row r="23026" spans="23:23">
      <c r="W23026" s="503"/>
    </row>
    <row r="23027" spans="23:23">
      <c r="W23027" s="503"/>
    </row>
    <row r="23028" spans="23:23">
      <c r="W23028" s="503"/>
    </row>
    <row r="23029" spans="23:23">
      <c r="W23029" s="503"/>
    </row>
    <row r="23030" spans="23:23">
      <c r="W23030" s="503"/>
    </row>
    <row r="23031" spans="23:23">
      <c r="W23031" s="503"/>
    </row>
    <row r="23032" spans="23:23">
      <c r="W23032" s="503"/>
    </row>
    <row r="23033" spans="23:23">
      <c r="W23033" s="503"/>
    </row>
    <row r="23034" spans="23:23">
      <c r="W23034" s="503"/>
    </row>
    <row r="23035" spans="23:23">
      <c r="W23035" s="503"/>
    </row>
    <row r="23036" spans="23:23">
      <c r="W23036" s="503"/>
    </row>
    <row r="23037" spans="23:23">
      <c r="W23037" s="503"/>
    </row>
    <row r="23038" spans="23:23">
      <c r="W23038" s="503"/>
    </row>
    <row r="23039" spans="23:23">
      <c r="W23039" s="503"/>
    </row>
    <row r="23040" spans="23:23">
      <c r="W23040" s="503"/>
    </row>
    <row r="23041" spans="23:23">
      <c r="W23041" s="503"/>
    </row>
    <row r="23042" spans="23:23">
      <c r="W23042" s="503"/>
    </row>
    <row r="23043" spans="23:23">
      <c r="W23043" s="503"/>
    </row>
    <row r="23044" spans="23:23">
      <c r="W23044" s="503"/>
    </row>
    <row r="23045" spans="23:23">
      <c r="W23045" s="503"/>
    </row>
    <row r="23046" spans="23:23">
      <c r="W23046" s="503"/>
    </row>
    <row r="23047" spans="23:23">
      <c r="W23047" s="503"/>
    </row>
    <row r="23048" spans="23:23">
      <c r="W23048" s="503"/>
    </row>
    <row r="23049" spans="23:23">
      <c r="W23049" s="503"/>
    </row>
    <row r="23050" spans="23:23">
      <c r="W23050" s="503"/>
    </row>
    <row r="23051" spans="23:23">
      <c r="W23051" s="503"/>
    </row>
    <row r="23052" spans="23:23">
      <c r="W23052" s="503"/>
    </row>
    <row r="23053" spans="23:23">
      <c r="W23053" s="503"/>
    </row>
    <row r="23054" spans="23:23">
      <c r="W23054" s="503"/>
    </row>
    <row r="23055" spans="23:23">
      <c r="W23055" s="503"/>
    </row>
    <row r="23056" spans="23:23">
      <c r="W23056" s="503"/>
    </row>
    <row r="23057" spans="23:23">
      <c r="W23057" s="503"/>
    </row>
    <row r="23058" spans="23:23">
      <c r="W23058" s="503"/>
    </row>
    <row r="23059" spans="23:23">
      <c r="W23059" s="503"/>
    </row>
    <row r="23060" spans="23:23">
      <c r="W23060" s="503"/>
    </row>
    <row r="23061" spans="23:23">
      <c r="W23061" s="503"/>
    </row>
    <row r="23062" spans="23:23">
      <c r="W23062" s="503"/>
    </row>
    <row r="23063" spans="23:23">
      <c r="W23063" s="503"/>
    </row>
    <row r="23064" spans="23:23">
      <c r="W23064" s="503"/>
    </row>
    <row r="23065" spans="23:23">
      <c r="W23065" s="503"/>
    </row>
    <row r="23066" spans="23:23">
      <c r="W23066" s="503"/>
    </row>
    <row r="23067" spans="23:23">
      <c r="W23067" s="503"/>
    </row>
    <row r="23068" spans="23:23">
      <c r="W23068" s="503"/>
    </row>
    <row r="23069" spans="23:23">
      <c r="W23069" s="503"/>
    </row>
    <row r="23070" spans="23:23">
      <c r="W23070" s="503"/>
    </row>
    <row r="23071" spans="23:23">
      <c r="W23071" s="503"/>
    </row>
    <row r="23072" spans="23:23">
      <c r="W23072" s="503"/>
    </row>
    <row r="23073" spans="23:23">
      <c r="W23073" s="503"/>
    </row>
    <row r="23074" spans="23:23">
      <c r="W23074" s="503"/>
    </row>
    <row r="23075" spans="23:23">
      <c r="W23075" s="503"/>
    </row>
    <row r="23076" spans="23:23">
      <c r="W23076" s="503"/>
    </row>
    <row r="23077" spans="23:23">
      <c r="W23077" s="503"/>
    </row>
    <row r="23078" spans="23:23">
      <c r="W23078" s="503"/>
    </row>
    <row r="23079" spans="23:23">
      <c r="W23079" s="503"/>
    </row>
    <row r="23080" spans="23:23">
      <c r="W23080" s="503"/>
    </row>
    <row r="23081" spans="23:23">
      <c r="W23081" s="503"/>
    </row>
    <row r="23082" spans="23:23">
      <c r="W23082" s="503"/>
    </row>
    <row r="23083" spans="23:23">
      <c r="W23083" s="503"/>
    </row>
    <row r="23084" spans="23:23">
      <c r="W23084" s="503"/>
    </row>
    <row r="23085" spans="23:23">
      <c r="W23085" s="503"/>
    </row>
    <row r="23086" spans="23:23">
      <c r="W23086" s="503"/>
    </row>
    <row r="23087" spans="23:23">
      <c r="W23087" s="503"/>
    </row>
    <row r="23088" spans="23:23">
      <c r="W23088" s="503"/>
    </row>
    <row r="23089" spans="23:23">
      <c r="W23089" s="503"/>
    </row>
    <row r="23090" spans="23:23">
      <c r="W23090" s="503"/>
    </row>
    <row r="23091" spans="23:23">
      <c r="W23091" s="503"/>
    </row>
    <row r="23092" spans="23:23">
      <c r="W23092" s="503"/>
    </row>
    <row r="23093" spans="23:23">
      <c r="W23093" s="503"/>
    </row>
    <row r="23094" spans="23:23">
      <c r="W23094" s="503"/>
    </row>
    <row r="23095" spans="23:23">
      <c r="W23095" s="503"/>
    </row>
    <row r="23096" spans="23:23">
      <c r="W23096" s="503"/>
    </row>
    <row r="23097" spans="23:23">
      <c r="W23097" s="503"/>
    </row>
    <row r="23098" spans="23:23">
      <c r="W23098" s="503"/>
    </row>
    <row r="23099" spans="23:23">
      <c r="W23099" s="503"/>
    </row>
    <row r="23100" spans="23:23">
      <c r="W23100" s="503"/>
    </row>
    <row r="23101" spans="23:23">
      <c r="W23101" s="503"/>
    </row>
    <row r="23102" spans="23:23">
      <c r="W23102" s="503"/>
    </row>
    <row r="23103" spans="23:23">
      <c r="W23103" s="503"/>
    </row>
    <row r="23104" spans="23:23">
      <c r="W23104" s="503"/>
    </row>
    <row r="23105" spans="23:23">
      <c r="W23105" s="503"/>
    </row>
    <row r="23106" spans="23:23">
      <c r="W23106" s="503"/>
    </row>
    <row r="23107" spans="23:23">
      <c r="W23107" s="503"/>
    </row>
    <row r="23108" spans="23:23">
      <c r="W23108" s="503"/>
    </row>
    <row r="23109" spans="23:23">
      <c r="W23109" s="503"/>
    </row>
    <row r="23110" spans="23:23">
      <c r="W23110" s="503"/>
    </row>
    <row r="23111" spans="23:23">
      <c r="W23111" s="503"/>
    </row>
    <row r="23112" spans="23:23">
      <c r="W23112" s="503"/>
    </row>
    <row r="23113" spans="23:23">
      <c r="W23113" s="503"/>
    </row>
    <row r="23114" spans="23:23">
      <c r="W23114" s="503"/>
    </row>
    <row r="23115" spans="23:23">
      <c r="W23115" s="503"/>
    </row>
    <row r="23116" spans="23:23">
      <c r="W23116" s="503"/>
    </row>
    <row r="23117" spans="23:23">
      <c r="W23117" s="503"/>
    </row>
    <row r="23118" spans="23:23">
      <c r="W23118" s="503"/>
    </row>
    <row r="23119" spans="23:23">
      <c r="W23119" s="503"/>
    </row>
    <row r="23120" spans="23:23">
      <c r="W23120" s="503"/>
    </row>
    <row r="23121" spans="23:23">
      <c r="W23121" s="503"/>
    </row>
    <row r="23122" spans="23:23">
      <c r="W23122" s="503"/>
    </row>
    <row r="23123" spans="23:23">
      <c r="W23123" s="503"/>
    </row>
    <row r="23124" spans="23:23">
      <c r="W23124" s="503"/>
    </row>
    <row r="23125" spans="23:23">
      <c r="W23125" s="503"/>
    </row>
    <row r="23126" spans="23:23">
      <c r="W23126" s="503"/>
    </row>
    <row r="23127" spans="23:23">
      <c r="W23127" s="503"/>
    </row>
    <row r="23128" spans="23:23">
      <c r="W23128" s="503"/>
    </row>
    <row r="23129" spans="23:23">
      <c r="W23129" s="503"/>
    </row>
    <row r="23130" spans="23:23">
      <c r="W23130" s="503"/>
    </row>
    <row r="23131" spans="23:23">
      <c r="W23131" s="503"/>
    </row>
    <row r="23132" spans="23:23">
      <c r="W23132" s="503"/>
    </row>
    <row r="23133" spans="23:23">
      <c r="W23133" s="503"/>
    </row>
    <row r="23134" spans="23:23">
      <c r="W23134" s="503"/>
    </row>
    <row r="23135" spans="23:23">
      <c r="W23135" s="503"/>
    </row>
    <row r="23136" spans="23:23">
      <c r="W23136" s="503"/>
    </row>
    <row r="23137" spans="23:23">
      <c r="W23137" s="503"/>
    </row>
    <row r="23138" spans="23:23">
      <c r="W23138" s="503"/>
    </row>
    <row r="23139" spans="23:23">
      <c r="W23139" s="503"/>
    </row>
    <row r="23140" spans="23:23">
      <c r="W23140" s="503"/>
    </row>
    <row r="23141" spans="23:23">
      <c r="W23141" s="503"/>
    </row>
    <row r="23142" spans="23:23">
      <c r="W23142" s="503"/>
    </row>
    <row r="23143" spans="23:23">
      <c r="W23143" s="503"/>
    </row>
    <row r="23144" spans="23:23">
      <c r="W23144" s="503"/>
    </row>
    <row r="23145" spans="23:23">
      <c r="W23145" s="503"/>
    </row>
    <row r="23146" spans="23:23">
      <c r="W23146" s="503"/>
    </row>
    <row r="23147" spans="23:23">
      <c r="W23147" s="503"/>
    </row>
    <row r="23148" spans="23:23">
      <c r="W23148" s="503"/>
    </row>
    <row r="23149" spans="23:23">
      <c r="W23149" s="503"/>
    </row>
    <row r="23150" spans="23:23">
      <c r="W23150" s="503"/>
    </row>
    <row r="23151" spans="23:23">
      <c r="W23151" s="503"/>
    </row>
    <row r="23152" spans="23:23">
      <c r="W23152" s="503"/>
    </row>
    <row r="23153" spans="23:23">
      <c r="W23153" s="503"/>
    </row>
    <row r="23154" spans="23:23">
      <c r="W23154" s="503"/>
    </row>
    <row r="23155" spans="23:23">
      <c r="W23155" s="503"/>
    </row>
    <row r="23156" spans="23:23">
      <c r="W23156" s="503"/>
    </row>
    <row r="23157" spans="23:23">
      <c r="W23157" s="503"/>
    </row>
    <row r="23158" spans="23:23">
      <c r="W23158" s="503"/>
    </row>
    <row r="23159" spans="23:23">
      <c r="W23159" s="503"/>
    </row>
    <row r="23160" spans="23:23">
      <c r="W23160" s="503"/>
    </row>
    <row r="23161" spans="23:23">
      <c r="W23161" s="503"/>
    </row>
    <row r="23162" spans="23:23">
      <c r="W23162" s="503"/>
    </row>
    <row r="23163" spans="23:23">
      <c r="W23163" s="503"/>
    </row>
    <row r="23164" spans="23:23">
      <c r="W23164" s="503"/>
    </row>
    <row r="23165" spans="23:23">
      <c r="W23165" s="503"/>
    </row>
    <row r="23166" spans="23:23">
      <c r="W23166" s="503"/>
    </row>
    <row r="23167" spans="23:23">
      <c r="W23167" s="503"/>
    </row>
    <row r="23168" spans="23:23">
      <c r="W23168" s="503"/>
    </row>
    <row r="23169" spans="23:23">
      <c r="W23169" s="503"/>
    </row>
    <row r="23170" spans="23:23">
      <c r="W23170" s="503"/>
    </row>
    <row r="23171" spans="23:23">
      <c r="W23171" s="503"/>
    </row>
    <row r="23172" spans="23:23">
      <c r="W23172" s="503"/>
    </row>
    <row r="23173" spans="23:23">
      <c r="W23173" s="503"/>
    </row>
    <row r="23174" spans="23:23">
      <c r="W23174" s="503"/>
    </row>
    <row r="23175" spans="23:23">
      <c r="W23175" s="503"/>
    </row>
    <row r="23176" spans="23:23">
      <c r="W23176" s="503"/>
    </row>
    <row r="23177" spans="23:23">
      <c r="W23177" s="503"/>
    </row>
    <row r="23178" spans="23:23">
      <c r="W23178" s="503"/>
    </row>
    <row r="23179" spans="23:23">
      <c r="W23179" s="503"/>
    </row>
    <row r="23180" spans="23:23">
      <c r="W23180" s="503"/>
    </row>
    <row r="23181" spans="23:23">
      <c r="W23181" s="503"/>
    </row>
    <row r="23182" spans="23:23">
      <c r="W23182" s="503"/>
    </row>
    <row r="23183" spans="23:23">
      <c r="W23183" s="503"/>
    </row>
    <row r="23184" spans="23:23">
      <c r="W23184" s="503"/>
    </row>
    <row r="23185" spans="23:23">
      <c r="W23185" s="503"/>
    </row>
    <row r="23186" spans="23:23">
      <c r="W23186" s="503"/>
    </row>
    <row r="23187" spans="23:23">
      <c r="W23187" s="503"/>
    </row>
    <row r="23188" spans="23:23">
      <c r="W23188" s="503"/>
    </row>
    <row r="23189" spans="23:23">
      <c r="W23189" s="503"/>
    </row>
    <row r="23190" spans="23:23">
      <c r="W23190" s="503"/>
    </row>
    <row r="23191" spans="23:23">
      <c r="W23191" s="503"/>
    </row>
    <row r="23192" spans="23:23">
      <c r="W23192" s="503"/>
    </row>
    <row r="23193" spans="23:23">
      <c r="W23193" s="503"/>
    </row>
    <row r="23194" spans="23:23">
      <c r="W23194" s="503"/>
    </row>
    <row r="23195" spans="23:23">
      <c r="W23195" s="503"/>
    </row>
    <row r="23196" spans="23:23">
      <c r="W23196" s="503"/>
    </row>
    <row r="23197" spans="23:23">
      <c r="W23197" s="503"/>
    </row>
    <row r="23198" spans="23:23">
      <c r="W23198" s="503"/>
    </row>
    <row r="23199" spans="23:23">
      <c r="W23199" s="503"/>
    </row>
    <row r="23200" spans="23:23">
      <c r="W23200" s="503"/>
    </row>
    <row r="23201" spans="23:23">
      <c r="W23201" s="503"/>
    </row>
    <row r="23202" spans="23:23">
      <c r="W23202" s="503"/>
    </row>
    <row r="23203" spans="23:23">
      <c r="W23203" s="503"/>
    </row>
    <row r="23204" spans="23:23">
      <c r="W23204" s="503"/>
    </row>
    <row r="23205" spans="23:23">
      <c r="W23205" s="503"/>
    </row>
    <row r="23206" spans="23:23">
      <c r="W23206" s="503"/>
    </row>
    <row r="23207" spans="23:23">
      <c r="W23207" s="503"/>
    </row>
    <row r="23208" spans="23:23">
      <c r="W23208" s="503"/>
    </row>
    <row r="23209" spans="23:23">
      <c r="W23209" s="503"/>
    </row>
    <row r="23210" spans="23:23">
      <c r="W23210" s="503"/>
    </row>
    <row r="23211" spans="23:23">
      <c r="W23211" s="503"/>
    </row>
    <row r="23212" spans="23:23">
      <c r="W23212" s="503"/>
    </row>
    <row r="23213" spans="23:23">
      <c r="W23213" s="503"/>
    </row>
    <row r="23214" spans="23:23">
      <c r="W23214" s="503"/>
    </row>
    <row r="23215" spans="23:23">
      <c r="W23215" s="503"/>
    </row>
    <row r="23216" spans="23:23">
      <c r="W23216" s="503"/>
    </row>
    <row r="23217" spans="23:23">
      <c r="W23217" s="503"/>
    </row>
    <row r="23218" spans="23:23">
      <c r="W23218" s="503"/>
    </row>
    <row r="23219" spans="23:23">
      <c r="W23219" s="503"/>
    </row>
    <row r="23220" spans="23:23">
      <c r="W23220" s="503"/>
    </row>
    <row r="23221" spans="23:23">
      <c r="W23221" s="503"/>
    </row>
    <row r="23222" spans="23:23">
      <c r="W23222" s="503"/>
    </row>
    <row r="23223" spans="23:23">
      <c r="W23223" s="503"/>
    </row>
    <row r="23224" spans="23:23">
      <c r="W23224" s="503"/>
    </row>
    <row r="23225" spans="23:23">
      <c r="W23225" s="503"/>
    </row>
    <row r="23226" spans="23:23">
      <c r="W23226" s="503"/>
    </row>
    <row r="23227" spans="23:23">
      <c r="W23227" s="503"/>
    </row>
    <row r="23228" spans="23:23">
      <c r="W23228" s="503"/>
    </row>
    <row r="23229" spans="23:23">
      <c r="W23229" s="503"/>
    </row>
    <row r="23230" spans="23:23">
      <c r="W23230" s="503"/>
    </row>
    <row r="23231" spans="23:23">
      <c r="W23231" s="503"/>
    </row>
    <row r="23232" spans="23:23">
      <c r="W23232" s="503"/>
    </row>
    <row r="23233" spans="23:23">
      <c r="W23233" s="503"/>
    </row>
    <row r="23234" spans="23:23">
      <c r="W23234" s="503"/>
    </row>
    <row r="23235" spans="23:23">
      <c r="W23235" s="503"/>
    </row>
    <row r="23236" spans="23:23">
      <c r="W23236" s="503"/>
    </row>
    <row r="23237" spans="23:23">
      <c r="W23237" s="503"/>
    </row>
    <row r="23238" spans="23:23">
      <c r="W23238" s="503"/>
    </row>
    <row r="23239" spans="23:23">
      <c r="W23239" s="503"/>
    </row>
    <row r="23240" spans="23:23">
      <c r="W23240" s="503"/>
    </row>
    <row r="23241" spans="23:23">
      <c r="W23241" s="503"/>
    </row>
    <row r="23242" spans="23:23">
      <c r="W23242" s="503"/>
    </row>
    <row r="23243" spans="23:23">
      <c r="W23243" s="503"/>
    </row>
    <row r="23244" spans="23:23">
      <c r="W23244" s="503"/>
    </row>
    <row r="23245" spans="23:23">
      <c r="W23245" s="503"/>
    </row>
    <row r="23246" spans="23:23">
      <c r="W23246" s="503"/>
    </row>
    <row r="23247" spans="23:23">
      <c r="W23247" s="503"/>
    </row>
    <row r="23248" spans="23:23">
      <c r="W23248" s="503"/>
    </row>
    <row r="23249" spans="23:23">
      <c r="W23249" s="503"/>
    </row>
    <row r="23250" spans="23:23">
      <c r="W23250" s="503"/>
    </row>
    <row r="23251" spans="23:23">
      <c r="W23251" s="503"/>
    </row>
    <row r="23252" spans="23:23">
      <c r="W23252" s="503"/>
    </row>
    <row r="23253" spans="23:23">
      <c r="W23253" s="503"/>
    </row>
    <row r="23254" spans="23:23">
      <c r="W23254" s="503"/>
    </row>
    <row r="23255" spans="23:23">
      <c r="W23255" s="503"/>
    </row>
    <row r="23256" spans="23:23">
      <c r="W23256" s="503"/>
    </row>
    <row r="23257" spans="23:23">
      <c r="W23257" s="503"/>
    </row>
    <row r="23258" spans="23:23">
      <c r="W23258" s="503"/>
    </row>
    <row r="23259" spans="23:23">
      <c r="W23259" s="503"/>
    </row>
    <row r="23260" spans="23:23">
      <c r="W23260" s="503"/>
    </row>
    <row r="23261" spans="23:23">
      <c r="W23261" s="503"/>
    </row>
    <row r="23262" spans="23:23">
      <c r="W23262" s="503"/>
    </row>
    <row r="23263" spans="23:23">
      <c r="W23263" s="503"/>
    </row>
    <row r="23264" spans="23:23">
      <c r="W23264" s="503"/>
    </row>
    <row r="23265" spans="23:23">
      <c r="W23265" s="503"/>
    </row>
    <row r="23266" spans="23:23">
      <c r="W23266" s="503"/>
    </row>
    <row r="23267" spans="23:23">
      <c r="W23267" s="503"/>
    </row>
    <row r="23268" spans="23:23">
      <c r="W23268" s="503"/>
    </row>
    <row r="23269" spans="23:23">
      <c r="W23269" s="503"/>
    </row>
    <row r="23270" spans="23:23">
      <c r="W23270" s="503"/>
    </row>
    <row r="23271" spans="23:23">
      <c r="W23271" s="503"/>
    </row>
    <row r="23272" spans="23:23">
      <c r="W23272" s="503"/>
    </row>
    <row r="23273" spans="23:23">
      <c r="W23273" s="503"/>
    </row>
    <row r="23274" spans="23:23">
      <c r="W23274" s="503"/>
    </row>
    <row r="23275" spans="23:23">
      <c r="W23275" s="503"/>
    </row>
    <row r="23276" spans="23:23">
      <c r="W23276" s="503"/>
    </row>
    <row r="23277" spans="23:23">
      <c r="W23277" s="503"/>
    </row>
    <row r="23278" spans="23:23">
      <c r="W23278" s="503"/>
    </row>
    <row r="23279" spans="23:23">
      <c r="W23279" s="503"/>
    </row>
    <row r="23280" spans="23:23">
      <c r="W23280" s="503"/>
    </row>
    <row r="23281" spans="23:23">
      <c r="W23281" s="503"/>
    </row>
    <row r="23282" spans="23:23">
      <c r="W23282" s="503"/>
    </row>
    <row r="23283" spans="23:23">
      <c r="W23283" s="503"/>
    </row>
    <row r="23284" spans="23:23">
      <c r="W23284" s="503"/>
    </row>
    <row r="23285" spans="23:23">
      <c r="W23285" s="503"/>
    </row>
    <row r="23286" spans="23:23">
      <c r="W23286" s="503"/>
    </row>
    <row r="23287" spans="23:23">
      <c r="W23287" s="503"/>
    </row>
    <row r="23288" spans="23:23">
      <c r="W23288" s="503"/>
    </row>
    <row r="23289" spans="23:23">
      <c r="W23289" s="503"/>
    </row>
    <row r="23290" spans="23:23">
      <c r="W23290" s="503"/>
    </row>
    <row r="23291" spans="23:23">
      <c r="W23291" s="503"/>
    </row>
    <row r="23292" spans="23:23">
      <c r="W23292" s="503"/>
    </row>
    <row r="23293" spans="23:23">
      <c r="W23293" s="503"/>
    </row>
    <row r="23294" spans="23:23">
      <c r="W23294" s="503"/>
    </row>
    <row r="23295" spans="23:23">
      <c r="W23295" s="503"/>
    </row>
    <row r="23296" spans="23:23">
      <c r="W23296" s="503"/>
    </row>
    <row r="23297" spans="23:23">
      <c r="W23297" s="503"/>
    </row>
    <row r="23298" spans="23:23">
      <c r="W23298" s="503"/>
    </row>
    <row r="23299" spans="23:23">
      <c r="W23299" s="503"/>
    </row>
    <row r="23300" spans="23:23">
      <c r="W23300" s="503"/>
    </row>
    <row r="23301" spans="23:23">
      <c r="W23301" s="503"/>
    </row>
    <row r="23302" spans="23:23">
      <c r="W23302" s="503"/>
    </row>
    <row r="23303" spans="23:23">
      <c r="W23303" s="503"/>
    </row>
    <row r="23304" spans="23:23">
      <c r="W23304" s="503"/>
    </row>
    <row r="23305" spans="23:23">
      <c r="W23305" s="503"/>
    </row>
    <row r="23306" spans="23:23">
      <c r="W23306" s="503"/>
    </row>
    <row r="23307" spans="23:23">
      <c r="W23307" s="503"/>
    </row>
    <row r="23308" spans="23:23">
      <c r="W23308" s="503"/>
    </row>
    <row r="23309" spans="23:23">
      <c r="W23309" s="503"/>
    </row>
    <row r="23310" spans="23:23">
      <c r="W23310" s="503"/>
    </row>
    <row r="23311" spans="23:23">
      <c r="W23311" s="503"/>
    </row>
    <row r="23312" spans="23:23">
      <c r="W23312" s="503"/>
    </row>
    <row r="23313" spans="23:23">
      <c r="W23313" s="503"/>
    </row>
    <row r="23314" spans="23:23">
      <c r="W23314" s="503"/>
    </row>
    <row r="23315" spans="23:23">
      <c r="W23315" s="503"/>
    </row>
    <row r="23316" spans="23:23">
      <c r="W23316" s="503"/>
    </row>
    <row r="23317" spans="23:23">
      <c r="W23317" s="503"/>
    </row>
    <row r="23318" spans="23:23">
      <c r="W23318" s="503"/>
    </row>
    <row r="23319" spans="23:23">
      <c r="W23319" s="503"/>
    </row>
    <row r="23320" spans="23:23">
      <c r="W23320" s="503"/>
    </row>
    <row r="23321" spans="23:23">
      <c r="W23321" s="503"/>
    </row>
    <row r="23322" spans="23:23">
      <c r="W23322" s="503"/>
    </row>
    <row r="23323" spans="23:23">
      <c r="W23323" s="503"/>
    </row>
    <row r="23324" spans="23:23">
      <c r="W23324" s="503"/>
    </row>
    <row r="23325" spans="23:23">
      <c r="W23325" s="503"/>
    </row>
    <row r="23326" spans="23:23">
      <c r="W23326" s="503"/>
    </row>
    <row r="23327" spans="23:23">
      <c r="W23327" s="503"/>
    </row>
    <row r="23328" spans="23:23">
      <c r="W23328" s="503"/>
    </row>
    <row r="23329" spans="23:23">
      <c r="W23329" s="503"/>
    </row>
    <row r="23330" spans="23:23">
      <c r="W23330" s="503"/>
    </row>
    <row r="23331" spans="23:23">
      <c r="W23331" s="503"/>
    </row>
    <row r="23332" spans="23:23">
      <c r="W23332" s="503"/>
    </row>
    <row r="23333" spans="23:23">
      <c r="W23333" s="503"/>
    </row>
    <row r="23334" spans="23:23">
      <c r="W23334" s="503"/>
    </row>
    <row r="23335" spans="23:23">
      <c r="W23335" s="503"/>
    </row>
    <row r="23336" spans="23:23">
      <c r="W23336" s="503"/>
    </row>
    <row r="23337" spans="23:23">
      <c r="W23337" s="503"/>
    </row>
    <row r="23338" spans="23:23">
      <c r="W23338" s="503"/>
    </row>
    <row r="23339" spans="23:23">
      <c r="W23339" s="503"/>
    </row>
    <row r="23340" spans="23:23">
      <c r="W23340" s="503"/>
    </row>
    <row r="23341" spans="23:23">
      <c r="W23341" s="503"/>
    </row>
    <row r="23342" spans="23:23">
      <c r="W23342" s="503"/>
    </row>
    <row r="23343" spans="23:23">
      <c r="W23343" s="503"/>
    </row>
    <row r="23344" spans="23:23">
      <c r="W23344" s="503"/>
    </row>
    <row r="23345" spans="23:23">
      <c r="W23345" s="503"/>
    </row>
    <row r="23346" spans="23:23">
      <c r="W23346" s="503"/>
    </row>
    <row r="23347" spans="23:23">
      <c r="W23347" s="503"/>
    </row>
    <row r="23348" spans="23:23">
      <c r="W23348" s="503"/>
    </row>
    <row r="23349" spans="23:23">
      <c r="W23349" s="503"/>
    </row>
    <row r="23350" spans="23:23">
      <c r="W23350" s="503"/>
    </row>
    <row r="23351" spans="23:23">
      <c r="W23351" s="503"/>
    </row>
    <row r="23352" spans="23:23">
      <c r="W23352" s="503"/>
    </row>
    <row r="23353" spans="23:23">
      <c r="W23353" s="503"/>
    </row>
    <row r="23354" spans="23:23">
      <c r="W23354" s="503"/>
    </row>
    <row r="23355" spans="23:23">
      <c r="W23355" s="503"/>
    </row>
    <row r="23356" spans="23:23">
      <c r="W23356" s="503"/>
    </row>
    <row r="23357" spans="23:23">
      <c r="W23357" s="503"/>
    </row>
    <row r="23358" spans="23:23">
      <c r="W23358" s="503"/>
    </row>
    <row r="23359" spans="23:23">
      <c r="W23359" s="503"/>
    </row>
    <row r="23360" spans="23:23">
      <c r="W23360" s="503"/>
    </row>
    <row r="23361" spans="23:23">
      <c r="W23361" s="503"/>
    </row>
    <row r="23362" spans="23:23">
      <c r="W23362" s="503"/>
    </row>
    <row r="23363" spans="23:23">
      <c r="W23363" s="503"/>
    </row>
    <row r="23364" spans="23:23">
      <c r="W23364" s="503"/>
    </row>
    <row r="23365" spans="23:23">
      <c r="W23365" s="503"/>
    </row>
    <row r="23366" spans="23:23">
      <c r="W23366" s="503"/>
    </row>
    <row r="23367" spans="23:23">
      <c r="W23367" s="503"/>
    </row>
    <row r="23368" spans="23:23">
      <c r="W23368" s="503"/>
    </row>
    <row r="23369" spans="23:23">
      <c r="W23369" s="503"/>
    </row>
    <row r="23370" spans="23:23">
      <c r="W23370" s="503"/>
    </row>
    <row r="23371" spans="23:23">
      <c r="W23371" s="503"/>
    </row>
    <row r="23372" spans="23:23">
      <c r="W23372" s="503"/>
    </row>
    <row r="23373" spans="23:23">
      <c r="W23373" s="503"/>
    </row>
    <row r="23374" spans="23:23">
      <c r="W23374" s="503"/>
    </row>
    <row r="23375" spans="23:23">
      <c r="W23375" s="503"/>
    </row>
    <row r="23376" spans="23:23">
      <c r="W23376" s="503"/>
    </row>
    <row r="23377" spans="23:23">
      <c r="W23377" s="503"/>
    </row>
    <row r="23378" spans="23:23">
      <c r="W23378" s="503"/>
    </row>
    <row r="23379" spans="23:23">
      <c r="W23379" s="503"/>
    </row>
    <row r="23380" spans="23:23">
      <c r="W23380" s="503"/>
    </row>
    <row r="23381" spans="23:23">
      <c r="W23381" s="503"/>
    </row>
    <row r="23382" spans="23:23">
      <c r="W23382" s="503"/>
    </row>
    <row r="23383" spans="23:23">
      <c r="W23383" s="503"/>
    </row>
    <row r="23384" spans="23:23">
      <c r="W23384" s="503"/>
    </row>
    <row r="23385" spans="23:23">
      <c r="W23385" s="503"/>
    </row>
    <row r="23386" spans="23:23">
      <c r="W23386" s="503"/>
    </row>
    <row r="23387" spans="23:23">
      <c r="W23387" s="503"/>
    </row>
    <row r="23388" spans="23:23">
      <c r="W23388" s="503"/>
    </row>
    <row r="23389" spans="23:23">
      <c r="W23389" s="503"/>
    </row>
    <row r="23390" spans="23:23">
      <c r="W23390" s="503"/>
    </row>
    <row r="23391" spans="23:23">
      <c r="W23391" s="503"/>
    </row>
    <row r="23392" spans="23:23">
      <c r="W23392" s="503"/>
    </row>
    <row r="23393" spans="23:23">
      <c r="W23393" s="503"/>
    </row>
    <row r="23394" spans="23:23">
      <c r="W23394" s="503"/>
    </row>
    <row r="23395" spans="23:23">
      <c r="W23395" s="503"/>
    </row>
    <row r="23396" spans="23:23">
      <c r="W23396" s="503"/>
    </row>
    <row r="23397" spans="23:23">
      <c r="W23397" s="503"/>
    </row>
    <row r="23398" spans="23:23">
      <c r="W23398" s="503"/>
    </row>
    <row r="23399" spans="23:23">
      <c r="W23399" s="503"/>
    </row>
    <row r="23400" spans="23:23">
      <c r="W23400" s="503"/>
    </row>
    <row r="23401" spans="23:23">
      <c r="W23401" s="503"/>
    </row>
    <row r="23402" spans="23:23">
      <c r="W23402" s="503"/>
    </row>
    <row r="23403" spans="23:23">
      <c r="W23403" s="503"/>
    </row>
    <row r="23404" spans="23:23">
      <c r="W23404" s="503"/>
    </row>
    <row r="23405" spans="23:23">
      <c r="W23405" s="503"/>
    </row>
    <row r="23406" spans="23:23">
      <c r="W23406" s="503"/>
    </row>
    <row r="23407" spans="23:23">
      <c r="W23407" s="503"/>
    </row>
    <row r="23408" spans="23:23">
      <c r="W23408" s="503"/>
    </row>
    <row r="23409" spans="23:23">
      <c r="W23409" s="503"/>
    </row>
    <row r="23410" spans="23:23">
      <c r="W23410" s="503"/>
    </row>
    <row r="23411" spans="23:23">
      <c r="W23411" s="503"/>
    </row>
    <row r="23412" spans="23:23">
      <c r="W23412" s="503"/>
    </row>
    <row r="23413" spans="23:23">
      <c r="W23413" s="503"/>
    </row>
    <row r="23414" spans="23:23">
      <c r="W23414" s="503"/>
    </row>
    <row r="23415" spans="23:23">
      <c r="W23415" s="503"/>
    </row>
    <row r="23416" spans="23:23">
      <c r="W23416" s="503"/>
    </row>
    <row r="23417" spans="23:23">
      <c r="W23417" s="503"/>
    </row>
    <row r="23418" spans="23:23">
      <c r="W23418" s="503"/>
    </row>
    <row r="23419" spans="23:23">
      <c r="W23419" s="503"/>
    </row>
    <row r="23420" spans="23:23">
      <c r="W23420" s="503"/>
    </row>
    <row r="23421" spans="23:23">
      <c r="W23421" s="503"/>
    </row>
    <row r="23422" spans="23:23">
      <c r="W23422" s="503"/>
    </row>
    <row r="23423" spans="23:23">
      <c r="W23423" s="503"/>
    </row>
    <row r="23424" spans="23:23">
      <c r="W23424" s="503"/>
    </row>
    <row r="23425" spans="23:23">
      <c r="W23425" s="503"/>
    </row>
    <row r="23426" spans="23:23">
      <c r="W23426" s="503"/>
    </row>
    <row r="23427" spans="23:23">
      <c r="W23427" s="503"/>
    </row>
    <row r="23428" spans="23:23">
      <c r="W23428" s="503"/>
    </row>
    <row r="23429" spans="23:23">
      <c r="W23429" s="503"/>
    </row>
    <row r="23430" spans="23:23">
      <c r="W23430" s="503"/>
    </row>
    <row r="23431" spans="23:23">
      <c r="W23431" s="503"/>
    </row>
    <row r="23432" spans="23:23">
      <c r="W23432" s="503"/>
    </row>
    <row r="23433" spans="23:23">
      <c r="W23433" s="503"/>
    </row>
    <row r="23434" spans="23:23">
      <c r="W23434" s="503"/>
    </row>
    <row r="23435" spans="23:23">
      <c r="W23435" s="503"/>
    </row>
    <row r="23436" spans="23:23">
      <c r="W23436" s="503"/>
    </row>
    <row r="23437" spans="23:23">
      <c r="W23437" s="503"/>
    </row>
    <row r="23438" spans="23:23">
      <c r="W23438" s="503"/>
    </row>
    <row r="23439" spans="23:23">
      <c r="W23439" s="503"/>
    </row>
    <row r="23440" spans="23:23">
      <c r="W23440" s="503"/>
    </row>
    <row r="23441" spans="23:23">
      <c r="W23441" s="503"/>
    </row>
    <row r="23442" spans="23:23">
      <c r="W23442" s="503"/>
    </row>
    <row r="23443" spans="23:23">
      <c r="W23443" s="503"/>
    </row>
    <row r="23444" spans="23:23">
      <c r="W23444" s="503"/>
    </row>
    <row r="23445" spans="23:23">
      <c r="W23445" s="503"/>
    </row>
    <row r="23446" spans="23:23">
      <c r="W23446" s="503"/>
    </row>
    <row r="23447" spans="23:23">
      <c r="W23447" s="503"/>
    </row>
    <row r="23448" spans="23:23">
      <c r="W23448" s="503"/>
    </row>
    <row r="23449" spans="23:23">
      <c r="W23449" s="503"/>
    </row>
    <row r="23450" spans="23:23">
      <c r="W23450" s="503"/>
    </row>
    <row r="23451" spans="23:23">
      <c r="W23451" s="503"/>
    </row>
    <row r="23452" spans="23:23">
      <c r="W23452" s="503"/>
    </row>
    <row r="23453" spans="23:23">
      <c r="W23453" s="503"/>
    </row>
    <row r="23454" spans="23:23">
      <c r="W23454" s="503"/>
    </row>
    <row r="23455" spans="23:23">
      <c r="W23455" s="503"/>
    </row>
    <row r="23456" spans="23:23">
      <c r="W23456" s="503"/>
    </row>
    <row r="23457" spans="23:23">
      <c r="W23457" s="503"/>
    </row>
    <row r="23458" spans="23:23">
      <c r="W23458" s="503"/>
    </row>
    <row r="23459" spans="23:23">
      <c r="W23459" s="503"/>
    </row>
    <row r="23460" spans="23:23">
      <c r="W23460" s="503"/>
    </row>
    <row r="23461" spans="23:23">
      <c r="W23461" s="503"/>
    </row>
    <row r="23462" spans="23:23">
      <c r="W23462" s="503"/>
    </row>
    <row r="23463" spans="23:23">
      <c r="W23463" s="503"/>
    </row>
    <row r="23464" spans="23:23">
      <c r="W23464" s="503"/>
    </row>
    <row r="23465" spans="23:23">
      <c r="W23465" s="503"/>
    </row>
    <row r="23466" spans="23:23">
      <c r="W23466" s="503"/>
    </row>
    <row r="23467" spans="23:23">
      <c r="W23467" s="503"/>
    </row>
    <row r="23468" spans="23:23">
      <c r="W23468" s="503"/>
    </row>
    <row r="23469" spans="23:23">
      <c r="W23469" s="503"/>
    </row>
    <row r="23470" spans="23:23">
      <c r="W23470" s="503"/>
    </row>
    <row r="23471" spans="23:23">
      <c r="W23471" s="503"/>
    </row>
    <row r="23472" spans="23:23">
      <c r="W23472" s="503"/>
    </row>
    <row r="23473" spans="23:23">
      <c r="W23473" s="503"/>
    </row>
    <row r="23474" spans="23:23">
      <c r="W23474" s="503"/>
    </row>
    <row r="23475" spans="23:23">
      <c r="W23475" s="503"/>
    </row>
    <row r="23476" spans="23:23">
      <c r="W23476" s="503"/>
    </row>
    <row r="23477" spans="23:23">
      <c r="W23477" s="503"/>
    </row>
    <row r="23478" spans="23:23">
      <c r="W23478" s="503"/>
    </row>
    <row r="23479" spans="23:23">
      <c r="W23479" s="503"/>
    </row>
    <row r="23480" spans="23:23">
      <c r="W23480" s="503"/>
    </row>
    <row r="23481" spans="23:23">
      <c r="W23481" s="503"/>
    </row>
    <row r="23482" spans="23:23">
      <c r="W23482" s="503"/>
    </row>
    <row r="23483" spans="23:23">
      <c r="W23483" s="503"/>
    </row>
    <row r="23484" spans="23:23">
      <c r="W23484" s="503"/>
    </row>
    <row r="23485" spans="23:23">
      <c r="W23485" s="503"/>
    </row>
    <row r="23486" spans="23:23">
      <c r="W23486" s="503"/>
    </row>
    <row r="23487" spans="23:23">
      <c r="W23487" s="503"/>
    </row>
    <row r="23488" spans="23:23">
      <c r="W23488" s="503"/>
    </row>
    <row r="23489" spans="23:23">
      <c r="W23489" s="503"/>
    </row>
    <row r="23490" spans="23:23">
      <c r="W23490" s="503"/>
    </row>
    <row r="23491" spans="23:23">
      <c r="W23491" s="503"/>
    </row>
    <row r="23492" spans="23:23">
      <c r="W23492" s="503"/>
    </row>
    <row r="23493" spans="23:23">
      <c r="W23493" s="503"/>
    </row>
    <row r="23494" spans="23:23">
      <c r="W23494" s="503"/>
    </row>
    <row r="23495" spans="23:23">
      <c r="W23495" s="503"/>
    </row>
    <row r="23496" spans="23:23">
      <c r="W23496" s="503"/>
    </row>
    <row r="23497" spans="23:23">
      <c r="W23497" s="503"/>
    </row>
    <row r="23498" spans="23:23">
      <c r="W23498" s="503"/>
    </row>
    <row r="23499" spans="23:23">
      <c r="W23499" s="503"/>
    </row>
    <row r="23500" spans="23:23">
      <c r="W23500" s="503"/>
    </row>
    <row r="23501" spans="23:23">
      <c r="W23501" s="503"/>
    </row>
    <row r="23502" spans="23:23">
      <c r="W23502" s="503"/>
    </row>
    <row r="23503" spans="23:23">
      <c r="W23503" s="503"/>
    </row>
    <row r="23504" spans="23:23">
      <c r="W23504" s="503"/>
    </row>
    <row r="23505" spans="23:23">
      <c r="W23505" s="503"/>
    </row>
    <row r="23506" spans="23:23">
      <c r="W23506" s="503"/>
    </row>
    <row r="23507" spans="23:23">
      <c r="W23507" s="503"/>
    </row>
    <row r="23508" spans="23:23">
      <c r="W23508" s="503"/>
    </row>
    <row r="23509" spans="23:23">
      <c r="W23509" s="503"/>
    </row>
    <row r="23510" spans="23:23">
      <c r="W23510" s="503"/>
    </row>
    <row r="23511" spans="23:23">
      <c r="W23511" s="503"/>
    </row>
    <row r="23512" spans="23:23">
      <c r="W23512" s="503"/>
    </row>
    <row r="23513" spans="23:23">
      <c r="W23513" s="503"/>
    </row>
    <row r="23514" spans="23:23">
      <c r="W23514" s="503"/>
    </row>
    <row r="23515" spans="23:23">
      <c r="W23515" s="503"/>
    </row>
    <row r="23516" spans="23:23">
      <c r="W23516" s="503"/>
    </row>
    <row r="23517" spans="23:23">
      <c r="W23517" s="503"/>
    </row>
    <row r="23518" spans="23:23">
      <c r="W23518" s="503"/>
    </row>
    <row r="23519" spans="23:23">
      <c r="W23519" s="503"/>
    </row>
    <row r="23520" spans="23:23">
      <c r="W23520" s="503"/>
    </row>
    <row r="23521" spans="23:23">
      <c r="W23521" s="503"/>
    </row>
    <row r="23522" spans="23:23">
      <c r="W23522" s="503"/>
    </row>
    <row r="23523" spans="23:23">
      <c r="W23523" s="503"/>
    </row>
    <row r="23524" spans="23:23">
      <c r="W23524" s="503"/>
    </row>
    <row r="23525" spans="23:23">
      <c r="W23525" s="503"/>
    </row>
    <row r="23526" spans="23:23">
      <c r="W23526" s="503"/>
    </row>
    <row r="23527" spans="23:23">
      <c r="W23527" s="503"/>
    </row>
    <row r="23528" spans="23:23">
      <c r="W23528" s="503"/>
    </row>
    <row r="23529" spans="23:23">
      <c r="W23529" s="503"/>
    </row>
    <row r="23530" spans="23:23">
      <c r="W23530" s="503"/>
    </row>
    <row r="23531" spans="23:23">
      <c r="W23531" s="503"/>
    </row>
    <row r="23532" spans="23:23">
      <c r="W23532" s="503"/>
    </row>
    <row r="23533" spans="23:23">
      <c r="W23533" s="503"/>
    </row>
    <row r="23534" spans="23:23">
      <c r="W23534" s="503"/>
    </row>
    <row r="23535" spans="23:23">
      <c r="W23535" s="503"/>
    </row>
    <row r="23536" spans="23:23">
      <c r="W23536" s="503"/>
    </row>
    <row r="23537" spans="23:23">
      <c r="W23537" s="503"/>
    </row>
    <row r="23538" spans="23:23">
      <c r="W23538" s="503"/>
    </row>
    <row r="23539" spans="23:23">
      <c r="W23539" s="503"/>
    </row>
    <row r="23540" spans="23:23">
      <c r="W23540" s="503"/>
    </row>
    <row r="23541" spans="23:23">
      <c r="W23541" s="503"/>
    </row>
    <row r="23542" spans="23:23">
      <c r="W23542" s="503"/>
    </row>
    <row r="23543" spans="23:23">
      <c r="W23543" s="503"/>
    </row>
    <row r="23544" spans="23:23">
      <c r="W23544" s="503"/>
    </row>
    <row r="23545" spans="23:23">
      <c r="W23545" s="503"/>
    </row>
    <row r="23546" spans="23:23">
      <c r="W23546" s="503"/>
    </row>
    <row r="23547" spans="23:23">
      <c r="W23547" s="503"/>
    </row>
    <row r="23548" spans="23:23">
      <c r="W23548" s="503"/>
    </row>
    <row r="23549" spans="23:23">
      <c r="W23549" s="503"/>
    </row>
    <row r="23550" spans="23:23">
      <c r="W23550" s="503"/>
    </row>
    <row r="23551" spans="23:23">
      <c r="W23551" s="503"/>
    </row>
    <row r="23552" spans="23:23">
      <c r="W23552" s="503"/>
    </row>
    <row r="23553" spans="23:23">
      <c r="W23553" s="503"/>
    </row>
    <row r="23554" spans="23:23">
      <c r="W23554" s="503"/>
    </row>
    <row r="23555" spans="23:23">
      <c r="W23555" s="503"/>
    </row>
    <row r="23556" spans="23:23">
      <c r="W23556" s="503"/>
    </row>
    <row r="23557" spans="23:23">
      <c r="W23557" s="503"/>
    </row>
    <row r="23558" spans="23:23">
      <c r="W23558" s="503"/>
    </row>
    <row r="23559" spans="23:23">
      <c r="W23559" s="503"/>
    </row>
    <row r="23560" spans="23:23">
      <c r="W23560" s="503"/>
    </row>
    <row r="23561" spans="23:23">
      <c r="W23561" s="503"/>
    </row>
    <row r="23562" spans="23:23">
      <c r="W23562" s="503"/>
    </row>
    <row r="23563" spans="23:23">
      <c r="W23563" s="503"/>
    </row>
    <row r="23564" spans="23:23">
      <c r="W23564" s="503"/>
    </row>
    <row r="23565" spans="23:23">
      <c r="W23565" s="503"/>
    </row>
    <row r="23566" spans="23:23">
      <c r="W23566" s="503"/>
    </row>
    <row r="23567" spans="23:23">
      <c r="W23567" s="503"/>
    </row>
    <row r="23568" spans="23:23">
      <c r="W23568" s="503"/>
    </row>
    <row r="23569" spans="23:23">
      <c r="W23569" s="503"/>
    </row>
    <row r="23570" spans="23:23">
      <c r="W23570" s="503"/>
    </row>
    <row r="23571" spans="23:23">
      <c r="W23571" s="503"/>
    </row>
    <row r="23572" spans="23:23">
      <c r="W23572" s="503"/>
    </row>
    <row r="23573" spans="23:23">
      <c r="W23573" s="503"/>
    </row>
    <row r="23574" spans="23:23">
      <c r="W23574" s="503"/>
    </row>
    <row r="23575" spans="23:23">
      <c r="W23575" s="503"/>
    </row>
    <row r="23576" spans="23:23">
      <c r="W23576" s="503"/>
    </row>
    <row r="23577" spans="23:23">
      <c r="W23577" s="503"/>
    </row>
    <row r="23578" spans="23:23">
      <c r="W23578" s="503"/>
    </row>
    <row r="23579" spans="23:23">
      <c r="W23579" s="503"/>
    </row>
    <row r="23580" spans="23:23">
      <c r="W23580" s="503"/>
    </row>
    <row r="23581" spans="23:23">
      <c r="W23581" s="503"/>
    </row>
    <row r="23582" spans="23:23">
      <c r="W23582" s="503"/>
    </row>
    <row r="23583" spans="23:23">
      <c r="W23583" s="503"/>
    </row>
    <row r="23584" spans="23:23">
      <c r="W23584" s="503"/>
    </row>
    <row r="23585" spans="23:23">
      <c r="W23585" s="503"/>
    </row>
    <row r="23586" spans="23:23">
      <c r="W23586" s="503"/>
    </row>
    <row r="23587" spans="23:23">
      <c r="W23587" s="503"/>
    </row>
    <row r="23588" spans="23:23">
      <c r="W23588" s="503"/>
    </row>
    <row r="23589" spans="23:23">
      <c r="W23589" s="503"/>
    </row>
    <row r="23590" spans="23:23">
      <c r="W23590" s="503"/>
    </row>
    <row r="23591" spans="23:23">
      <c r="W23591" s="503"/>
    </row>
    <row r="23592" spans="23:23">
      <c r="W23592" s="503"/>
    </row>
    <row r="23593" spans="23:23">
      <c r="W23593" s="503"/>
    </row>
    <row r="23594" spans="23:23">
      <c r="W23594" s="503"/>
    </row>
    <row r="23595" spans="23:23">
      <c r="W23595" s="503"/>
    </row>
    <row r="23596" spans="23:23">
      <c r="W23596" s="503"/>
    </row>
    <row r="23597" spans="23:23">
      <c r="W23597" s="503"/>
    </row>
    <row r="23598" spans="23:23">
      <c r="W23598" s="503"/>
    </row>
    <row r="23599" spans="23:23">
      <c r="W23599" s="503"/>
    </row>
    <row r="23600" spans="23:23">
      <c r="W23600" s="503"/>
    </row>
    <row r="23601" spans="23:23">
      <c r="W23601" s="503"/>
    </row>
    <row r="23602" spans="23:23">
      <c r="W23602" s="503"/>
    </row>
    <row r="23603" spans="23:23">
      <c r="W23603" s="503"/>
    </row>
    <row r="23604" spans="23:23">
      <c r="W23604" s="503"/>
    </row>
    <row r="23605" spans="23:23">
      <c r="W23605" s="503"/>
    </row>
    <row r="23606" spans="23:23">
      <c r="W23606" s="503"/>
    </row>
    <row r="23607" spans="23:23">
      <c r="W23607" s="503"/>
    </row>
    <row r="23608" spans="23:23">
      <c r="W23608" s="503"/>
    </row>
    <row r="23609" spans="23:23">
      <c r="W23609" s="503"/>
    </row>
    <row r="23610" spans="23:23">
      <c r="W23610" s="503"/>
    </row>
    <row r="23611" spans="23:23">
      <c r="W23611" s="503"/>
    </row>
    <row r="23612" spans="23:23">
      <c r="W23612" s="503"/>
    </row>
    <row r="23613" spans="23:23">
      <c r="W23613" s="503"/>
    </row>
    <row r="23614" spans="23:23">
      <c r="W23614" s="503"/>
    </row>
    <row r="23615" spans="23:23">
      <c r="W23615" s="503"/>
    </row>
    <row r="23616" spans="23:23">
      <c r="W23616" s="503"/>
    </row>
    <row r="23617" spans="23:23">
      <c r="W23617" s="503"/>
    </row>
    <row r="23618" spans="23:23">
      <c r="W23618" s="503"/>
    </row>
    <row r="23619" spans="23:23">
      <c r="W23619" s="503"/>
    </row>
    <row r="23620" spans="23:23">
      <c r="W23620" s="503"/>
    </row>
    <row r="23621" spans="23:23">
      <c r="W23621" s="503"/>
    </row>
    <row r="23622" spans="23:23">
      <c r="W23622" s="503"/>
    </row>
    <row r="23623" spans="23:23">
      <c r="W23623" s="503"/>
    </row>
    <row r="23624" spans="23:23">
      <c r="W23624" s="503"/>
    </row>
    <row r="23625" spans="23:23">
      <c r="W23625" s="503"/>
    </row>
    <row r="23626" spans="23:23">
      <c r="W23626" s="503"/>
    </row>
    <row r="23627" spans="23:23">
      <c r="W23627" s="503"/>
    </row>
    <row r="23628" spans="23:23">
      <c r="W23628" s="503"/>
    </row>
    <row r="23629" spans="23:23">
      <c r="W23629" s="503"/>
    </row>
    <row r="23630" spans="23:23">
      <c r="W23630" s="503"/>
    </row>
    <row r="23631" spans="23:23">
      <c r="W23631" s="503"/>
    </row>
    <row r="23632" spans="23:23">
      <c r="W23632" s="503"/>
    </row>
    <row r="23633" spans="23:23">
      <c r="W23633" s="503"/>
    </row>
    <row r="23634" spans="23:23">
      <c r="W23634" s="503"/>
    </row>
    <row r="23635" spans="23:23">
      <c r="W23635" s="503"/>
    </row>
    <row r="23636" spans="23:23">
      <c r="W23636" s="503"/>
    </row>
    <row r="23637" spans="23:23">
      <c r="W23637" s="503"/>
    </row>
    <row r="23638" spans="23:23">
      <c r="W23638" s="503"/>
    </row>
    <row r="23639" spans="23:23">
      <c r="W23639" s="503"/>
    </row>
    <row r="23640" spans="23:23">
      <c r="W23640" s="503"/>
    </row>
    <row r="23641" spans="23:23">
      <c r="W23641" s="503"/>
    </row>
    <row r="23642" spans="23:23">
      <c r="W23642" s="503"/>
    </row>
    <row r="23643" spans="23:23">
      <c r="W23643" s="503"/>
    </row>
    <row r="23644" spans="23:23">
      <c r="W23644" s="503"/>
    </row>
    <row r="23645" spans="23:23">
      <c r="W23645" s="503"/>
    </row>
    <row r="23646" spans="23:23">
      <c r="W23646" s="503"/>
    </row>
    <row r="23647" spans="23:23">
      <c r="W23647" s="503"/>
    </row>
    <row r="23648" spans="23:23">
      <c r="W23648" s="503"/>
    </row>
    <row r="23649" spans="23:23">
      <c r="W23649" s="503"/>
    </row>
    <row r="23650" spans="23:23">
      <c r="W23650" s="503"/>
    </row>
    <row r="23651" spans="23:23">
      <c r="W23651" s="503"/>
    </row>
    <row r="23652" spans="23:23">
      <c r="W23652" s="503"/>
    </row>
    <row r="23653" spans="23:23">
      <c r="W23653" s="503"/>
    </row>
    <row r="23654" spans="23:23">
      <c r="W23654" s="503"/>
    </row>
    <row r="23655" spans="23:23">
      <c r="W23655" s="503"/>
    </row>
    <row r="23656" spans="23:23">
      <c r="W23656" s="503"/>
    </row>
    <row r="23657" spans="23:23">
      <c r="W23657" s="503"/>
    </row>
    <row r="23658" spans="23:23">
      <c r="W23658" s="503"/>
    </row>
    <row r="23659" spans="23:23">
      <c r="W23659" s="503"/>
    </row>
    <row r="23660" spans="23:23">
      <c r="W23660" s="503"/>
    </row>
    <row r="23661" spans="23:23">
      <c r="W23661" s="503"/>
    </row>
    <row r="23662" spans="23:23">
      <c r="W23662" s="503"/>
    </row>
    <row r="23663" spans="23:23">
      <c r="W23663" s="503"/>
    </row>
    <row r="23664" spans="23:23">
      <c r="W23664" s="503"/>
    </row>
    <row r="23665" spans="23:23">
      <c r="W23665" s="503"/>
    </row>
    <row r="23666" spans="23:23">
      <c r="W23666" s="503"/>
    </row>
    <row r="23667" spans="23:23">
      <c r="W23667" s="503"/>
    </row>
    <row r="23668" spans="23:23">
      <c r="W23668" s="503"/>
    </row>
    <row r="23669" spans="23:23">
      <c r="W23669" s="503"/>
    </row>
    <row r="23670" spans="23:23">
      <c r="W23670" s="503"/>
    </row>
    <row r="23671" spans="23:23">
      <c r="W23671" s="503"/>
    </row>
    <row r="23672" spans="23:23">
      <c r="W23672" s="503"/>
    </row>
    <row r="23673" spans="23:23">
      <c r="W23673" s="503"/>
    </row>
    <row r="23674" spans="23:23">
      <c r="W23674" s="503"/>
    </row>
    <row r="23675" spans="23:23">
      <c r="W23675" s="503"/>
    </row>
    <row r="23676" spans="23:23">
      <c r="W23676" s="503"/>
    </row>
    <row r="23677" spans="23:23">
      <c r="W23677" s="503"/>
    </row>
    <row r="23678" spans="23:23">
      <c r="W23678" s="503"/>
    </row>
    <row r="23679" spans="23:23">
      <c r="W23679" s="503"/>
    </row>
    <row r="23680" spans="23:23">
      <c r="W23680" s="503"/>
    </row>
    <row r="23681" spans="23:23">
      <c r="W23681" s="503"/>
    </row>
    <row r="23682" spans="23:23">
      <c r="W23682" s="503"/>
    </row>
    <row r="23683" spans="23:23">
      <c r="W23683" s="503"/>
    </row>
    <row r="23684" spans="23:23">
      <c r="W23684" s="503"/>
    </row>
    <row r="23685" spans="23:23">
      <c r="W23685" s="503"/>
    </row>
    <row r="23686" spans="23:23">
      <c r="W23686" s="503"/>
    </row>
    <row r="23687" spans="23:23">
      <c r="W23687" s="503"/>
    </row>
    <row r="23688" spans="23:23">
      <c r="W23688" s="503"/>
    </row>
    <row r="23689" spans="23:23">
      <c r="W23689" s="503"/>
    </row>
    <row r="23690" spans="23:23">
      <c r="W23690" s="503"/>
    </row>
    <row r="23691" spans="23:23">
      <c r="W23691" s="503"/>
    </row>
    <row r="23692" spans="23:23">
      <c r="W23692" s="503"/>
    </row>
    <row r="23693" spans="23:23">
      <c r="W23693" s="503"/>
    </row>
    <row r="23694" spans="23:23">
      <c r="W23694" s="503"/>
    </row>
    <row r="23695" spans="23:23">
      <c r="W23695" s="503"/>
    </row>
    <row r="23696" spans="23:23">
      <c r="W23696" s="503"/>
    </row>
    <row r="23697" spans="23:23">
      <c r="W23697" s="503"/>
    </row>
    <row r="23698" spans="23:23">
      <c r="W23698" s="503"/>
    </row>
    <row r="23699" spans="23:23">
      <c r="W23699" s="503"/>
    </row>
    <row r="23700" spans="23:23">
      <c r="W23700" s="503"/>
    </row>
    <row r="23701" spans="23:23">
      <c r="W23701" s="503"/>
    </row>
    <row r="23702" spans="23:23">
      <c r="W23702" s="503"/>
    </row>
    <row r="23703" spans="23:23">
      <c r="W23703" s="503"/>
    </row>
    <row r="23704" spans="23:23">
      <c r="W23704" s="503"/>
    </row>
    <row r="23705" spans="23:23">
      <c r="W23705" s="503"/>
    </row>
    <row r="23706" spans="23:23">
      <c r="W23706" s="503"/>
    </row>
    <row r="23707" spans="23:23">
      <c r="W23707" s="503"/>
    </row>
    <row r="23708" spans="23:23">
      <c r="W23708" s="503"/>
    </row>
    <row r="23709" spans="23:23">
      <c r="W23709" s="503"/>
    </row>
    <row r="23710" spans="23:23">
      <c r="W23710" s="503"/>
    </row>
    <row r="23711" spans="23:23">
      <c r="W23711" s="503"/>
    </row>
    <row r="23712" spans="23:23">
      <c r="W23712" s="503"/>
    </row>
    <row r="23713" spans="23:23">
      <c r="W23713" s="503"/>
    </row>
    <row r="23714" spans="23:23">
      <c r="W23714" s="503"/>
    </row>
    <row r="23715" spans="23:23">
      <c r="W23715" s="503"/>
    </row>
    <row r="23716" spans="23:23">
      <c r="W23716" s="503"/>
    </row>
    <row r="23717" spans="23:23">
      <c r="W23717" s="503"/>
    </row>
    <row r="23718" spans="23:23">
      <c r="W23718" s="503"/>
    </row>
    <row r="23719" spans="23:23">
      <c r="W23719" s="503"/>
    </row>
    <row r="23720" spans="23:23">
      <c r="W23720" s="503"/>
    </row>
    <row r="23721" spans="23:23">
      <c r="W23721" s="503"/>
    </row>
    <row r="23722" spans="23:23">
      <c r="W23722" s="503"/>
    </row>
    <row r="23723" spans="23:23">
      <c r="W23723" s="503"/>
    </row>
    <row r="23724" spans="23:23">
      <c r="W23724" s="503"/>
    </row>
    <row r="23725" spans="23:23">
      <c r="W23725" s="503"/>
    </row>
    <row r="23726" spans="23:23">
      <c r="W23726" s="503"/>
    </row>
    <row r="23727" spans="23:23">
      <c r="W23727" s="503"/>
    </row>
    <row r="23728" spans="23:23">
      <c r="W23728" s="503"/>
    </row>
    <row r="23729" spans="23:23">
      <c r="W23729" s="503"/>
    </row>
    <row r="23730" spans="23:23">
      <c r="W23730" s="503"/>
    </row>
    <row r="23731" spans="23:23">
      <c r="W23731" s="503"/>
    </row>
    <row r="23732" spans="23:23">
      <c r="W23732" s="503"/>
    </row>
    <row r="23733" spans="23:23">
      <c r="W23733" s="503"/>
    </row>
    <row r="23734" spans="23:23">
      <c r="W23734" s="503"/>
    </row>
    <row r="23735" spans="23:23">
      <c r="W23735" s="503"/>
    </row>
    <row r="23736" spans="23:23">
      <c r="W23736" s="503"/>
    </row>
    <row r="23737" spans="23:23">
      <c r="W23737" s="503"/>
    </row>
    <row r="23738" spans="23:23">
      <c r="W23738" s="503"/>
    </row>
    <row r="23739" spans="23:23">
      <c r="W23739" s="503"/>
    </row>
    <row r="23740" spans="23:23">
      <c r="W23740" s="503"/>
    </row>
    <row r="23741" spans="23:23">
      <c r="W23741" s="503"/>
    </row>
    <row r="23742" spans="23:23">
      <c r="W23742" s="503"/>
    </row>
    <row r="23743" spans="23:23">
      <c r="W23743" s="503"/>
    </row>
    <row r="23744" spans="23:23">
      <c r="W23744" s="503"/>
    </row>
    <row r="23745" spans="23:23">
      <c r="W23745" s="503"/>
    </row>
    <row r="23746" spans="23:23">
      <c r="W23746" s="503"/>
    </row>
    <row r="23747" spans="23:23">
      <c r="W23747" s="503"/>
    </row>
    <row r="23748" spans="23:23">
      <c r="W23748" s="503"/>
    </row>
    <row r="23749" spans="23:23">
      <c r="W23749" s="503"/>
    </row>
    <row r="23750" spans="23:23">
      <c r="W23750" s="503"/>
    </row>
    <row r="23751" spans="23:23">
      <c r="W23751" s="503"/>
    </row>
    <row r="23752" spans="23:23">
      <c r="W23752" s="503"/>
    </row>
    <row r="23753" spans="23:23">
      <c r="W23753" s="503"/>
    </row>
    <row r="23754" spans="23:23">
      <c r="W23754" s="503"/>
    </row>
    <row r="23755" spans="23:23">
      <c r="W23755" s="503"/>
    </row>
    <row r="23756" spans="23:23">
      <c r="W23756" s="503"/>
    </row>
    <row r="23757" spans="23:23">
      <c r="W23757" s="503"/>
    </row>
    <row r="23758" spans="23:23">
      <c r="W23758" s="503"/>
    </row>
    <row r="23759" spans="23:23">
      <c r="W23759" s="503"/>
    </row>
    <row r="23760" spans="23:23">
      <c r="W23760" s="503"/>
    </row>
    <row r="23761" spans="23:23">
      <c r="W23761" s="503"/>
    </row>
    <row r="23762" spans="23:23">
      <c r="W23762" s="503"/>
    </row>
    <row r="23763" spans="23:23">
      <c r="W23763" s="503"/>
    </row>
    <row r="23764" spans="23:23">
      <c r="W23764" s="503"/>
    </row>
    <row r="23765" spans="23:23">
      <c r="W23765" s="503"/>
    </row>
    <row r="23766" spans="23:23">
      <c r="W23766" s="503"/>
    </row>
    <row r="23767" spans="23:23">
      <c r="W23767" s="503"/>
    </row>
    <row r="23768" spans="23:23">
      <c r="W23768" s="503"/>
    </row>
    <row r="23769" spans="23:23">
      <c r="W23769" s="503"/>
    </row>
    <row r="23770" spans="23:23">
      <c r="W23770" s="503"/>
    </row>
    <row r="23771" spans="23:23">
      <c r="W23771" s="503"/>
    </row>
    <row r="23772" spans="23:23">
      <c r="W23772" s="503"/>
    </row>
    <row r="23773" spans="23:23">
      <c r="W23773" s="503"/>
    </row>
    <row r="23774" spans="23:23">
      <c r="W23774" s="503"/>
    </row>
    <row r="23775" spans="23:23">
      <c r="W23775" s="503"/>
    </row>
    <row r="23776" spans="23:23">
      <c r="W23776" s="503"/>
    </row>
    <row r="23777" spans="23:23">
      <c r="W23777" s="503"/>
    </row>
    <row r="23778" spans="23:23">
      <c r="W23778" s="503"/>
    </row>
    <row r="23779" spans="23:23">
      <c r="W23779" s="503"/>
    </row>
    <row r="23780" spans="23:23">
      <c r="W23780" s="503"/>
    </row>
    <row r="23781" spans="23:23">
      <c r="W23781" s="503"/>
    </row>
    <row r="23782" spans="23:23">
      <c r="W23782" s="503"/>
    </row>
    <row r="23783" spans="23:23">
      <c r="W23783" s="503"/>
    </row>
    <row r="23784" spans="23:23">
      <c r="W23784" s="503"/>
    </row>
    <row r="23785" spans="23:23">
      <c r="W23785" s="503"/>
    </row>
    <row r="23786" spans="23:23">
      <c r="W23786" s="503"/>
    </row>
    <row r="23787" spans="23:23">
      <c r="W23787" s="503"/>
    </row>
    <row r="23788" spans="23:23">
      <c r="W23788" s="503"/>
    </row>
    <row r="23789" spans="23:23">
      <c r="W23789" s="503"/>
    </row>
    <row r="23790" spans="23:23">
      <c r="W23790" s="503"/>
    </row>
    <row r="23791" spans="23:23">
      <c r="W23791" s="503"/>
    </row>
    <row r="23792" spans="23:23">
      <c r="W23792" s="503"/>
    </row>
    <row r="23793" spans="23:23">
      <c r="W23793" s="503"/>
    </row>
    <row r="23794" spans="23:23">
      <c r="W23794" s="503"/>
    </row>
    <row r="23795" spans="23:23">
      <c r="W23795" s="503"/>
    </row>
    <row r="23796" spans="23:23">
      <c r="W23796" s="503"/>
    </row>
    <row r="23797" spans="23:23">
      <c r="W23797" s="503"/>
    </row>
    <row r="23798" spans="23:23">
      <c r="W23798" s="503"/>
    </row>
    <row r="23799" spans="23:23">
      <c r="W23799" s="503"/>
    </row>
    <row r="23800" spans="23:23">
      <c r="W23800" s="503"/>
    </row>
    <row r="23801" spans="23:23">
      <c r="W23801" s="503"/>
    </row>
    <row r="23802" spans="23:23">
      <c r="W23802" s="503"/>
    </row>
    <row r="23803" spans="23:23">
      <c r="W23803" s="503"/>
    </row>
    <row r="23804" spans="23:23">
      <c r="W23804" s="503"/>
    </row>
    <row r="23805" spans="23:23">
      <c r="W23805" s="503"/>
    </row>
    <row r="23806" spans="23:23">
      <c r="W23806" s="503"/>
    </row>
    <row r="23807" spans="23:23">
      <c r="W23807" s="503"/>
    </row>
    <row r="23808" spans="23:23">
      <c r="W23808" s="503"/>
    </row>
    <row r="23809" spans="23:23">
      <c r="W23809" s="503"/>
    </row>
    <row r="23810" spans="23:23">
      <c r="W23810" s="503"/>
    </row>
    <row r="23811" spans="23:23">
      <c r="W23811" s="503"/>
    </row>
    <row r="23812" spans="23:23">
      <c r="W23812" s="503"/>
    </row>
    <row r="23813" spans="23:23">
      <c r="W23813" s="503"/>
    </row>
    <row r="23814" spans="23:23">
      <c r="W23814" s="503"/>
    </row>
    <row r="23815" spans="23:23">
      <c r="W23815" s="503"/>
    </row>
    <row r="23816" spans="23:23">
      <c r="W23816" s="503"/>
    </row>
    <row r="23817" spans="23:23">
      <c r="W23817" s="503"/>
    </row>
    <row r="23818" spans="23:23">
      <c r="W23818" s="503"/>
    </row>
    <row r="23819" spans="23:23">
      <c r="W23819" s="503"/>
    </row>
    <row r="23820" spans="23:23">
      <c r="W23820" s="503"/>
    </row>
    <row r="23821" spans="23:23">
      <c r="W23821" s="503"/>
    </row>
    <row r="23822" spans="23:23">
      <c r="W23822" s="503"/>
    </row>
    <row r="23823" spans="23:23">
      <c r="W23823" s="503"/>
    </row>
    <row r="23824" spans="23:23">
      <c r="W23824" s="503"/>
    </row>
    <row r="23825" spans="23:23">
      <c r="W23825" s="503"/>
    </row>
    <row r="23826" spans="23:23">
      <c r="W23826" s="503"/>
    </row>
    <row r="23827" spans="23:23">
      <c r="W23827" s="503"/>
    </row>
    <row r="23828" spans="23:23">
      <c r="W23828" s="503"/>
    </row>
    <row r="23829" spans="23:23">
      <c r="W23829" s="503"/>
    </row>
    <row r="23830" spans="23:23">
      <c r="W23830" s="503"/>
    </row>
    <row r="23831" spans="23:23">
      <c r="W23831" s="503"/>
    </row>
    <row r="23832" spans="23:23">
      <c r="W23832" s="503"/>
    </row>
    <row r="23833" spans="23:23">
      <c r="W23833" s="503"/>
    </row>
    <row r="23834" spans="23:23">
      <c r="W23834" s="503"/>
    </row>
    <row r="23835" spans="23:23">
      <c r="W23835" s="503"/>
    </row>
    <row r="23836" spans="23:23">
      <c r="W23836" s="503"/>
    </row>
    <row r="23837" spans="23:23">
      <c r="W23837" s="503"/>
    </row>
    <row r="23838" spans="23:23">
      <c r="W23838" s="503"/>
    </row>
    <row r="23839" spans="23:23">
      <c r="W23839" s="503"/>
    </row>
    <row r="23840" spans="23:23">
      <c r="W23840" s="503"/>
    </row>
    <row r="23841" spans="23:23">
      <c r="W23841" s="503"/>
    </row>
    <row r="23842" spans="23:23">
      <c r="W23842" s="503"/>
    </row>
    <row r="23843" spans="23:23">
      <c r="W23843" s="503"/>
    </row>
    <row r="23844" spans="23:23">
      <c r="W23844" s="503"/>
    </row>
    <row r="23845" spans="23:23">
      <c r="W23845" s="503"/>
    </row>
    <row r="23846" spans="23:23">
      <c r="W23846" s="503"/>
    </row>
    <row r="23847" spans="23:23">
      <c r="W23847" s="503"/>
    </row>
    <row r="23848" spans="23:23">
      <c r="W23848" s="503"/>
    </row>
    <row r="23849" spans="23:23">
      <c r="W23849" s="503"/>
    </row>
    <row r="23850" spans="23:23">
      <c r="W23850" s="503"/>
    </row>
    <row r="23851" spans="23:23">
      <c r="W23851" s="503"/>
    </row>
    <row r="23852" spans="23:23">
      <c r="W23852" s="503"/>
    </row>
    <row r="23853" spans="23:23">
      <c r="W23853" s="503"/>
    </row>
    <row r="23854" spans="23:23">
      <c r="W23854" s="503"/>
    </row>
    <row r="23855" spans="23:23">
      <c r="W23855" s="503"/>
    </row>
    <row r="23856" spans="23:23">
      <c r="W23856" s="503"/>
    </row>
    <row r="23857" spans="23:23">
      <c r="W23857" s="503"/>
    </row>
    <row r="23858" spans="23:23">
      <c r="W23858" s="503"/>
    </row>
    <row r="23859" spans="23:23">
      <c r="W23859" s="503"/>
    </row>
    <row r="23860" spans="23:23">
      <c r="W23860" s="503"/>
    </row>
    <row r="23861" spans="23:23">
      <c r="W23861" s="503"/>
    </row>
    <row r="23862" spans="23:23">
      <c r="W23862" s="503"/>
    </row>
    <row r="23863" spans="23:23">
      <c r="W23863" s="503"/>
    </row>
    <row r="23864" spans="23:23">
      <c r="W23864" s="503"/>
    </row>
    <row r="23865" spans="23:23">
      <c r="W23865" s="503"/>
    </row>
    <row r="23866" spans="23:23">
      <c r="W23866" s="503"/>
    </row>
    <row r="23867" spans="23:23">
      <c r="W23867" s="503"/>
    </row>
    <row r="23868" spans="23:23">
      <c r="W23868" s="503"/>
    </row>
    <row r="23869" spans="23:23">
      <c r="W23869" s="503"/>
    </row>
    <row r="23870" spans="23:23">
      <c r="W23870" s="503"/>
    </row>
    <row r="23871" spans="23:23">
      <c r="W23871" s="503"/>
    </row>
    <row r="23872" spans="23:23">
      <c r="W23872" s="503"/>
    </row>
    <row r="23873" spans="23:23">
      <c r="W23873" s="503"/>
    </row>
    <row r="23874" spans="23:23">
      <c r="W23874" s="503"/>
    </row>
    <row r="23875" spans="23:23">
      <c r="W23875" s="503"/>
    </row>
    <row r="23876" spans="23:23">
      <c r="W23876" s="503"/>
    </row>
    <row r="23877" spans="23:23">
      <c r="W23877" s="503"/>
    </row>
    <row r="23878" spans="23:23">
      <c r="W23878" s="503"/>
    </row>
    <row r="23879" spans="23:23">
      <c r="W23879" s="503"/>
    </row>
    <row r="23880" spans="23:23">
      <c r="W23880" s="503"/>
    </row>
    <row r="23881" spans="23:23">
      <c r="W23881" s="503"/>
    </row>
    <row r="23882" spans="23:23">
      <c r="W23882" s="503"/>
    </row>
    <row r="23883" spans="23:23">
      <c r="W23883" s="503"/>
    </row>
    <row r="23884" spans="23:23">
      <c r="W23884" s="503"/>
    </row>
    <row r="23885" spans="23:23">
      <c r="W23885" s="503"/>
    </row>
    <row r="23886" spans="23:23">
      <c r="W23886" s="503"/>
    </row>
    <row r="23887" spans="23:23">
      <c r="W23887" s="503"/>
    </row>
    <row r="23888" spans="23:23">
      <c r="W23888" s="503"/>
    </row>
    <row r="23889" spans="23:23">
      <c r="W23889" s="503"/>
    </row>
    <row r="23890" spans="23:23">
      <c r="W23890" s="503"/>
    </row>
    <row r="23891" spans="23:23">
      <c r="W23891" s="503"/>
    </row>
    <row r="23892" spans="23:23">
      <c r="W23892" s="503"/>
    </row>
    <row r="23893" spans="23:23">
      <c r="W23893" s="503"/>
    </row>
    <row r="23894" spans="23:23">
      <c r="W23894" s="503"/>
    </row>
    <row r="23895" spans="23:23">
      <c r="W23895" s="503"/>
    </row>
    <row r="23896" spans="23:23">
      <c r="W23896" s="503"/>
    </row>
    <row r="23897" spans="23:23">
      <c r="W23897" s="503"/>
    </row>
    <row r="23898" spans="23:23">
      <c r="W23898" s="503"/>
    </row>
    <row r="23899" spans="23:23">
      <c r="W23899" s="503"/>
    </row>
    <row r="23900" spans="23:23">
      <c r="W23900" s="503"/>
    </row>
    <row r="23901" spans="23:23">
      <c r="W23901" s="503"/>
    </row>
    <row r="23902" spans="23:23">
      <c r="W23902" s="503"/>
    </row>
    <row r="23903" spans="23:23">
      <c r="W23903" s="503"/>
    </row>
    <row r="23904" spans="23:23">
      <c r="W23904" s="503"/>
    </row>
    <row r="23905" spans="23:23">
      <c r="W23905" s="503"/>
    </row>
    <row r="23906" spans="23:23">
      <c r="W23906" s="503"/>
    </row>
    <row r="23907" spans="23:23">
      <c r="W23907" s="503"/>
    </row>
    <row r="23908" spans="23:23">
      <c r="W23908" s="503"/>
    </row>
    <row r="23909" spans="23:23">
      <c r="W23909" s="503"/>
    </row>
    <row r="23910" spans="23:23">
      <c r="W23910" s="503"/>
    </row>
    <row r="23911" spans="23:23">
      <c r="W23911" s="503"/>
    </row>
    <row r="23912" spans="23:23">
      <c r="W23912" s="503"/>
    </row>
    <row r="23913" spans="23:23">
      <c r="W23913" s="503"/>
    </row>
    <row r="23914" spans="23:23">
      <c r="W23914" s="503"/>
    </row>
    <row r="23915" spans="23:23">
      <c r="W23915" s="503"/>
    </row>
    <row r="23916" spans="23:23">
      <c r="W23916" s="503"/>
    </row>
    <row r="23917" spans="23:23">
      <c r="W23917" s="503"/>
    </row>
    <row r="23918" spans="23:23">
      <c r="W23918" s="503"/>
    </row>
    <row r="23919" spans="23:23">
      <c r="W23919" s="503"/>
    </row>
    <row r="23920" spans="23:23">
      <c r="W23920" s="503"/>
    </row>
    <row r="23921" spans="23:23">
      <c r="W23921" s="503"/>
    </row>
    <row r="23922" spans="23:23">
      <c r="W23922" s="503"/>
    </row>
    <row r="23923" spans="23:23">
      <c r="W23923" s="503"/>
    </row>
    <row r="23924" spans="23:23">
      <c r="W23924" s="503"/>
    </row>
    <row r="23925" spans="23:23">
      <c r="W23925" s="503"/>
    </row>
    <row r="23926" spans="23:23">
      <c r="W23926" s="503"/>
    </row>
    <row r="23927" spans="23:23">
      <c r="W23927" s="503"/>
    </row>
    <row r="23928" spans="23:23">
      <c r="W23928" s="503"/>
    </row>
    <row r="23929" spans="23:23">
      <c r="W23929" s="503"/>
    </row>
    <row r="23930" spans="23:23">
      <c r="W23930" s="503"/>
    </row>
    <row r="23931" spans="23:23">
      <c r="W23931" s="503"/>
    </row>
    <row r="23932" spans="23:23">
      <c r="W23932" s="503"/>
    </row>
    <row r="23933" spans="23:23">
      <c r="W23933" s="503"/>
    </row>
    <row r="23934" spans="23:23">
      <c r="W23934" s="503"/>
    </row>
    <row r="23935" spans="23:23">
      <c r="W23935" s="503"/>
    </row>
    <row r="23936" spans="23:23">
      <c r="W23936" s="503"/>
    </row>
    <row r="23937" spans="23:23">
      <c r="W23937" s="503"/>
    </row>
    <row r="23938" spans="23:23">
      <c r="W23938" s="503"/>
    </row>
    <row r="23939" spans="23:23">
      <c r="W23939" s="503"/>
    </row>
    <row r="23940" spans="23:23">
      <c r="W23940" s="503"/>
    </row>
    <row r="23941" spans="23:23">
      <c r="W23941" s="503"/>
    </row>
    <row r="23942" spans="23:23">
      <c r="W23942" s="503"/>
    </row>
    <row r="23943" spans="23:23">
      <c r="W23943" s="503"/>
    </row>
    <row r="23944" spans="23:23">
      <c r="W23944" s="503"/>
    </row>
    <row r="23945" spans="23:23">
      <c r="W23945" s="503"/>
    </row>
    <row r="23946" spans="23:23">
      <c r="W23946" s="503"/>
    </row>
    <row r="23947" spans="23:23">
      <c r="W23947" s="503"/>
    </row>
    <row r="23948" spans="23:23">
      <c r="W23948" s="503"/>
    </row>
    <row r="23949" spans="23:23">
      <c r="W23949" s="503"/>
    </row>
    <row r="23950" spans="23:23">
      <c r="W23950" s="503"/>
    </row>
    <row r="23951" spans="23:23">
      <c r="W23951" s="503"/>
    </row>
    <row r="23952" spans="23:23">
      <c r="W23952" s="503"/>
    </row>
    <row r="23953" spans="23:23">
      <c r="W23953" s="503"/>
    </row>
    <row r="23954" spans="23:23">
      <c r="W23954" s="503"/>
    </row>
    <row r="23955" spans="23:23">
      <c r="W23955" s="503"/>
    </row>
    <row r="23956" spans="23:23">
      <c r="W23956" s="503"/>
    </row>
    <row r="23957" spans="23:23">
      <c r="W23957" s="503"/>
    </row>
    <row r="23958" spans="23:23">
      <c r="W23958" s="503"/>
    </row>
    <row r="23959" spans="23:23">
      <c r="W23959" s="503"/>
    </row>
    <row r="23960" spans="23:23">
      <c r="W23960" s="503"/>
    </row>
    <row r="23961" spans="23:23">
      <c r="W23961" s="503"/>
    </row>
    <row r="23962" spans="23:23">
      <c r="W23962" s="503"/>
    </row>
    <row r="23963" spans="23:23">
      <c r="W23963" s="503"/>
    </row>
    <row r="23964" spans="23:23">
      <c r="W23964" s="503"/>
    </row>
    <row r="23965" spans="23:23">
      <c r="W23965" s="503"/>
    </row>
    <row r="23966" spans="23:23">
      <c r="W23966" s="503"/>
    </row>
    <row r="23967" spans="23:23">
      <c r="W23967" s="503"/>
    </row>
    <row r="23968" spans="23:23">
      <c r="W23968" s="503"/>
    </row>
    <row r="23969" spans="23:23">
      <c r="W23969" s="503"/>
    </row>
    <row r="23970" spans="23:23">
      <c r="W23970" s="503"/>
    </row>
    <row r="23971" spans="23:23">
      <c r="W23971" s="503"/>
    </row>
    <row r="23972" spans="23:23">
      <c r="W23972" s="503"/>
    </row>
    <row r="23973" spans="23:23">
      <c r="W23973" s="503"/>
    </row>
    <row r="23974" spans="23:23">
      <c r="W23974" s="503"/>
    </row>
    <row r="23975" spans="23:23">
      <c r="W23975" s="503"/>
    </row>
    <row r="23976" spans="23:23">
      <c r="W23976" s="503"/>
    </row>
    <row r="23977" spans="23:23">
      <c r="W23977" s="503"/>
    </row>
    <row r="23978" spans="23:23">
      <c r="W23978" s="503"/>
    </row>
    <row r="23979" spans="23:23">
      <c r="W23979" s="503"/>
    </row>
    <row r="23980" spans="23:23">
      <c r="W23980" s="503"/>
    </row>
    <row r="23981" spans="23:23">
      <c r="W23981" s="503"/>
    </row>
    <row r="23982" spans="23:23">
      <c r="W23982" s="503"/>
    </row>
    <row r="23983" spans="23:23">
      <c r="W23983" s="503"/>
    </row>
    <row r="23984" spans="23:23">
      <c r="W23984" s="503"/>
    </row>
    <row r="23985" spans="23:23">
      <c r="W23985" s="503"/>
    </row>
    <row r="23986" spans="23:23">
      <c r="W23986" s="503"/>
    </row>
    <row r="23987" spans="23:23">
      <c r="W23987" s="503"/>
    </row>
    <row r="23988" spans="23:23">
      <c r="W23988" s="503"/>
    </row>
    <row r="23989" spans="23:23">
      <c r="W23989" s="503"/>
    </row>
    <row r="23990" spans="23:23">
      <c r="W23990" s="503"/>
    </row>
    <row r="23991" spans="23:23">
      <c r="W23991" s="503"/>
    </row>
    <row r="23992" spans="23:23">
      <c r="W23992" s="503"/>
    </row>
    <row r="23993" spans="23:23">
      <c r="W23993" s="503"/>
    </row>
    <row r="23994" spans="23:23">
      <c r="W23994" s="503"/>
    </row>
    <row r="23995" spans="23:23">
      <c r="W23995" s="503"/>
    </row>
    <row r="23996" spans="23:23">
      <c r="W23996" s="503"/>
    </row>
    <row r="23997" spans="23:23">
      <c r="W23997" s="503"/>
    </row>
    <row r="23998" spans="23:23">
      <c r="W23998" s="503"/>
    </row>
    <row r="23999" spans="23:23">
      <c r="W23999" s="503"/>
    </row>
    <row r="24000" spans="23:23">
      <c r="W24000" s="503"/>
    </row>
    <row r="24001" spans="23:23">
      <c r="W24001" s="503"/>
    </row>
    <row r="24002" spans="23:23">
      <c r="W24002" s="503"/>
    </row>
    <row r="24003" spans="23:23">
      <c r="W24003" s="503"/>
    </row>
    <row r="24004" spans="23:23">
      <c r="W24004" s="503"/>
    </row>
    <row r="24005" spans="23:23">
      <c r="W24005" s="503"/>
    </row>
    <row r="24006" spans="23:23">
      <c r="W24006" s="503"/>
    </row>
    <row r="24007" spans="23:23">
      <c r="W24007" s="503"/>
    </row>
    <row r="24008" spans="23:23">
      <c r="W24008" s="503"/>
    </row>
    <row r="24009" spans="23:23">
      <c r="W24009" s="503"/>
    </row>
    <row r="24010" spans="23:23">
      <c r="W24010" s="503"/>
    </row>
    <row r="24011" spans="23:23">
      <c r="W24011" s="503"/>
    </row>
    <row r="24012" spans="23:23">
      <c r="W24012" s="503"/>
    </row>
    <row r="24013" spans="23:23">
      <c r="W24013" s="503"/>
    </row>
    <row r="24014" spans="23:23">
      <c r="W24014" s="503"/>
    </row>
    <row r="24015" spans="23:23">
      <c r="W24015" s="503"/>
    </row>
    <row r="24016" spans="23:23">
      <c r="W24016" s="503"/>
    </row>
    <row r="24017" spans="23:23">
      <c r="W24017" s="503"/>
    </row>
    <row r="24018" spans="23:23">
      <c r="W24018" s="503"/>
    </row>
    <row r="24019" spans="23:23">
      <c r="W24019" s="503"/>
    </row>
    <row r="24020" spans="23:23">
      <c r="W24020" s="503"/>
    </row>
    <row r="24021" spans="23:23">
      <c r="W24021" s="503"/>
    </row>
    <row r="24022" spans="23:23">
      <c r="W24022" s="503"/>
    </row>
    <row r="24023" spans="23:23">
      <c r="W24023" s="503"/>
    </row>
    <row r="24024" spans="23:23">
      <c r="W24024" s="503"/>
    </row>
    <row r="24025" spans="23:23">
      <c r="W24025" s="503"/>
    </row>
    <row r="24026" spans="23:23">
      <c r="W24026" s="503"/>
    </row>
    <row r="24027" spans="23:23">
      <c r="W24027" s="503"/>
    </row>
    <row r="24028" spans="23:23">
      <c r="W24028" s="503"/>
    </row>
    <row r="24029" spans="23:23">
      <c r="W24029" s="503"/>
    </row>
    <row r="24030" spans="23:23">
      <c r="W24030" s="503"/>
    </row>
    <row r="24031" spans="23:23">
      <c r="W24031" s="503"/>
    </row>
    <row r="24032" spans="23:23">
      <c r="W24032" s="503"/>
    </row>
    <row r="24033" spans="23:23">
      <c r="W24033" s="503"/>
    </row>
    <row r="24034" spans="23:23">
      <c r="W24034" s="503"/>
    </row>
    <row r="24035" spans="23:23">
      <c r="W24035" s="503"/>
    </row>
    <row r="24036" spans="23:23">
      <c r="W24036" s="503"/>
    </row>
    <row r="24037" spans="23:23">
      <c r="W24037" s="503"/>
    </row>
    <row r="24038" spans="23:23">
      <c r="W24038" s="503"/>
    </row>
    <row r="24039" spans="23:23">
      <c r="W24039" s="503"/>
    </row>
    <row r="24040" spans="23:23">
      <c r="W24040" s="503"/>
    </row>
    <row r="24041" spans="23:23">
      <c r="W24041" s="503"/>
    </row>
    <row r="24042" spans="23:23">
      <c r="W24042" s="503"/>
    </row>
    <row r="24043" spans="23:23">
      <c r="W24043" s="503"/>
    </row>
    <row r="24044" spans="23:23">
      <c r="W24044" s="503"/>
    </row>
    <row r="24045" spans="23:23">
      <c r="W24045" s="503"/>
    </row>
    <row r="24046" spans="23:23">
      <c r="W24046" s="503"/>
    </row>
    <row r="24047" spans="23:23">
      <c r="W24047" s="503"/>
    </row>
    <row r="24048" spans="23:23">
      <c r="W24048" s="503"/>
    </row>
    <row r="24049" spans="23:23">
      <c r="W24049" s="503"/>
    </row>
    <row r="24050" spans="23:23">
      <c r="W24050" s="503"/>
    </row>
    <row r="24051" spans="23:23">
      <c r="W24051" s="503"/>
    </row>
    <row r="24052" spans="23:23">
      <c r="W24052" s="503"/>
    </row>
    <row r="24053" spans="23:23">
      <c r="W24053" s="503"/>
    </row>
    <row r="24054" spans="23:23">
      <c r="W24054" s="503"/>
    </row>
    <row r="24055" spans="23:23">
      <c r="W24055" s="503"/>
    </row>
    <row r="24056" spans="23:23">
      <c r="W24056" s="503"/>
    </row>
    <row r="24057" spans="23:23">
      <c r="W24057" s="503"/>
    </row>
    <row r="24058" spans="23:23">
      <c r="W24058" s="503"/>
    </row>
    <row r="24059" spans="23:23">
      <c r="W24059" s="503"/>
    </row>
    <row r="24060" spans="23:23">
      <c r="W24060" s="503"/>
    </row>
    <row r="24061" spans="23:23">
      <c r="W24061" s="503"/>
    </row>
    <row r="24062" spans="23:23">
      <c r="W24062" s="503"/>
    </row>
    <row r="24063" spans="23:23">
      <c r="W24063" s="503"/>
    </row>
    <row r="24064" spans="23:23">
      <c r="W24064" s="503"/>
    </row>
    <row r="24065" spans="23:23">
      <c r="W24065" s="503"/>
    </row>
    <row r="24066" spans="23:23">
      <c r="W24066" s="503"/>
    </row>
    <row r="24067" spans="23:23">
      <c r="W24067" s="503"/>
    </row>
    <row r="24068" spans="23:23">
      <c r="W24068" s="503"/>
    </row>
    <row r="24069" spans="23:23">
      <c r="W24069" s="503"/>
    </row>
    <row r="24070" spans="23:23">
      <c r="W24070" s="503"/>
    </row>
    <row r="24071" spans="23:23">
      <c r="W24071" s="503"/>
    </row>
    <row r="24072" spans="23:23">
      <c r="W24072" s="503"/>
    </row>
    <row r="24073" spans="23:23">
      <c r="W24073" s="503"/>
    </row>
    <row r="24074" spans="23:23">
      <c r="W24074" s="503"/>
    </row>
    <row r="24075" spans="23:23">
      <c r="W24075" s="503"/>
    </row>
    <row r="24076" spans="23:23">
      <c r="W24076" s="503"/>
    </row>
    <row r="24077" spans="23:23">
      <c r="W24077" s="503"/>
    </row>
    <row r="24078" spans="23:23">
      <c r="W24078" s="503"/>
    </row>
    <row r="24079" spans="23:23">
      <c r="W24079" s="503"/>
    </row>
    <row r="24080" spans="23:23">
      <c r="W24080" s="503"/>
    </row>
    <row r="24081" spans="23:23">
      <c r="W24081" s="503"/>
    </row>
    <row r="24082" spans="23:23">
      <c r="W24082" s="503"/>
    </row>
    <row r="24083" spans="23:23">
      <c r="W24083" s="503"/>
    </row>
    <row r="24084" spans="23:23">
      <c r="W24084" s="503"/>
    </row>
    <row r="24085" spans="23:23">
      <c r="W24085" s="503"/>
    </row>
    <row r="24086" spans="23:23">
      <c r="W24086" s="503"/>
    </row>
    <row r="24087" spans="23:23">
      <c r="W24087" s="503"/>
    </row>
    <row r="24088" spans="23:23">
      <c r="W24088" s="503"/>
    </row>
    <row r="24089" spans="23:23">
      <c r="W24089" s="503"/>
    </row>
    <row r="24090" spans="23:23">
      <c r="W24090" s="503"/>
    </row>
    <row r="24091" spans="23:23">
      <c r="W24091" s="503"/>
    </row>
    <row r="24092" spans="23:23">
      <c r="W24092" s="503"/>
    </row>
    <row r="24093" spans="23:23">
      <c r="W24093" s="503"/>
    </row>
    <row r="24094" spans="23:23">
      <c r="W24094" s="503"/>
    </row>
    <row r="24095" spans="23:23">
      <c r="W24095" s="503"/>
    </row>
    <row r="24096" spans="23:23">
      <c r="W24096" s="503"/>
    </row>
    <row r="24097" spans="23:23">
      <c r="W24097" s="503"/>
    </row>
    <row r="24098" spans="23:23">
      <c r="W24098" s="503"/>
    </row>
    <row r="24099" spans="23:23">
      <c r="W24099" s="503"/>
    </row>
    <row r="24100" spans="23:23">
      <c r="W24100" s="503"/>
    </row>
    <row r="24101" spans="23:23">
      <c r="W24101" s="503"/>
    </row>
    <row r="24102" spans="23:23">
      <c r="W24102" s="503"/>
    </row>
    <row r="24103" spans="23:23">
      <c r="W24103" s="503"/>
    </row>
    <row r="24104" spans="23:23">
      <c r="W24104" s="503"/>
    </row>
    <row r="24105" spans="23:23">
      <c r="W24105" s="503"/>
    </row>
    <row r="24106" spans="23:23">
      <c r="W24106" s="503"/>
    </row>
    <row r="24107" spans="23:23">
      <c r="W24107" s="503"/>
    </row>
    <row r="24108" spans="23:23">
      <c r="W24108" s="503"/>
    </row>
    <row r="24109" spans="23:23">
      <c r="W24109" s="503"/>
    </row>
    <row r="24110" spans="23:23">
      <c r="W24110" s="503"/>
    </row>
    <row r="24111" spans="23:23">
      <c r="W24111" s="503"/>
    </row>
    <row r="24112" spans="23:23">
      <c r="W24112" s="503"/>
    </row>
    <row r="24113" spans="23:23">
      <c r="W24113" s="503"/>
    </row>
    <row r="24114" spans="23:23">
      <c r="W24114" s="503"/>
    </row>
    <row r="24115" spans="23:23">
      <c r="W24115" s="503"/>
    </row>
    <row r="24116" spans="23:23">
      <c r="W24116" s="503"/>
    </row>
    <row r="24117" spans="23:23">
      <c r="W24117" s="503"/>
    </row>
    <row r="24118" spans="23:23">
      <c r="W24118" s="503"/>
    </row>
    <row r="24119" spans="23:23">
      <c r="W24119" s="503"/>
    </row>
    <row r="24120" spans="23:23">
      <c r="W24120" s="503"/>
    </row>
    <row r="24121" spans="23:23">
      <c r="W24121" s="503"/>
    </row>
    <row r="24122" spans="23:23">
      <c r="W24122" s="503"/>
    </row>
    <row r="24123" spans="23:23">
      <c r="W24123" s="503"/>
    </row>
    <row r="24124" spans="23:23">
      <c r="W24124" s="503"/>
    </row>
    <row r="24125" spans="23:23">
      <c r="W24125" s="503"/>
    </row>
    <row r="24126" spans="23:23">
      <c r="W24126" s="503"/>
    </row>
    <row r="24127" spans="23:23">
      <c r="W24127" s="503"/>
    </row>
    <row r="24128" spans="23:23">
      <c r="W24128" s="503"/>
    </row>
    <row r="24129" spans="23:23">
      <c r="W24129" s="503"/>
    </row>
    <row r="24130" spans="23:23">
      <c r="W24130" s="503"/>
    </row>
    <row r="24131" spans="23:23">
      <c r="W24131" s="503"/>
    </row>
    <row r="24132" spans="23:23">
      <c r="W24132" s="503"/>
    </row>
    <row r="24133" spans="23:23">
      <c r="W24133" s="503"/>
    </row>
    <row r="24134" spans="23:23">
      <c r="W24134" s="503"/>
    </row>
    <row r="24135" spans="23:23">
      <c r="W24135" s="503"/>
    </row>
    <row r="24136" spans="23:23">
      <c r="W24136" s="503"/>
    </row>
    <row r="24137" spans="23:23">
      <c r="W24137" s="503"/>
    </row>
    <row r="24138" spans="23:23">
      <c r="W24138" s="503"/>
    </row>
    <row r="24139" spans="23:23">
      <c r="W24139" s="503"/>
    </row>
    <row r="24140" spans="23:23">
      <c r="W24140" s="503"/>
    </row>
    <row r="24141" spans="23:23">
      <c r="W24141" s="503"/>
    </row>
    <row r="24142" spans="23:23">
      <c r="W24142" s="503"/>
    </row>
    <row r="24143" spans="23:23">
      <c r="W24143" s="503"/>
    </row>
    <row r="24144" spans="23:23">
      <c r="W24144" s="503"/>
    </row>
    <row r="24145" spans="23:23">
      <c r="W24145" s="503"/>
    </row>
    <row r="24146" spans="23:23">
      <c r="W24146" s="503"/>
    </row>
    <row r="24147" spans="23:23">
      <c r="W24147" s="503"/>
    </row>
    <row r="24148" spans="23:23">
      <c r="W24148" s="503"/>
    </row>
    <row r="24149" spans="23:23">
      <c r="W24149" s="503"/>
    </row>
    <row r="24150" spans="23:23">
      <c r="W24150" s="503"/>
    </row>
    <row r="24151" spans="23:23">
      <c r="W24151" s="503"/>
    </row>
    <row r="24152" spans="23:23">
      <c r="W24152" s="503"/>
    </row>
    <row r="24153" spans="23:23">
      <c r="W24153" s="503"/>
    </row>
    <row r="24154" spans="23:23">
      <c r="W24154" s="503"/>
    </row>
    <row r="24155" spans="23:23">
      <c r="W24155" s="503"/>
    </row>
    <row r="24156" spans="23:23">
      <c r="W24156" s="503"/>
    </row>
    <row r="24157" spans="23:23">
      <c r="W24157" s="503"/>
    </row>
    <row r="24158" spans="23:23">
      <c r="W24158" s="503"/>
    </row>
    <row r="24159" spans="23:23">
      <c r="W24159" s="503"/>
    </row>
    <row r="24160" spans="23:23">
      <c r="W24160" s="503"/>
    </row>
    <row r="24161" spans="23:23">
      <c r="W24161" s="503"/>
    </row>
    <row r="24162" spans="23:23">
      <c r="W24162" s="503"/>
    </row>
    <row r="24163" spans="23:23">
      <c r="W24163" s="503"/>
    </row>
    <row r="24164" spans="23:23">
      <c r="W24164" s="503"/>
    </row>
    <row r="24165" spans="23:23">
      <c r="W24165" s="503"/>
    </row>
    <row r="24166" spans="23:23">
      <c r="W24166" s="503"/>
    </row>
    <row r="24167" spans="23:23">
      <c r="W24167" s="503"/>
    </row>
    <row r="24168" spans="23:23">
      <c r="W24168" s="503"/>
    </row>
    <row r="24169" spans="23:23">
      <c r="W24169" s="503"/>
    </row>
    <row r="24170" spans="23:23">
      <c r="W24170" s="503"/>
    </row>
    <row r="24171" spans="23:23">
      <c r="W24171" s="503"/>
    </row>
    <row r="24172" spans="23:23">
      <c r="W24172" s="503"/>
    </row>
    <row r="24173" spans="23:23">
      <c r="W24173" s="503"/>
    </row>
    <row r="24174" spans="23:23">
      <c r="W24174" s="503"/>
    </row>
    <row r="24175" spans="23:23">
      <c r="W24175" s="503"/>
    </row>
    <row r="24176" spans="23:23">
      <c r="W24176" s="503"/>
    </row>
    <row r="24177" spans="23:23">
      <c r="W24177" s="503"/>
    </row>
    <row r="24178" spans="23:23">
      <c r="W24178" s="503"/>
    </row>
    <row r="24179" spans="23:23">
      <c r="W24179" s="503"/>
    </row>
    <row r="24180" spans="23:23">
      <c r="W24180" s="503"/>
    </row>
    <row r="24181" spans="23:23">
      <c r="W24181" s="503"/>
    </row>
    <row r="24182" spans="23:23">
      <c r="W24182" s="503"/>
    </row>
    <row r="24183" spans="23:23">
      <c r="W24183" s="503"/>
    </row>
    <row r="24184" spans="23:23">
      <c r="W24184" s="503"/>
    </row>
    <row r="24185" spans="23:23">
      <c r="W24185" s="503"/>
    </row>
    <row r="24186" spans="23:23">
      <c r="W24186" s="503"/>
    </row>
    <row r="24187" spans="23:23">
      <c r="W24187" s="503"/>
    </row>
    <row r="24188" spans="23:23">
      <c r="W24188" s="503"/>
    </row>
    <row r="24189" spans="23:23">
      <c r="W24189" s="503"/>
    </row>
    <row r="24190" spans="23:23">
      <c r="W24190" s="503"/>
    </row>
    <row r="24191" spans="23:23">
      <c r="W24191" s="503"/>
    </row>
    <row r="24192" spans="23:23">
      <c r="W24192" s="503"/>
    </row>
    <row r="24193" spans="23:23">
      <c r="W24193" s="503"/>
    </row>
    <row r="24194" spans="23:23">
      <c r="W24194" s="503"/>
    </row>
    <row r="24195" spans="23:23">
      <c r="W24195" s="503"/>
    </row>
    <row r="24196" spans="23:23">
      <c r="W24196" s="503"/>
    </row>
    <row r="24197" spans="23:23">
      <c r="W24197" s="503"/>
    </row>
    <row r="24198" spans="23:23">
      <c r="W24198" s="503"/>
    </row>
    <row r="24199" spans="23:23">
      <c r="W24199" s="503"/>
    </row>
    <row r="24200" spans="23:23">
      <c r="W24200" s="503"/>
    </row>
    <row r="24201" spans="23:23">
      <c r="W24201" s="503"/>
    </row>
    <row r="24202" spans="23:23">
      <c r="W24202" s="503"/>
    </row>
    <row r="24203" spans="23:23">
      <c r="W24203" s="503"/>
    </row>
    <row r="24204" spans="23:23">
      <c r="W24204" s="503"/>
    </row>
    <row r="24205" spans="23:23">
      <c r="W24205" s="503"/>
    </row>
    <row r="24206" spans="23:23">
      <c r="W24206" s="503"/>
    </row>
    <row r="24207" spans="23:23">
      <c r="W24207" s="503"/>
    </row>
    <row r="24208" spans="23:23">
      <c r="W24208" s="503"/>
    </row>
    <row r="24209" spans="23:23">
      <c r="W24209" s="503"/>
    </row>
    <row r="24210" spans="23:23">
      <c r="W24210" s="503"/>
    </row>
    <row r="24211" spans="23:23">
      <c r="W24211" s="503"/>
    </row>
    <row r="24212" spans="23:23">
      <c r="W24212" s="503"/>
    </row>
    <row r="24213" spans="23:23">
      <c r="W24213" s="503"/>
    </row>
    <row r="24214" spans="23:23">
      <c r="W24214" s="503"/>
    </row>
    <row r="24215" spans="23:23">
      <c r="W24215" s="503"/>
    </row>
    <row r="24216" spans="23:23">
      <c r="W24216" s="503"/>
    </row>
    <row r="24217" spans="23:23">
      <c r="W24217" s="503"/>
    </row>
    <row r="24218" spans="23:23">
      <c r="W24218" s="503"/>
    </row>
    <row r="24219" spans="23:23">
      <c r="W24219" s="503"/>
    </row>
    <row r="24220" spans="23:23">
      <c r="W24220" s="503"/>
    </row>
    <row r="24221" spans="23:23">
      <c r="W24221" s="503"/>
    </row>
    <row r="24222" spans="23:23">
      <c r="W24222" s="503"/>
    </row>
    <row r="24223" spans="23:23">
      <c r="W24223" s="503"/>
    </row>
    <row r="24224" spans="23:23">
      <c r="W24224" s="503"/>
    </row>
    <row r="24225" spans="23:23">
      <c r="W24225" s="503"/>
    </row>
    <row r="24226" spans="23:23">
      <c r="W24226" s="503"/>
    </row>
    <row r="24227" spans="23:23">
      <c r="W24227" s="503"/>
    </row>
    <row r="24228" spans="23:23">
      <c r="W24228" s="503"/>
    </row>
    <row r="24229" spans="23:23">
      <c r="W24229" s="503"/>
    </row>
    <row r="24230" spans="23:23">
      <c r="W24230" s="503"/>
    </row>
    <row r="24231" spans="23:23">
      <c r="W24231" s="503"/>
    </row>
    <row r="24232" spans="23:23">
      <c r="W24232" s="503"/>
    </row>
    <row r="24233" spans="23:23">
      <c r="W24233" s="503"/>
    </row>
    <row r="24234" spans="23:23">
      <c r="W24234" s="503"/>
    </row>
    <row r="24235" spans="23:23">
      <c r="W24235" s="503"/>
    </row>
    <row r="24236" spans="23:23">
      <c r="W24236" s="503"/>
    </row>
    <row r="24237" spans="23:23">
      <c r="W24237" s="503"/>
    </row>
    <row r="24238" spans="23:23">
      <c r="W24238" s="503"/>
    </row>
    <row r="24239" spans="23:23">
      <c r="W24239" s="503"/>
    </row>
    <row r="24240" spans="23:23">
      <c r="W24240" s="503"/>
    </row>
    <row r="24241" spans="23:23">
      <c r="W24241" s="503"/>
    </row>
    <row r="24242" spans="23:23">
      <c r="W24242" s="503"/>
    </row>
    <row r="24243" spans="23:23">
      <c r="W24243" s="503"/>
    </row>
    <row r="24244" spans="23:23">
      <c r="W24244" s="503"/>
    </row>
    <row r="24245" spans="23:23">
      <c r="W24245" s="503"/>
    </row>
    <row r="24246" spans="23:23">
      <c r="W24246" s="503"/>
    </row>
    <row r="24247" spans="23:23">
      <c r="W24247" s="503"/>
    </row>
    <row r="24248" spans="23:23">
      <c r="W24248" s="503"/>
    </row>
    <row r="24249" spans="23:23">
      <c r="W24249" s="503"/>
    </row>
    <row r="24250" spans="23:23">
      <c r="W24250" s="503"/>
    </row>
    <row r="24251" spans="23:23">
      <c r="W24251" s="503"/>
    </row>
    <row r="24252" spans="23:23">
      <c r="W24252" s="503"/>
    </row>
    <row r="24253" spans="23:23">
      <c r="W24253" s="503"/>
    </row>
    <row r="24254" spans="23:23">
      <c r="W24254" s="503"/>
    </row>
    <row r="24255" spans="23:23">
      <c r="W24255" s="503"/>
    </row>
    <row r="24256" spans="23:23">
      <c r="W24256" s="503"/>
    </row>
    <row r="24257" spans="23:23">
      <c r="W24257" s="503"/>
    </row>
    <row r="24258" spans="23:23">
      <c r="W24258" s="503"/>
    </row>
    <row r="24259" spans="23:23">
      <c r="W24259" s="503"/>
    </row>
    <row r="24260" spans="23:23">
      <c r="W24260" s="503"/>
    </row>
    <row r="24261" spans="23:23">
      <c r="W24261" s="503"/>
    </row>
    <row r="24262" spans="23:23">
      <c r="W24262" s="503"/>
    </row>
    <row r="24263" spans="23:23">
      <c r="W24263" s="503"/>
    </row>
    <row r="24264" spans="23:23">
      <c r="W24264" s="503"/>
    </row>
    <row r="24265" spans="23:23">
      <c r="W24265" s="503"/>
    </row>
    <row r="24266" spans="23:23">
      <c r="W24266" s="503"/>
    </row>
    <row r="24267" spans="23:23">
      <c r="W24267" s="503"/>
    </row>
    <row r="24268" spans="23:23">
      <c r="W24268" s="503"/>
    </row>
    <row r="24269" spans="23:23">
      <c r="W24269" s="503"/>
    </row>
    <row r="24270" spans="23:23">
      <c r="W24270" s="503"/>
    </row>
    <row r="24271" spans="23:23">
      <c r="W24271" s="503"/>
    </row>
    <row r="24272" spans="23:23">
      <c r="W24272" s="503"/>
    </row>
    <row r="24273" spans="23:23">
      <c r="W24273" s="503"/>
    </row>
    <row r="24274" spans="23:23">
      <c r="W24274" s="503"/>
    </row>
    <row r="24275" spans="23:23">
      <c r="W24275" s="503"/>
    </row>
    <row r="24276" spans="23:23">
      <c r="W24276" s="503"/>
    </row>
    <row r="24277" spans="23:23">
      <c r="W24277" s="503"/>
    </row>
    <row r="24278" spans="23:23">
      <c r="W24278" s="503"/>
    </row>
    <row r="24279" spans="23:23">
      <c r="W24279" s="503"/>
    </row>
    <row r="24280" spans="23:23">
      <c r="W24280" s="503"/>
    </row>
    <row r="24281" spans="23:23">
      <c r="W24281" s="503"/>
    </row>
    <row r="24282" spans="23:23">
      <c r="W24282" s="503"/>
    </row>
    <row r="24283" spans="23:23">
      <c r="W24283" s="503"/>
    </row>
    <row r="24284" spans="23:23">
      <c r="W24284" s="503"/>
    </row>
    <row r="24285" spans="23:23">
      <c r="W24285" s="503"/>
    </row>
    <row r="24286" spans="23:23">
      <c r="W24286" s="503"/>
    </row>
    <row r="24287" spans="23:23">
      <c r="W24287" s="503"/>
    </row>
    <row r="24288" spans="23:23">
      <c r="W24288" s="503"/>
    </row>
    <row r="24289" spans="23:23">
      <c r="W24289" s="503"/>
    </row>
    <row r="24290" spans="23:23">
      <c r="W24290" s="503"/>
    </row>
    <row r="24291" spans="23:23">
      <c r="W24291" s="503"/>
    </row>
    <row r="24292" spans="23:23">
      <c r="W24292" s="503"/>
    </row>
    <row r="24293" spans="23:23">
      <c r="W24293" s="503"/>
    </row>
    <row r="24294" spans="23:23">
      <c r="W24294" s="503"/>
    </row>
    <row r="24295" spans="23:23">
      <c r="W24295" s="503"/>
    </row>
    <row r="24296" spans="23:23">
      <c r="W24296" s="503"/>
    </row>
    <row r="24297" spans="23:23">
      <c r="W24297" s="503"/>
    </row>
    <row r="24298" spans="23:23">
      <c r="W24298" s="503"/>
    </row>
    <row r="24299" spans="23:23">
      <c r="W24299" s="503"/>
    </row>
    <row r="24300" spans="23:23">
      <c r="W24300" s="503"/>
    </row>
    <row r="24301" spans="23:23">
      <c r="W24301" s="503"/>
    </row>
    <row r="24302" spans="23:23">
      <c r="W24302" s="503"/>
    </row>
    <row r="24303" spans="23:23">
      <c r="W24303" s="503"/>
    </row>
    <row r="24304" spans="23:23">
      <c r="W24304" s="503"/>
    </row>
    <row r="24305" spans="23:23">
      <c r="W24305" s="503"/>
    </row>
    <row r="24306" spans="23:23">
      <c r="W24306" s="503"/>
    </row>
    <row r="24307" spans="23:23">
      <c r="W24307" s="503"/>
    </row>
    <row r="24308" spans="23:23">
      <c r="W24308" s="503"/>
    </row>
    <row r="24309" spans="23:23">
      <c r="W24309" s="503"/>
    </row>
    <row r="24310" spans="23:23">
      <c r="W24310" s="503"/>
    </row>
    <row r="24311" spans="23:23">
      <c r="W24311" s="503"/>
    </row>
    <row r="24312" spans="23:23">
      <c r="W24312" s="503"/>
    </row>
    <row r="24313" spans="23:23">
      <c r="W24313" s="503"/>
    </row>
    <row r="24314" spans="23:23">
      <c r="W24314" s="503"/>
    </row>
    <row r="24315" spans="23:23">
      <c r="W24315" s="503"/>
    </row>
    <row r="24316" spans="23:23">
      <c r="W24316" s="503"/>
    </row>
    <row r="24317" spans="23:23">
      <c r="W24317" s="503"/>
    </row>
    <row r="24318" spans="23:23">
      <c r="W24318" s="503"/>
    </row>
    <row r="24319" spans="23:23">
      <c r="W24319" s="503"/>
    </row>
    <row r="24320" spans="23:23">
      <c r="W24320" s="503"/>
    </row>
    <row r="24321" spans="23:23">
      <c r="W24321" s="503"/>
    </row>
    <row r="24322" spans="23:23">
      <c r="W24322" s="503"/>
    </row>
    <row r="24323" spans="23:23">
      <c r="W24323" s="503"/>
    </row>
    <row r="24324" spans="23:23">
      <c r="W24324" s="503"/>
    </row>
    <row r="24325" spans="23:23">
      <c r="W24325" s="503"/>
    </row>
    <row r="24326" spans="23:23">
      <c r="W24326" s="503"/>
    </row>
    <row r="24327" spans="23:23">
      <c r="W24327" s="503"/>
    </row>
    <row r="24328" spans="23:23">
      <c r="W24328" s="503"/>
    </row>
    <row r="24329" spans="23:23">
      <c r="W24329" s="503"/>
    </row>
    <row r="24330" spans="23:23">
      <c r="W24330" s="503"/>
    </row>
    <row r="24331" spans="23:23">
      <c r="W24331" s="503"/>
    </row>
    <row r="24332" spans="23:23">
      <c r="W24332" s="503"/>
    </row>
    <row r="24333" spans="23:23">
      <c r="W24333" s="503"/>
    </row>
    <row r="24334" spans="23:23">
      <c r="W24334" s="503"/>
    </row>
    <row r="24335" spans="23:23">
      <c r="W24335" s="503"/>
    </row>
    <row r="24336" spans="23:23">
      <c r="W24336" s="503"/>
    </row>
    <row r="24337" spans="23:23">
      <c r="W24337" s="503"/>
    </row>
    <row r="24338" spans="23:23">
      <c r="W24338" s="503"/>
    </row>
    <row r="24339" spans="23:23">
      <c r="W24339" s="503"/>
    </row>
    <row r="24340" spans="23:23">
      <c r="W24340" s="503"/>
    </row>
    <row r="24341" spans="23:23">
      <c r="W24341" s="503"/>
    </row>
    <row r="24342" spans="23:23">
      <c r="W24342" s="503"/>
    </row>
    <row r="24343" spans="23:23">
      <c r="W24343" s="503"/>
    </row>
    <row r="24344" spans="23:23">
      <c r="W24344" s="503"/>
    </row>
    <row r="24345" spans="23:23">
      <c r="W24345" s="503"/>
    </row>
    <row r="24346" spans="23:23">
      <c r="W24346" s="503"/>
    </row>
    <row r="24347" spans="23:23">
      <c r="W24347" s="503"/>
    </row>
    <row r="24348" spans="23:23">
      <c r="W24348" s="503"/>
    </row>
    <row r="24349" spans="23:23">
      <c r="W24349" s="503"/>
    </row>
    <row r="24350" spans="23:23">
      <c r="W24350" s="503"/>
    </row>
    <row r="24351" spans="23:23">
      <c r="W24351" s="503"/>
    </row>
    <row r="24352" spans="23:23">
      <c r="W24352" s="503"/>
    </row>
    <row r="24353" spans="23:23">
      <c r="W24353" s="503"/>
    </row>
    <row r="24354" spans="23:23">
      <c r="W24354" s="503"/>
    </row>
    <row r="24355" spans="23:23">
      <c r="W24355" s="503"/>
    </row>
    <row r="24356" spans="23:23">
      <c r="W24356" s="503"/>
    </row>
    <row r="24357" spans="23:23">
      <c r="W24357" s="503"/>
    </row>
    <row r="24358" spans="23:23">
      <c r="W24358" s="503"/>
    </row>
    <row r="24359" spans="23:23">
      <c r="W24359" s="503"/>
    </row>
    <row r="24360" spans="23:23">
      <c r="W24360" s="503"/>
    </row>
    <row r="24361" spans="23:23">
      <c r="W24361" s="503"/>
    </row>
    <row r="24362" spans="23:23">
      <c r="W24362" s="503"/>
    </row>
    <row r="24363" spans="23:23">
      <c r="W24363" s="503"/>
    </row>
    <row r="24364" spans="23:23">
      <c r="W24364" s="503"/>
    </row>
    <row r="24365" spans="23:23">
      <c r="W24365" s="503"/>
    </row>
    <row r="24366" spans="23:23">
      <c r="W24366" s="503"/>
    </row>
    <row r="24367" spans="23:23">
      <c r="W24367" s="503"/>
    </row>
    <row r="24368" spans="23:23">
      <c r="W24368" s="503"/>
    </row>
    <row r="24369" spans="23:23">
      <c r="W24369" s="503"/>
    </row>
    <row r="24370" spans="23:23">
      <c r="W24370" s="503"/>
    </row>
    <row r="24371" spans="23:23">
      <c r="W24371" s="503"/>
    </row>
    <row r="24372" spans="23:23">
      <c r="W24372" s="503"/>
    </row>
    <row r="24373" spans="23:23">
      <c r="W24373" s="503"/>
    </row>
    <row r="24374" spans="23:23">
      <c r="W24374" s="503"/>
    </row>
    <row r="24375" spans="23:23">
      <c r="W24375" s="503"/>
    </row>
    <row r="24376" spans="23:23">
      <c r="W24376" s="503"/>
    </row>
    <row r="24377" spans="23:23">
      <c r="W24377" s="503"/>
    </row>
    <row r="24378" spans="23:23">
      <c r="W24378" s="503"/>
    </row>
    <row r="24379" spans="23:23">
      <c r="W24379" s="503"/>
    </row>
    <row r="24380" spans="23:23">
      <c r="W24380" s="503"/>
    </row>
    <row r="24381" spans="23:23">
      <c r="W24381" s="503"/>
    </row>
    <row r="24382" spans="23:23">
      <c r="W24382" s="503"/>
    </row>
    <row r="24383" spans="23:23">
      <c r="W24383" s="503"/>
    </row>
    <row r="24384" spans="23:23">
      <c r="W24384" s="503"/>
    </row>
    <row r="24385" spans="23:23">
      <c r="W24385" s="503"/>
    </row>
    <row r="24386" spans="23:23">
      <c r="W24386" s="503"/>
    </row>
    <row r="24387" spans="23:23">
      <c r="W24387" s="503"/>
    </row>
    <row r="24388" spans="23:23">
      <c r="W24388" s="503"/>
    </row>
    <row r="24389" spans="23:23">
      <c r="W24389" s="503"/>
    </row>
    <row r="24390" spans="23:23">
      <c r="W24390" s="503"/>
    </row>
    <row r="24391" spans="23:23">
      <c r="W24391" s="503"/>
    </row>
    <row r="24392" spans="23:23">
      <c r="W24392" s="503"/>
    </row>
    <row r="24393" spans="23:23">
      <c r="W24393" s="503"/>
    </row>
    <row r="24394" spans="23:23">
      <c r="W24394" s="503"/>
    </row>
    <row r="24395" spans="23:23">
      <c r="W24395" s="503"/>
    </row>
    <row r="24396" spans="23:23">
      <c r="W24396" s="503"/>
    </row>
    <row r="24397" spans="23:23">
      <c r="W24397" s="503"/>
    </row>
    <row r="24398" spans="23:23">
      <c r="W24398" s="503"/>
    </row>
    <row r="24399" spans="23:23">
      <c r="W24399" s="503"/>
    </row>
    <row r="24400" spans="23:23">
      <c r="W24400" s="503"/>
    </row>
    <row r="24401" spans="23:23">
      <c r="W24401" s="503"/>
    </row>
    <row r="24402" spans="23:23">
      <c r="W24402" s="503"/>
    </row>
    <row r="24403" spans="23:23">
      <c r="W24403" s="503"/>
    </row>
    <row r="24404" spans="23:23">
      <c r="W24404" s="503"/>
    </row>
    <row r="24405" spans="23:23">
      <c r="W24405" s="503"/>
    </row>
    <row r="24406" spans="23:23">
      <c r="W24406" s="503"/>
    </row>
    <row r="24407" spans="23:23">
      <c r="W24407" s="503"/>
    </row>
    <row r="24408" spans="23:23">
      <c r="W24408" s="503"/>
    </row>
    <row r="24409" spans="23:23">
      <c r="W24409" s="503"/>
    </row>
    <row r="24410" spans="23:23">
      <c r="W24410" s="503"/>
    </row>
    <row r="24411" spans="23:23">
      <c r="W24411" s="503"/>
    </row>
    <row r="24412" spans="23:23">
      <c r="W24412" s="503"/>
    </row>
    <row r="24413" spans="23:23">
      <c r="W24413" s="503"/>
    </row>
    <row r="24414" spans="23:23">
      <c r="W24414" s="503"/>
    </row>
    <row r="24415" spans="23:23">
      <c r="W24415" s="503"/>
    </row>
    <row r="24416" spans="23:23">
      <c r="W24416" s="503"/>
    </row>
    <row r="24417" spans="23:23">
      <c r="W24417" s="503"/>
    </row>
    <row r="24418" spans="23:23">
      <c r="W24418" s="503"/>
    </row>
    <row r="24419" spans="23:23">
      <c r="W24419" s="503"/>
    </row>
    <row r="24420" spans="23:23">
      <c r="W24420" s="503"/>
    </row>
    <row r="24421" spans="23:23">
      <c r="W24421" s="503"/>
    </row>
    <row r="24422" spans="23:23">
      <c r="W24422" s="503"/>
    </row>
    <row r="24423" spans="23:23">
      <c r="W24423" s="503"/>
    </row>
    <row r="24424" spans="23:23">
      <c r="W24424" s="503"/>
    </row>
    <row r="24425" spans="23:23">
      <c r="W24425" s="503"/>
    </row>
    <row r="24426" spans="23:23">
      <c r="W24426" s="503"/>
    </row>
    <row r="24427" spans="23:23">
      <c r="W24427" s="503"/>
    </row>
    <row r="24428" spans="23:23">
      <c r="W24428" s="503"/>
    </row>
    <row r="24429" spans="23:23">
      <c r="W24429" s="503"/>
    </row>
    <row r="24430" spans="23:23">
      <c r="W24430" s="503"/>
    </row>
    <row r="24431" spans="23:23">
      <c r="W24431" s="503"/>
    </row>
    <row r="24432" spans="23:23">
      <c r="W24432" s="503"/>
    </row>
    <row r="24433" spans="23:23">
      <c r="W24433" s="503"/>
    </row>
    <row r="24434" spans="23:23">
      <c r="W24434" s="503"/>
    </row>
    <row r="24435" spans="23:23">
      <c r="W24435" s="503"/>
    </row>
    <row r="24436" spans="23:23">
      <c r="W24436" s="503"/>
    </row>
    <row r="24437" spans="23:23">
      <c r="W24437" s="503"/>
    </row>
    <row r="24438" spans="23:23">
      <c r="W24438" s="503"/>
    </row>
    <row r="24439" spans="23:23">
      <c r="W24439" s="503"/>
    </row>
    <row r="24440" spans="23:23">
      <c r="W24440" s="503"/>
    </row>
    <row r="24441" spans="23:23">
      <c r="W24441" s="503"/>
    </row>
    <row r="24442" spans="23:23">
      <c r="W24442" s="503"/>
    </row>
    <row r="24443" spans="23:23">
      <c r="W24443" s="503"/>
    </row>
    <row r="24444" spans="23:23">
      <c r="W24444" s="503"/>
    </row>
    <row r="24445" spans="23:23">
      <c r="W24445" s="503"/>
    </row>
    <row r="24446" spans="23:23">
      <c r="W24446" s="503"/>
    </row>
    <row r="24447" spans="23:23">
      <c r="W24447" s="503"/>
    </row>
    <row r="24448" spans="23:23">
      <c r="W24448" s="503"/>
    </row>
    <row r="24449" spans="23:23">
      <c r="W24449" s="503"/>
    </row>
    <row r="24450" spans="23:23">
      <c r="W24450" s="503"/>
    </row>
    <row r="24451" spans="23:23">
      <c r="W24451" s="503"/>
    </row>
    <row r="24452" spans="23:23">
      <c r="W24452" s="503"/>
    </row>
    <row r="24453" spans="23:23">
      <c r="W24453" s="503"/>
    </row>
    <row r="24454" spans="23:23">
      <c r="W24454" s="503"/>
    </row>
    <row r="24455" spans="23:23">
      <c r="W24455" s="503"/>
    </row>
    <row r="24456" spans="23:23">
      <c r="W24456" s="503"/>
    </row>
    <row r="24457" spans="23:23">
      <c r="W24457" s="503"/>
    </row>
    <row r="24458" spans="23:23">
      <c r="W24458" s="503"/>
    </row>
    <row r="24459" spans="23:23">
      <c r="W24459" s="503"/>
    </row>
    <row r="24460" spans="23:23">
      <c r="W24460" s="503"/>
    </row>
    <row r="24461" spans="23:23">
      <c r="W24461" s="503"/>
    </row>
    <row r="24462" spans="23:23">
      <c r="W24462" s="503"/>
    </row>
    <row r="24463" spans="23:23">
      <c r="W24463" s="503"/>
    </row>
    <row r="24464" spans="23:23">
      <c r="W24464" s="503"/>
    </row>
    <row r="24465" spans="23:23">
      <c r="W24465" s="503"/>
    </row>
    <row r="24466" spans="23:23">
      <c r="W24466" s="503"/>
    </row>
    <row r="24467" spans="23:23">
      <c r="W24467" s="503"/>
    </row>
    <row r="24468" spans="23:23">
      <c r="W24468" s="503"/>
    </row>
    <row r="24469" spans="23:23">
      <c r="W24469" s="503"/>
    </row>
    <row r="24470" spans="23:23">
      <c r="W24470" s="503"/>
    </row>
    <row r="24471" spans="23:23">
      <c r="W24471" s="503"/>
    </row>
    <row r="24472" spans="23:23">
      <c r="W24472" s="503"/>
    </row>
    <row r="24473" spans="23:23">
      <c r="W24473" s="503"/>
    </row>
    <row r="24474" spans="23:23">
      <c r="W24474" s="503"/>
    </row>
    <row r="24475" spans="23:23">
      <c r="W24475" s="503"/>
    </row>
    <row r="24476" spans="23:23">
      <c r="W24476" s="503"/>
    </row>
    <row r="24477" spans="23:23">
      <c r="W24477" s="503"/>
    </row>
    <row r="24478" spans="23:23">
      <c r="W24478" s="503"/>
    </row>
    <row r="24479" spans="23:23">
      <c r="W24479" s="503"/>
    </row>
    <row r="24480" spans="23:23">
      <c r="W24480" s="503"/>
    </row>
    <row r="24481" spans="23:23">
      <c r="W24481" s="503"/>
    </row>
    <row r="24482" spans="23:23">
      <c r="W24482" s="503"/>
    </row>
    <row r="24483" spans="23:23">
      <c r="W24483" s="503"/>
    </row>
    <row r="24484" spans="23:23">
      <c r="W24484" s="503"/>
    </row>
    <row r="24485" spans="23:23">
      <c r="W24485" s="503"/>
    </row>
    <row r="24486" spans="23:23">
      <c r="W24486" s="503"/>
    </row>
    <row r="24487" spans="23:23">
      <c r="W24487" s="503"/>
    </row>
    <row r="24488" spans="23:23">
      <c r="W24488" s="503"/>
    </row>
    <row r="24489" spans="23:23">
      <c r="W24489" s="503"/>
    </row>
    <row r="24490" spans="23:23">
      <c r="W24490" s="503"/>
    </row>
    <row r="24491" spans="23:23">
      <c r="W24491" s="503"/>
    </row>
    <row r="24492" spans="23:23">
      <c r="W24492" s="503"/>
    </row>
    <row r="24493" spans="23:23">
      <c r="W24493" s="503"/>
    </row>
    <row r="24494" spans="23:23">
      <c r="W24494" s="503"/>
    </row>
    <row r="24495" spans="23:23">
      <c r="W24495" s="503"/>
    </row>
    <row r="24496" spans="23:23">
      <c r="W24496" s="503"/>
    </row>
    <row r="24497" spans="23:23">
      <c r="W24497" s="503"/>
    </row>
    <row r="24498" spans="23:23">
      <c r="W24498" s="503"/>
    </row>
    <row r="24499" spans="23:23">
      <c r="W24499" s="503"/>
    </row>
    <row r="24500" spans="23:23">
      <c r="W24500" s="503"/>
    </row>
    <row r="24501" spans="23:23">
      <c r="W24501" s="503"/>
    </row>
    <row r="24502" spans="23:23">
      <c r="W24502" s="503"/>
    </row>
    <row r="24503" spans="23:23">
      <c r="W24503" s="503"/>
    </row>
    <row r="24504" spans="23:23">
      <c r="W24504" s="503"/>
    </row>
    <row r="24505" spans="23:23">
      <c r="W24505" s="503"/>
    </row>
    <row r="24506" spans="23:23">
      <c r="W24506" s="503"/>
    </row>
    <row r="24507" spans="23:23">
      <c r="W24507" s="503"/>
    </row>
    <row r="24508" spans="23:23">
      <c r="W24508" s="503"/>
    </row>
    <row r="24509" spans="23:23">
      <c r="W24509" s="503"/>
    </row>
    <row r="24510" spans="23:23">
      <c r="W24510" s="503"/>
    </row>
    <row r="24511" spans="23:23">
      <c r="W24511" s="503"/>
    </row>
    <row r="24512" spans="23:23">
      <c r="W24512" s="503"/>
    </row>
    <row r="24513" spans="23:23">
      <c r="W24513" s="503"/>
    </row>
    <row r="24514" spans="23:23">
      <c r="W24514" s="503"/>
    </row>
    <row r="24515" spans="23:23">
      <c r="W24515" s="503"/>
    </row>
    <row r="24516" spans="23:23">
      <c r="W24516" s="503"/>
    </row>
    <row r="24517" spans="23:23">
      <c r="W24517" s="503"/>
    </row>
    <row r="24518" spans="23:23">
      <c r="W24518" s="503"/>
    </row>
    <row r="24519" spans="23:23">
      <c r="W24519" s="503"/>
    </row>
    <row r="24520" spans="23:23">
      <c r="W24520" s="503"/>
    </row>
    <row r="24521" spans="23:23">
      <c r="W24521" s="503"/>
    </row>
    <row r="24522" spans="23:23">
      <c r="W24522" s="503"/>
    </row>
    <row r="24523" spans="23:23">
      <c r="W24523" s="503"/>
    </row>
    <row r="24524" spans="23:23">
      <c r="W24524" s="503"/>
    </row>
    <row r="24525" spans="23:23">
      <c r="W24525" s="503"/>
    </row>
    <row r="24526" spans="23:23">
      <c r="W24526" s="503"/>
    </row>
    <row r="24527" spans="23:23">
      <c r="W24527" s="503"/>
    </row>
    <row r="24528" spans="23:23">
      <c r="W24528" s="503"/>
    </row>
    <row r="24529" spans="23:23">
      <c r="W24529" s="503"/>
    </row>
    <row r="24530" spans="23:23">
      <c r="W24530" s="503"/>
    </row>
    <row r="24531" spans="23:23">
      <c r="W24531" s="503"/>
    </row>
    <row r="24532" spans="23:23">
      <c r="W24532" s="503"/>
    </row>
    <row r="24533" spans="23:23">
      <c r="W24533" s="503"/>
    </row>
    <row r="24534" spans="23:23">
      <c r="W24534" s="503"/>
    </row>
    <row r="24535" spans="23:23">
      <c r="W24535" s="503"/>
    </row>
    <row r="24536" spans="23:23">
      <c r="W24536" s="503"/>
    </row>
    <row r="24537" spans="23:23">
      <c r="W24537" s="503"/>
    </row>
    <row r="24538" spans="23:23">
      <c r="W24538" s="503"/>
    </row>
    <row r="24539" spans="23:23">
      <c r="W24539" s="503"/>
    </row>
    <row r="24540" spans="23:23">
      <c r="W24540" s="503"/>
    </row>
    <row r="24541" spans="23:23">
      <c r="W24541" s="503"/>
    </row>
    <row r="24542" spans="23:23">
      <c r="W24542" s="503"/>
    </row>
    <row r="24543" spans="23:23">
      <c r="W24543" s="503"/>
    </row>
    <row r="24544" spans="23:23">
      <c r="W24544" s="503"/>
    </row>
    <row r="24545" spans="23:23">
      <c r="W24545" s="503"/>
    </row>
    <row r="24546" spans="23:23">
      <c r="W24546" s="503"/>
    </row>
    <row r="24547" spans="23:23">
      <c r="W24547" s="503"/>
    </row>
    <row r="24548" spans="23:23">
      <c r="W24548" s="503"/>
    </row>
    <row r="24549" spans="23:23">
      <c r="W24549" s="503"/>
    </row>
    <row r="24550" spans="23:23">
      <c r="W24550" s="503"/>
    </row>
    <row r="24551" spans="23:23">
      <c r="W24551" s="503"/>
    </row>
    <row r="24552" spans="23:23">
      <c r="W24552" s="503"/>
    </row>
    <row r="24553" spans="23:23">
      <c r="W24553" s="503"/>
    </row>
    <row r="24554" spans="23:23">
      <c r="W24554" s="503"/>
    </row>
    <row r="24555" spans="23:23">
      <c r="W24555" s="503"/>
    </row>
    <row r="24556" spans="23:23">
      <c r="W24556" s="503"/>
    </row>
    <row r="24557" spans="23:23">
      <c r="W24557" s="503"/>
    </row>
    <row r="24558" spans="23:23">
      <c r="W24558" s="503"/>
    </row>
    <row r="24559" spans="23:23">
      <c r="W24559" s="503"/>
    </row>
    <row r="24560" spans="23:23">
      <c r="W24560" s="503"/>
    </row>
    <row r="24561" spans="23:23">
      <c r="W24561" s="503"/>
    </row>
    <row r="24562" spans="23:23">
      <c r="W24562" s="503"/>
    </row>
    <row r="24563" spans="23:23">
      <c r="W24563" s="503"/>
    </row>
    <row r="24564" spans="23:23">
      <c r="W24564" s="503"/>
    </row>
    <row r="24565" spans="23:23">
      <c r="W24565" s="503"/>
    </row>
    <row r="24566" spans="23:23">
      <c r="W24566" s="503"/>
    </row>
    <row r="24567" spans="23:23">
      <c r="W24567" s="503"/>
    </row>
    <row r="24568" spans="23:23">
      <c r="W24568" s="503"/>
    </row>
    <row r="24569" spans="23:23">
      <c r="W24569" s="503"/>
    </row>
    <row r="24570" spans="23:23">
      <c r="W24570" s="503"/>
    </row>
    <row r="24571" spans="23:23">
      <c r="W24571" s="503"/>
    </row>
    <row r="24572" spans="23:23">
      <c r="W24572" s="503"/>
    </row>
    <row r="24573" spans="23:23">
      <c r="W24573" s="503"/>
    </row>
    <row r="24574" spans="23:23">
      <c r="W24574" s="503"/>
    </row>
    <row r="24575" spans="23:23">
      <c r="W24575" s="503"/>
    </row>
    <row r="24576" spans="23:23">
      <c r="W24576" s="503"/>
    </row>
    <row r="24577" spans="23:23">
      <c r="W24577" s="503"/>
    </row>
    <row r="24578" spans="23:23">
      <c r="W24578" s="503"/>
    </row>
    <row r="24579" spans="23:23">
      <c r="W24579" s="503"/>
    </row>
    <row r="24580" spans="23:23">
      <c r="W24580" s="503"/>
    </row>
    <row r="24581" spans="23:23">
      <c r="W24581" s="503"/>
    </row>
    <row r="24582" spans="23:23">
      <c r="W24582" s="503"/>
    </row>
    <row r="24583" spans="23:23">
      <c r="W24583" s="503"/>
    </row>
    <row r="24584" spans="23:23">
      <c r="W24584" s="503"/>
    </row>
    <row r="24585" spans="23:23">
      <c r="W24585" s="503"/>
    </row>
    <row r="24586" spans="23:23">
      <c r="W24586" s="503"/>
    </row>
    <row r="24587" spans="23:23">
      <c r="W24587" s="503"/>
    </row>
    <row r="24588" spans="23:23">
      <c r="W24588" s="503"/>
    </row>
    <row r="24589" spans="23:23">
      <c r="W24589" s="503"/>
    </row>
    <row r="24590" spans="23:23">
      <c r="W24590" s="503"/>
    </row>
    <row r="24591" spans="23:23">
      <c r="W24591" s="503"/>
    </row>
    <row r="24592" spans="23:23">
      <c r="W24592" s="503"/>
    </row>
    <row r="24593" spans="23:23">
      <c r="W24593" s="503"/>
    </row>
    <row r="24594" spans="23:23">
      <c r="W24594" s="503"/>
    </row>
    <row r="24595" spans="23:23">
      <c r="W24595" s="503"/>
    </row>
    <row r="24596" spans="23:23">
      <c r="W24596" s="503"/>
    </row>
    <row r="24597" spans="23:23">
      <c r="W24597" s="503"/>
    </row>
    <row r="24598" spans="23:23">
      <c r="W24598" s="503"/>
    </row>
    <row r="24599" spans="23:23">
      <c r="W24599" s="503"/>
    </row>
    <row r="24600" spans="23:23">
      <c r="W24600" s="503"/>
    </row>
    <row r="24601" spans="23:23">
      <c r="W24601" s="503"/>
    </row>
    <row r="24602" spans="23:23">
      <c r="W24602" s="503"/>
    </row>
    <row r="24603" spans="23:23">
      <c r="W24603" s="503"/>
    </row>
    <row r="24604" spans="23:23">
      <c r="W24604" s="503"/>
    </row>
    <row r="24605" spans="23:23">
      <c r="W24605" s="503"/>
    </row>
    <row r="24606" spans="23:23">
      <c r="W24606" s="503"/>
    </row>
    <row r="24607" spans="23:23">
      <c r="W24607" s="503"/>
    </row>
    <row r="24608" spans="23:23">
      <c r="W24608" s="503"/>
    </row>
    <row r="24609" spans="23:23">
      <c r="W24609" s="503"/>
    </row>
    <row r="24610" spans="23:23">
      <c r="W24610" s="503"/>
    </row>
    <row r="24611" spans="23:23">
      <c r="W24611" s="503"/>
    </row>
    <row r="24612" spans="23:23">
      <c r="W24612" s="503"/>
    </row>
    <row r="24613" spans="23:23">
      <c r="W24613" s="503"/>
    </row>
    <row r="24614" spans="23:23">
      <c r="W24614" s="503"/>
    </row>
    <row r="24615" spans="23:23">
      <c r="W24615" s="503"/>
    </row>
    <row r="24616" spans="23:23">
      <c r="W24616" s="503"/>
    </row>
    <row r="24617" spans="23:23">
      <c r="W24617" s="503"/>
    </row>
    <row r="24618" spans="23:23">
      <c r="W24618" s="503"/>
    </row>
    <row r="24619" spans="23:23">
      <c r="W24619" s="503"/>
    </row>
    <row r="24620" spans="23:23">
      <c r="W24620" s="503"/>
    </row>
    <row r="24621" spans="23:23">
      <c r="W24621" s="503"/>
    </row>
    <row r="24622" spans="23:23">
      <c r="W24622" s="503"/>
    </row>
    <row r="24623" spans="23:23">
      <c r="W24623" s="503"/>
    </row>
    <row r="24624" spans="23:23">
      <c r="W24624" s="503"/>
    </row>
    <row r="24625" spans="23:23">
      <c r="W24625" s="503"/>
    </row>
    <row r="24626" spans="23:23">
      <c r="W24626" s="503"/>
    </row>
    <row r="24627" spans="23:23">
      <c r="W24627" s="503"/>
    </row>
    <row r="24628" spans="23:23">
      <c r="W24628" s="503"/>
    </row>
    <row r="24629" spans="23:23">
      <c r="W24629" s="503"/>
    </row>
    <row r="24630" spans="23:23">
      <c r="W24630" s="503"/>
    </row>
    <row r="24631" spans="23:23">
      <c r="W24631" s="503"/>
    </row>
    <row r="24632" spans="23:23">
      <c r="W24632" s="503"/>
    </row>
    <row r="24633" spans="23:23">
      <c r="W24633" s="503"/>
    </row>
    <row r="24634" spans="23:23">
      <c r="W24634" s="503"/>
    </row>
    <row r="24635" spans="23:23">
      <c r="W24635" s="503"/>
    </row>
    <row r="24636" spans="23:23">
      <c r="W24636" s="503"/>
    </row>
    <row r="24637" spans="23:23">
      <c r="W24637" s="503"/>
    </row>
    <row r="24638" spans="23:23">
      <c r="W24638" s="503"/>
    </row>
    <row r="24639" spans="23:23">
      <c r="W24639" s="503"/>
    </row>
    <row r="24640" spans="23:23">
      <c r="W24640" s="503"/>
    </row>
    <row r="24641" spans="23:23">
      <c r="W24641" s="503"/>
    </row>
    <row r="24642" spans="23:23">
      <c r="W24642" s="503"/>
    </row>
    <row r="24643" spans="23:23">
      <c r="W24643" s="503"/>
    </row>
    <row r="24644" spans="23:23">
      <c r="W24644" s="503"/>
    </row>
    <row r="24645" spans="23:23">
      <c r="W24645" s="503"/>
    </row>
    <row r="24646" spans="23:23">
      <c r="W24646" s="503"/>
    </row>
    <row r="24647" spans="23:23">
      <c r="W24647" s="503"/>
    </row>
    <row r="24648" spans="23:23">
      <c r="W24648" s="503"/>
    </row>
    <row r="24649" spans="23:23">
      <c r="W24649" s="503"/>
    </row>
    <row r="24650" spans="23:23">
      <c r="W24650" s="503"/>
    </row>
    <row r="24651" spans="23:23">
      <c r="W24651" s="503"/>
    </row>
    <row r="24652" spans="23:23">
      <c r="W24652" s="503"/>
    </row>
    <row r="24653" spans="23:23">
      <c r="W24653" s="503"/>
    </row>
    <row r="24654" spans="23:23">
      <c r="W24654" s="503"/>
    </row>
    <row r="24655" spans="23:23">
      <c r="W24655" s="503"/>
    </row>
    <row r="24656" spans="23:23">
      <c r="W24656" s="503"/>
    </row>
    <row r="24657" spans="23:23">
      <c r="W24657" s="503"/>
    </row>
    <row r="24658" spans="23:23">
      <c r="W24658" s="503"/>
    </row>
    <row r="24659" spans="23:23">
      <c r="W24659" s="503"/>
    </row>
    <row r="24660" spans="23:23">
      <c r="W24660" s="503"/>
    </row>
    <row r="24661" spans="23:23">
      <c r="W24661" s="503"/>
    </row>
    <row r="24662" spans="23:23">
      <c r="W24662" s="503"/>
    </row>
    <row r="24663" spans="23:23">
      <c r="W24663" s="503"/>
    </row>
    <row r="24664" spans="23:23">
      <c r="W24664" s="503"/>
    </row>
    <row r="24665" spans="23:23">
      <c r="W24665" s="503"/>
    </row>
    <row r="24666" spans="23:23">
      <c r="W24666" s="503"/>
    </row>
    <row r="24667" spans="23:23">
      <c r="W24667" s="503"/>
    </row>
    <row r="24668" spans="23:23">
      <c r="W24668" s="503"/>
    </row>
    <row r="24669" spans="23:23">
      <c r="W24669" s="503"/>
    </row>
    <row r="24670" spans="23:23">
      <c r="W24670" s="503"/>
    </row>
    <row r="24671" spans="23:23">
      <c r="W24671" s="503"/>
    </row>
    <row r="24672" spans="23:23">
      <c r="W24672" s="503"/>
    </row>
    <row r="24673" spans="23:23">
      <c r="W24673" s="503"/>
    </row>
    <row r="24674" spans="23:23">
      <c r="W24674" s="503"/>
    </row>
    <row r="24675" spans="23:23">
      <c r="W24675" s="503"/>
    </row>
    <row r="24676" spans="23:23">
      <c r="W24676" s="503"/>
    </row>
    <row r="24677" spans="23:23">
      <c r="W24677" s="503"/>
    </row>
    <row r="24678" spans="23:23">
      <c r="W24678" s="503"/>
    </row>
    <row r="24679" spans="23:23">
      <c r="W24679" s="503"/>
    </row>
    <row r="24680" spans="23:23">
      <c r="W24680" s="503"/>
    </row>
    <row r="24681" spans="23:23">
      <c r="W24681" s="503"/>
    </row>
    <row r="24682" spans="23:23">
      <c r="W24682" s="503"/>
    </row>
    <row r="24683" spans="23:23">
      <c r="W24683" s="503"/>
    </row>
    <row r="24684" spans="23:23">
      <c r="W24684" s="503"/>
    </row>
    <row r="24685" spans="23:23">
      <c r="W24685" s="503"/>
    </row>
    <row r="24686" spans="23:23">
      <c r="W24686" s="503"/>
    </row>
    <row r="24687" spans="23:23">
      <c r="W24687" s="503"/>
    </row>
    <row r="24688" spans="23:23">
      <c r="W24688" s="503"/>
    </row>
    <row r="24689" spans="23:23">
      <c r="W24689" s="503"/>
    </row>
    <row r="24690" spans="23:23">
      <c r="W24690" s="503"/>
    </row>
    <row r="24691" spans="23:23">
      <c r="W24691" s="503"/>
    </row>
    <row r="24692" spans="23:23">
      <c r="W24692" s="503"/>
    </row>
    <row r="24693" spans="23:23">
      <c r="W24693" s="503"/>
    </row>
    <row r="24694" spans="23:23">
      <c r="W24694" s="503"/>
    </row>
    <row r="24695" spans="23:23">
      <c r="W24695" s="503"/>
    </row>
    <row r="24696" spans="23:23">
      <c r="W24696" s="503"/>
    </row>
    <row r="24697" spans="23:23">
      <c r="W24697" s="503"/>
    </row>
    <row r="24698" spans="23:23">
      <c r="W24698" s="503"/>
    </row>
    <row r="24699" spans="23:23">
      <c r="W24699" s="503"/>
    </row>
    <row r="24700" spans="23:23">
      <c r="W24700" s="503"/>
    </row>
    <row r="24701" spans="23:23">
      <c r="W24701" s="503"/>
    </row>
    <row r="24702" spans="23:23">
      <c r="W24702" s="503"/>
    </row>
    <row r="24703" spans="23:23">
      <c r="W24703" s="503"/>
    </row>
    <row r="24704" spans="23:23">
      <c r="W24704" s="503"/>
    </row>
    <row r="24705" spans="23:23">
      <c r="W24705" s="503"/>
    </row>
    <row r="24706" spans="23:23">
      <c r="W24706" s="503"/>
    </row>
    <row r="24707" spans="23:23">
      <c r="W24707" s="503"/>
    </row>
    <row r="24708" spans="23:23">
      <c r="W24708" s="503"/>
    </row>
    <row r="24709" spans="23:23">
      <c r="W24709" s="503"/>
    </row>
    <row r="24710" spans="23:23">
      <c r="W24710" s="503"/>
    </row>
    <row r="24711" spans="23:23">
      <c r="W24711" s="503"/>
    </row>
    <row r="24712" spans="23:23">
      <c r="W24712" s="503"/>
    </row>
    <row r="24713" spans="23:23">
      <c r="W24713" s="503"/>
    </row>
    <row r="24714" spans="23:23">
      <c r="W24714" s="503"/>
    </row>
    <row r="24715" spans="23:23">
      <c r="W24715" s="503"/>
    </row>
    <row r="24716" spans="23:23">
      <c r="W24716" s="503"/>
    </row>
    <row r="24717" spans="23:23">
      <c r="W24717" s="503"/>
    </row>
    <row r="24718" spans="23:23">
      <c r="W24718" s="503"/>
    </row>
    <row r="24719" spans="23:23">
      <c r="W24719" s="503"/>
    </row>
    <row r="24720" spans="23:23">
      <c r="W24720" s="503"/>
    </row>
    <row r="24721" spans="23:23">
      <c r="W24721" s="503"/>
    </row>
    <row r="24722" spans="23:23">
      <c r="W24722" s="503"/>
    </row>
    <row r="24723" spans="23:23">
      <c r="W24723" s="503"/>
    </row>
    <row r="24724" spans="23:23">
      <c r="W24724" s="503"/>
    </row>
    <row r="24725" spans="23:23">
      <c r="W24725" s="503"/>
    </row>
    <row r="24726" spans="23:23">
      <c r="W24726" s="503"/>
    </row>
    <row r="24727" spans="23:23">
      <c r="W24727" s="503"/>
    </row>
    <row r="24728" spans="23:23">
      <c r="W24728" s="503"/>
    </row>
    <row r="24729" spans="23:23">
      <c r="W24729" s="503"/>
    </row>
    <row r="24730" spans="23:23">
      <c r="W24730" s="503"/>
    </row>
    <row r="24731" spans="23:23">
      <c r="W24731" s="503"/>
    </row>
    <row r="24732" spans="23:23">
      <c r="W24732" s="503"/>
    </row>
    <row r="24733" spans="23:23">
      <c r="W24733" s="503"/>
    </row>
    <row r="24734" spans="23:23">
      <c r="W24734" s="503"/>
    </row>
    <row r="24735" spans="23:23">
      <c r="W24735" s="503"/>
    </row>
    <row r="24736" spans="23:23">
      <c r="W24736" s="503"/>
    </row>
    <row r="24737" spans="23:23">
      <c r="W24737" s="503"/>
    </row>
    <row r="24738" spans="23:23">
      <c r="W24738" s="503"/>
    </row>
    <row r="24739" spans="23:23">
      <c r="W24739" s="503"/>
    </row>
    <row r="24740" spans="23:23">
      <c r="W24740" s="503"/>
    </row>
    <row r="24741" spans="23:23">
      <c r="W24741" s="503"/>
    </row>
    <row r="24742" spans="23:23">
      <c r="W24742" s="503"/>
    </row>
    <row r="24743" spans="23:23">
      <c r="W24743" s="503"/>
    </row>
    <row r="24744" spans="23:23">
      <c r="W24744" s="503"/>
    </row>
    <row r="24745" spans="23:23">
      <c r="W24745" s="503"/>
    </row>
    <row r="24746" spans="23:23">
      <c r="W24746" s="503"/>
    </row>
    <row r="24747" spans="23:23">
      <c r="W24747" s="503"/>
    </row>
    <row r="24748" spans="23:23">
      <c r="W24748" s="503"/>
    </row>
    <row r="24749" spans="23:23">
      <c r="W24749" s="503"/>
    </row>
    <row r="24750" spans="23:23">
      <c r="W24750" s="503"/>
    </row>
    <row r="24751" spans="23:23">
      <c r="W24751" s="503"/>
    </row>
    <row r="24752" spans="23:23">
      <c r="W24752" s="503"/>
    </row>
    <row r="24753" spans="23:23">
      <c r="W24753" s="503"/>
    </row>
    <row r="24754" spans="23:23">
      <c r="W24754" s="503"/>
    </row>
    <row r="24755" spans="23:23">
      <c r="W24755" s="503"/>
    </row>
    <row r="24756" spans="23:23">
      <c r="W24756" s="503"/>
    </row>
    <row r="24757" spans="23:23">
      <c r="W24757" s="503"/>
    </row>
    <row r="24758" spans="23:23">
      <c r="W24758" s="503"/>
    </row>
    <row r="24759" spans="23:23">
      <c r="W24759" s="503"/>
    </row>
    <row r="24760" spans="23:23">
      <c r="W24760" s="503"/>
    </row>
    <row r="24761" spans="23:23">
      <c r="W24761" s="503"/>
    </row>
    <row r="24762" spans="23:23">
      <c r="W24762" s="503"/>
    </row>
    <row r="24763" spans="23:23">
      <c r="W24763" s="503"/>
    </row>
    <row r="24764" spans="23:23">
      <c r="W24764" s="503"/>
    </row>
    <row r="24765" spans="23:23">
      <c r="W24765" s="503"/>
    </row>
    <row r="24766" spans="23:23">
      <c r="W24766" s="503"/>
    </row>
    <row r="24767" spans="23:23">
      <c r="W24767" s="503"/>
    </row>
    <row r="24768" spans="23:23">
      <c r="W24768" s="503"/>
    </row>
    <row r="24769" spans="23:23">
      <c r="W24769" s="503"/>
    </row>
    <row r="24770" spans="23:23">
      <c r="W24770" s="503"/>
    </row>
    <row r="24771" spans="23:23">
      <c r="W24771" s="503"/>
    </row>
    <row r="24772" spans="23:23">
      <c r="W24772" s="503"/>
    </row>
    <row r="24773" spans="23:23">
      <c r="W24773" s="503"/>
    </row>
    <row r="24774" spans="23:23">
      <c r="W24774" s="503"/>
    </row>
    <row r="24775" spans="23:23">
      <c r="W24775" s="503"/>
    </row>
    <row r="24776" spans="23:23">
      <c r="W24776" s="503"/>
    </row>
    <row r="24777" spans="23:23">
      <c r="W24777" s="503"/>
    </row>
    <row r="24778" spans="23:23">
      <c r="W24778" s="503"/>
    </row>
    <row r="24779" spans="23:23">
      <c r="W24779" s="503"/>
    </row>
    <row r="24780" spans="23:23">
      <c r="W24780" s="503"/>
    </row>
    <row r="24781" spans="23:23">
      <c r="W24781" s="503"/>
    </row>
    <row r="24782" spans="23:23">
      <c r="W24782" s="503"/>
    </row>
    <row r="24783" spans="23:23">
      <c r="W24783" s="503"/>
    </row>
    <row r="24784" spans="23:23">
      <c r="W24784" s="503"/>
    </row>
    <row r="24785" spans="23:23">
      <c r="W24785" s="503"/>
    </row>
    <row r="24786" spans="23:23">
      <c r="W24786" s="503"/>
    </row>
    <row r="24787" spans="23:23">
      <c r="W24787" s="503"/>
    </row>
    <row r="24788" spans="23:23">
      <c r="W24788" s="503"/>
    </row>
    <row r="24789" spans="23:23">
      <c r="W24789" s="503"/>
    </row>
    <row r="24790" spans="23:23">
      <c r="W24790" s="503"/>
    </row>
    <row r="24791" spans="23:23">
      <c r="W24791" s="503"/>
    </row>
    <row r="24792" spans="23:23">
      <c r="W24792" s="503"/>
    </row>
    <row r="24793" spans="23:23">
      <c r="W24793" s="503"/>
    </row>
    <row r="24794" spans="23:23">
      <c r="W24794" s="503"/>
    </row>
    <row r="24795" spans="23:23">
      <c r="W24795" s="503"/>
    </row>
    <row r="24796" spans="23:23">
      <c r="W24796" s="503"/>
    </row>
    <row r="24797" spans="23:23">
      <c r="W24797" s="503"/>
    </row>
    <row r="24798" spans="23:23">
      <c r="W24798" s="503"/>
    </row>
    <row r="24799" spans="23:23">
      <c r="W24799" s="503"/>
    </row>
    <row r="24800" spans="23:23">
      <c r="W24800" s="503"/>
    </row>
    <row r="24801" spans="23:23">
      <c r="W24801" s="503"/>
    </row>
    <row r="24802" spans="23:23">
      <c r="W24802" s="503"/>
    </row>
    <row r="24803" spans="23:23">
      <c r="W24803" s="503"/>
    </row>
    <row r="24804" spans="23:23">
      <c r="W24804" s="503"/>
    </row>
    <row r="24805" spans="23:23">
      <c r="W24805" s="503"/>
    </row>
    <row r="24806" spans="23:23">
      <c r="W24806" s="503"/>
    </row>
    <row r="24807" spans="23:23">
      <c r="W24807" s="503"/>
    </row>
    <row r="24808" spans="23:23">
      <c r="W24808" s="503"/>
    </row>
    <row r="24809" spans="23:23">
      <c r="W24809" s="503"/>
    </row>
    <row r="24810" spans="23:23">
      <c r="W24810" s="503"/>
    </row>
    <row r="24811" spans="23:23">
      <c r="W24811" s="503"/>
    </row>
    <row r="24812" spans="23:23">
      <c r="W24812" s="503"/>
    </row>
    <row r="24813" spans="23:23">
      <c r="W24813" s="503"/>
    </row>
    <row r="24814" spans="23:23">
      <c r="W24814" s="503"/>
    </row>
    <row r="24815" spans="23:23">
      <c r="W24815" s="503"/>
    </row>
    <row r="24816" spans="23:23">
      <c r="W24816" s="503"/>
    </row>
    <row r="24817" spans="23:23">
      <c r="W24817" s="503"/>
    </row>
    <row r="24818" spans="23:23">
      <c r="W24818" s="503"/>
    </row>
    <row r="24819" spans="23:23">
      <c r="W24819" s="503"/>
    </row>
    <row r="24820" spans="23:23">
      <c r="W24820" s="503"/>
    </row>
    <row r="24821" spans="23:23">
      <c r="W24821" s="503"/>
    </row>
    <row r="24822" spans="23:23">
      <c r="W24822" s="503"/>
    </row>
    <row r="24823" spans="23:23">
      <c r="W24823" s="503"/>
    </row>
    <row r="24824" spans="23:23">
      <c r="W24824" s="503"/>
    </row>
    <row r="24825" spans="23:23">
      <c r="W24825" s="503"/>
    </row>
    <row r="24826" spans="23:23">
      <c r="W24826" s="503"/>
    </row>
    <row r="24827" spans="23:23">
      <c r="W24827" s="503"/>
    </row>
    <row r="24828" spans="23:23">
      <c r="W24828" s="503"/>
    </row>
    <row r="24829" spans="23:23">
      <c r="W24829" s="503"/>
    </row>
    <row r="24830" spans="23:23">
      <c r="W24830" s="503"/>
    </row>
    <row r="24831" spans="23:23">
      <c r="W24831" s="503"/>
    </row>
    <row r="24832" spans="23:23">
      <c r="W24832" s="503"/>
    </row>
    <row r="24833" spans="23:23">
      <c r="W24833" s="503"/>
    </row>
    <row r="24834" spans="23:23">
      <c r="W24834" s="503"/>
    </row>
    <row r="24835" spans="23:23">
      <c r="W24835" s="503"/>
    </row>
    <row r="24836" spans="23:23">
      <c r="W24836" s="503"/>
    </row>
    <row r="24837" spans="23:23">
      <c r="W24837" s="503"/>
    </row>
    <row r="24838" spans="23:23">
      <c r="W24838" s="503"/>
    </row>
    <row r="24839" spans="23:23">
      <c r="W24839" s="503"/>
    </row>
    <row r="24840" spans="23:23">
      <c r="W24840" s="503"/>
    </row>
    <row r="24841" spans="23:23">
      <c r="W24841" s="503"/>
    </row>
    <row r="24842" spans="23:23">
      <c r="W24842" s="503"/>
    </row>
    <row r="24843" spans="23:23">
      <c r="W24843" s="503"/>
    </row>
    <row r="24844" spans="23:23">
      <c r="W24844" s="503"/>
    </row>
    <row r="24845" spans="23:23">
      <c r="W24845" s="503"/>
    </row>
    <row r="24846" spans="23:23">
      <c r="W24846" s="503"/>
    </row>
    <row r="24847" spans="23:23">
      <c r="W24847" s="503"/>
    </row>
    <row r="24848" spans="23:23">
      <c r="W24848" s="503"/>
    </row>
    <row r="24849" spans="23:23">
      <c r="W24849" s="503"/>
    </row>
    <row r="24850" spans="23:23">
      <c r="W24850" s="503"/>
    </row>
    <row r="24851" spans="23:23">
      <c r="W24851" s="503"/>
    </row>
    <row r="24852" spans="23:23">
      <c r="W24852" s="503"/>
    </row>
    <row r="24853" spans="23:23">
      <c r="W24853" s="503"/>
    </row>
    <row r="24854" spans="23:23">
      <c r="W24854" s="503"/>
    </row>
    <row r="24855" spans="23:23">
      <c r="W24855" s="503"/>
    </row>
    <row r="24856" spans="23:23">
      <c r="W24856" s="503"/>
    </row>
    <row r="24857" spans="23:23">
      <c r="W24857" s="503"/>
    </row>
    <row r="24858" spans="23:23">
      <c r="W24858" s="503"/>
    </row>
    <row r="24859" spans="23:23">
      <c r="W24859" s="503"/>
    </row>
    <row r="24860" spans="23:23">
      <c r="W24860" s="503"/>
    </row>
    <row r="24861" spans="23:23">
      <c r="W24861" s="503"/>
    </row>
    <row r="24862" spans="23:23">
      <c r="W24862" s="503"/>
    </row>
    <row r="24863" spans="23:23">
      <c r="W24863" s="503"/>
    </row>
    <row r="24864" spans="23:23">
      <c r="W24864" s="503"/>
    </row>
    <row r="24865" spans="23:23">
      <c r="W24865" s="503"/>
    </row>
    <row r="24866" spans="23:23">
      <c r="W24866" s="503"/>
    </row>
    <row r="24867" spans="23:23">
      <c r="W24867" s="503"/>
    </row>
    <row r="24868" spans="23:23">
      <c r="W24868" s="503"/>
    </row>
    <row r="24869" spans="23:23">
      <c r="W24869" s="503"/>
    </row>
    <row r="24870" spans="23:23">
      <c r="W24870" s="503"/>
    </row>
    <row r="24871" spans="23:23">
      <c r="W24871" s="503"/>
    </row>
    <row r="24872" spans="23:23">
      <c r="W24872" s="503"/>
    </row>
    <row r="24873" spans="23:23">
      <c r="W24873" s="503"/>
    </row>
    <row r="24874" spans="23:23">
      <c r="W24874" s="503"/>
    </row>
    <row r="24875" spans="23:23">
      <c r="W24875" s="503"/>
    </row>
    <row r="24876" spans="23:23">
      <c r="W24876" s="503"/>
    </row>
    <row r="24877" spans="23:23">
      <c r="W24877" s="503"/>
    </row>
    <row r="24878" spans="23:23">
      <c r="W24878" s="503"/>
    </row>
    <row r="24879" spans="23:23">
      <c r="W24879" s="503"/>
    </row>
    <row r="24880" spans="23:23">
      <c r="W24880" s="503"/>
    </row>
    <row r="24881" spans="23:23">
      <c r="W24881" s="503"/>
    </row>
    <row r="24882" spans="23:23">
      <c r="W24882" s="503"/>
    </row>
    <row r="24883" spans="23:23">
      <c r="W24883" s="503"/>
    </row>
    <row r="24884" spans="23:23">
      <c r="W24884" s="503"/>
    </row>
    <row r="24885" spans="23:23">
      <c r="W24885" s="503"/>
    </row>
    <row r="24886" spans="23:23">
      <c r="W24886" s="503"/>
    </row>
    <row r="24887" spans="23:23">
      <c r="W24887" s="503"/>
    </row>
    <row r="24888" spans="23:23">
      <c r="W24888" s="503"/>
    </row>
    <row r="24889" spans="23:23">
      <c r="W24889" s="503"/>
    </row>
    <row r="24890" spans="23:23">
      <c r="W24890" s="503"/>
    </row>
    <row r="24891" spans="23:23">
      <c r="W24891" s="503"/>
    </row>
    <row r="24892" spans="23:23">
      <c r="W24892" s="503"/>
    </row>
    <row r="24893" spans="23:23">
      <c r="W24893" s="503"/>
    </row>
    <row r="24894" spans="23:23">
      <c r="W24894" s="503"/>
    </row>
    <row r="24895" spans="23:23">
      <c r="W24895" s="503"/>
    </row>
    <row r="24896" spans="23:23">
      <c r="W24896" s="503"/>
    </row>
    <row r="24897" spans="23:23">
      <c r="W24897" s="503"/>
    </row>
    <row r="24898" spans="23:23">
      <c r="W24898" s="503"/>
    </row>
    <row r="24899" spans="23:23">
      <c r="W24899" s="503"/>
    </row>
    <row r="24900" spans="23:23">
      <c r="W24900" s="503"/>
    </row>
    <row r="24901" spans="23:23">
      <c r="W24901" s="503"/>
    </row>
    <row r="24902" spans="23:23">
      <c r="W24902" s="503"/>
    </row>
    <row r="24903" spans="23:23">
      <c r="W24903" s="503"/>
    </row>
    <row r="24904" spans="23:23">
      <c r="W24904" s="503"/>
    </row>
    <row r="24905" spans="23:23">
      <c r="W24905" s="503"/>
    </row>
    <row r="24906" spans="23:23">
      <c r="W24906" s="503"/>
    </row>
    <row r="24907" spans="23:23">
      <c r="W24907" s="503"/>
    </row>
    <row r="24908" spans="23:23">
      <c r="W24908" s="503"/>
    </row>
    <row r="24909" spans="23:23">
      <c r="W24909" s="503"/>
    </row>
    <row r="24910" spans="23:23">
      <c r="W24910" s="503"/>
    </row>
    <row r="24911" spans="23:23">
      <c r="W24911" s="503"/>
    </row>
    <row r="24912" spans="23:23">
      <c r="W24912" s="503"/>
    </row>
    <row r="24913" spans="23:23">
      <c r="W24913" s="503"/>
    </row>
    <row r="24914" spans="23:23">
      <c r="W24914" s="503"/>
    </row>
    <row r="24915" spans="23:23">
      <c r="W24915" s="503"/>
    </row>
    <row r="24916" spans="23:23">
      <c r="W24916" s="503"/>
    </row>
    <row r="24917" spans="23:23">
      <c r="W24917" s="503"/>
    </row>
    <row r="24918" spans="23:23">
      <c r="W24918" s="503"/>
    </row>
    <row r="24919" spans="23:23">
      <c r="W24919" s="503"/>
    </row>
    <row r="24920" spans="23:23">
      <c r="W24920" s="503"/>
    </row>
    <row r="24921" spans="23:23">
      <c r="W24921" s="503"/>
    </row>
    <row r="24922" spans="23:23">
      <c r="W24922" s="503"/>
    </row>
    <row r="24923" spans="23:23">
      <c r="W24923" s="503"/>
    </row>
    <row r="24924" spans="23:23">
      <c r="W24924" s="503"/>
    </row>
    <row r="24925" spans="23:23">
      <c r="W24925" s="503"/>
    </row>
    <row r="24926" spans="23:23">
      <c r="W24926" s="503"/>
    </row>
    <row r="24927" spans="23:23">
      <c r="W24927" s="503"/>
    </row>
    <row r="24928" spans="23:23">
      <c r="W24928" s="503"/>
    </row>
    <row r="24929" spans="23:23">
      <c r="W24929" s="503"/>
    </row>
    <row r="24930" spans="23:23">
      <c r="W24930" s="503"/>
    </row>
    <row r="24931" spans="23:23">
      <c r="W24931" s="503"/>
    </row>
    <row r="24932" spans="23:23">
      <c r="W24932" s="503"/>
    </row>
    <row r="24933" spans="23:23">
      <c r="W24933" s="503"/>
    </row>
    <row r="24934" spans="23:23">
      <c r="W24934" s="503"/>
    </row>
    <row r="24935" spans="23:23">
      <c r="W24935" s="503"/>
    </row>
    <row r="24936" spans="23:23">
      <c r="W24936" s="503"/>
    </row>
    <row r="24937" spans="23:23">
      <c r="W24937" s="503"/>
    </row>
    <row r="24938" spans="23:23">
      <c r="W24938" s="503"/>
    </row>
    <row r="24939" spans="23:23">
      <c r="W24939" s="503"/>
    </row>
    <row r="24940" spans="23:23">
      <c r="W24940" s="503"/>
    </row>
    <row r="24941" spans="23:23">
      <c r="W24941" s="503"/>
    </row>
    <row r="24942" spans="23:23">
      <c r="W24942" s="503"/>
    </row>
    <row r="24943" spans="23:23">
      <c r="W24943" s="503"/>
    </row>
    <row r="24944" spans="23:23">
      <c r="W24944" s="503"/>
    </row>
    <row r="24945" spans="23:23">
      <c r="W24945" s="503"/>
    </row>
    <row r="24946" spans="23:23">
      <c r="W24946" s="503"/>
    </row>
    <row r="24947" spans="23:23">
      <c r="W24947" s="503"/>
    </row>
    <row r="24948" spans="23:23">
      <c r="W24948" s="503"/>
    </row>
    <row r="24949" spans="23:23">
      <c r="W24949" s="503"/>
    </row>
    <row r="24950" spans="23:23">
      <c r="W24950" s="503"/>
    </row>
    <row r="24951" spans="23:23">
      <c r="W24951" s="503"/>
    </row>
    <row r="24952" spans="23:23">
      <c r="W24952" s="503"/>
    </row>
    <row r="24953" spans="23:23">
      <c r="W24953" s="503"/>
    </row>
    <row r="24954" spans="23:23">
      <c r="W24954" s="503"/>
    </row>
    <row r="24955" spans="23:23">
      <c r="W24955" s="503"/>
    </row>
    <row r="24956" spans="23:23">
      <c r="W24956" s="503"/>
    </row>
    <row r="24957" spans="23:23">
      <c r="W24957" s="503"/>
    </row>
    <row r="24958" spans="23:23">
      <c r="W24958" s="503"/>
    </row>
    <row r="24959" spans="23:23">
      <c r="W24959" s="503"/>
    </row>
    <row r="24960" spans="23:23">
      <c r="W24960" s="503"/>
    </row>
    <row r="24961" spans="23:23">
      <c r="W24961" s="503"/>
    </row>
    <row r="24962" spans="23:23">
      <c r="W24962" s="503"/>
    </row>
    <row r="24963" spans="23:23">
      <c r="W24963" s="503"/>
    </row>
    <row r="24964" spans="23:23">
      <c r="W24964" s="503"/>
    </row>
    <row r="24965" spans="23:23">
      <c r="W24965" s="503"/>
    </row>
    <row r="24966" spans="23:23">
      <c r="W24966" s="503"/>
    </row>
    <row r="24967" spans="23:23">
      <c r="W24967" s="503"/>
    </row>
    <row r="24968" spans="23:23">
      <c r="W24968" s="503"/>
    </row>
    <row r="24969" spans="23:23">
      <c r="W24969" s="503"/>
    </row>
    <row r="24970" spans="23:23">
      <c r="W24970" s="503"/>
    </row>
    <row r="24971" spans="23:23">
      <c r="W24971" s="503"/>
    </row>
    <row r="24972" spans="23:23">
      <c r="W24972" s="503"/>
    </row>
    <row r="24973" spans="23:23">
      <c r="W24973" s="503"/>
    </row>
    <row r="24974" spans="23:23">
      <c r="W24974" s="503"/>
    </row>
    <row r="24975" spans="23:23">
      <c r="W24975" s="503"/>
    </row>
    <row r="24976" spans="23:23">
      <c r="W24976" s="503"/>
    </row>
    <row r="24977" spans="23:23">
      <c r="W24977" s="503"/>
    </row>
    <row r="24978" spans="23:23">
      <c r="W24978" s="503"/>
    </row>
    <row r="24979" spans="23:23">
      <c r="W24979" s="503"/>
    </row>
    <row r="24980" spans="23:23">
      <c r="W24980" s="503"/>
    </row>
    <row r="24981" spans="23:23">
      <c r="W24981" s="503"/>
    </row>
    <row r="24982" spans="23:23">
      <c r="W24982" s="503"/>
    </row>
    <row r="24983" spans="23:23">
      <c r="W24983" s="503"/>
    </row>
    <row r="24984" spans="23:23">
      <c r="W24984" s="503"/>
    </row>
    <row r="24985" spans="23:23">
      <c r="W24985" s="503"/>
    </row>
    <row r="24986" spans="23:23">
      <c r="W24986" s="503"/>
    </row>
    <row r="24987" spans="23:23">
      <c r="W24987" s="503"/>
    </row>
    <row r="24988" spans="23:23">
      <c r="W24988" s="503"/>
    </row>
    <row r="24989" spans="23:23">
      <c r="W24989" s="503"/>
    </row>
    <row r="24990" spans="23:23">
      <c r="W24990" s="503"/>
    </row>
    <row r="24991" spans="23:23">
      <c r="W24991" s="503"/>
    </row>
    <row r="24992" spans="23:23">
      <c r="W24992" s="503"/>
    </row>
    <row r="24993" spans="23:23">
      <c r="W24993" s="503"/>
    </row>
    <row r="24994" spans="23:23">
      <c r="W24994" s="503"/>
    </row>
    <row r="24995" spans="23:23">
      <c r="W24995" s="503"/>
    </row>
    <row r="24996" spans="23:23">
      <c r="W24996" s="503"/>
    </row>
    <row r="24997" spans="23:23">
      <c r="W24997" s="503"/>
    </row>
    <row r="24998" spans="23:23">
      <c r="W24998" s="503"/>
    </row>
    <row r="24999" spans="23:23">
      <c r="W24999" s="503"/>
    </row>
    <row r="25000" spans="23:23">
      <c r="W25000" s="503"/>
    </row>
    <row r="25001" spans="23:23">
      <c r="W25001" s="503"/>
    </row>
    <row r="25002" spans="23:23">
      <c r="W25002" s="503"/>
    </row>
    <row r="25003" spans="23:23">
      <c r="W25003" s="503"/>
    </row>
    <row r="25004" spans="23:23">
      <c r="W25004" s="503"/>
    </row>
    <row r="25005" spans="23:23">
      <c r="W25005" s="503"/>
    </row>
    <row r="25006" spans="23:23">
      <c r="W25006" s="503"/>
    </row>
    <row r="25007" spans="23:23">
      <c r="W25007" s="503"/>
    </row>
    <row r="25008" spans="23:23">
      <c r="W25008" s="503"/>
    </row>
    <row r="25009" spans="23:23">
      <c r="W25009" s="503"/>
    </row>
    <row r="25010" spans="23:23">
      <c r="W25010" s="503"/>
    </row>
    <row r="25011" spans="23:23">
      <c r="W25011" s="503"/>
    </row>
    <row r="25012" spans="23:23">
      <c r="W25012" s="503"/>
    </row>
    <row r="25013" spans="23:23">
      <c r="W25013" s="503"/>
    </row>
    <row r="25014" spans="23:23">
      <c r="W25014" s="503"/>
    </row>
    <row r="25015" spans="23:23">
      <c r="W25015" s="503"/>
    </row>
    <row r="25016" spans="23:23">
      <c r="W25016" s="503"/>
    </row>
    <row r="25017" spans="23:23">
      <c r="W25017" s="503"/>
    </row>
    <row r="25018" spans="23:23">
      <c r="W25018" s="503"/>
    </row>
    <row r="25019" spans="23:23">
      <c r="W25019" s="503"/>
    </row>
    <row r="25020" spans="23:23">
      <c r="W25020" s="503"/>
    </row>
    <row r="25021" spans="23:23">
      <c r="W25021" s="503"/>
    </row>
    <row r="25022" spans="23:23">
      <c r="W25022" s="503"/>
    </row>
    <row r="25023" spans="23:23">
      <c r="W25023" s="503"/>
    </row>
    <row r="25024" spans="23:23">
      <c r="W25024" s="503"/>
    </row>
    <row r="25025" spans="23:23">
      <c r="W25025" s="503"/>
    </row>
    <row r="25026" spans="23:23">
      <c r="W25026" s="503"/>
    </row>
    <row r="25027" spans="23:23">
      <c r="W25027" s="503"/>
    </row>
    <row r="25028" spans="23:23">
      <c r="W25028" s="503"/>
    </row>
    <row r="25029" spans="23:23">
      <c r="W25029" s="503"/>
    </row>
    <row r="25030" spans="23:23">
      <c r="W25030" s="503"/>
    </row>
    <row r="25031" spans="23:23">
      <c r="W25031" s="503"/>
    </row>
    <row r="25032" spans="23:23">
      <c r="W25032" s="503"/>
    </row>
    <row r="25033" spans="23:23">
      <c r="W25033" s="503"/>
    </row>
    <row r="25034" spans="23:23">
      <c r="W25034" s="503"/>
    </row>
    <row r="25035" spans="23:23">
      <c r="W25035" s="503"/>
    </row>
    <row r="25036" spans="23:23">
      <c r="W25036" s="503"/>
    </row>
    <row r="25037" spans="23:23">
      <c r="W25037" s="503"/>
    </row>
    <row r="25038" spans="23:23">
      <c r="W25038" s="503"/>
    </row>
    <row r="25039" spans="23:23">
      <c r="W25039" s="503"/>
    </row>
    <row r="25040" spans="23:23">
      <c r="W25040" s="503"/>
    </row>
    <row r="25041" spans="23:23">
      <c r="W25041" s="503"/>
    </row>
    <row r="25042" spans="23:23">
      <c r="W25042" s="503"/>
    </row>
    <row r="25043" spans="23:23">
      <c r="W25043" s="503"/>
    </row>
    <row r="25044" spans="23:23">
      <c r="W25044" s="503"/>
    </row>
    <row r="25045" spans="23:23">
      <c r="W25045" s="503"/>
    </row>
    <row r="25046" spans="23:23">
      <c r="W25046" s="503"/>
    </row>
    <row r="25047" spans="23:23">
      <c r="W25047" s="503"/>
    </row>
    <row r="25048" spans="23:23">
      <c r="W25048" s="503"/>
    </row>
    <row r="25049" spans="23:23">
      <c r="W25049" s="503"/>
    </row>
    <row r="25050" spans="23:23">
      <c r="W25050" s="503"/>
    </row>
    <row r="25051" spans="23:23">
      <c r="W25051" s="503"/>
    </row>
    <row r="25052" spans="23:23">
      <c r="W25052" s="503"/>
    </row>
    <row r="25053" spans="23:23">
      <c r="W25053" s="503"/>
    </row>
    <row r="25054" spans="23:23">
      <c r="W25054" s="503"/>
    </row>
    <row r="25055" spans="23:23">
      <c r="W25055" s="503"/>
    </row>
    <row r="25056" spans="23:23">
      <c r="W25056" s="503"/>
    </row>
    <row r="25057" spans="23:23">
      <c r="W25057" s="503"/>
    </row>
    <row r="25058" spans="23:23">
      <c r="W25058" s="503"/>
    </row>
    <row r="25059" spans="23:23">
      <c r="W25059" s="503"/>
    </row>
    <row r="25060" spans="23:23">
      <c r="W25060" s="503"/>
    </row>
    <row r="25061" spans="23:23">
      <c r="W25061" s="503"/>
    </row>
    <row r="25062" spans="23:23">
      <c r="W25062" s="503"/>
    </row>
    <row r="25063" spans="23:23">
      <c r="W25063" s="503"/>
    </row>
    <row r="25064" spans="23:23">
      <c r="W25064" s="503"/>
    </row>
    <row r="25065" spans="23:23">
      <c r="W25065" s="503"/>
    </row>
    <row r="25066" spans="23:23">
      <c r="W25066" s="503"/>
    </row>
    <row r="25067" spans="23:23">
      <c r="W25067" s="503"/>
    </row>
    <row r="25068" spans="23:23">
      <c r="W25068" s="503"/>
    </row>
    <row r="25069" spans="23:23">
      <c r="W25069" s="503"/>
    </row>
    <row r="25070" spans="23:23">
      <c r="W25070" s="503"/>
    </row>
    <row r="25071" spans="23:23">
      <c r="W25071" s="503"/>
    </row>
    <row r="25072" spans="23:23">
      <c r="W25072" s="503"/>
    </row>
    <row r="25073" spans="23:23">
      <c r="W25073" s="503"/>
    </row>
    <row r="25074" spans="23:23">
      <c r="W25074" s="503"/>
    </row>
    <row r="25075" spans="23:23">
      <c r="W25075" s="503"/>
    </row>
    <row r="25076" spans="23:23">
      <c r="W25076" s="503"/>
    </row>
    <row r="25077" spans="23:23">
      <c r="W25077" s="503"/>
    </row>
    <row r="25078" spans="23:23">
      <c r="W25078" s="503"/>
    </row>
    <row r="25079" spans="23:23">
      <c r="W25079" s="503"/>
    </row>
    <row r="25080" spans="23:23">
      <c r="W25080" s="503"/>
    </row>
    <row r="25081" spans="23:23">
      <c r="W25081" s="503"/>
    </row>
    <row r="25082" spans="23:23">
      <c r="W25082" s="503"/>
    </row>
    <row r="25083" spans="23:23">
      <c r="W25083" s="503"/>
    </row>
    <row r="25084" spans="23:23">
      <c r="W25084" s="503"/>
    </row>
    <row r="25085" spans="23:23">
      <c r="W25085" s="503"/>
    </row>
    <row r="25086" spans="23:23">
      <c r="W25086" s="503"/>
    </row>
    <row r="25087" spans="23:23">
      <c r="W25087" s="503"/>
    </row>
    <row r="25088" spans="23:23">
      <c r="W25088" s="503"/>
    </row>
    <row r="25089" spans="23:23">
      <c r="W25089" s="503"/>
    </row>
    <row r="25090" spans="23:23">
      <c r="W25090" s="503"/>
    </row>
    <row r="25091" spans="23:23">
      <c r="W25091" s="503"/>
    </row>
    <row r="25092" spans="23:23">
      <c r="W25092" s="503"/>
    </row>
    <row r="25093" spans="23:23">
      <c r="W25093" s="503"/>
    </row>
    <row r="25094" spans="23:23">
      <c r="W25094" s="503"/>
    </row>
    <row r="25095" spans="23:23">
      <c r="W25095" s="503"/>
    </row>
    <row r="25096" spans="23:23">
      <c r="W25096" s="503"/>
    </row>
    <row r="25097" spans="23:23">
      <c r="W25097" s="503"/>
    </row>
    <row r="25098" spans="23:23">
      <c r="W25098" s="503"/>
    </row>
    <row r="25099" spans="23:23">
      <c r="W25099" s="503"/>
    </row>
    <row r="25100" spans="23:23">
      <c r="W25100" s="503"/>
    </row>
    <row r="25101" spans="23:23">
      <c r="W25101" s="503"/>
    </row>
    <row r="25102" spans="23:23">
      <c r="W25102" s="503"/>
    </row>
    <row r="25103" spans="23:23">
      <c r="W25103" s="503"/>
    </row>
    <row r="25104" spans="23:23">
      <c r="W25104" s="503"/>
    </row>
    <row r="25105" spans="23:23">
      <c r="W25105" s="503"/>
    </row>
    <row r="25106" spans="23:23">
      <c r="W25106" s="503"/>
    </row>
    <row r="25107" spans="23:23">
      <c r="W25107" s="503"/>
    </row>
    <row r="25108" spans="23:23">
      <c r="W25108" s="503"/>
    </row>
    <row r="25109" spans="23:23">
      <c r="W25109" s="503"/>
    </row>
    <row r="25110" spans="23:23">
      <c r="W25110" s="503"/>
    </row>
    <row r="25111" spans="23:23">
      <c r="W25111" s="503"/>
    </row>
    <row r="25112" spans="23:23">
      <c r="W25112" s="503"/>
    </row>
    <row r="25113" spans="23:23">
      <c r="W25113" s="503"/>
    </row>
    <row r="25114" spans="23:23">
      <c r="W25114" s="503"/>
    </row>
    <row r="25115" spans="23:23">
      <c r="W25115" s="503"/>
    </row>
    <row r="25116" spans="23:23">
      <c r="W25116" s="503"/>
    </row>
    <row r="25117" spans="23:23">
      <c r="W25117" s="503"/>
    </row>
    <row r="25118" spans="23:23">
      <c r="W25118" s="503"/>
    </row>
    <row r="25119" spans="23:23">
      <c r="W25119" s="503"/>
    </row>
    <row r="25120" spans="23:23">
      <c r="W25120" s="503"/>
    </row>
    <row r="25121" spans="23:23">
      <c r="W25121" s="503"/>
    </row>
    <row r="25122" spans="23:23">
      <c r="W25122" s="503"/>
    </row>
    <row r="25123" spans="23:23">
      <c r="W25123" s="503"/>
    </row>
    <row r="25124" spans="23:23">
      <c r="W25124" s="503"/>
    </row>
    <row r="25125" spans="23:23">
      <c r="W25125" s="503"/>
    </row>
    <row r="25126" spans="23:23">
      <c r="W25126" s="503"/>
    </row>
    <row r="25127" spans="23:23">
      <c r="W25127" s="503"/>
    </row>
    <row r="25128" spans="23:23">
      <c r="W25128" s="503"/>
    </row>
    <row r="25129" spans="23:23">
      <c r="W25129" s="503"/>
    </row>
    <row r="25130" spans="23:23">
      <c r="W25130" s="503"/>
    </row>
    <row r="25131" spans="23:23">
      <c r="W25131" s="503"/>
    </row>
    <row r="25132" spans="23:23">
      <c r="W25132" s="503"/>
    </row>
    <row r="25133" spans="23:23">
      <c r="W25133" s="503"/>
    </row>
    <row r="25134" spans="23:23">
      <c r="W25134" s="503"/>
    </row>
    <row r="25135" spans="23:23">
      <c r="W25135" s="503"/>
    </row>
    <row r="25136" spans="23:23">
      <c r="W25136" s="503"/>
    </row>
    <row r="25137" spans="23:23">
      <c r="W25137" s="503"/>
    </row>
    <row r="25138" spans="23:23">
      <c r="W25138" s="503"/>
    </row>
    <row r="25139" spans="23:23">
      <c r="W25139" s="503"/>
    </row>
    <row r="25140" spans="23:23">
      <c r="W25140" s="503"/>
    </row>
    <row r="25141" spans="23:23">
      <c r="W25141" s="503"/>
    </row>
    <row r="25142" spans="23:23">
      <c r="W25142" s="503"/>
    </row>
    <row r="25143" spans="23:23">
      <c r="W25143" s="503"/>
    </row>
    <row r="25144" spans="23:23">
      <c r="W25144" s="503"/>
    </row>
    <row r="25145" spans="23:23">
      <c r="W25145" s="503"/>
    </row>
    <row r="25146" spans="23:23">
      <c r="W25146" s="503"/>
    </row>
    <row r="25147" spans="23:23">
      <c r="W25147" s="503"/>
    </row>
    <row r="25148" spans="23:23">
      <c r="W25148" s="503"/>
    </row>
    <row r="25149" spans="23:23">
      <c r="W25149" s="503"/>
    </row>
    <row r="25150" spans="23:23">
      <c r="W25150" s="503"/>
    </row>
    <row r="25151" spans="23:23">
      <c r="W25151" s="503"/>
    </row>
    <row r="25152" spans="23:23">
      <c r="W25152" s="503"/>
    </row>
    <row r="25153" spans="23:23">
      <c r="W25153" s="503"/>
    </row>
    <row r="25154" spans="23:23">
      <c r="W25154" s="503"/>
    </row>
    <row r="25155" spans="23:23">
      <c r="W25155" s="503"/>
    </row>
    <row r="25156" spans="23:23">
      <c r="W25156" s="503"/>
    </row>
    <row r="25157" spans="23:23">
      <c r="W25157" s="503"/>
    </row>
    <row r="25158" spans="23:23">
      <c r="W25158" s="503"/>
    </row>
    <row r="25159" spans="23:23">
      <c r="W25159" s="503"/>
    </row>
    <row r="25160" spans="23:23">
      <c r="W25160" s="503"/>
    </row>
    <row r="25161" spans="23:23">
      <c r="W25161" s="503"/>
    </row>
    <row r="25162" spans="23:23">
      <c r="W25162" s="503"/>
    </row>
    <row r="25163" spans="23:23">
      <c r="W25163" s="503"/>
    </row>
    <row r="25164" spans="23:23">
      <c r="W25164" s="503"/>
    </row>
    <row r="25165" spans="23:23">
      <c r="W25165" s="503"/>
    </row>
    <row r="25166" spans="23:23">
      <c r="W25166" s="503"/>
    </row>
    <row r="25167" spans="23:23">
      <c r="W25167" s="503"/>
    </row>
    <row r="25168" spans="23:23">
      <c r="W25168" s="503"/>
    </row>
    <row r="25169" spans="23:23">
      <c r="W25169" s="503"/>
    </row>
    <row r="25170" spans="23:23">
      <c r="W25170" s="503"/>
    </row>
    <row r="25171" spans="23:23">
      <c r="W25171" s="503"/>
    </row>
    <row r="25172" spans="23:23">
      <c r="W25172" s="503"/>
    </row>
    <row r="25173" spans="23:23">
      <c r="W25173" s="503"/>
    </row>
    <row r="25174" spans="23:23">
      <c r="W25174" s="503"/>
    </row>
    <row r="25175" spans="23:23">
      <c r="W25175" s="503"/>
    </row>
    <row r="25176" spans="23:23">
      <c r="W25176" s="503"/>
    </row>
    <row r="25177" spans="23:23">
      <c r="W25177" s="503"/>
    </row>
    <row r="25178" spans="23:23">
      <c r="W25178" s="503"/>
    </row>
    <row r="25179" spans="23:23">
      <c r="W25179" s="503"/>
    </row>
    <row r="25180" spans="23:23">
      <c r="W25180" s="503"/>
    </row>
    <row r="25181" spans="23:23">
      <c r="W25181" s="503"/>
    </row>
    <row r="25182" spans="23:23">
      <c r="W25182" s="503"/>
    </row>
    <row r="25183" spans="23:23">
      <c r="W25183" s="503"/>
    </row>
    <row r="25184" spans="23:23">
      <c r="W25184" s="503"/>
    </row>
    <row r="25185" spans="23:23">
      <c r="W25185" s="503"/>
    </row>
    <row r="25186" spans="23:23">
      <c r="W25186" s="503"/>
    </row>
    <row r="25187" spans="23:23">
      <c r="W25187" s="503"/>
    </row>
    <row r="25188" spans="23:23">
      <c r="W25188" s="503"/>
    </row>
    <row r="25189" spans="23:23">
      <c r="W25189" s="503"/>
    </row>
    <row r="25190" spans="23:23">
      <c r="W25190" s="503"/>
    </row>
    <row r="25191" spans="23:23">
      <c r="W25191" s="503"/>
    </row>
    <row r="25192" spans="23:23">
      <c r="W25192" s="503"/>
    </row>
    <row r="25193" spans="23:23">
      <c r="W25193" s="503"/>
    </row>
    <row r="25194" spans="23:23">
      <c r="W25194" s="503"/>
    </row>
    <row r="25195" spans="23:23">
      <c r="W25195" s="503"/>
    </row>
    <row r="25196" spans="23:23">
      <c r="W25196" s="503"/>
    </row>
    <row r="25197" spans="23:23">
      <c r="W25197" s="503"/>
    </row>
    <row r="25198" spans="23:23">
      <c r="W25198" s="503"/>
    </row>
    <row r="25199" spans="23:23">
      <c r="W25199" s="503"/>
    </row>
    <row r="25200" spans="23:23">
      <c r="W25200" s="503"/>
    </row>
    <row r="25201" spans="23:23">
      <c r="W25201" s="503"/>
    </row>
    <row r="25202" spans="23:23">
      <c r="W25202" s="503"/>
    </row>
    <row r="25203" spans="23:23">
      <c r="W25203" s="503"/>
    </row>
    <row r="25204" spans="23:23">
      <c r="W25204" s="503"/>
    </row>
    <row r="25205" spans="23:23">
      <c r="W25205" s="503"/>
    </row>
    <row r="25206" spans="23:23">
      <c r="W25206" s="503"/>
    </row>
    <row r="25207" spans="23:23">
      <c r="W25207" s="503"/>
    </row>
    <row r="25208" spans="23:23">
      <c r="W25208" s="503"/>
    </row>
    <row r="25209" spans="23:23">
      <c r="W25209" s="503"/>
    </row>
    <row r="25210" spans="23:23">
      <c r="W25210" s="503"/>
    </row>
    <row r="25211" spans="23:23">
      <c r="W25211" s="503"/>
    </row>
    <row r="25212" spans="23:23">
      <c r="W25212" s="503"/>
    </row>
    <row r="25213" spans="23:23">
      <c r="W25213" s="503"/>
    </row>
    <row r="25214" spans="23:23">
      <c r="W25214" s="503"/>
    </row>
    <row r="25215" spans="23:23">
      <c r="W25215" s="503"/>
    </row>
    <row r="25216" spans="23:23">
      <c r="W25216" s="503"/>
    </row>
    <row r="25217" spans="23:23">
      <c r="W25217" s="503"/>
    </row>
    <row r="25218" spans="23:23">
      <c r="W25218" s="503"/>
    </row>
    <row r="25219" spans="23:23">
      <c r="W25219" s="503"/>
    </row>
    <row r="25220" spans="23:23">
      <c r="W25220" s="503"/>
    </row>
    <row r="25221" spans="23:23">
      <c r="W25221" s="503"/>
    </row>
    <row r="25222" spans="23:23">
      <c r="W25222" s="503"/>
    </row>
    <row r="25223" spans="23:23">
      <c r="W25223" s="503"/>
    </row>
    <row r="25224" spans="23:23">
      <c r="W25224" s="503"/>
    </row>
    <row r="25225" spans="23:23">
      <c r="W25225" s="503"/>
    </row>
    <row r="25226" spans="23:23">
      <c r="W25226" s="503"/>
    </row>
    <row r="25227" spans="23:23">
      <c r="W25227" s="503"/>
    </row>
    <row r="25228" spans="23:23">
      <c r="W25228" s="503"/>
    </row>
    <row r="25229" spans="23:23">
      <c r="W25229" s="503"/>
    </row>
    <row r="25230" spans="23:23">
      <c r="W25230" s="503"/>
    </row>
    <row r="25231" spans="23:23">
      <c r="W25231" s="503"/>
    </row>
    <row r="25232" spans="23:23">
      <c r="W25232" s="503"/>
    </row>
    <row r="25233" spans="23:23">
      <c r="W25233" s="503"/>
    </row>
    <row r="25234" spans="23:23">
      <c r="W25234" s="503"/>
    </row>
    <row r="25235" spans="23:23">
      <c r="W25235" s="503"/>
    </row>
    <row r="25236" spans="23:23">
      <c r="W25236" s="503"/>
    </row>
    <row r="25237" spans="23:23">
      <c r="W25237" s="503"/>
    </row>
    <row r="25238" spans="23:23">
      <c r="W25238" s="503"/>
    </row>
    <row r="25239" spans="23:23">
      <c r="W25239" s="503"/>
    </row>
    <row r="25240" spans="23:23">
      <c r="W25240" s="503"/>
    </row>
    <row r="25241" spans="23:23">
      <c r="W25241" s="503"/>
    </row>
    <row r="25242" spans="23:23">
      <c r="W25242" s="503"/>
    </row>
    <row r="25243" spans="23:23">
      <c r="W25243" s="503"/>
    </row>
    <row r="25244" spans="23:23">
      <c r="W25244" s="503"/>
    </row>
    <row r="25245" spans="23:23">
      <c r="W25245" s="503"/>
    </row>
    <row r="25246" spans="23:23">
      <c r="W25246" s="503"/>
    </row>
    <row r="25247" spans="23:23">
      <c r="W25247" s="503"/>
    </row>
    <row r="25248" spans="23:23">
      <c r="W25248" s="503"/>
    </row>
    <row r="25249" spans="23:23">
      <c r="W25249" s="503"/>
    </row>
    <row r="25250" spans="23:23">
      <c r="W25250" s="503"/>
    </row>
    <row r="25251" spans="23:23">
      <c r="W25251" s="503"/>
    </row>
    <row r="25252" spans="23:23">
      <c r="W25252" s="503"/>
    </row>
    <row r="25253" spans="23:23">
      <c r="W25253" s="503"/>
    </row>
    <row r="25254" spans="23:23">
      <c r="W25254" s="503"/>
    </row>
    <row r="25255" spans="23:23">
      <c r="W25255" s="503"/>
    </row>
    <row r="25256" spans="23:23">
      <c r="W25256" s="503"/>
    </row>
    <row r="25257" spans="23:23">
      <c r="W25257" s="503"/>
    </row>
    <row r="25258" spans="23:23">
      <c r="W25258" s="503"/>
    </row>
    <row r="25259" spans="23:23">
      <c r="W25259" s="503"/>
    </row>
    <row r="25260" spans="23:23">
      <c r="W25260" s="503"/>
    </row>
    <row r="25261" spans="23:23">
      <c r="W25261" s="503"/>
    </row>
    <row r="25262" spans="23:23">
      <c r="W25262" s="503"/>
    </row>
    <row r="25263" spans="23:23">
      <c r="W25263" s="503"/>
    </row>
    <row r="25264" spans="23:23">
      <c r="W25264" s="503"/>
    </row>
    <row r="25265" spans="23:23">
      <c r="W25265" s="503"/>
    </row>
    <row r="25266" spans="23:23">
      <c r="W25266" s="503"/>
    </row>
    <row r="25267" spans="23:23">
      <c r="W25267" s="503"/>
    </row>
    <row r="25268" spans="23:23">
      <c r="W25268" s="503"/>
    </row>
    <row r="25269" spans="23:23">
      <c r="W25269" s="503"/>
    </row>
    <row r="25270" spans="23:23">
      <c r="W25270" s="503"/>
    </row>
    <row r="25271" spans="23:23">
      <c r="W25271" s="503"/>
    </row>
    <row r="25272" spans="23:23">
      <c r="W25272" s="503"/>
    </row>
    <row r="25273" spans="23:23">
      <c r="W25273" s="503"/>
    </row>
    <row r="25274" spans="23:23">
      <c r="W25274" s="503"/>
    </row>
    <row r="25275" spans="23:23">
      <c r="W25275" s="503"/>
    </row>
    <row r="25276" spans="23:23">
      <c r="W25276" s="503"/>
    </row>
    <row r="25277" spans="23:23">
      <c r="W25277" s="503"/>
    </row>
    <row r="25278" spans="23:23">
      <c r="W25278" s="503"/>
    </row>
    <row r="25279" spans="23:23">
      <c r="W25279" s="503"/>
    </row>
    <row r="25280" spans="23:23">
      <c r="W25280" s="503"/>
    </row>
    <row r="25281" spans="23:23">
      <c r="W25281" s="503"/>
    </row>
    <row r="25282" spans="23:23">
      <c r="W25282" s="503"/>
    </row>
    <row r="25283" spans="23:23">
      <c r="W25283" s="503"/>
    </row>
    <row r="25284" spans="23:23">
      <c r="W25284" s="503"/>
    </row>
    <row r="25285" spans="23:23">
      <c r="W25285" s="503"/>
    </row>
    <row r="25286" spans="23:23">
      <c r="W25286" s="503"/>
    </row>
    <row r="25287" spans="23:23">
      <c r="W25287" s="503"/>
    </row>
    <row r="25288" spans="23:23">
      <c r="W25288" s="503"/>
    </row>
    <row r="25289" spans="23:23">
      <c r="W25289" s="503"/>
    </row>
    <row r="25290" spans="23:23">
      <c r="W25290" s="503"/>
    </row>
    <row r="25291" spans="23:23">
      <c r="W25291" s="503"/>
    </row>
    <row r="25292" spans="23:23">
      <c r="W25292" s="503"/>
    </row>
    <row r="25293" spans="23:23">
      <c r="W25293" s="503"/>
    </row>
    <row r="25294" spans="23:23">
      <c r="W25294" s="503"/>
    </row>
    <row r="25295" spans="23:23">
      <c r="W25295" s="503"/>
    </row>
    <row r="25296" spans="23:23">
      <c r="W25296" s="503"/>
    </row>
    <row r="25297" spans="23:23">
      <c r="W25297" s="503"/>
    </row>
    <row r="25298" spans="23:23">
      <c r="W25298" s="503"/>
    </row>
    <row r="25299" spans="23:23">
      <c r="W25299" s="503"/>
    </row>
    <row r="25300" spans="23:23">
      <c r="W25300" s="503"/>
    </row>
    <row r="25301" spans="23:23">
      <c r="W25301" s="503"/>
    </row>
    <row r="25302" spans="23:23">
      <c r="W25302" s="503"/>
    </row>
    <row r="25303" spans="23:23">
      <c r="W25303" s="503"/>
    </row>
    <row r="25304" spans="23:23">
      <c r="W25304" s="503"/>
    </row>
    <row r="25305" spans="23:23">
      <c r="W25305" s="503"/>
    </row>
    <row r="25306" spans="23:23">
      <c r="W25306" s="503"/>
    </row>
    <row r="25307" spans="23:23">
      <c r="W25307" s="503"/>
    </row>
    <row r="25308" spans="23:23">
      <c r="W25308" s="503"/>
    </row>
    <row r="25309" spans="23:23">
      <c r="W25309" s="503"/>
    </row>
    <row r="25310" spans="23:23">
      <c r="W25310" s="503"/>
    </row>
    <row r="25311" spans="23:23">
      <c r="W25311" s="503"/>
    </row>
    <row r="25312" spans="23:23">
      <c r="W25312" s="503"/>
    </row>
    <row r="25313" spans="23:23">
      <c r="W25313" s="503"/>
    </row>
    <row r="25314" spans="23:23">
      <c r="W25314" s="503"/>
    </row>
    <row r="25315" spans="23:23">
      <c r="W25315" s="503"/>
    </row>
    <row r="25316" spans="23:23">
      <c r="W25316" s="503"/>
    </row>
    <row r="25317" spans="23:23">
      <c r="W25317" s="503"/>
    </row>
    <row r="25318" spans="23:23">
      <c r="W25318" s="503"/>
    </row>
    <row r="25319" spans="23:23">
      <c r="W25319" s="503"/>
    </row>
    <row r="25320" spans="23:23">
      <c r="W25320" s="503"/>
    </row>
    <row r="25321" spans="23:23">
      <c r="W25321" s="503"/>
    </row>
    <row r="25322" spans="23:23">
      <c r="W25322" s="503"/>
    </row>
    <row r="25323" spans="23:23">
      <c r="W25323" s="503"/>
    </row>
    <row r="25324" spans="23:23">
      <c r="W25324" s="503"/>
    </row>
    <row r="25325" spans="23:23">
      <c r="W25325" s="503"/>
    </row>
    <row r="25326" spans="23:23">
      <c r="W25326" s="503"/>
    </row>
    <row r="25327" spans="23:23">
      <c r="W25327" s="503"/>
    </row>
    <row r="25328" spans="23:23">
      <c r="W25328" s="503"/>
    </row>
    <row r="25329" spans="23:23">
      <c r="W25329" s="503"/>
    </row>
    <row r="25330" spans="23:23">
      <c r="W25330" s="503"/>
    </row>
    <row r="25331" spans="23:23">
      <c r="W25331" s="503"/>
    </row>
    <row r="25332" spans="23:23">
      <c r="W25332" s="503"/>
    </row>
    <row r="25333" spans="23:23">
      <c r="W25333" s="503"/>
    </row>
    <row r="25334" spans="23:23">
      <c r="W25334" s="503"/>
    </row>
    <row r="25335" spans="23:23">
      <c r="W25335" s="503"/>
    </row>
    <row r="25336" spans="23:23">
      <c r="W25336" s="503"/>
    </row>
    <row r="25337" spans="23:23">
      <c r="W25337" s="503"/>
    </row>
    <row r="25338" spans="23:23">
      <c r="W25338" s="503"/>
    </row>
    <row r="25339" spans="23:23">
      <c r="W25339" s="503"/>
    </row>
    <row r="25340" spans="23:23">
      <c r="W25340" s="503"/>
    </row>
    <row r="25341" spans="23:23">
      <c r="W25341" s="503"/>
    </row>
    <row r="25342" spans="23:23">
      <c r="W25342" s="503"/>
    </row>
    <row r="25343" spans="23:23">
      <c r="W25343" s="503"/>
    </row>
    <row r="25344" spans="23:23">
      <c r="W25344" s="503"/>
    </row>
    <row r="25345" spans="23:23">
      <c r="W25345" s="503"/>
    </row>
    <row r="25346" spans="23:23">
      <c r="W25346" s="503"/>
    </row>
    <row r="25347" spans="23:23">
      <c r="W25347" s="503"/>
    </row>
    <row r="25348" spans="23:23">
      <c r="W25348" s="503"/>
    </row>
    <row r="25349" spans="23:23">
      <c r="W25349" s="503"/>
    </row>
    <row r="25350" spans="23:23">
      <c r="W25350" s="503"/>
    </row>
    <row r="25351" spans="23:23">
      <c r="W25351" s="503"/>
    </row>
    <row r="25352" spans="23:23">
      <c r="W25352" s="503"/>
    </row>
    <row r="25353" spans="23:23">
      <c r="W25353" s="503"/>
    </row>
    <row r="25354" spans="23:23">
      <c r="W25354" s="503"/>
    </row>
    <row r="25355" spans="23:23">
      <c r="W25355" s="503"/>
    </row>
    <row r="25356" spans="23:23">
      <c r="W25356" s="503"/>
    </row>
    <row r="25357" spans="23:23">
      <c r="W25357" s="503"/>
    </row>
    <row r="25358" spans="23:23">
      <c r="W25358" s="503"/>
    </row>
    <row r="25359" spans="23:23">
      <c r="W25359" s="503"/>
    </row>
    <row r="25360" spans="23:23">
      <c r="W25360" s="503"/>
    </row>
    <row r="25361" spans="23:23">
      <c r="W25361" s="503"/>
    </row>
    <row r="25362" spans="23:23">
      <c r="W25362" s="503"/>
    </row>
    <row r="25363" spans="23:23">
      <c r="W25363" s="503"/>
    </row>
    <row r="25364" spans="23:23">
      <c r="W25364" s="503"/>
    </row>
    <row r="25365" spans="23:23">
      <c r="W25365" s="503"/>
    </row>
    <row r="25366" spans="23:23">
      <c r="W25366" s="503"/>
    </row>
    <row r="25367" spans="23:23">
      <c r="W25367" s="503"/>
    </row>
    <row r="25368" spans="23:23">
      <c r="W25368" s="503"/>
    </row>
    <row r="25369" spans="23:23">
      <c r="W25369" s="503"/>
    </row>
    <row r="25370" spans="23:23">
      <c r="W25370" s="503"/>
    </row>
    <row r="25371" spans="23:23">
      <c r="W25371" s="503"/>
    </row>
    <row r="25372" spans="23:23">
      <c r="W25372" s="503"/>
    </row>
    <row r="25373" spans="23:23">
      <c r="W25373" s="503"/>
    </row>
    <row r="25374" spans="23:23">
      <c r="W25374" s="503"/>
    </row>
    <row r="25375" spans="23:23">
      <c r="W25375" s="503"/>
    </row>
    <row r="25376" spans="23:23">
      <c r="W25376" s="503"/>
    </row>
    <row r="25377" spans="23:23">
      <c r="W25377" s="503"/>
    </row>
    <row r="25378" spans="23:23">
      <c r="W25378" s="503"/>
    </row>
    <row r="25379" spans="23:23">
      <c r="W25379" s="503"/>
    </row>
    <row r="25380" spans="23:23">
      <c r="W25380" s="503"/>
    </row>
    <row r="25381" spans="23:23">
      <c r="W25381" s="503"/>
    </row>
    <row r="25382" spans="23:23">
      <c r="W25382" s="503"/>
    </row>
    <row r="25383" spans="23:23">
      <c r="W25383" s="503"/>
    </row>
    <row r="25384" spans="23:23">
      <c r="W25384" s="503"/>
    </row>
    <row r="25385" spans="23:23">
      <c r="W25385" s="503"/>
    </row>
    <row r="25386" spans="23:23">
      <c r="W25386" s="503"/>
    </row>
    <row r="25387" spans="23:23">
      <c r="W25387" s="503"/>
    </row>
    <row r="25388" spans="23:23">
      <c r="W25388" s="503"/>
    </row>
    <row r="25389" spans="23:23">
      <c r="W25389" s="503"/>
    </row>
    <row r="25390" spans="23:23">
      <c r="W25390" s="503"/>
    </row>
    <row r="25391" spans="23:23">
      <c r="W25391" s="503"/>
    </row>
    <row r="25392" spans="23:23">
      <c r="W25392" s="503"/>
    </row>
    <row r="25393" spans="23:23">
      <c r="W25393" s="503"/>
    </row>
    <row r="25394" spans="23:23">
      <c r="W25394" s="503"/>
    </row>
    <row r="25395" spans="23:23">
      <c r="W25395" s="503"/>
    </row>
    <row r="25396" spans="23:23">
      <c r="W25396" s="503"/>
    </row>
    <row r="25397" spans="23:23">
      <c r="W25397" s="503"/>
    </row>
    <row r="25398" spans="23:23">
      <c r="W25398" s="503"/>
    </row>
    <row r="25399" spans="23:23">
      <c r="W25399" s="503"/>
    </row>
    <row r="25400" spans="23:23">
      <c r="W25400" s="503"/>
    </row>
    <row r="25401" spans="23:23">
      <c r="W25401" s="503"/>
    </row>
    <row r="25402" spans="23:23">
      <c r="W25402" s="503"/>
    </row>
    <row r="25403" spans="23:23">
      <c r="W25403" s="503"/>
    </row>
    <row r="25404" spans="23:23">
      <c r="W25404" s="503"/>
    </row>
    <row r="25405" spans="23:23">
      <c r="W25405" s="503"/>
    </row>
    <row r="25406" spans="23:23">
      <c r="W25406" s="503"/>
    </row>
    <row r="25407" spans="23:23">
      <c r="W25407" s="503"/>
    </row>
    <row r="25408" spans="23:23">
      <c r="W25408" s="503"/>
    </row>
    <row r="25409" spans="23:23">
      <c r="W25409" s="503"/>
    </row>
    <row r="25410" spans="23:23">
      <c r="W25410" s="503"/>
    </row>
    <row r="25411" spans="23:23">
      <c r="W25411" s="503"/>
    </row>
    <row r="25412" spans="23:23">
      <c r="W25412" s="503"/>
    </row>
    <row r="25413" spans="23:23">
      <c r="W25413" s="503"/>
    </row>
    <row r="25414" spans="23:23">
      <c r="W25414" s="503"/>
    </row>
    <row r="25415" spans="23:23">
      <c r="W25415" s="503"/>
    </row>
    <row r="25416" spans="23:23">
      <c r="W25416" s="503"/>
    </row>
    <row r="25417" spans="23:23">
      <c r="W25417" s="503"/>
    </row>
    <row r="25418" spans="23:23">
      <c r="W25418" s="503"/>
    </row>
    <row r="25419" spans="23:23">
      <c r="W25419" s="503"/>
    </row>
    <row r="25420" spans="23:23">
      <c r="W25420" s="503"/>
    </row>
    <row r="25421" spans="23:23">
      <c r="W25421" s="503"/>
    </row>
    <row r="25422" spans="23:23">
      <c r="W25422" s="503"/>
    </row>
    <row r="25423" spans="23:23">
      <c r="W25423" s="503"/>
    </row>
    <row r="25424" spans="23:23">
      <c r="W25424" s="503"/>
    </row>
    <row r="25425" spans="23:23">
      <c r="W25425" s="503"/>
    </row>
    <row r="25426" spans="23:23">
      <c r="W25426" s="503"/>
    </row>
    <row r="25427" spans="23:23">
      <c r="W25427" s="503"/>
    </row>
    <row r="25428" spans="23:23">
      <c r="W25428" s="503"/>
    </row>
    <row r="25429" spans="23:23">
      <c r="W25429" s="503"/>
    </row>
    <row r="25430" spans="23:23">
      <c r="W25430" s="503"/>
    </row>
    <row r="25431" spans="23:23">
      <c r="W25431" s="503"/>
    </row>
    <row r="25432" spans="23:23">
      <c r="W25432" s="503"/>
    </row>
    <row r="25433" spans="23:23">
      <c r="W25433" s="503"/>
    </row>
    <row r="25434" spans="23:23">
      <c r="W25434" s="503"/>
    </row>
    <row r="25435" spans="23:23">
      <c r="W25435" s="503"/>
    </row>
    <row r="25436" spans="23:23">
      <c r="W25436" s="503"/>
    </row>
    <row r="25437" spans="23:23">
      <c r="W25437" s="503"/>
    </row>
    <row r="25438" spans="23:23">
      <c r="W25438" s="503"/>
    </row>
    <row r="25439" spans="23:23">
      <c r="W25439" s="503"/>
    </row>
    <row r="25440" spans="23:23">
      <c r="W25440" s="503"/>
    </row>
    <row r="25441" spans="23:23">
      <c r="W25441" s="503"/>
    </row>
    <row r="25442" spans="23:23">
      <c r="W25442" s="503"/>
    </row>
    <row r="25443" spans="23:23">
      <c r="W25443" s="503"/>
    </row>
    <row r="25444" spans="23:23">
      <c r="W25444" s="503"/>
    </row>
    <row r="25445" spans="23:23">
      <c r="W25445" s="503"/>
    </row>
    <row r="25446" spans="23:23">
      <c r="W25446" s="503"/>
    </row>
    <row r="25447" spans="23:23">
      <c r="W25447" s="503"/>
    </row>
    <row r="25448" spans="23:23">
      <c r="W25448" s="503"/>
    </row>
    <row r="25449" spans="23:23">
      <c r="W25449" s="503"/>
    </row>
    <row r="25450" spans="23:23">
      <c r="W25450" s="503"/>
    </row>
    <row r="25451" spans="23:23">
      <c r="W25451" s="503"/>
    </row>
    <row r="25452" spans="23:23">
      <c r="W25452" s="503"/>
    </row>
    <row r="25453" spans="23:23">
      <c r="W25453" s="503"/>
    </row>
    <row r="25454" spans="23:23">
      <c r="W25454" s="503"/>
    </row>
    <row r="25455" spans="23:23">
      <c r="W25455" s="503"/>
    </row>
    <row r="25456" spans="23:23">
      <c r="W25456" s="503"/>
    </row>
    <row r="25457" spans="23:23">
      <c r="W25457" s="503"/>
    </row>
    <row r="25458" spans="23:23">
      <c r="W25458" s="503"/>
    </row>
    <row r="25459" spans="23:23">
      <c r="W25459" s="503"/>
    </row>
    <row r="25460" spans="23:23">
      <c r="W25460" s="503"/>
    </row>
    <row r="25461" spans="23:23">
      <c r="W25461" s="503"/>
    </row>
    <row r="25462" spans="23:23">
      <c r="W25462" s="503"/>
    </row>
    <row r="25463" spans="23:23">
      <c r="W25463" s="503"/>
    </row>
    <row r="25464" spans="23:23">
      <c r="W25464" s="503"/>
    </row>
    <row r="25465" spans="23:23">
      <c r="W25465" s="503"/>
    </row>
    <row r="25466" spans="23:23">
      <c r="W25466" s="503"/>
    </row>
    <row r="25467" spans="23:23">
      <c r="W25467" s="503"/>
    </row>
    <row r="25468" spans="23:23">
      <c r="W25468" s="503"/>
    </row>
    <row r="25469" spans="23:23">
      <c r="W25469" s="503"/>
    </row>
    <row r="25470" spans="23:23">
      <c r="W25470" s="503"/>
    </row>
    <row r="25471" spans="23:23">
      <c r="W25471" s="503"/>
    </row>
    <row r="25472" spans="23:23">
      <c r="W25472" s="503"/>
    </row>
    <row r="25473" spans="23:23">
      <c r="W25473" s="503"/>
    </row>
    <row r="25474" spans="23:23">
      <c r="W25474" s="503"/>
    </row>
    <row r="25475" spans="23:23">
      <c r="W25475" s="503"/>
    </row>
    <row r="25476" spans="23:23">
      <c r="W25476" s="503"/>
    </row>
    <row r="25477" spans="23:23">
      <c r="W25477" s="503"/>
    </row>
    <row r="25478" spans="23:23">
      <c r="W25478" s="503"/>
    </row>
    <row r="25479" spans="23:23">
      <c r="W25479" s="503"/>
    </row>
    <row r="25480" spans="23:23">
      <c r="W25480" s="503"/>
    </row>
    <row r="25481" spans="23:23">
      <c r="W25481" s="503"/>
    </row>
    <row r="25482" spans="23:23">
      <c r="W25482" s="503"/>
    </row>
    <row r="25483" spans="23:23">
      <c r="W25483" s="503"/>
    </row>
    <row r="25484" spans="23:23">
      <c r="W25484" s="503"/>
    </row>
    <row r="25485" spans="23:23">
      <c r="W25485" s="503"/>
    </row>
    <row r="25486" spans="23:23">
      <c r="W25486" s="503"/>
    </row>
    <row r="25487" spans="23:23">
      <c r="W25487" s="503"/>
    </row>
    <row r="25488" spans="23:23">
      <c r="W25488" s="503"/>
    </row>
    <row r="25489" spans="23:23">
      <c r="W25489" s="503"/>
    </row>
    <row r="25490" spans="23:23">
      <c r="W25490" s="503"/>
    </row>
    <row r="25491" spans="23:23">
      <c r="W25491" s="503"/>
    </row>
    <row r="25492" spans="23:23">
      <c r="W25492" s="503"/>
    </row>
    <row r="25493" spans="23:23">
      <c r="W25493" s="503"/>
    </row>
    <row r="25494" spans="23:23">
      <c r="W25494" s="503"/>
    </row>
    <row r="25495" spans="23:23">
      <c r="W25495" s="503"/>
    </row>
    <row r="25496" spans="23:23">
      <c r="W25496" s="503"/>
    </row>
    <row r="25497" spans="23:23">
      <c r="W25497" s="503"/>
    </row>
    <row r="25498" spans="23:23">
      <c r="W25498" s="503"/>
    </row>
    <row r="25499" spans="23:23">
      <c r="W25499" s="503"/>
    </row>
    <row r="25500" spans="23:23">
      <c r="W25500" s="503"/>
    </row>
    <row r="25501" spans="23:23">
      <c r="W25501" s="503"/>
    </row>
    <row r="25502" spans="23:23">
      <c r="W25502" s="503"/>
    </row>
    <row r="25503" spans="23:23">
      <c r="W25503" s="503"/>
    </row>
    <row r="25504" spans="23:23">
      <c r="W25504" s="503"/>
    </row>
    <row r="25505" spans="23:23">
      <c r="W25505" s="503"/>
    </row>
    <row r="25506" spans="23:23">
      <c r="W25506" s="503"/>
    </row>
    <row r="25507" spans="23:23">
      <c r="W25507" s="503"/>
    </row>
    <row r="25508" spans="23:23">
      <c r="W25508" s="503"/>
    </row>
    <row r="25509" spans="23:23">
      <c r="W25509" s="503"/>
    </row>
    <row r="25510" spans="23:23">
      <c r="W25510" s="503"/>
    </row>
    <row r="25511" spans="23:23">
      <c r="W25511" s="503"/>
    </row>
    <row r="25512" spans="23:23">
      <c r="W25512" s="503"/>
    </row>
    <row r="25513" spans="23:23">
      <c r="W25513" s="503"/>
    </row>
    <row r="25514" spans="23:23">
      <c r="W25514" s="503"/>
    </row>
    <row r="25515" spans="23:23">
      <c r="W25515" s="503"/>
    </row>
    <row r="25516" spans="23:23">
      <c r="W25516" s="503"/>
    </row>
    <row r="25517" spans="23:23">
      <c r="W25517" s="503"/>
    </row>
    <row r="25518" spans="23:23">
      <c r="W25518" s="503"/>
    </row>
    <row r="25519" spans="23:23">
      <c r="W25519" s="503"/>
    </row>
    <row r="25520" spans="23:23">
      <c r="W25520" s="503"/>
    </row>
    <row r="25521" spans="23:23">
      <c r="W25521" s="503"/>
    </row>
    <row r="25522" spans="23:23">
      <c r="W25522" s="503"/>
    </row>
    <row r="25523" spans="23:23">
      <c r="W25523" s="503"/>
    </row>
    <row r="25524" spans="23:23">
      <c r="W25524" s="503"/>
    </row>
    <row r="25525" spans="23:23">
      <c r="W25525" s="503"/>
    </row>
    <row r="25526" spans="23:23">
      <c r="W25526" s="503"/>
    </row>
    <row r="25527" spans="23:23">
      <c r="W25527" s="503"/>
    </row>
    <row r="25528" spans="23:23">
      <c r="W25528" s="503"/>
    </row>
    <row r="25529" spans="23:23">
      <c r="W25529" s="503"/>
    </row>
    <row r="25530" spans="23:23">
      <c r="W25530" s="503"/>
    </row>
    <row r="25531" spans="23:23">
      <c r="W25531" s="503"/>
    </row>
    <row r="25532" spans="23:23">
      <c r="W25532" s="503"/>
    </row>
    <row r="25533" spans="23:23">
      <c r="W25533" s="503"/>
    </row>
    <row r="25534" spans="23:23">
      <c r="W25534" s="503"/>
    </row>
    <row r="25535" spans="23:23">
      <c r="W25535" s="503"/>
    </row>
    <row r="25536" spans="23:23">
      <c r="W25536" s="503"/>
    </row>
    <row r="25537" spans="23:23">
      <c r="W25537" s="503"/>
    </row>
    <row r="25538" spans="23:23">
      <c r="W25538" s="503"/>
    </row>
    <row r="25539" spans="23:23">
      <c r="W25539" s="503"/>
    </row>
    <row r="25540" spans="23:23">
      <c r="W25540" s="503"/>
    </row>
    <row r="25541" spans="23:23">
      <c r="W25541" s="503"/>
    </row>
    <row r="25542" spans="23:23">
      <c r="W25542" s="503"/>
    </row>
    <row r="25543" spans="23:23">
      <c r="W25543" s="503"/>
    </row>
    <row r="25544" spans="23:23">
      <c r="W25544" s="503"/>
    </row>
    <row r="25545" spans="23:23">
      <c r="W25545" s="503"/>
    </row>
    <row r="25546" spans="23:23">
      <c r="W25546" s="503"/>
    </row>
    <row r="25547" spans="23:23">
      <c r="W25547" s="503"/>
    </row>
    <row r="25548" spans="23:23">
      <c r="W25548" s="503"/>
    </row>
    <row r="25549" spans="23:23">
      <c r="W25549" s="503"/>
    </row>
    <row r="25550" spans="23:23">
      <c r="W25550" s="503"/>
    </row>
    <row r="25551" spans="23:23">
      <c r="W25551" s="503"/>
    </row>
    <row r="25552" spans="23:23">
      <c r="W25552" s="503"/>
    </row>
    <row r="25553" spans="23:23">
      <c r="W25553" s="503"/>
    </row>
    <row r="25554" spans="23:23">
      <c r="W25554" s="503"/>
    </row>
    <row r="25555" spans="23:23">
      <c r="W25555" s="503"/>
    </row>
    <row r="25556" spans="23:23">
      <c r="W25556" s="503"/>
    </row>
    <row r="25557" spans="23:23">
      <c r="W25557" s="503"/>
    </row>
    <row r="25558" spans="23:23">
      <c r="W25558" s="503"/>
    </row>
    <row r="25559" spans="23:23">
      <c r="W25559" s="503"/>
    </row>
    <row r="25560" spans="23:23">
      <c r="W25560" s="503"/>
    </row>
    <row r="25561" spans="23:23">
      <c r="W25561" s="503"/>
    </row>
    <row r="25562" spans="23:23">
      <c r="W25562" s="503"/>
    </row>
    <row r="25563" spans="23:23">
      <c r="W25563" s="503"/>
    </row>
    <row r="25564" spans="23:23">
      <c r="W25564" s="503"/>
    </row>
    <row r="25565" spans="23:23">
      <c r="W25565" s="503"/>
    </row>
    <row r="25566" spans="23:23">
      <c r="W25566" s="503"/>
    </row>
    <row r="25567" spans="23:23">
      <c r="W25567" s="503"/>
    </row>
    <row r="25568" spans="23:23">
      <c r="W25568" s="503"/>
    </row>
    <row r="25569" spans="23:23">
      <c r="W25569" s="503"/>
    </row>
    <row r="25570" spans="23:23">
      <c r="W25570" s="503"/>
    </row>
    <row r="25571" spans="23:23">
      <c r="W25571" s="503"/>
    </row>
    <row r="25572" spans="23:23">
      <c r="W25572" s="503"/>
    </row>
    <row r="25573" spans="23:23">
      <c r="W25573" s="503"/>
    </row>
    <row r="25574" spans="23:23">
      <c r="W25574" s="503"/>
    </row>
    <row r="25575" spans="23:23">
      <c r="W25575" s="503"/>
    </row>
    <row r="25576" spans="23:23">
      <c r="W25576" s="503"/>
    </row>
    <row r="25577" spans="23:23">
      <c r="W25577" s="503"/>
    </row>
    <row r="25578" spans="23:23">
      <c r="W25578" s="503"/>
    </row>
    <row r="25579" spans="23:23">
      <c r="W25579" s="503"/>
    </row>
    <row r="25580" spans="23:23">
      <c r="W25580" s="503"/>
    </row>
    <row r="25581" spans="23:23">
      <c r="W25581" s="503"/>
    </row>
    <row r="25582" spans="23:23">
      <c r="W25582" s="503"/>
    </row>
    <row r="25583" spans="23:23">
      <c r="W25583" s="503"/>
    </row>
    <row r="25584" spans="23:23">
      <c r="W25584" s="503"/>
    </row>
    <row r="25585" spans="23:23">
      <c r="W25585" s="503"/>
    </row>
    <row r="25586" spans="23:23">
      <c r="W25586" s="503"/>
    </row>
    <row r="25587" spans="23:23">
      <c r="W25587" s="503"/>
    </row>
    <row r="25588" spans="23:23">
      <c r="W25588" s="503"/>
    </row>
    <row r="25589" spans="23:23">
      <c r="W25589" s="503"/>
    </row>
    <row r="25590" spans="23:23">
      <c r="W25590" s="503"/>
    </row>
    <row r="25591" spans="23:23">
      <c r="W25591" s="503"/>
    </row>
    <row r="25592" spans="23:23">
      <c r="W25592" s="503"/>
    </row>
    <row r="25593" spans="23:23">
      <c r="W25593" s="503"/>
    </row>
    <row r="25594" spans="23:23">
      <c r="W25594" s="503"/>
    </row>
    <row r="25595" spans="23:23">
      <c r="W25595" s="503"/>
    </row>
    <row r="25596" spans="23:23">
      <c r="W25596" s="503"/>
    </row>
    <row r="25597" spans="23:23">
      <c r="W25597" s="503"/>
    </row>
    <row r="25598" spans="23:23">
      <c r="W25598" s="503"/>
    </row>
    <row r="25599" spans="23:23">
      <c r="W25599" s="503"/>
    </row>
    <row r="25600" spans="23:23">
      <c r="W25600" s="503"/>
    </row>
    <row r="25601" spans="23:23">
      <c r="W25601" s="503"/>
    </row>
    <row r="25602" spans="23:23">
      <c r="W25602" s="503"/>
    </row>
    <row r="25603" spans="23:23">
      <c r="W25603" s="503"/>
    </row>
    <row r="25604" spans="23:23">
      <c r="W25604" s="503"/>
    </row>
    <row r="25605" spans="23:23">
      <c r="W25605" s="503"/>
    </row>
    <row r="25606" spans="23:23">
      <c r="W25606" s="503"/>
    </row>
    <row r="25607" spans="23:23">
      <c r="W25607" s="503"/>
    </row>
    <row r="25608" spans="23:23">
      <c r="W25608" s="503"/>
    </row>
    <row r="25609" spans="23:23">
      <c r="W25609" s="503"/>
    </row>
    <row r="25610" spans="23:23">
      <c r="W25610" s="503"/>
    </row>
    <row r="25611" spans="23:23">
      <c r="W25611" s="503"/>
    </row>
    <row r="25612" spans="23:23">
      <c r="W25612" s="503"/>
    </row>
    <row r="25613" spans="23:23">
      <c r="W25613" s="503"/>
    </row>
    <row r="25614" spans="23:23">
      <c r="W25614" s="503"/>
    </row>
    <row r="25615" spans="23:23">
      <c r="W25615" s="503"/>
    </row>
    <row r="25616" spans="23:23">
      <c r="W25616" s="503"/>
    </row>
    <row r="25617" spans="23:23">
      <c r="W25617" s="503"/>
    </row>
    <row r="25618" spans="23:23">
      <c r="W25618" s="503"/>
    </row>
    <row r="25619" spans="23:23">
      <c r="W25619" s="503"/>
    </row>
    <row r="25620" spans="23:23">
      <c r="W25620" s="503"/>
    </row>
    <row r="25621" spans="23:23">
      <c r="W25621" s="503"/>
    </row>
    <row r="25622" spans="23:23">
      <c r="W25622" s="503"/>
    </row>
    <row r="25623" spans="23:23">
      <c r="W25623" s="503"/>
    </row>
    <row r="25624" spans="23:23">
      <c r="W25624" s="503"/>
    </row>
    <row r="25625" spans="23:23">
      <c r="W25625" s="503"/>
    </row>
    <row r="25626" spans="23:23">
      <c r="W25626" s="503"/>
    </row>
    <row r="25627" spans="23:23">
      <c r="W25627" s="503"/>
    </row>
    <row r="25628" spans="23:23">
      <c r="W25628" s="503"/>
    </row>
    <row r="25629" spans="23:23">
      <c r="W25629" s="503"/>
    </row>
    <row r="25630" spans="23:23">
      <c r="W25630" s="503"/>
    </row>
    <row r="25631" spans="23:23">
      <c r="W25631" s="503"/>
    </row>
    <row r="25632" spans="23:23">
      <c r="W25632" s="503"/>
    </row>
    <row r="25633" spans="23:23">
      <c r="W25633" s="503"/>
    </row>
    <row r="25634" spans="23:23">
      <c r="W25634" s="503"/>
    </row>
    <row r="25635" spans="23:23">
      <c r="W25635" s="503"/>
    </row>
    <row r="25636" spans="23:23">
      <c r="W25636" s="503"/>
    </row>
    <row r="25637" spans="23:23">
      <c r="W25637" s="503"/>
    </row>
    <row r="25638" spans="23:23">
      <c r="W25638" s="503"/>
    </row>
    <row r="25639" spans="23:23">
      <c r="W25639" s="503"/>
    </row>
    <row r="25640" spans="23:23">
      <c r="W25640" s="503"/>
    </row>
    <row r="25641" spans="23:23">
      <c r="W25641" s="503"/>
    </row>
    <row r="25642" spans="23:23">
      <c r="W25642" s="503"/>
    </row>
    <row r="25643" spans="23:23">
      <c r="W25643" s="503"/>
    </row>
    <row r="25644" spans="23:23">
      <c r="W25644" s="503"/>
    </row>
    <row r="25645" spans="23:23">
      <c r="W25645" s="503"/>
    </row>
    <row r="25646" spans="23:23">
      <c r="W25646" s="503"/>
    </row>
    <row r="25647" spans="23:23">
      <c r="W25647" s="503"/>
    </row>
    <row r="25648" spans="23:23">
      <c r="W25648" s="503"/>
    </row>
    <row r="25649" spans="23:23">
      <c r="W25649" s="503"/>
    </row>
    <row r="25650" spans="23:23">
      <c r="W25650" s="503"/>
    </row>
    <row r="25651" spans="23:23">
      <c r="W25651" s="503"/>
    </row>
    <row r="25652" spans="23:23">
      <c r="W25652" s="503"/>
    </row>
    <row r="25653" spans="23:23">
      <c r="W25653" s="503"/>
    </row>
    <row r="25654" spans="23:23">
      <c r="W25654" s="503"/>
    </row>
    <row r="25655" spans="23:23">
      <c r="W25655" s="503"/>
    </row>
    <row r="25656" spans="23:23">
      <c r="W25656" s="503"/>
    </row>
    <row r="25657" spans="23:23">
      <c r="W25657" s="503"/>
    </row>
    <row r="25658" spans="23:23">
      <c r="W25658" s="503"/>
    </row>
    <row r="25659" spans="23:23">
      <c r="W25659" s="503"/>
    </row>
    <row r="25660" spans="23:23">
      <c r="W25660" s="503"/>
    </row>
    <row r="25661" spans="23:23">
      <c r="W25661" s="503"/>
    </row>
    <row r="25662" spans="23:23">
      <c r="W25662" s="503"/>
    </row>
    <row r="25663" spans="23:23">
      <c r="W25663" s="503"/>
    </row>
    <row r="25664" spans="23:23">
      <c r="W25664" s="503"/>
    </row>
    <row r="25665" spans="23:23">
      <c r="W25665" s="503"/>
    </row>
    <row r="25666" spans="23:23">
      <c r="W25666" s="503"/>
    </row>
    <row r="25667" spans="23:23">
      <c r="W25667" s="503"/>
    </row>
    <row r="25668" spans="23:23">
      <c r="W25668" s="503"/>
    </row>
    <row r="25669" spans="23:23">
      <c r="W25669" s="503"/>
    </row>
    <row r="25670" spans="23:23">
      <c r="W25670" s="503"/>
    </row>
    <row r="25671" spans="23:23">
      <c r="W25671" s="503"/>
    </row>
    <row r="25672" spans="23:23">
      <c r="W25672" s="503"/>
    </row>
    <row r="25673" spans="23:23">
      <c r="W25673" s="503"/>
    </row>
    <row r="25674" spans="23:23">
      <c r="W25674" s="503"/>
    </row>
    <row r="25675" spans="23:23">
      <c r="W25675" s="503"/>
    </row>
    <row r="25676" spans="23:23">
      <c r="W25676" s="503"/>
    </row>
    <row r="25677" spans="23:23">
      <c r="W25677" s="503"/>
    </row>
    <row r="25678" spans="23:23">
      <c r="W25678" s="503"/>
    </row>
    <row r="25679" spans="23:23">
      <c r="W25679" s="503"/>
    </row>
    <row r="25680" spans="23:23">
      <c r="W25680" s="503"/>
    </row>
    <row r="25681" spans="23:23">
      <c r="W25681" s="503"/>
    </row>
    <row r="25682" spans="23:23">
      <c r="W25682" s="503"/>
    </row>
    <row r="25683" spans="23:23">
      <c r="W25683" s="503"/>
    </row>
    <row r="25684" spans="23:23">
      <c r="W25684" s="503"/>
    </row>
    <row r="25685" spans="23:23">
      <c r="W25685" s="503"/>
    </row>
    <row r="25686" spans="23:23">
      <c r="W25686" s="503"/>
    </row>
    <row r="25687" spans="23:23">
      <c r="W25687" s="503"/>
    </row>
    <row r="25688" spans="23:23">
      <c r="W25688" s="503"/>
    </row>
    <row r="25689" spans="23:23">
      <c r="W25689" s="503"/>
    </row>
    <row r="25690" spans="23:23">
      <c r="W25690" s="503"/>
    </row>
    <row r="25691" spans="23:23">
      <c r="W25691" s="503"/>
    </row>
    <row r="25692" spans="23:23">
      <c r="W25692" s="503"/>
    </row>
    <row r="25693" spans="23:23">
      <c r="W25693" s="503"/>
    </row>
    <row r="25694" spans="23:23">
      <c r="W25694" s="503"/>
    </row>
    <row r="25695" spans="23:23">
      <c r="W25695" s="503"/>
    </row>
    <row r="25696" spans="23:23">
      <c r="W25696" s="503"/>
    </row>
    <row r="25697" spans="23:23">
      <c r="W25697" s="503"/>
    </row>
    <row r="25698" spans="23:23">
      <c r="W25698" s="503"/>
    </row>
    <row r="25699" spans="23:23">
      <c r="W25699" s="503"/>
    </row>
    <row r="25700" spans="23:23">
      <c r="W25700" s="503"/>
    </row>
    <row r="25701" spans="23:23">
      <c r="W25701" s="503"/>
    </row>
    <row r="25702" spans="23:23">
      <c r="W25702" s="503"/>
    </row>
    <row r="25703" spans="23:23">
      <c r="W25703" s="503"/>
    </row>
    <row r="25704" spans="23:23">
      <c r="W25704" s="503"/>
    </row>
    <row r="25705" spans="23:23">
      <c r="W25705" s="503"/>
    </row>
    <row r="25706" spans="23:23">
      <c r="W25706" s="503"/>
    </row>
    <row r="25707" spans="23:23">
      <c r="W25707" s="503"/>
    </row>
    <row r="25708" spans="23:23">
      <c r="W25708" s="503"/>
    </row>
    <row r="25709" spans="23:23">
      <c r="W25709" s="503"/>
    </row>
    <row r="25710" spans="23:23">
      <c r="W25710" s="503"/>
    </row>
    <row r="25711" spans="23:23">
      <c r="W25711" s="503"/>
    </row>
    <row r="25712" spans="23:23">
      <c r="W25712" s="503"/>
    </row>
    <row r="25713" spans="23:23">
      <c r="W25713" s="503"/>
    </row>
    <row r="25714" spans="23:23">
      <c r="W25714" s="503"/>
    </row>
    <row r="25715" spans="23:23">
      <c r="W25715" s="503"/>
    </row>
    <row r="25716" spans="23:23">
      <c r="W25716" s="503"/>
    </row>
    <row r="25717" spans="23:23">
      <c r="W25717" s="503"/>
    </row>
    <row r="25718" spans="23:23">
      <c r="W25718" s="503"/>
    </row>
    <row r="25719" spans="23:23">
      <c r="W25719" s="503"/>
    </row>
    <row r="25720" spans="23:23">
      <c r="W25720" s="503"/>
    </row>
    <row r="25721" spans="23:23">
      <c r="W25721" s="503"/>
    </row>
    <row r="25722" spans="23:23">
      <c r="W25722" s="503"/>
    </row>
    <row r="25723" spans="23:23">
      <c r="W25723" s="503"/>
    </row>
    <row r="25724" spans="23:23">
      <c r="W25724" s="503"/>
    </row>
    <row r="25725" spans="23:23">
      <c r="W25725" s="503"/>
    </row>
    <row r="25726" spans="23:23">
      <c r="W25726" s="503"/>
    </row>
    <row r="25727" spans="23:23">
      <c r="W25727" s="503"/>
    </row>
    <row r="25728" spans="23:23">
      <c r="W25728" s="503"/>
    </row>
    <row r="25729" spans="23:23">
      <c r="W25729" s="503"/>
    </row>
    <row r="25730" spans="23:23">
      <c r="W25730" s="503"/>
    </row>
    <row r="25731" spans="23:23">
      <c r="W25731" s="503"/>
    </row>
    <row r="25732" spans="23:23">
      <c r="W25732" s="503"/>
    </row>
    <row r="25733" spans="23:23">
      <c r="W25733" s="503"/>
    </row>
    <row r="25734" spans="23:23">
      <c r="W25734" s="503"/>
    </row>
    <row r="25735" spans="23:23">
      <c r="W25735" s="503"/>
    </row>
    <row r="25736" spans="23:23">
      <c r="W25736" s="503"/>
    </row>
    <row r="25737" spans="23:23">
      <c r="W25737" s="503"/>
    </row>
    <row r="25738" spans="23:23">
      <c r="W25738" s="503"/>
    </row>
    <row r="25739" spans="23:23">
      <c r="W25739" s="503"/>
    </row>
    <row r="25740" spans="23:23">
      <c r="W25740" s="503"/>
    </row>
    <row r="25741" spans="23:23">
      <c r="W25741" s="503"/>
    </row>
    <row r="25742" spans="23:23">
      <c r="W25742" s="503"/>
    </row>
    <row r="25743" spans="23:23">
      <c r="W25743" s="503"/>
    </row>
    <row r="25744" spans="23:23">
      <c r="W25744" s="503"/>
    </row>
    <row r="25745" spans="23:23">
      <c r="W25745" s="503"/>
    </row>
    <row r="25746" spans="23:23">
      <c r="W25746" s="503"/>
    </row>
    <row r="25747" spans="23:23">
      <c r="W25747" s="503"/>
    </row>
    <row r="25748" spans="23:23">
      <c r="W25748" s="503"/>
    </row>
    <row r="25749" spans="23:23">
      <c r="W25749" s="503"/>
    </row>
    <row r="25750" spans="23:23">
      <c r="W25750" s="503"/>
    </row>
    <row r="25751" spans="23:23">
      <c r="W25751" s="503"/>
    </row>
    <row r="25752" spans="23:23">
      <c r="W25752" s="503"/>
    </row>
    <row r="25753" spans="23:23">
      <c r="W25753" s="503"/>
    </row>
    <row r="25754" spans="23:23">
      <c r="W25754" s="503"/>
    </row>
    <row r="25755" spans="23:23">
      <c r="W25755" s="503"/>
    </row>
    <row r="25756" spans="23:23">
      <c r="W25756" s="503"/>
    </row>
    <row r="25757" spans="23:23">
      <c r="W25757" s="503"/>
    </row>
    <row r="25758" spans="23:23">
      <c r="W25758" s="503"/>
    </row>
    <row r="25759" spans="23:23">
      <c r="W25759" s="503"/>
    </row>
    <row r="25760" spans="23:23">
      <c r="W25760" s="503"/>
    </row>
    <row r="25761" spans="23:23">
      <c r="W25761" s="503"/>
    </row>
    <row r="25762" spans="23:23">
      <c r="W25762" s="503"/>
    </row>
    <row r="25763" spans="23:23">
      <c r="W25763" s="503"/>
    </row>
    <row r="25764" spans="23:23">
      <c r="W25764" s="503"/>
    </row>
    <row r="25765" spans="23:23">
      <c r="W25765" s="503"/>
    </row>
    <row r="25766" spans="23:23">
      <c r="W25766" s="503"/>
    </row>
    <row r="25767" spans="23:23">
      <c r="W25767" s="503"/>
    </row>
    <row r="25768" spans="23:23">
      <c r="W25768" s="503"/>
    </row>
    <row r="25769" spans="23:23">
      <c r="W25769" s="503"/>
    </row>
    <row r="25770" spans="23:23">
      <c r="W25770" s="503"/>
    </row>
    <row r="25771" spans="23:23">
      <c r="W25771" s="503"/>
    </row>
    <row r="25772" spans="23:23">
      <c r="W25772" s="503"/>
    </row>
    <row r="25773" spans="23:23">
      <c r="W25773" s="503"/>
    </row>
    <row r="25774" spans="23:23">
      <c r="W25774" s="503"/>
    </row>
    <row r="25775" spans="23:23">
      <c r="W25775" s="503"/>
    </row>
    <row r="25776" spans="23:23">
      <c r="W25776" s="503"/>
    </row>
    <row r="25777" spans="23:23">
      <c r="W25777" s="503"/>
    </row>
    <row r="25778" spans="23:23">
      <c r="W25778" s="503"/>
    </row>
    <row r="25779" spans="23:23">
      <c r="W25779" s="503"/>
    </row>
    <row r="25780" spans="23:23">
      <c r="W25780" s="503"/>
    </row>
    <row r="25781" spans="23:23">
      <c r="W25781" s="503"/>
    </row>
    <row r="25782" spans="23:23">
      <c r="W25782" s="503"/>
    </row>
    <row r="25783" spans="23:23">
      <c r="W25783" s="503"/>
    </row>
    <row r="25784" spans="23:23">
      <c r="W25784" s="503"/>
    </row>
    <row r="25785" spans="23:23">
      <c r="W25785" s="503"/>
    </row>
    <row r="25786" spans="23:23">
      <c r="W25786" s="503"/>
    </row>
    <row r="25787" spans="23:23">
      <c r="W25787" s="503"/>
    </row>
    <row r="25788" spans="23:23">
      <c r="W25788" s="503"/>
    </row>
    <row r="25789" spans="23:23">
      <c r="W25789" s="503"/>
    </row>
    <row r="25790" spans="23:23">
      <c r="W25790" s="503"/>
    </row>
    <row r="25791" spans="23:23">
      <c r="W25791" s="503"/>
    </row>
    <row r="25792" spans="23:23">
      <c r="W25792" s="503"/>
    </row>
    <row r="25793" spans="23:23">
      <c r="W25793" s="503"/>
    </row>
    <row r="25794" spans="23:23">
      <c r="W25794" s="503"/>
    </row>
    <row r="25795" spans="23:23">
      <c r="W25795" s="503"/>
    </row>
    <row r="25796" spans="23:23">
      <c r="W25796" s="503"/>
    </row>
    <row r="25797" spans="23:23">
      <c r="W25797" s="503"/>
    </row>
    <row r="25798" spans="23:23">
      <c r="W25798" s="503"/>
    </row>
    <row r="25799" spans="23:23">
      <c r="W25799" s="503"/>
    </row>
    <row r="25800" spans="23:23">
      <c r="W25800" s="503"/>
    </row>
    <row r="25801" spans="23:23">
      <c r="W25801" s="503"/>
    </row>
    <row r="25802" spans="23:23">
      <c r="W25802" s="503"/>
    </row>
    <row r="25803" spans="23:23">
      <c r="W25803" s="503"/>
    </row>
    <row r="25804" spans="23:23">
      <c r="W25804" s="503"/>
    </row>
    <row r="25805" spans="23:23">
      <c r="W25805" s="503"/>
    </row>
    <row r="25806" spans="23:23">
      <c r="W25806" s="503"/>
    </row>
    <row r="25807" spans="23:23">
      <c r="W25807" s="503"/>
    </row>
    <row r="25808" spans="23:23">
      <c r="W25808" s="503"/>
    </row>
    <row r="25809" spans="23:23">
      <c r="W25809" s="503"/>
    </row>
    <row r="25810" spans="23:23">
      <c r="W25810" s="503"/>
    </row>
    <row r="25811" spans="23:23">
      <c r="W25811" s="503"/>
    </row>
    <row r="25812" spans="23:23">
      <c r="W25812" s="503"/>
    </row>
    <row r="25813" spans="23:23">
      <c r="W25813" s="503"/>
    </row>
    <row r="25814" spans="23:23">
      <c r="W25814" s="503"/>
    </row>
    <row r="25815" spans="23:23">
      <c r="W25815" s="503"/>
    </row>
    <row r="25816" spans="23:23">
      <c r="W25816" s="503"/>
    </row>
    <row r="25817" spans="23:23">
      <c r="W25817" s="503"/>
    </row>
    <row r="25818" spans="23:23">
      <c r="W25818" s="503"/>
    </row>
    <row r="25819" spans="23:23">
      <c r="W25819" s="503"/>
    </row>
    <row r="25820" spans="23:23">
      <c r="W25820" s="503"/>
    </row>
    <row r="25821" spans="23:23">
      <c r="W25821" s="503"/>
    </row>
    <row r="25822" spans="23:23">
      <c r="W25822" s="503"/>
    </row>
    <row r="25823" spans="23:23">
      <c r="W25823" s="503"/>
    </row>
    <row r="25824" spans="23:23">
      <c r="W25824" s="503"/>
    </row>
    <row r="25825" spans="23:23">
      <c r="W25825" s="503"/>
    </row>
    <row r="25826" spans="23:23">
      <c r="W25826" s="503"/>
    </row>
    <row r="25827" spans="23:23">
      <c r="W25827" s="503"/>
    </row>
    <row r="25828" spans="23:23">
      <c r="W25828" s="503"/>
    </row>
    <row r="25829" spans="23:23">
      <c r="W25829" s="503"/>
    </row>
    <row r="25830" spans="23:23">
      <c r="W25830" s="503"/>
    </row>
    <row r="25831" spans="23:23">
      <c r="W25831" s="503"/>
    </row>
    <row r="25832" spans="23:23">
      <c r="W25832" s="503"/>
    </row>
    <row r="25833" spans="23:23">
      <c r="W25833" s="503"/>
    </row>
    <row r="25834" spans="23:23">
      <c r="W25834" s="503"/>
    </row>
    <row r="25835" spans="23:23">
      <c r="W25835" s="503"/>
    </row>
    <row r="25836" spans="23:23">
      <c r="W25836" s="503"/>
    </row>
    <row r="25837" spans="23:23">
      <c r="W25837" s="503"/>
    </row>
    <row r="25838" spans="23:23">
      <c r="W25838" s="503"/>
    </row>
    <row r="25839" spans="23:23">
      <c r="W25839" s="503"/>
    </row>
    <row r="25840" spans="23:23">
      <c r="W25840" s="503"/>
    </row>
    <row r="25841" spans="23:23">
      <c r="W25841" s="503"/>
    </row>
    <row r="25842" spans="23:23">
      <c r="W25842" s="503"/>
    </row>
    <row r="25843" spans="23:23">
      <c r="W25843" s="503"/>
    </row>
    <row r="25844" spans="23:23">
      <c r="W25844" s="503"/>
    </row>
    <row r="25845" spans="23:23">
      <c r="W25845" s="503"/>
    </row>
    <row r="25846" spans="23:23">
      <c r="W25846" s="503"/>
    </row>
    <row r="25847" spans="23:23">
      <c r="W25847" s="503"/>
    </row>
    <row r="25848" spans="23:23">
      <c r="W25848" s="503"/>
    </row>
    <row r="25849" spans="23:23">
      <c r="W25849" s="503"/>
    </row>
    <row r="25850" spans="23:23">
      <c r="W25850" s="503"/>
    </row>
    <row r="25851" spans="23:23">
      <c r="W25851" s="503"/>
    </row>
    <row r="25852" spans="23:23">
      <c r="W25852" s="503"/>
    </row>
    <row r="25853" spans="23:23">
      <c r="W25853" s="503"/>
    </row>
    <row r="25854" spans="23:23">
      <c r="W25854" s="503"/>
    </row>
    <row r="25855" spans="23:23">
      <c r="W25855" s="503"/>
    </row>
    <row r="25856" spans="23:23">
      <c r="W25856" s="503"/>
    </row>
    <row r="25857" spans="23:23">
      <c r="W25857" s="503"/>
    </row>
    <row r="25858" spans="23:23">
      <c r="W25858" s="503"/>
    </row>
    <row r="25859" spans="23:23">
      <c r="W25859" s="503"/>
    </row>
    <row r="25860" spans="23:23">
      <c r="W25860" s="503"/>
    </row>
    <row r="25861" spans="23:23">
      <c r="W25861" s="503"/>
    </row>
    <row r="25862" spans="23:23">
      <c r="W25862" s="503"/>
    </row>
    <row r="25863" spans="23:23">
      <c r="W25863" s="503"/>
    </row>
    <row r="25864" spans="23:23">
      <c r="W25864" s="503"/>
    </row>
    <row r="25865" spans="23:23">
      <c r="W25865" s="503"/>
    </row>
    <row r="25866" spans="23:23">
      <c r="W25866" s="503"/>
    </row>
    <row r="25867" spans="23:23">
      <c r="W25867" s="503"/>
    </row>
    <row r="25868" spans="23:23">
      <c r="W25868" s="503"/>
    </row>
    <row r="25869" spans="23:23">
      <c r="W25869" s="503"/>
    </row>
    <row r="25870" spans="23:23">
      <c r="W25870" s="503"/>
    </row>
    <row r="25871" spans="23:23">
      <c r="W25871" s="503"/>
    </row>
    <row r="25872" spans="23:23">
      <c r="W25872" s="503"/>
    </row>
    <row r="25873" spans="23:23">
      <c r="W25873" s="503"/>
    </row>
    <row r="25874" spans="23:23">
      <c r="W25874" s="503"/>
    </row>
    <row r="25875" spans="23:23">
      <c r="W25875" s="503"/>
    </row>
    <row r="25876" spans="23:23">
      <c r="W25876" s="503"/>
    </row>
    <row r="25877" spans="23:23">
      <c r="W25877" s="503"/>
    </row>
    <row r="25878" spans="23:23">
      <c r="W25878" s="503"/>
    </row>
    <row r="25879" spans="23:23">
      <c r="W25879" s="503"/>
    </row>
    <row r="25880" spans="23:23">
      <c r="W25880" s="503"/>
    </row>
    <row r="25881" spans="23:23">
      <c r="W25881" s="503"/>
    </row>
    <row r="25882" spans="23:23">
      <c r="W25882" s="503"/>
    </row>
    <row r="25883" spans="23:23">
      <c r="W25883" s="503"/>
    </row>
    <row r="25884" spans="23:23">
      <c r="W25884" s="503"/>
    </row>
    <row r="25885" spans="23:23">
      <c r="W25885" s="503"/>
    </row>
    <row r="25886" spans="23:23">
      <c r="W25886" s="503"/>
    </row>
    <row r="25887" spans="23:23">
      <c r="W25887" s="503"/>
    </row>
    <row r="25888" spans="23:23">
      <c r="W25888" s="503"/>
    </row>
    <row r="25889" spans="23:23">
      <c r="W25889" s="503"/>
    </row>
    <row r="25890" spans="23:23">
      <c r="W25890" s="503"/>
    </row>
    <row r="25891" spans="23:23">
      <c r="W25891" s="503"/>
    </row>
    <row r="25892" spans="23:23">
      <c r="W25892" s="503"/>
    </row>
    <row r="25893" spans="23:23">
      <c r="W25893" s="503"/>
    </row>
    <row r="25894" spans="23:23">
      <c r="W25894" s="503"/>
    </row>
    <row r="25895" spans="23:23">
      <c r="W25895" s="503"/>
    </row>
    <row r="25896" spans="23:23">
      <c r="W25896" s="503"/>
    </row>
    <row r="25897" spans="23:23">
      <c r="W25897" s="503"/>
    </row>
    <row r="25898" spans="23:23">
      <c r="W25898" s="503"/>
    </row>
    <row r="25899" spans="23:23">
      <c r="W25899" s="503"/>
    </row>
    <row r="25900" spans="23:23">
      <c r="W25900" s="503"/>
    </row>
    <row r="25901" spans="23:23">
      <c r="W25901" s="503"/>
    </row>
    <row r="25902" spans="23:23">
      <c r="W25902" s="503"/>
    </row>
    <row r="25903" spans="23:23">
      <c r="W25903" s="503"/>
    </row>
    <row r="25904" spans="23:23">
      <c r="W25904" s="503"/>
    </row>
    <row r="25905" spans="23:23">
      <c r="W25905" s="503"/>
    </row>
    <row r="25906" spans="23:23">
      <c r="W25906" s="503"/>
    </row>
    <row r="25907" spans="23:23">
      <c r="W25907" s="503"/>
    </row>
    <row r="25908" spans="23:23">
      <c r="W25908" s="503"/>
    </row>
    <row r="25909" spans="23:23">
      <c r="W25909" s="503"/>
    </row>
    <row r="25910" spans="23:23">
      <c r="W25910" s="503"/>
    </row>
    <row r="25911" spans="23:23">
      <c r="W25911" s="503"/>
    </row>
    <row r="25912" spans="23:23">
      <c r="W25912" s="503"/>
    </row>
    <row r="25913" spans="23:23">
      <c r="W25913" s="503"/>
    </row>
    <row r="25914" spans="23:23">
      <c r="W25914" s="503"/>
    </row>
    <row r="25915" spans="23:23">
      <c r="W25915" s="503"/>
    </row>
    <row r="25916" spans="23:23">
      <c r="W25916" s="503"/>
    </row>
    <row r="25917" spans="23:23">
      <c r="W25917" s="503"/>
    </row>
    <row r="25918" spans="23:23">
      <c r="W25918" s="503"/>
    </row>
    <row r="25919" spans="23:23">
      <c r="W25919" s="503"/>
    </row>
    <row r="25920" spans="23:23">
      <c r="W25920" s="503"/>
    </row>
    <row r="25921" spans="23:23">
      <c r="W25921" s="503"/>
    </row>
    <row r="25922" spans="23:23">
      <c r="W25922" s="503"/>
    </row>
    <row r="25923" spans="23:23">
      <c r="W25923" s="503"/>
    </row>
    <row r="25924" spans="23:23">
      <c r="W25924" s="503"/>
    </row>
    <row r="25925" spans="23:23">
      <c r="W25925" s="503"/>
    </row>
    <row r="25926" spans="23:23">
      <c r="W25926" s="503"/>
    </row>
    <row r="25927" spans="23:23">
      <c r="W25927" s="503"/>
    </row>
    <row r="25928" spans="23:23">
      <c r="W25928" s="503"/>
    </row>
    <row r="25929" spans="23:23">
      <c r="W25929" s="503"/>
    </row>
    <row r="25930" spans="23:23">
      <c r="W25930" s="503"/>
    </row>
    <row r="25931" spans="23:23">
      <c r="W25931" s="503"/>
    </row>
    <row r="25932" spans="23:23">
      <c r="W25932" s="503"/>
    </row>
    <row r="25933" spans="23:23">
      <c r="W25933" s="503"/>
    </row>
    <row r="25934" spans="23:23">
      <c r="W25934" s="503"/>
    </row>
    <row r="25935" spans="23:23">
      <c r="W25935" s="503"/>
    </row>
    <row r="25936" spans="23:23">
      <c r="W25936" s="503"/>
    </row>
    <row r="25937" spans="23:23">
      <c r="W25937" s="503"/>
    </row>
    <row r="25938" spans="23:23">
      <c r="W25938" s="503"/>
    </row>
    <row r="25939" spans="23:23">
      <c r="W25939" s="503"/>
    </row>
    <row r="25940" spans="23:23">
      <c r="W25940" s="503"/>
    </row>
    <row r="25941" spans="23:23">
      <c r="W25941" s="503"/>
    </row>
    <row r="25942" spans="23:23">
      <c r="W25942" s="503"/>
    </row>
    <row r="25943" spans="23:23">
      <c r="W25943" s="503"/>
    </row>
    <row r="25944" spans="23:23">
      <c r="W25944" s="503"/>
    </row>
    <row r="25945" spans="23:23">
      <c r="W25945" s="503"/>
    </row>
    <row r="25946" spans="23:23">
      <c r="W25946" s="503"/>
    </row>
    <row r="25947" spans="23:23">
      <c r="W25947" s="503"/>
    </row>
    <row r="25948" spans="23:23">
      <c r="W25948" s="503"/>
    </row>
    <row r="25949" spans="23:23">
      <c r="W25949" s="503"/>
    </row>
    <row r="25950" spans="23:23">
      <c r="W25950" s="503"/>
    </row>
    <row r="25951" spans="23:23">
      <c r="W25951" s="503"/>
    </row>
    <row r="25952" spans="23:23">
      <c r="W25952" s="503"/>
    </row>
    <row r="25953" spans="23:23">
      <c r="W25953" s="503"/>
    </row>
    <row r="25954" spans="23:23">
      <c r="W25954" s="503"/>
    </row>
    <row r="25955" spans="23:23">
      <c r="W25955" s="503"/>
    </row>
    <row r="25956" spans="23:23">
      <c r="W25956" s="503"/>
    </row>
    <row r="25957" spans="23:23">
      <c r="W25957" s="503"/>
    </row>
    <row r="25958" spans="23:23">
      <c r="W25958" s="503"/>
    </row>
    <row r="25959" spans="23:23">
      <c r="W25959" s="503"/>
    </row>
    <row r="25960" spans="23:23">
      <c r="W25960" s="503"/>
    </row>
    <row r="25961" spans="23:23">
      <c r="W25961" s="503"/>
    </row>
    <row r="25962" spans="23:23">
      <c r="W25962" s="503"/>
    </row>
    <row r="25963" spans="23:23">
      <c r="W25963" s="503"/>
    </row>
    <row r="25964" spans="23:23">
      <c r="W25964" s="503"/>
    </row>
    <row r="25965" spans="23:23">
      <c r="W25965" s="503"/>
    </row>
    <row r="25966" spans="23:23">
      <c r="W25966" s="503"/>
    </row>
    <row r="25967" spans="23:23">
      <c r="W25967" s="503"/>
    </row>
    <row r="25968" spans="23:23">
      <c r="W25968" s="503"/>
    </row>
    <row r="25969" spans="23:23">
      <c r="W25969" s="503"/>
    </row>
    <row r="25970" spans="23:23">
      <c r="W25970" s="503"/>
    </row>
    <row r="25971" spans="23:23">
      <c r="W25971" s="503"/>
    </row>
    <row r="25972" spans="23:23">
      <c r="W25972" s="503"/>
    </row>
    <row r="25973" spans="23:23">
      <c r="W25973" s="503"/>
    </row>
    <row r="25974" spans="23:23">
      <c r="W25974" s="503"/>
    </row>
    <row r="25975" spans="23:23">
      <c r="W25975" s="503"/>
    </row>
    <row r="25976" spans="23:23">
      <c r="W25976" s="503"/>
    </row>
    <row r="25977" spans="23:23">
      <c r="W25977" s="503"/>
    </row>
    <row r="25978" spans="23:23">
      <c r="W25978" s="503"/>
    </row>
    <row r="25979" spans="23:23">
      <c r="W25979" s="503"/>
    </row>
    <row r="25980" spans="23:23">
      <c r="W25980" s="503"/>
    </row>
    <row r="25981" spans="23:23">
      <c r="W25981" s="503"/>
    </row>
    <row r="25982" spans="23:23">
      <c r="W25982" s="503"/>
    </row>
    <row r="25983" spans="23:23">
      <c r="W25983" s="503"/>
    </row>
    <row r="25984" spans="23:23">
      <c r="W25984" s="503"/>
    </row>
    <row r="25985" spans="23:23">
      <c r="W25985" s="503"/>
    </row>
    <row r="25986" spans="23:23">
      <c r="W25986" s="503"/>
    </row>
    <row r="25987" spans="23:23">
      <c r="W25987" s="503"/>
    </row>
    <row r="25988" spans="23:23">
      <c r="W25988" s="503"/>
    </row>
    <row r="25989" spans="23:23">
      <c r="W25989" s="503"/>
    </row>
    <row r="25990" spans="23:23">
      <c r="W25990" s="503"/>
    </row>
    <row r="25991" spans="23:23">
      <c r="W25991" s="503"/>
    </row>
    <row r="25992" spans="23:23">
      <c r="W25992" s="503"/>
    </row>
    <row r="25993" spans="23:23">
      <c r="W25993" s="503"/>
    </row>
    <row r="25994" spans="23:23">
      <c r="W25994" s="503"/>
    </row>
    <row r="25995" spans="23:23">
      <c r="W25995" s="503"/>
    </row>
    <row r="25996" spans="23:23">
      <c r="W25996" s="503"/>
    </row>
    <row r="25997" spans="23:23">
      <c r="W25997" s="503"/>
    </row>
    <row r="25998" spans="23:23">
      <c r="W25998" s="503"/>
    </row>
    <row r="25999" spans="23:23">
      <c r="W25999" s="503"/>
    </row>
    <row r="26000" spans="23:23">
      <c r="W26000" s="503"/>
    </row>
    <row r="26001" spans="23:23">
      <c r="W26001" s="503"/>
    </row>
    <row r="26002" spans="23:23">
      <c r="W26002" s="503"/>
    </row>
    <row r="26003" spans="23:23">
      <c r="W26003" s="503"/>
    </row>
    <row r="26004" spans="23:23">
      <c r="W26004" s="503"/>
    </row>
    <row r="26005" spans="23:23">
      <c r="W26005" s="503"/>
    </row>
    <row r="26006" spans="23:23">
      <c r="W26006" s="503"/>
    </row>
    <row r="26007" spans="23:23">
      <c r="W26007" s="503"/>
    </row>
    <row r="26008" spans="23:23">
      <c r="W26008" s="503"/>
    </row>
    <row r="26009" spans="23:23">
      <c r="W26009" s="503"/>
    </row>
    <row r="26010" spans="23:23">
      <c r="W26010" s="503"/>
    </row>
    <row r="26011" spans="23:23">
      <c r="W26011" s="503"/>
    </row>
    <row r="26012" spans="23:23">
      <c r="W26012" s="503"/>
    </row>
    <row r="26013" spans="23:23">
      <c r="W26013" s="503"/>
    </row>
    <row r="26014" spans="23:23">
      <c r="W26014" s="503"/>
    </row>
    <row r="26015" spans="23:23">
      <c r="W26015" s="503"/>
    </row>
    <row r="26016" spans="23:23">
      <c r="W26016" s="503"/>
    </row>
    <row r="26017" spans="23:23">
      <c r="W26017" s="503"/>
    </row>
    <row r="26018" spans="23:23">
      <c r="W26018" s="503"/>
    </row>
    <row r="26019" spans="23:23">
      <c r="W26019" s="503"/>
    </row>
    <row r="26020" spans="23:23">
      <c r="W26020" s="503"/>
    </row>
    <row r="26021" spans="23:23">
      <c r="W26021" s="503"/>
    </row>
    <row r="26022" spans="23:23">
      <c r="W26022" s="503"/>
    </row>
    <row r="26023" spans="23:23">
      <c r="W26023" s="503"/>
    </row>
    <row r="26024" spans="23:23">
      <c r="W26024" s="503"/>
    </row>
    <row r="26025" spans="23:23">
      <c r="W26025" s="503"/>
    </row>
    <row r="26026" spans="23:23">
      <c r="W26026" s="503"/>
    </row>
    <row r="26027" spans="23:23">
      <c r="W26027" s="503"/>
    </row>
    <row r="26028" spans="23:23">
      <c r="W26028" s="503"/>
    </row>
    <row r="26029" spans="23:23">
      <c r="W26029" s="503"/>
    </row>
    <row r="26030" spans="23:23">
      <c r="W26030" s="503"/>
    </row>
    <row r="26031" spans="23:23">
      <c r="W26031" s="503"/>
    </row>
    <row r="26032" spans="23:23">
      <c r="W26032" s="503"/>
    </row>
    <row r="26033" spans="23:23">
      <c r="W26033" s="503"/>
    </row>
    <row r="26034" spans="23:23">
      <c r="W26034" s="503"/>
    </row>
    <row r="26035" spans="23:23">
      <c r="W26035" s="503"/>
    </row>
    <row r="26036" spans="23:23">
      <c r="W26036" s="503"/>
    </row>
    <row r="26037" spans="23:23">
      <c r="W26037" s="503"/>
    </row>
    <row r="26038" spans="23:23">
      <c r="W26038" s="503"/>
    </row>
    <row r="26039" spans="23:23">
      <c r="W26039" s="503"/>
    </row>
    <row r="26040" spans="23:23">
      <c r="W26040" s="503"/>
    </row>
    <row r="26041" spans="23:23">
      <c r="W26041" s="503"/>
    </row>
    <row r="26042" spans="23:23">
      <c r="W26042" s="503"/>
    </row>
    <row r="26043" spans="23:23">
      <c r="W26043" s="503"/>
    </row>
    <row r="26044" spans="23:23">
      <c r="W26044" s="503"/>
    </row>
    <row r="26045" spans="23:23">
      <c r="W26045" s="503"/>
    </row>
    <row r="26046" spans="23:23">
      <c r="W26046" s="503"/>
    </row>
    <row r="26047" spans="23:23">
      <c r="W26047" s="503"/>
    </row>
    <row r="26048" spans="23:23">
      <c r="W26048" s="503"/>
    </row>
    <row r="26049" spans="23:23">
      <c r="W26049" s="503"/>
    </row>
    <row r="26050" spans="23:23">
      <c r="W26050" s="503"/>
    </row>
    <row r="26051" spans="23:23">
      <c r="W26051" s="503"/>
    </row>
    <row r="26052" spans="23:23">
      <c r="W26052" s="503"/>
    </row>
    <row r="26053" spans="23:23">
      <c r="W26053" s="503"/>
    </row>
    <row r="26054" spans="23:23">
      <c r="W26054" s="503"/>
    </row>
    <row r="26055" spans="23:23">
      <c r="W26055" s="503"/>
    </row>
    <row r="26056" spans="23:23">
      <c r="W26056" s="503"/>
    </row>
    <row r="26057" spans="23:23">
      <c r="W26057" s="503"/>
    </row>
    <row r="26058" spans="23:23">
      <c r="W26058" s="503"/>
    </row>
    <row r="26059" spans="23:23">
      <c r="W26059" s="503"/>
    </row>
    <row r="26060" spans="23:23">
      <c r="W26060" s="503"/>
    </row>
    <row r="26061" spans="23:23">
      <c r="W26061" s="503"/>
    </row>
    <row r="26062" spans="23:23">
      <c r="W26062" s="503"/>
    </row>
    <row r="26063" spans="23:23">
      <c r="W26063" s="503"/>
    </row>
    <row r="26064" spans="23:23">
      <c r="W26064" s="503"/>
    </row>
    <row r="26065" spans="23:23">
      <c r="W26065" s="503"/>
    </row>
    <row r="26066" spans="23:23">
      <c r="W26066" s="503"/>
    </row>
    <row r="26067" spans="23:23">
      <c r="W26067" s="503"/>
    </row>
    <row r="26068" spans="23:23">
      <c r="W26068" s="503"/>
    </row>
    <row r="26069" spans="23:23">
      <c r="W26069" s="503"/>
    </row>
    <row r="26070" spans="23:23">
      <c r="W26070" s="503"/>
    </row>
    <row r="26071" spans="23:23">
      <c r="W26071" s="503"/>
    </row>
    <row r="26072" spans="23:23">
      <c r="W26072" s="503"/>
    </row>
    <row r="26073" spans="23:23">
      <c r="W26073" s="503"/>
    </row>
    <row r="26074" spans="23:23">
      <c r="W26074" s="503"/>
    </row>
    <row r="26075" spans="23:23">
      <c r="W26075" s="503"/>
    </row>
    <row r="26076" spans="23:23">
      <c r="W26076" s="503"/>
    </row>
    <row r="26077" spans="23:23">
      <c r="W26077" s="503"/>
    </row>
    <row r="26078" spans="23:23">
      <c r="W26078" s="503"/>
    </row>
    <row r="26079" spans="23:23">
      <c r="W26079" s="503"/>
    </row>
    <row r="26080" spans="23:23">
      <c r="W26080" s="503"/>
    </row>
    <row r="26081" spans="23:23">
      <c r="W26081" s="503"/>
    </row>
    <row r="26082" spans="23:23">
      <c r="W26082" s="503"/>
    </row>
    <row r="26083" spans="23:23">
      <c r="W26083" s="503"/>
    </row>
    <row r="26084" spans="23:23">
      <c r="W26084" s="503"/>
    </row>
    <row r="26085" spans="23:23">
      <c r="W26085" s="503"/>
    </row>
    <row r="26086" spans="23:23">
      <c r="W26086" s="503"/>
    </row>
    <row r="26087" spans="23:23">
      <c r="W26087" s="503"/>
    </row>
    <row r="26088" spans="23:23">
      <c r="W26088" s="503"/>
    </row>
    <row r="26089" spans="23:23">
      <c r="W26089" s="503"/>
    </row>
    <row r="26090" spans="23:23">
      <c r="W26090" s="503"/>
    </row>
    <row r="26091" spans="23:23">
      <c r="W26091" s="503"/>
    </row>
    <row r="26092" spans="23:23">
      <c r="W26092" s="503"/>
    </row>
    <row r="26093" spans="23:23">
      <c r="W26093" s="503"/>
    </row>
    <row r="26094" spans="23:23">
      <c r="W26094" s="503"/>
    </row>
    <row r="26095" spans="23:23">
      <c r="W26095" s="503"/>
    </row>
    <row r="26096" spans="23:23">
      <c r="W26096" s="503"/>
    </row>
    <row r="26097" spans="23:23">
      <c r="W26097" s="503"/>
    </row>
    <row r="26098" spans="23:23">
      <c r="W26098" s="503"/>
    </row>
    <row r="26099" spans="23:23">
      <c r="W26099" s="503"/>
    </row>
    <row r="26100" spans="23:23">
      <c r="W26100" s="503"/>
    </row>
    <row r="26101" spans="23:23">
      <c r="W26101" s="503"/>
    </row>
    <row r="26102" spans="23:23">
      <c r="W26102" s="503"/>
    </row>
    <row r="26103" spans="23:23">
      <c r="W26103" s="503"/>
    </row>
    <row r="26104" spans="23:23">
      <c r="W26104" s="503"/>
    </row>
    <row r="26105" spans="23:23">
      <c r="W26105" s="503"/>
    </row>
    <row r="26106" spans="23:23">
      <c r="W26106" s="503"/>
    </row>
    <row r="26107" spans="23:23">
      <c r="W26107" s="503"/>
    </row>
    <row r="26108" spans="23:23">
      <c r="W26108" s="503"/>
    </row>
    <row r="26109" spans="23:23">
      <c r="W26109" s="503"/>
    </row>
    <row r="26110" spans="23:23">
      <c r="W26110" s="503"/>
    </row>
    <row r="26111" spans="23:23">
      <c r="W26111" s="503"/>
    </row>
    <row r="26112" spans="23:23">
      <c r="W26112" s="503"/>
    </row>
    <row r="26113" spans="23:23">
      <c r="W26113" s="503"/>
    </row>
    <row r="26114" spans="23:23">
      <c r="W26114" s="503"/>
    </row>
    <row r="26115" spans="23:23">
      <c r="W26115" s="503"/>
    </row>
    <row r="26116" spans="23:23">
      <c r="W26116" s="503"/>
    </row>
    <row r="26117" spans="23:23">
      <c r="W26117" s="503"/>
    </row>
    <row r="26118" spans="23:23">
      <c r="W26118" s="503"/>
    </row>
    <row r="26119" spans="23:23">
      <c r="W26119" s="503"/>
    </row>
    <row r="26120" spans="23:23">
      <c r="W26120" s="503"/>
    </row>
    <row r="26121" spans="23:23">
      <c r="W26121" s="503"/>
    </row>
    <row r="26122" spans="23:23">
      <c r="W26122" s="503"/>
    </row>
    <row r="26123" spans="23:23">
      <c r="W26123" s="503"/>
    </row>
    <row r="26124" spans="23:23">
      <c r="W26124" s="503"/>
    </row>
    <row r="26125" spans="23:23">
      <c r="W26125" s="503"/>
    </row>
    <row r="26126" spans="23:23">
      <c r="W26126" s="503"/>
    </row>
    <row r="26127" spans="23:23">
      <c r="W26127" s="503"/>
    </row>
    <row r="26128" spans="23:23">
      <c r="W26128" s="503"/>
    </row>
    <row r="26129" spans="23:23">
      <c r="W26129" s="503"/>
    </row>
    <row r="26130" spans="23:23">
      <c r="W26130" s="503"/>
    </row>
    <row r="26131" spans="23:23">
      <c r="W26131" s="503"/>
    </row>
    <row r="26132" spans="23:23">
      <c r="W26132" s="503"/>
    </row>
    <row r="26133" spans="23:23">
      <c r="W26133" s="503"/>
    </row>
    <row r="26134" spans="23:23">
      <c r="W26134" s="503"/>
    </row>
    <row r="26135" spans="23:23">
      <c r="W26135" s="503"/>
    </row>
    <row r="26136" spans="23:23">
      <c r="W26136" s="503"/>
    </row>
    <row r="26137" spans="23:23">
      <c r="W26137" s="503"/>
    </row>
    <row r="26138" spans="23:23">
      <c r="W26138" s="503"/>
    </row>
    <row r="26139" spans="23:23">
      <c r="W26139" s="503"/>
    </row>
    <row r="26140" spans="23:23">
      <c r="W26140" s="503"/>
    </row>
    <row r="26141" spans="23:23">
      <c r="W26141" s="503"/>
    </row>
    <row r="26142" spans="23:23">
      <c r="W26142" s="503"/>
    </row>
    <row r="26143" spans="23:23">
      <c r="W26143" s="503"/>
    </row>
    <row r="26144" spans="23:23">
      <c r="W26144" s="503"/>
    </row>
    <row r="26145" spans="23:23">
      <c r="W26145" s="503"/>
    </row>
    <row r="26146" spans="23:23">
      <c r="W26146" s="503"/>
    </row>
    <row r="26147" spans="23:23">
      <c r="W26147" s="503"/>
    </row>
    <row r="26148" spans="23:23">
      <c r="W26148" s="503"/>
    </row>
    <row r="26149" spans="23:23">
      <c r="W26149" s="503"/>
    </row>
    <row r="26150" spans="23:23">
      <c r="W26150" s="503"/>
    </row>
    <row r="26151" spans="23:23">
      <c r="W26151" s="503"/>
    </row>
    <row r="26152" spans="23:23">
      <c r="W26152" s="503"/>
    </row>
    <row r="26153" spans="23:23">
      <c r="W26153" s="503"/>
    </row>
    <row r="26154" spans="23:23">
      <c r="W26154" s="503"/>
    </row>
    <row r="26155" spans="23:23">
      <c r="W26155" s="503"/>
    </row>
    <row r="26156" spans="23:23">
      <c r="W26156" s="503"/>
    </row>
    <row r="26157" spans="23:23">
      <c r="W26157" s="503"/>
    </row>
    <row r="26158" spans="23:23">
      <c r="W26158" s="503"/>
    </row>
    <row r="26159" spans="23:23">
      <c r="W26159" s="503"/>
    </row>
    <row r="26160" spans="23:23">
      <c r="W26160" s="503"/>
    </row>
    <row r="26161" spans="23:23">
      <c r="W26161" s="503"/>
    </row>
    <row r="26162" spans="23:23">
      <c r="W26162" s="503"/>
    </row>
    <row r="26163" spans="23:23">
      <c r="W26163" s="503"/>
    </row>
    <row r="26164" spans="23:23">
      <c r="W26164" s="503"/>
    </row>
    <row r="26165" spans="23:23">
      <c r="W26165" s="503"/>
    </row>
    <row r="26166" spans="23:23">
      <c r="W26166" s="503"/>
    </row>
    <row r="26167" spans="23:23">
      <c r="W26167" s="503"/>
    </row>
    <row r="26168" spans="23:23">
      <c r="W26168" s="503"/>
    </row>
    <row r="26169" spans="23:23">
      <c r="W26169" s="503"/>
    </row>
    <row r="26170" spans="23:23">
      <c r="W26170" s="503"/>
    </row>
    <row r="26171" spans="23:23">
      <c r="W26171" s="503"/>
    </row>
    <row r="26172" spans="23:23">
      <c r="W26172" s="503"/>
    </row>
    <row r="26173" spans="23:23">
      <c r="W26173" s="503"/>
    </row>
    <row r="26174" spans="23:23">
      <c r="W26174" s="503"/>
    </row>
    <row r="26175" spans="23:23">
      <c r="W26175" s="503"/>
    </row>
    <row r="26176" spans="23:23">
      <c r="W26176" s="503"/>
    </row>
    <row r="26177" spans="23:23">
      <c r="W26177" s="503"/>
    </row>
    <row r="26178" spans="23:23">
      <c r="W26178" s="503"/>
    </row>
    <row r="26179" spans="23:23">
      <c r="W26179" s="503"/>
    </row>
    <row r="26180" spans="23:23">
      <c r="W26180" s="503"/>
    </row>
    <row r="26181" spans="23:23">
      <c r="W26181" s="503"/>
    </row>
    <row r="26182" spans="23:23">
      <c r="W26182" s="503"/>
    </row>
    <row r="26183" spans="23:23">
      <c r="W26183" s="503"/>
    </row>
    <row r="26184" spans="23:23">
      <c r="W26184" s="503"/>
    </row>
    <row r="26185" spans="23:23">
      <c r="W26185" s="503"/>
    </row>
    <row r="26186" spans="23:23">
      <c r="W26186" s="503"/>
    </row>
    <row r="26187" spans="23:23">
      <c r="W26187" s="503"/>
    </row>
    <row r="26188" spans="23:23">
      <c r="W26188" s="503"/>
    </row>
    <row r="26189" spans="23:23">
      <c r="W26189" s="503"/>
    </row>
    <row r="26190" spans="23:23">
      <c r="W26190" s="503"/>
    </row>
    <row r="26191" spans="23:23">
      <c r="W26191" s="503"/>
    </row>
    <row r="26192" spans="23:23">
      <c r="W26192" s="503"/>
    </row>
    <row r="26193" spans="23:23">
      <c r="W26193" s="503"/>
    </row>
    <row r="26194" spans="23:23">
      <c r="W26194" s="503"/>
    </row>
    <row r="26195" spans="23:23">
      <c r="W26195" s="503"/>
    </row>
    <row r="26196" spans="23:23">
      <c r="W26196" s="503"/>
    </row>
    <row r="26197" spans="23:23">
      <c r="W26197" s="503"/>
    </row>
    <row r="26198" spans="23:23">
      <c r="W26198" s="503"/>
    </row>
    <row r="26199" spans="23:23">
      <c r="W26199" s="503"/>
    </row>
    <row r="26200" spans="23:23">
      <c r="W26200" s="503"/>
    </row>
    <row r="26201" spans="23:23">
      <c r="W26201" s="503"/>
    </row>
    <row r="26202" spans="23:23">
      <c r="W26202" s="503"/>
    </row>
    <row r="26203" spans="23:23">
      <c r="W26203" s="503"/>
    </row>
    <row r="26204" spans="23:23">
      <c r="W26204" s="503"/>
    </row>
    <row r="26205" spans="23:23">
      <c r="W26205" s="503"/>
    </row>
    <row r="26206" spans="23:23">
      <c r="W26206" s="503"/>
    </row>
    <row r="26207" spans="23:23">
      <c r="W26207" s="503"/>
    </row>
    <row r="26208" spans="23:23">
      <c r="W26208" s="503"/>
    </row>
    <row r="26209" spans="23:23">
      <c r="W26209" s="503"/>
    </row>
    <row r="26210" spans="23:23">
      <c r="W26210" s="503"/>
    </row>
    <row r="26211" spans="23:23">
      <c r="W26211" s="503"/>
    </row>
    <row r="26212" spans="23:23">
      <c r="W26212" s="503"/>
    </row>
    <row r="26213" spans="23:23">
      <c r="W26213" s="503"/>
    </row>
    <row r="26214" spans="23:23">
      <c r="W26214" s="503"/>
    </row>
    <row r="26215" spans="23:23">
      <c r="W26215" s="503"/>
    </row>
    <row r="26216" spans="23:23">
      <c r="W26216" s="503"/>
    </row>
    <row r="26217" spans="23:23">
      <c r="W26217" s="503"/>
    </row>
    <row r="26218" spans="23:23">
      <c r="W26218" s="503"/>
    </row>
    <row r="26219" spans="23:23">
      <c r="W26219" s="503"/>
    </row>
    <row r="26220" spans="23:23">
      <c r="W26220" s="503"/>
    </row>
    <row r="26221" spans="23:23">
      <c r="W26221" s="503"/>
    </row>
    <row r="26222" spans="23:23">
      <c r="W26222" s="503"/>
    </row>
    <row r="26223" spans="23:23">
      <c r="W26223" s="503"/>
    </row>
    <row r="26224" spans="23:23">
      <c r="W26224" s="503"/>
    </row>
    <row r="26225" spans="23:23">
      <c r="W26225" s="503"/>
    </row>
    <row r="26226" spans="23:23">
      <c r="W26226" s="503"/>
    </row>
    <row r="26227" spans="23:23">
      <c r="W26227" s="503"/>
    </row>
    <row r="26228" spans="23:23">
      <c r="W26228" s="503"/>
    </row>
    <row r="26229" spans="23:23">
      <c r="W26229" s="503"/>
    </row>
    <row r="26230" spans="23:23">
      <c r="W26230" s="503"/>
    </row>
    <row r="26231" spans="23:23">
      <c r="W26231" s="503"/>
    </row>
    <row r="26232" spans="23:23">
      <c r="W26232" s="503"/>
    </row>
    <row r="26233" spans="23:23">
      <c r="W26233" s="503"/>
    </row>
    <row r="26234" spans="23:23">
      <c r="W26234" s="503"/>
    </row>
    <row r="26235" spans="23:23">
      <c r="W26235" s="503"/>
    </row>
    <row r="26236" spans="23:23">
      <c r="W26236" s="503"/>
    </row>
    <row r="26237" spans="23:23">
      <c r="W26237" s="503"/>
    </row>
    <row r="26238" spans="23:23">
      <c r="W26238" s="503"/>
    </row>
    <row r="26239" spans="23:23">
      <c r="W26239" s="503"/>
    </row>
    <row r="26240" spans="23:23">
      <c r="W26240" s="503"/>
    </row>
    <row r="26241" spans="23:23">
      <c r="W26241" s="503"/>
    </row>
    <row r="26242" spans="23:23">
      <c r="W26242" s="503"/>
    </row>
    <row r="26243" spans="23:23">
      <c r="W26243" s="503"/>
    </row>
    <row r="26244" spans="23:23">
      <c r="W26244" s="503"/>
    </row>
    <row r="26245" spans="23:23">
      <c r="W26245" s="503"/>
    </row>
    <row r="26246" spans="23:23">
      <c r="W26246" s="503"/>
    </row>
    <row r="26247" spans="23:23">
      <c r="W26247" s="503"/>
    </row>
    <row r="26248" spans="23:23">
      <c r="W26248" s="503"/>
    </row>
    <row r="26249" spans="23:23">
      <c r="W26249" s="503"/>
    </row>
    <row r="26250" spans="23:23">
      <c r="W26250" s="503"/>
    </row>
    <row r="26251" spans="23:23">
      <c r="W26251" s="503"/>
    </row>
    <row r="26252" spans="23:23">
      <c r="W26252" s="503"/>
    </row>
    <row r="26253" spans="23:23">
      <c r="W26253" s="503"/>
    </row>
    <row r="26254" spans="23:23">
      <c r="W26254" s="503"/>
    </row>
    <row r="26255" spans="23:23">
      <c r="W26255" s="503"/>
    </row>
    <row r="26256" spans="23:23">
      <c r="W26256" s="503"/>
    </row>
    <row r="26257" spans="23:23">
      <c r="W26257" s="503"/>
    </row>
    <row r="26258" spans="23:23">
      <c r="W26258" s="503"/>
    </row>
    <row r="26259" spans="23:23">
      <c r="W26259" s="503"/>
    </row>
    <row r="26260" spans="23:23">
      <c r="W26260" s="503"/>
    </row>
    <row r="26261" spans="23:23">
      <c r="W26261" s="503"/>
    </row>
    <row r="26262" spans="23:23">
      <c r="W26262" s="503"/>
    </row>
    <row r="26263" spans="23:23">
      <c r="W26263" s="503"/>
    </row>
    <row r="26264" spans="23:23">
      <c r="W26264" s="503"/>
    </row>
    <row r="26265" spans="23:23">
      <c r="W26265" s="503"/>
    </row>
    <row r="26266" spans="23:23">
      <c r="W26266" s="503"/>
    </row>
    <row r="26267" spans="23:23">
      <c r="W26267" s="503"/>
    </row>
    <row r="26268" spans="23:23">
      <c r="W26268" s="503"/>
    </row>
    <row r="26269" spans="23:23">
      <c r="W26269" s="503"/>
    </row>
    <row r="26270" spans="23:23">
      <c r="W26270" s="503"/>
    </row>
    <row r="26271" spans="23:23">
      <c r="W26271" s="503"/>
    </row>
    <row r="26272" spans="23:23">
      <c r="W26272" s="503"/>
    </row>
    <row r="26273" spans="23:23">
      <c r="W26273" s="503"/>
    </row>
    <row r="26274" spans="23:23">
      <c r="W26274" s="503"/>
    </row>
    <row r="26275" spans="23:23">
      <c r="W26275" s="503"/>
    </row>
    <row r="26276" spans="23:23">
      <c r="W26276" s="503"/>
    </row>
    <row r="26277" spans="23:23">
      <c r="W26277" s="503"/>
    </row>
    <row r="26278" spans="23:23">
      <c r="W26278" s="503"/>
    </row>
    <row r="26279" spans="23:23">
      <c r="W26279" s="503"/>
    </row>
    <row r="26280" spans="23:23">
      <c r="W26280" s="503"/>
    </row>
    <row r="26281" spans="23:23">
      <c r="W26281" s="503"/>
    </row>
    <row r="26282" spans="23:23">
      <c r="W26282" s="503"/>
    </row>
    <row r="26283" spans="23:23">
      <c r="W26283" s="503"/>
    </row>
    <row r="26284" spans="23:23">
      <c r="W26284" s="503"/>
    </row>
    <row r="26285" spans="23:23">
      <c r="W26285" s="503"/>
    </row>
    <row r="26286" spans="23:23">
      <c r="W26286" s="503"/>
    </row>
    <row r="26287" spans="23:23">
      <c r="W26287" s="503"/>
    </row>
    <row r="26288" spans="23:23">
      <c r="W26288" s="503"/>
    </row>
    <row r="26289" spans="23:23">
      <c r="W26289" s="503"/>
    </row>
    <row r="26290" spans="23:23">
      <c r="W26290" s="503"/>
    </row>
    <row r="26291" spans="23:23">
      <c r="W26291" s="503"/>
    </row>
    <row r="26292" spans="23:23">
      <c r="W26292" s="503"/>
    </row>
    <row r="26293" spans="23:23">
      <c r="W26293" s="503"/>
    </row>
    <row r="26294" spans="23:23">
      <c r="W26294" s="503"/>
    </row>
    <row r="26295" spans="23:23">
      <c r="W26295" s="503"/>
    </row>
    <row r="26296" spans="23:23">
      <c r="W26296" s="503"/>
    </row>
    <row r="26297" spans="23:23">
      <c r="W26297" s="503"/>
    </row>
    <row r="26298" spans="23:23">
      <c r="W26298" s="503"/>
    </row>
    <row r="26299" spans="23:23">
      <c r="W26299" s="503"/>
    </row>
    <row r="26300" spans="23:23">
      <c r="W26300" s="503"/>
    </row>
    <row r="26301" spans="23:23">
      <c r="W26301" s="503"/>
    </row>
    <row r="26302" spans="23:23">
      <c r="W26302" s="503"/>
    </row>
    <row r="26303" spans="23:23">
      <c r="W26303" s="503"/>
    </row>
    <row r="26304" spans="23:23">
      <c r="W26304" s="503"/>
    </row>
    <row r="26305" spans="23:23">
      <c r="W26305" s="503"/>
    </row>
    <row r="26306" spans="23:23">
      <c r="W26306" s="503"/>
    </row>
    <row r="26307" spans="23:23">
      <c r="W26307" s="503"/>
    </row>
    <row r="26308" spans="23:23">
      <c r="W26308" s="503"/>
    </row>
    <row r="26309" spans="23:23">
      <c r="W26309" s="503"/>
    </row>
    <row r="26310" spans="23:23">
      <c r="W26310" s="503"/>
    </row>
    <row r="26311" spans="23:23">
      <c r="W26311" s="503"/>
    </row>
    <row r="26312" spans="23:23">
      <c r="W26312" s="503"/>
    </row>
    <row r="26313" spans="23:23">
      <c r="W26313" s="503"/>
    </row>
    <row r="26314" spans="23:23">
      <c r="W26314" s="503"/>
    </row>
    <row r="26315" spans="23:23">
      <c r="W26315" s="503"/>
    </row>
    <row r="26316" spans="23:23">
      <c r="W26316" s="503"/>
    </row>
    <row r="26317" spans="23:23">
      <c r="W26317" s="503"/>
    </row>
    <row r="26318" spans="23:23">
      <c r="W26318" s="503"/>
    </row>
    <row r="26319" spans="23:23">
      <c r="W26319" s="503"/>
    </row>
    <row r="26320" spans="23:23">
      <c r="W26320" s="503"/>
    </row>
    <row r="26321" spans="23:23">
      <c r="W26321" s="503"/>
    </row>
    <row r="26322" spans="23:23">
      <c r="W26322" s="503"/>
    </row>
    <row r="26323" spans="23:23">
      <c r="W26323" s="503"/>
    </row>
    <row r="26324" spans="23:23">
      <c r="W26324" s="503"/>
    </row>
    <row r="26325" spans="23:23">
      <c r="W26325" s="503"/>
    </row>
    <row r="26326" spans="23:23">
      <c r="W26326" s="503"/>
    </row>
    <row r="26327" spans="23:23">
      <c r="W26327" s="503"/>
    </row>
    <row r="26328" spans="23:23">
      <c r="W26328" s="503"/>
    </row>
    <row r="26329" spans="23:23">
      <c r="W26329" s="503"/>
    </row>
    <row r="26330" spans="23:23">
      <c r="W26330" s="503"/>
    </row>
    <row r="26331" spans="23:23">
      <c r="W26331" s="503"/>
    </row>
    <row r="26332" spans="23:23">
      <c r="W26332" s="503"/>
    </row>
    <row r="26333" spans="23:23">
      <c r="W26333" s="503"/>
    </row>
    <row r="26334" spans="23:23">
      <c r="W26334" s="503"/>
    </row>
    <row r="26335" spans="23:23">
      <c r="W26335" s="503"/>
    </row>
    <row r="26336" spans="23:23">
      <c r="W26336" s="503"/>
    </row>
    <row r="26337" spans="23:23">
      <c r="W26337" s="503"/>
    </row>
    <row r="26338" spans="23:23">
      <c r="W26338" s="503"/>
    </row>
    <row r="26339" spans="23:23">
      <c r="W26339" s="503"/>
    </row>
    <row r="26340" spans="23:23">
      <c r="W26340" s="503"/>
    </row>
    <row r="26341" spans="23:23">
      <c r="W26341" s="503"/>
    </row>
    <row r="26342" spans="23:23">
      <c r="W26342" s="503"/>
    </row>
    <row r="26343" spans="23:23">
      <c r="W26343" s="503"/>
    </row>
    <row r="26344" spans="23:23">
      <c r="W26344" s="503"/>
    </row>
    <row r="26345" spans="23:23">
      <c r="W26345" s="503"/>
    </row>
    <row r="26346" spans="23:23">
      <c r="W26346" s="503"/>
    </row>
    <row r="26347" spans="23:23">
      <c r="W26347" s="503"/>
    </row>
    <row r="26348" spans="23:23">
      <c r="W26348" s="503"/>
    </row>
    <row r="26349" spans="23:23">
      <c r="W26349" s="503"/>
    </row>
    <row r="26350" spans="23:23">
      <c r="W26350" s="503"/>
    </row>
    <row r="26351" spans="23:23">
      <c r="W26351" s="503"/>
    </row>
    <row r="26352" spans="23:23">
      <c r="W26352" s="503"/>
    </row>
    <row r="26353" spans="23:23">
      <c r="W26353" s="503"/>
    </row>
    <row r="26354" spans="23:23">
      <c r="W26354" s="503"/>
    </row>
    <row r="26355" spans="23:23">
      <c r="W26355" s="503"/>
    </row>
    <row r="26356" spans="23:23">
      <c r="W26356" s="503"/>
    </row>
    <row r="26357" spans="23:23">
      <c r="W26357" s="503"/>
    </row>
    <row r="26358" spans="23:23">
      <c r="W26358" s="503"/>
    </row>
    <row r="26359" spans="23:23">
      <c r="W26359" s="503"/>
    </row>
    <row r="26360" spans="23:23">
      <c r="W26360" s="503"/>
    </row>
    <row r="26361" spans="23:23">
      <c r="W26361" s="503"/>
    </row>
    <row r="26362" spans="23:23">
      <c r="W26362" s="503"/>
    </row>
    <row r="26363" spans="23:23">
      <c r="W26363" s="503"/>
    </row>
    <row r="26364" spans="23:23">
      <c r="W26364" s="503"/>
    </row>
    <row r="26365" spans="23:23">
      <c r="W26365" s="503"/>
    </row>
    <row r="26366" spans="23:23">
      <c r="W26366" s="503"/>
    </row>
    <row r="26367" spans="23:23">
      <c r="W26367" s="503"/>
    </row>
    <row r="26368" spans="23:23">
      <c r="W26368" s="503"/>
    </row>
    <row r="26369" spans="23:23">
      <c r="W26369" s="503"/>
    </row>
    <row r="26370" spans="23:23">
      <c r="W26370" s="503"/>
    </row>
    <row r="26371" spans="23:23">
      <c r="W26371" s="503"/>
    </row>
    <row r="26372" spans="23:23">
      <c r="W26372" s="503"/>
    </row>
    <row r="26373" spans="23:23">
      <c r="W26373" s="503"/>
    </row>
    <row r="26374" spans="23:23">
      <c r="W26374" s="503"/>
    </row>
    <row r="26375" spans="23:23">
      <c r="W26375" s="503"/>
    </row>
    <row r="26376" spans="23:23">
      <c r="W26376" s="503"/>
    </row>
    <row r="26377" spans="23:23">
      <c r="W26377" s="503"/>
    </row>
    <row r="26378" spans="23:23">
      <c r="W26378" s="503"/>
    </row>
    <row r="26379" spans="23:23">
      <c r="W26379" s="503"/>
    </row>
    <row r="26380" spans="23:23">
      <c r="W26380" s="503"/>
    </row>
    <row r="26381" spans="23:23">
      <c r="W26381" s="503"/>
    </row>
    <row r="26382" spans="23:23">
      <c r="W26382" s="503"/>
    </row>
    <row r="26383" spans="23:23">
      <c r="W26383" s="503"/>
    </row>
    <row r="26384" spans="23:23">
      <c r="W26384" s="503"/>
    </row>
    <row r="26385" spans="23:23">
      <c r="W26385" s="503"/>
    </row>
    <row r="26386" spans="23:23">
      <c r="W26386" s="503"/>
    </row>
    <row r="26387" spans="23:23">
      <c r="W26387" s="503"/>
    </row>
    <row r="26388" spans="23:23">
      <c r="W26388" s="503"/>
    </row>
    <row r="26389" spans="23:23">
      <c r="W26389" s="503"/>
    </row>
    <row r="26390" spans="23:23">
      <c r="W26390" s="503"/>
    </row>
    <row r="26391" spans="23:23">
      <c r="W26391" s="503"/>
    </row>
    <row r="26392" spans="23:23">
      <c r="W26392" s="503"/>
    </row>
    <row r="26393" spans="23:23">
      <c r="W26393" s="503"/>
    </row>
    <row r="26394" spans="23:23">
      <c r="W26394" s="503"/>
    </row>
    <row r="26395" spans="23:23">
      <c r="W26395" s="503"/>
    </row>
    <row r="26396" spans="23:23">
      <c r="W26396" s="503"/>
    </row>
    <row r="26397" spans="23:23">
      <c r="W26397" s="503"/>
    </row>
    <row r="26398" spans="23:23">
      <c r="W26398" s="503"/>
    </row>
    <row r="26399" spans="23:23">
      <c r="W26399" s="503"/>
    </row>
    <row r="26400" spans="23:23">
      <c r="W26400" s="503"/>
    </row>
    <row r="26401" spans="23:23">
      <c r="W26401" s="503"/>
    </row>
    <row r="26402" spans="23:23">
      <c r="W26402" s="503"/>
    </row>
    <row r="26403" spans="23:23">
      <c r="W26403" s="503"/>
    </row>
    <row r="26404" spans="23:23">
      <c r="W26404" s="503"/>
    </row>
    <row r="26405" spans="23:23">
      <c r="W26405" s="503"/>
    </row>
    <row r="26406" spans="23:23">
      <c r="W26406" s="503"/>
    </row>
    <row r="26407" spans="23:23">
      <c r="W26407" s="503"/>
    </row>
    <row r="26408" spans="23:23">
      <c r="W26408" s="503"/>
    </row>
    <row r="26409" spans="23:23">
      <c r="W26409" s="503"/>
    </row>
    <row r="26410" spans="23:23">
      <c r="W26410" s="503"/>
    </row>
    <row r="26411" spans="23:23">
      <c r="W26411" s="503"/>
    </row>
    <row r="26412" spans="23:23">
      <c r="W26412" s="503"/>
    </row>
    <row r="26413" spans="23:23">
      <c r="W26413" s="503"/>
    </row>
    <row r="26414" spans="23:23">
      <c r="W26414" s="503"/>
    </row>
    <row r="26415" spans="23:23">
      <c r="W26415" s="503"/>
    </row>
    <row r="26416" spans="23:23">
      <c r="W26416" s="503"/>
    </row>
    <row r="26417" spans="23:23">
      <c r="W26417" s="503"/>
    </row>
    <row r="26418" spans="23:23">
      <c r="W26418" s="503"/>
    </row>
    <row r="26419" spans="23:23">
      <c r="W26419" s="503"/>
    </row>
    <row r="26420" spans="23:23">
      <c r="W26420" s="503"/>
    </row>
    <row r="26421" spans="23:23">
      <c r="W26421" s="503"/>
    </row>
    <row r="26422" spans="23:23">
      <c r="W26422" s="503"/>
    </row>
    <row r="26423" spans="23:23">
      <c r="W26423" s="503"/>
    </row>
    <row r="26424" spans="23:23">
      <c r="W26424" s="503"/>
    </row>
    <row r="26425" spans="23:23">
      <c r="W26425" s="503"/>
    </row>
    <row r="26426" spans="23:23">
      <c r="W26426" s="503"/>
    </row>
    <row r="26427" spans="23:23">
      <c r="W26427" s="503"/>
    </row>
    <row r="26428" spans="23:23">
      <c r="W26428" s="503"/>
    </row>
    <row r="26429" spans="23:23">
      <c r="W26429" s="503"/>
    </row>
    <row r="26430" spans="23:23">
      <c r="W26430" s="503"/>
    </row>
    <row r="26431" spans="23:23">
      <c r="W26431" s="503"/>
    </row>
    <row r="26432" spans="23:23">
      <c r="W26432" s="503"/>
    </row>
    <row r="26433" spans="23:23">
      <c r="W26433" s="503"/>
    </row>
    <row r="26434" spans="23:23">
      <c r="W26434" s="503"/>
    </row>
    <row r="26435" spans="23:23">
      <c r="W26435" s="503"/>
    </row>
    <row r="26436" spans="23:23">
      <c r="W26436" s="503"/>
    </row>
    <row r="26437" spans="23:23">
      <c r="W26437" s="503"/>
    </row>
    <row r="26438" spans="23:23">
      <c r="W26438" s="503"/>
    </row>
    <row r="26439" spans="23:23">
      <c r="W26439" s="503"/>
    </row>
    <row r="26440" spans="23:23">
      <c r="W26440" s="503"/>
    </row>
    <row r="26441" spans="23:23">
      <c r="W26441" s="503"/>
    </row>
    <row r="26442" spans="23:23">
      <c r="W26442" s="503"/>
    </row>
    <row r="26443" spans="23:23">
      <c r="W26443" s="503"/>
    </row>
    <row r="26444" spans="23:23">
      <c r="W26444" s="503"/>
    </row>
    <row r="26445" spans="23:23">
      <c r="W26445" s="503"/>
    </row>
    <row r="26446" spans="23:23">
      <c r="W26446" s="503"/>
    </row>
    <row r="26447" spans="23:23">
      <c r="W26447" s="503"/>
    </row>
    <row r="26448" spans="23:23">
      <c r="W26448" s="503"/>
    </row>
    <row r="26449" spans="23:23">
      <c r="W26449" s="503"/>
    </row>
    <row r="26450" spans="23:23">
      <c r="W26450" s="503"/>
    </row>
    <row r="26451" spans="23:23">
      <c r="W26451" s="503"/>
    </row>
    <row r="26452" spans="23:23">
      <c r="W26452" s="503"/>
    </row>
    <row r="26453" spans="23:23">
      <c r="W26453" s="503"/>
    </row>
    <row r="26454" spans="23:23">
      <c r="W26454" s="503"/>
    </row>
    <row r="26455" spans="23:23">
      <c r="W26455" s="503"/>
    </row>
    <row r="26456" spans="23:23">
      <c r="W26456" s="503"/>
    </row>
    <row r="26457" spans="23:23">
      <c r="W26457" s="503"/>
    </row>
    <row r="26458" spans="23:23">
      <c r="W26458" s="503"/>
    </row>
    <row r="26459" spans="23:23">
      <c r="W26459" s="503"/>
    </row>
    <row r="26460" spans="23:23">
      <c r="W26460" s="503"/>
    </row>
    <row r="26461" spans="23:23">
      <c r="W26461" s="503"/>
    </row>
    <row r="26462" spans="23:23">
      <c r="W26462" s="503"/>
    </row>
    <row r="26463" spans="23:23">
      <c r="W26463" s="503"/>
    </row>
    <row r="26464" spans="23:23">
      <c r="W26464" s="503"/>
    </row>
    <row r="26465" spans="23:23">
      <c r="W26465" s="503"/>
    </row>
    <row r="26466" spans="23:23">
      <c r="W26466" s="503"/>
    </row>
    <row r="26467" spans="23:23">
      <c r="W26467" s="503"/>
    </row>
    <row r="26468" spans="23:23">
      <c r="W26468" s="503"/>
    </row>
    <row r="26469" spans="23:23">
      <c r="W26469" s="503"/>
    </row>
    <row r="26470" spans="23:23">
      <c r="W26470" s="503"/>
    </row>
    <row r="26471" spans="23:23">
      <c r="W26471" s="503"/>
    </row>
    <row r="26472" spans="23:23">
      <c r="W26472" s="503"/>
    </row>
    <row r="26473" spans="23:23">
      <c r="W26473" s="503"/>
    </row>
    <row r="26474" spans="23:23">
      <c r="W26474" s="503"/>
    </row>
    <row r="26475" spans="23:23">
      <c r="W26475" s="503"/>
    </row>
    <row r="26476" spans="23:23">
      <c r="W26476" s="503"/>
    </row>
    <row r="26477" spans="23:23">
      <c r="W26477" s="503"/>
    </row>
    <row r="26478" spans="23:23">
      <c r="W26478" s="503"/>
    </row>
    <row r="26479" spans="23:23">
      <c r="W26479" s="503"/>
    </row>
    <row r="26480" spans="23:23">
      <c r="W26480" s="503"/>
    </row>
    <row r="26481" spans="23:23">
      <c r="W26481" s="503"/>
    </row>
    <row r="26482" spans="23:23">
      <c r="W26482" s="503"/>
    </row>
    <row r="26483" spans="23:23">
      <c r="W26483" s="503"/>
    </row>
    <row r="26484" spans="23:23">
      <c r="W26484" s="503"/>
    </row>
    <row r="26485" spans="23:23">
      <c r="W26485" s="503"/>
    </row>
    <row r="26486" spans="23:23">
      <c r="W26486" s="503"/>
    </row>
    <row r="26487" spans="23:23">
      <c r="W26487" s="503"/>
    </row>
    <row r="26488" spans="23:23">
      <c r="W26488" s="503"/>
    </row>
    <row r="26489" spans="23:23">
      <c r="W26489" s="503"/>
    </row>
    <row r="26490" spans="23:23">
      <c r="W26490" s="503"/>
    </row>
    <row r="26491" spans="23:23">
      <c r="W26491" s="503"/>
    </row>
    <row r="26492" spans="23:23">
      <c r="W26492" s="503"/>
    </row>
    <row r="26493" spans="23:23">
      <c r="W26493" s="503"/>
    </row>
    <row r="26494" spans="23:23">
      <c r="W26494" s="503"/>
    </row>
    <row r="26495" spans="23:23">
      <c r="W26495" s="503"/>
    </row>
    <row r="26496" spans="23:23">
      <c r="W26496" s="503"/>
    </row>
    <row r="26497" spans="23:23">
      <c r="W26497" s="503"/>
    </row>
    <row r="26498" spans="23:23">
      <c r="W26498" s="503"/>
    </row>
    <row r="26499" spans="23:23">
      <c r="W26499" s="503"/>
    </row>
    <row r="26500" spans="23:23">
      <c r="W26500" s="503"/>
    </row>
    <row r="26501" spans="23:23">
      <c r="W26501" s="503"/>
    </row>
    <row r="26502" spans="23:23">
      <c r="W26502" s="503"/>
    </row>
    <row r="26503" spans="23:23">
      <c r="W26503" s="503"/>
    </row>
    <row r="26504" spans="23:23">
      <c r="W26504" s="503"/>
    </row>
    <row r="26505" spans="23:23">
      <c r="W26505" s="503"/>
    </row>
    <row r="26506" spans="23:23">
      <c r="W26506" s="503"/>
    </row>
    <row r="26507" spans="23:23">
      <c r="W26507" s="503"/>
    </row>
    <row r="26508" spans="23:23">
      <c r="W26508" s="503"/>
    </row>
    <row r="26509" spans="23:23">
      <c r="W26509" s="503"/>
    </row>
    <row r="26510" spans="23:23">
      <c r="W26510" s="503"/>
    </row>
    <row r="26511" spans="23:23">
      <c r="W26511" s="503"/>
    </row>
    <row r="26512" spans="23:23">
      <c r="W26512" s="503"/>
    </row>
    <row r="26513" spans="23:23">
      <c r="W26513" s="503"/>
    </row>
    <row r="26514" spans="23:23">
      <c r="W26514" s="503"/>
    </row>
    <row r="26515" spans="23:23">
      <c r="W26515" s="503"/>
    </row>
    <row r="26516" spans="23:23">
      <c r="W26516" s="503"/>
    </row>
    <row r="26517" spans="23:23">
      <c r="W26517" s="503"/>
    </row>
    <row r="26518" spans="23:23">
      <c r="W26518" s="503"/>
    </row>
    <row r="26519" spans="23:23">
      <c r="W26519" s="503"/>
    </row>
    <row r="26520" spans="23:23">
      <c r="W26520" s="503"/>
    </row>
    <row r="26521" spans="23:23">
      <c r="W26521" s="503"/>
    </row>
    <row r="26522" spans="23:23">
      <c r="W26522" s="503"/>
    </row>
    <row r="26523" spans="23:23">
      <c r="W26523" s="503"/>
    </row>
    <row r="26524" spans="23:23">
      <c r="W26524" s="503"/>
    </row>
    <row r="26525" spans="23:23">
      <c r="W26525" s="503"/>
    </row>
    <row r="26526" spans="23:23">
      <c r="W26526" s="503"/>
    </row>
    <row r="26527" spans="23:23">
      <c r="W26527" s="503"/>
    </row>
    <row r="26528" spans="23:23">
      <c r="W26528" s="503"/>
    </row>
    <row r="26529" spans="23:23">
      <c r="W26529" s="503"/>
    </row>
    <row r="26530" spans="23:23">
      <c r="W26530" s="503"/>
    </row>
    <row r="26531" spans="23:23">
      <c r="W26531" s="503"/>
    </row>
    <row r="26532" spans="23:23">
      <c r="W26532" s="503"/>
    </row>
    <row r="26533" spans="23:23">
      <c r="W26533" s="503"/>
    </row>
    <row r="26534" spans="23:23">
      <c r="W26534" s="503"/>
    </row>
    <row r="26535" spans="23:23">
      <c r="W26535" s="503"/>
    </row>
    <row r="26536" spans="23:23">
      <c r="W26536" s="503"/>
    </row>
    <row r="26537" spans="23:23">
      <c r="W26537" s="503"/>
    </row>
    <row r="26538" spans="23:23">
      <c r="W26538" s="503"/>
    </row>
    <row r="26539" spans="23:23">
      <c r="W26539" s="503"/>
    </row>
    <row r="26540" spans="23:23">
      <c r="W26540" s="503"/>
    </row>
    <row r="26541" spans="23:23">
      <c r="W26541" s="503"/>
    </row>
    <row r="26542" spans="23:23">
      <c r="W26542" s="503"/>
    </row>
    <row r="26543" spans="23:23">
      <c r="W26543" s="503"/>
    </row>
    <row r="26544" spans="23:23">
      <c r="W26544" s="503"/>
    </row>
    <row r="26545" spans="23:23">
      <c r="W26545" s="503"/>
    </row>
    <row r="26546" spans="23:23">
      <c r="W26546" s="503"/>
    </row>
    <row r="26547" spans="23:23">
      <c r="W26547" s="503"/>
    </row>
    <row r="26548" spans="23:23">
      <c r="W26548" s="503"/>
    </row>
    <row r="26549" spans="23:23">
      <c r="W26549" s="503"/>
    </row>
    <row r="26550" spans="23:23">
      <c r="W26550" s="503"/>
    </row>
    <row r="26551" spans="23:23">
      <c r="W26551" s="503"/>
    </row>
    <row r="26552" spans="23:23">
      <c r="W26552" s="503"/>
    </row>
    <row r="26553" spans="23:23">
      <c r="W26553" s="503"/>
    </row>
    <row r="26554" spans="23:23">
      <c r="W26554" s="503"/>
    </row>
    <row r="26555" spans="23:23">
      <c r="W26555" s="503"/>
    </row>
    <row r="26556" spans="23:23">
      <c r="W26556" s="503"/>
    </row>
    <row r="26557" spans="23:23">
      <c r="W26557" s="503"/>
    </row>
    <row r="26558" spans="23:23">
      <c r="W26558" s="503"/>
    </row>
    <row r="26559" spans="23:23">
      <c r="W26559" s="503"/>
    </row>
    <row r="26560" spans="23:23">
      <c r="W26560" s="503"/>
    </row>
    <row r="26561" spans="23:23">
      <c r="W26561" s="503"/>
    </row>
    <row r="26562" spans="23:23">
      <c r="W26562" s="503"/>
    </row>
    <row r="26563" spans="23:23">
      <c r="W26563" s="503"/>
    </row>
    <row r="26564" spans="23:23">
      <c r="W26564" s="503"/>
    </row>
    <row r="26565" spans="23:23">
      <c r="W26565" s="503"/>
    </row>
    <row r="26566" spans="23:23">
      <c r="W26566" s="503"/>
    </row>
    <row r="26567" spans="23:23">
      <c r="W26567" s="503"/>
    </row>
    <row r="26568" spans="23:23">
      <c r="W26568" s="503"/>
    </row>
    <row r="26569" spans="23:23">
      <c r="W26569" s="503"/>
    </row>
    <row r="26570" spans="23:23">
      <c r="W26570" s="503"/>
    </row>
    <row r="26571" spans="23:23">
      <c r="W26571" s="503"/>
    </row>
    <row r="26572" spans="23:23">
      <c r="W26572" s="503"/>
    </row>
    <row r="26573" spans="23:23">
      <c r="W26573" s="503"/>
    </row>
    <row r="26574" spans="23:23">
      <c r="W26574" s="503"/>
    </row>
    <row r="26575" spans="23:23">
      <c r="W26575" s="503"/>
    </row>
    <row r="26576" spans="23:23">
      <c r="W26576" s="503"/>
    </row>
    <row r="26577" spans="23:23">
      <c r="W26577" s="503"/>
    </row>
    <row r="26578" spans="23:23">
      <c r="W26578" s="503"/>
    </row>
    <row r="26579" spans="23:23">
      <c r="W26579" s="503"/>
    </row>
    <row r="26580" spans="23:23">
      <c r="W26580" s="503"/>
    </row>
    <row r="26581" spans="23:23">
      <c r="W26581" s="503"/>
    </row>
    <row r="26582" spans="23:23">
      <c r="W26582" s="503"/>
    </row>
    <row r="26583" spans="23:23">
      <c r="W26583" s="503"/>
    </row>
    <row r="26584" spans="23:23">
      <c r="W26584" s="503"/>
    </row>
    <row r="26585" spans="23:23">
      <c r="W26585" s="503"/>
    </row>
    <row r="26586" spans="23:23">
      <c r="W26586" s="503"/>
    </row>
    <row r="26587" spans="23:23">
      <c r="W26587" s="503"/>
    </row>
    <row r="26588" spans="23:23">
      <c r="W26588" s="503"/>
    </row>
    <row r="26589" spans="23:23">
      <c r="W26589" s="503"/>
    </row>
    <row r="26590" spans="23:23">
      <c r="W26590" s="503"/>
    </row>
    <row r="26591" spans="23:23">
      <c r="W26591" s="503"/>
    </row>
    <row r="26592" spans="23:23">
      <c r="W26592" s="503"/>
    </row>
    <row r="26593" spans="23:23">
      <c r="W26593" s="503"/>
    </row>
    <row r="26594" spans="23:23">
      <c r="W26594" s="503"/>
    </row>
    <row r="26595" spans="23:23">
      <c r="W26595" s="503"/>
    </row>
    <row r="26596" spans="23:23">
      <c r="W26596" s="503"/>
    </row>
    <row r="26597" spans="23:23">
      <c r="W26597" s="503"/>
    </row>
    <row r="26598" spans="23:23">
      <c r="W26598" s="503"/>
    </row>
    <row r="26599" spans="23:23">
      <c r="W26599" s="503"/>
    </row>
    <row r="26600" spans="23:23">
      <c r="W26600" s="503"/>
    </row>
    <row r="26601" spans="23:23">
      <c r="W26601" s="503"/>
    </row>
    <row r="26602" spans="23:23">
      <c r="W26602" s="503"/>
    </row>
    <row r="26603" spans="23:23">
      <c r="W26603" s="503"/>
    </row>
    <row r="26604" spans="23:23">
      <c r="W26604" s="503"/>
    </row>
    <row r="26605" spans="23:23">
      <c r="W26605" s="503"/>
    </row>
    <row r="26606" spans="23:23">
      <c r="W26606" s="503"/>
    </row>
    <row r="26607" spans="23:23">
      <c r="W26607" s="503"/>
    </row>
    <row r="26608" spans="23:23">
      <c r="W26608" s="503"/>
    </row>
    <row r="26609" spans="23:23">
      <c r="W26609" s="503"/>
    </row>
    <row r="26610" spans="23:23">
      <c r="W26610" s="503"/>
    </row>
    <row r="26611" spans="23:23">
      <c r="W26611" s="503"/>
    </row>
    <row r="26612" spans="23:23">
      <c r="W26612" s="503"/>
    </row>
    <row r="26613" spans="23:23">
      <c r="W26613" s="503"/>
    </row>
    <row r="26614" spans="23:23">
      <c r="W26614" s="503"/>
    </row>
    <row r="26615" spans="23:23">
      <c r="W26615" s="503"/>
    </row>
    <row r="26616" spans="23:23">
      <c r="W26616" s="503"/>
    </row>
    <row r="26617" spans="23:23">
      <c r="W26617" s="503"/>
    </row>
    <row r="26618" spans="23:23">
      <c r="W26618" s="503"/>
    </row>
    <row r="26619" spans="23:23">
      <c r="W26619" s="503"/>
    </row>
    <row r="26620" spans="23:23">
      <c r="W26620" s="503"/>
    </row>
    <row r="26621" spans="23:23">
      <c r="W26621" s="503"/>
    </row>
    <row r="26622" spans="23:23">
      <c r="W26622" s="503"/>
    </row>
    <row r="26623" spans="23:23">
      <c r="W26623" s="503"/>
    </row>
    <row r="26624" spans="23:23">
      <c r="W26624" s="503"/>
    </row>
    <row r="26625" spans="23:23">
      <c r="W26625" s="503"/>
    </row>
    <row r="26626" spans="23:23">
      <c r="W26626" s="503"/>
    </row>
    <row r="26627" spans="23:23">
      <c r="W26627" s="503"/>
    </row>
    <row r="26628" spans="23:23">
      <c r="W26628" s="503"/>
    </row>
    <row r="26629" spans="23:23">
      <c r="W26629" s="503"/>
    </row>
    <row r="26630" spans="23:23">
      <c r="W26630" s="503"/>
    </row>
    <row r="26631" spans="23:23">
      <c r="W26631" s="503"/>
    </row>
    <row r="26632" spans="23:23">
      <c r="W26632" s="503"/>
    </row>
    <row r="26633" spans="23:23">
      <c r="W26633" s="503"/>
    </row>
    <row r="26634" spans="23:23">
      <c r="W26634" s="503"/>
    </row>
    <row r="26635" spans="23:23">
      <c r="W26635" s="503"/>
    </row>
    <row r="26636" spans="23:23">
      <c r="W26636" s="503"/>
    </row>
    <row r="26637" spans="23:23">
      <c r="W26637" s="503"/>
    </row>
    <row r="26638" spans="23:23">
      <c r="W26638" s="503"/>
    </row>
    <row r="26639" spans="23:23">
      <c r="W26639" s="503"/>
    </row>
    <row r="26640" spans="23:23">
      <c r="W26640" s="503"/>
    </row>
    <row r="26641" spans="23:23">
      <c r="W26641" s="503"/>
    </row>
    <row r="26642" spans="23:23">
      <c r="W26642" s="503"/>
    </row>
    <row r="26643" spans="23:23">
      <c r="W26643" s="503"/>
    </row>
    <row r="26644" spans="23:23">
      <c r="W26644" s="503"/>
    </row>
    <row r="26645" spans="23:23">
      <c r="W26645" s="503"/>
    </row>
    <row r="26646" spans="23:23">
      <c r="W26646" s="503"/>
    </row>
    <row r="26647" spans="23:23">
      <c r="W26647" s="503"/>
    </row>
    <row r="26648" spans="23:23">
      <c r="W26648" s="503"/>
    </row>
    <row r="26649" spans="23:23">
      <c r="W26649" s="503"/>
    </row>
    <row r="26650" spans="23:23">
      <c r="W26650" s="503"/>
    </row>
    <row r="26651" spans="23:23">
      <c r="W26651" s="503"/>
    </row>
    <row r="26652" spans="23:23">
      <c r="W26652" s="503"/>
    </row>
    <row r="26653" spans="23:23">
      <c r="W26653" s="503"/>
    </row>
    <row r="26654" spans="23:23">
      <c r="W26654" s="503"/>
    </row>
    <row r="26655" spans="23:23">
      <c r="W26655" s="503"/>
    </row>
    <row r="26656" spans="23:23">
      <c r="W26656" s="503"/>
    </row>
    <row r="26657" spans="23:23">
      <c r="W26657" s="503"/>
    </row>
    <row r="26658" spans="23:23">
      <c r="W26658" s="503"/>
    </row>
    <row r="26659" spans="23:23">
      <c r="W26659" s="503"/>
    </row>
    <row r="26660" spans="23:23">
      <c r="W26660" s="503"/>
    </row>
    <row r="26661" spans="23:23">
      <c r="W26661" s="503"/>
    </row>
    <row r="26662" spans="23:23">
      <c r="W26662" s="503"/>
    </row>
    <row r="26663" spans="23:23">
      <c r="W26663" s="503"/>
    </row>
    <row r="26664" spans="23:23">
      <c r="W26664" s="503"/>
    </row>
    <row r="26665" spans="23:23">
      <c r="W26665" s="503"/>
    </row>
    <row r="26666" spans="23:23">
      <c r="W26666" s="503"/>
    </row>
    <row r="26667" spans="23:23">
      <c r="W26667" s="503"/>
    </row>
    <row r="26668" spans="23:23">
      <c r="W26668" s="503"/>
    </row>
    <row r="26669" spans="23:23">
      <c r="W26669" s="503"/>
    </row>
    <row r="26670" spans="23:23">
      <c r="W26670" s="503"/>
    </row>
    <row r="26671" spans="23:23">
      <c r="W26671" s="503"/>
    </row>
    <row r="26672" spans="23:23">
      <c r="W26672" s="503"/>
    </row>
    <row r="26673" spans="23:23">
      <c r="W26673" s="503"/>
    </row>
    <row r="26674" spans="23:23">
      <c r="W26674" s="503"/>
    </row>
    <row r="26675" spans="23:23">
      <c r="W26675" s="503"/>
    </row>
    <row r="26676" spans="23:23">
      <c r="W26676" s="503"/>
    </row>
    <row r="26677" spans="23:23">
      <c r="W26677" s="503"/>
    </row>
    <row r="26678" spans="23:23">
      <c r="W26678" s="503"/>
    </row>
    <row r="26679" spans="23:23">
      <c r="W26679" s="503"/>
    </row>
    <row r="26680" spans="23:23">
      <c r="W26680" s="503"/>
    </row>
    <row r="26681" spans="23:23">
      <c r="W26681" s="503"/>
    </row>
    <row r="26682" spans="23:23">
      <c r="W26682" s="503"/>
    </row>
    <row r="26683" spans="23:23">
      <c r="W26683" s="503"/>
    </row>
    <row r="26684" spans="23:23">
      <c r="W26684" s="503"/>
    </row>
    <row r="26685" spans="23:23">
      <c r="W26685" s="503"/>
    </row>
    <row r="26686" spans="23:23">
      <c r="W26686" s="503"/>
    </row>
    <row r="26687" spans="23:23">
      <c r="W26687" s="503"/>
    </row>
    <row r="26688" spans="23:23">
      <c r="W26688" s="503"/>
    </row>
    <row r="26689" spans="23:23">
      <c r="W26689" s="503"/>
    </row>
    <row r="26690" spans="23:23">
      <c r="W26690" s="503"/>
    </row>
    <row r="26691" spans="23:23">
      <c r="W26691" s="503"/>
    </row>
    <row r="26692" spans="23:23">
      <c r="W26692" s="503"/>
    </row>
    <row r="26693" spans="23:23">
      <c r="W26693" s="503"/>
    </row>
    <row r="26694" spans="23:23">
      <c r="W26694" s="503"/>
    </row>
    <row r="26695" spans="23:23">
      <c r="W26695" s="503"/>
    </row>
    <row r="26696" spans="23:23">
      <c r="W26696" s="503"/>
    </row>
    <row r="26697" spans="23:23">
      <c r="W26697" s="503"/>
    </row>
    <row r="26698" spans="23:23">
      <c r="W26698" s="503"/>
    </row>
    <row r="26699" spans="23:23">
      <c r="W26699" s="503"/>
    </row>
    <row r="26700" spans="23:23">
      <c r="W26700" s="503"/>
    </row>
    <row r="26701" spans="23:23">
      <c r="W26701" s="503"/>
    </row>
    <row r="26702" spans="23:23">
      <c r="W26702" s="503"/>
    </row>
    <row r="26703" spans="23:23">
      <c r="W26703" s="503"/>
    </row>
    <row r="26704" spans="23:23">
      <c r="W26704" s="503"/>
    </row>
    <row r="26705" spans="23:23">
      <c r="W26705" s="503"/>
    </row>
    <row r="26706" spans="23:23">
      <c r="W26706" s="503"/>
    </row>
    <row r="26707" spans="23:23">
      <c r="W26707" s="503"/>
    </row>
    <row r="26708" spans="23:23">
      <c r="W26708" s="503"/>
    </row>
    <row r="26709" spans="23:23">
      <c r="W26709" s="503"/>
    </row>
    <row r="26710" spans="23:23">
      <c r="W26710" s="503"/>
    </row>
    <row r="26711" spans="23:23">
      <c r="W26711" s="503"/>
    </row>
    <row r="26712" spans="23:23">
      <c r="W26712" s="503"/>
    </row>
    <row r="26713" spans="23:23">
      <c r="W26713" s="503"/>
    </row>
    <row r="26714" spans="23:23">
      <c r="W26714" s="503"/>
    </row>
    <row r="26715" spans="23:23">
      <c r="W26715" s="503"/>
    </row>
    <row r="26716" spans="23:23">
      <c r="W26716" s="503"/>
    </row>
    <row r="26717" spans="23:23">
      <c r="W26717" s="503"/>
    </row>
    <row r="26718" spans="23:23">
      <c r="W26718" s="503"/>
    </row>
    <row r="26719" spans="23:23">
      <c r="W26719" s="503"/>
    </row>
    <row r="26720" spans="23:23">
      <c r="W26720" s="503"/>
    </row>
    <row r="26721" spans="23:23">
      <c r="W26721" s="503"/>
    </row>
    <row r="26722" spans="23:23">
      <c r="W26722" s="503"/>
    </row>
    <row r="26723" spans="23:23">
      <c r="W26723" s="503"/>
    </row>
    <row r="26724" spans="23:23">
      <c r="W26724" s="503"/>
    </row>
    <row r="26725" spans="23:23">
      <c r="W26725" s="503"/>
    </row>
    <row r="26726" spans="23:23">
      <c r="W26726" s="503"/>
    </row>
    <row r="26727" spans="23:23">
      <c r="W26727" s="503"/>
    </row>
    <row r="26728" spans="23:23">
      <c r="W26728" s="503"/>
    </row>
    <row r="26729" spans="23:23">
      <c r="W26729" s="503"/>
    </row>
    <row r="26730" spans="23:23">
      <c r="W26730" s="503"/>
    </row>
    <row r="26731" spans="23:23">
      <c r="W26731" s="503"/>
    </row>
    <row r="26732" spans="23:23">
      <c r="W26732" s="503"/>
    </row>
    <row r="26733" spans="23:23">
      <c r="W26733" s="503"/>
    </row>
    <row r="26734" spans="23:23">
      <c r="W26734" s="503"/>
    </row>
    <row r="26735" spans="23:23">
      <c r="W26735" s="503"/>
    </row>
    <row r="26736" spans="23:23">
      <c r="W26736" s="503"/>
    </row>
    <row r="26737" spans="23:23">
      <c r="W26737" s="503"/>
    </row>
    <row r="26738" spans="23:23">
      <c r="W26738" s="503"/>
    </row>
    <row r="26739" spans="23:23">
      <c r="W26739" s="503"/>
    </row>
    <row r="26740" spans="23:23">
      <c r="W26740" s="503"/>
    </row>
    <row r="26741" spans="23:23">
      <c r="W26741" s="503"/>
    </row>
    <row r="26742" spans="23:23">
      <c r="W26742" s="503"/>
    </row>
    <row r="26743" spans="23:23">
      <c r="W26743" s="503"/>
    </row>
    <row r="26744" spans="23:23">
      <c r="W26744" s="503"/>
    </row>
    <row r="26745" spans="23:23">
      <c r="W26745" s="503"/>
    </row>
    <row r="26746" spans="23:23">
      <c r="W26746" s="503"/>
    </row>
    <row r="26747" spans="23:23">
      <c r="W26747" s="503"/>
    </row>
    <row r="26748" spans="23:23">
      <c r="W26748" s="503"/>
    </row>
    <row r="26749" spans="23:23">
      <c r="W26749" s="503"/>
    </row>
    <row r="26750" spans="23:23">
      <c r="W26750" s="503"/>
    </row>
    <row r="26751" spans="23:23">
      <c r="W26751" s="503"/>
    </row>
    <row r="26752" spans="23:23">
      <c r="W26752" s="503"/>
    </row>
    <row r="26753" spans="23:23">
      <c r="W26753" s="503"/>
    </row>
    <row r="26754" spans="23:23">
      <c r="W26754" s="503"/>
    </row>
    <row r="26755" spans="23:23">
      <c r="W26755" s="503"/>
    </row>
    <row r="26756" spans="23:23">
      <c r="W26756" s="503"/>
    </row>
    <row r="26757" spans="23:23">
      <c r="W26757" s="503"/>
    </row>
    <row r="26758" spans="23:23">
      <c r="W26758" s="503"/>
    </row>
    <row r="26759" spans="23:23">
      <c r="W26759" s="503"/>
    </row>
    <row r="26760" spans="23:23">
      <c r="W26760" s="503"/>
    </row>
    <row r="26761" spans="23:23">
      <c r="W26761" s="503"/>
    </row>
    <row r="26762" spans="23:23">
      <c r="W26762" s="503"/>
    </row>
    <row r="26763" spans="23:23">
      <c r="W26763" s="503"/>
    </row>
    <row r="26764" spans="23:23">
      <c r="W26764" s="503"/>
    </row>
    <row r="26765" spans="23:23">
      <c r="W26765" s="503"/>
    </row>
    <row r="26766" spans="23:23">
      <c r="W26766" s="503"/>
    </row>
    <row r="26767" spans="23:23">
      <c r="W26767" s="503"/>
    </row>
    <row r="26768" spans="23:23">
      <c r="W26768" s="503"/>
    </row>
    <row r="26769" spans="23:23">
      <c r="W26769" s="503"/>
    </row>
    <row r="26770" spans="23:23">
      <c r="W26770" s="503"/>
    </row>
    <row r="26771" spans="23:23">
      <c r="W26771" s="503"/>
    </row>
    <row r="26772" spans="23:23">
      <c r="W26772" s="503"/>
    </row>
    <row r="26773" spans="23:23">
      <c r="W26773" s="503"/>
    </row>
    <row r="26774" spans="23:23">
      <c r="W26774" s="503"/>
    </row>
    <row r="26775" spans="23:23">
      <c r="W26775" s="503"/>
    </row>
    <row r="26776" spans="23:23">
      <c r="W26776" s="503"/>
    </row>
    <row r="26777" spans="23:23">
      <c r="W26777" s="503"/>
    </row>
    <row r="26778" spans="23:23">
      <c r="W26778" s="503"/>
    </row>
    <row r="26779" spans="23:23">
      <c r="W26779" s="503"/>
    </row>
    <row r="26780" spans="23:23">
      <c r="W26780" s="503"/>
    </row>
    <row r="26781" spans="23:23">
      <c r="W26781" s="503"/>
    </row>
    <row r="26782" spans="23:23">
      <c r="W26782" s="503"/>
    </row>
    <row r="26783" spans="23:23">
      <c r="W26783" s="503"/>
    </row>
    <row r="26784" spans="23:23">
      <c r="W26784" s="503"/>
    </row>
    <row r="26785" spans="23:23">
      <c r="W26785" s="503"/>
    </row>
    <row r="26786" spans="23:23">
      <c r="W26786" s="503"/>
    </row>
    <row r="26787" spans="23:23">
      <c r="W26787" s="503"/>
    </row>
    <row r="26788" spans="23:23">
      <c r="W26788" s="503"/>
    </row>
    <row r="26789" spans="23:23">
      <c r="W26789" s="503"/>
    </row>
    <row r="26790" spans="23:23">
      <c r="W26790" s="503"/>
    </row>
    <row r="26791" spans="23:23">
      <c r="W26791" s="503"/>
    </row>
    <row r="26792" spans="23:23">
      <c r="W26792" s="503"/>
    </row>
    <row r="26793" spans="23:23">
      <c r="W26793" s="503"/>
    </row>
    <row r="26794" spans="23:23">
      <c r="W26794" s="503"/>
    </row>
    <row r="26795" spans="23:23">
      <c r="W26795" s="503"/>
    </row>
    <row r="26796" spans="23:23">
      <c r="W26796" s="503"/>
    </row>
    <row r="26797" spans="23:23">
      <c r="W26797" s="503"/>
    </row>
    <row r="26798" spans="23:23">
      <c r="W26798" s="503"/>
    </row>
    <row r="26799" spans="23:23">
      <c r="W26799" s="503"/>
    </row>
    <row r="26800" spans="23:23">
      <c r="W26800" s="503"/>
    </row>
    <row r="26801" spans="23:23">
      <c r="W26801" s="503"/>
    </row>
    <row r="26802" spans="23:23">
      <c r="W26802" s="503"/>
    </row>
    <row r="26803" spans="23:23">
      <c r="W26803" s="503"/>
    </row>
    <row r="26804" spans="23:23">
      <c r="W26804" s="503"/>
    </row>
    <row r="26805" spans="23:23">
      <c r="W26805" s="503"/>
    </row>
    <row r="26806" spans="23:23">
      <c r="W26806" s="503"/>
    </row>
    <row r="26807" spans="23:23">
      <c r="W26807" s="503"/>
    </row>
    <row r="26808" spans="23:23">
      <c r="W26808" s="503"/>
    </row>
    <row r="26809" spans="23:23">
      <c r="W26809" s="503"/>
    </row>
    <row r="26810" spans="23:23">
      <c r="W26810" s="503"/>
    </row>
    <row r="26811" spans="23:23">
      <c r="W26811" s="503"/>
    </row>
    <row r="26812" spans="23:23">
      <c r="W26812" s="503"/>
    </row>
    <row r="26813" spans="23:23">
      <c r="W26813" s="503"/>
    </row>
    <row r="26814" spans="23:23">
      <c r="W26814" s="503"/>
    </row>
    <row r="26815" spans="23:23">
      <c r="W26815" s="503"/>
    </row>
    <row r="26816" spans="23:23">
      <c r="W26816" s="503"/>
    </row>
    <row r="26817" spans="23:23">
      <c r="W26817" s="503"/>
    </row>
    <row r="26818" spans="23:23">
      <c r="W26818" s="503"/>
    </row>
    <row r="26819" spans="23:23">
      <c r="W26819" s="503"/>
    </row>
    <row r="26820" spans="23:23">
      <c r="W26820" s="503"/>
    </row>
    <row r="26821" spans="23:23">
      <c r="W26821" s="503"/>
    </row>
    <row r="26822" spans="23:23">
      <c r="W26822" s="503"/>
    </row>
    <row r="26823" spans="23:23">
      <c r="W26823" s="503"/>
    </row>
    <row r="26824" spans="23:23">
      <c r="W26824" s="503"/>
    </row>
    <row r="26825" spans="23:23">
      <c r="W26825" s="503"/>
    </row>
    <row r="26826" spans="23:23">
      <c r="W26826" s="503"/>
    </row>
    <row r="26827" spans="23:23">
      <c r="W26827" s="503"/>
    </row>
    <row r="26828" spans="23:23">
      <c r="W26828" s="503"/>
    </row>
    <row r="26829" spans="23:23">
      <c r="W26829" s="503"/>
    </row>
    <row r="26830" spans="23:23">
      <c r="W26830" s="503"/>
    </row>
    <row r="26831" spans="23:23">
      <c r="W26831" s="503"/>
    </row>
    <row r="26832" spans="23:23">
      <c r="W26832" s="503"/>
    </row>
    <row r="26833" spans="23:23">
      <c r="W26833" s="503"/>
    </row>
    <row r="26834" spans="23:23">
      <c r="W26834" s="503"/>
    </row>
    <row r="26835" spans="23:23">
      <c r="W26835" s="503"/>
    </row>
    <row r="26836" spans="23:23">
      <c r="W26836" s="503"/>
    </row>
    <row r="26837" spans="23:23">
      <c r="W26837" s="503"/>
    </row>
    <row r="26838" spans="23:23">
      <c r="W26838" s="503"/>
    </row>
    <row r="26839" spans="23:23">
      <c r="W26839" s="503"/>
    </row>
    <row r="26840" spans="23:23">
      <c r="W26840" s="503"/>
    </row>
    <row r="26841" spans="23:23">
      <c r="W26841" s="503"/>
    </row>
    <row r="26842" spans="23:23">
      <c r="W26842" s="503"/>
    </row>
    <row r="26843" spans="23:23">
      <c r="W26843" s="503"/>
    </row>
    <row r="26844" spans="23:23">
      <c r="W26844" s="503"/>
    </row>
    <row r="26845" spans="23:23">
      <c r="W26845" s="503"/>
    </row>
    <row r="26846" spans="23:23">
      <c r="W26846" s="503"/>
    </row>
    <row r="26847" spans="23:23">
      <c r="W26847" s="503"/>
    </row>
    <row r="26848" spans="23:23">
      <c r="W26848" s="503"/>
    </row>
    <row r="26849" spans="23:23">
      <c r="W26849" s="503"/>
    </row>
    <row r="26850" spans="23:23">
      <c r="W26850" s="503"/>
    </row>
    <row r="26851" spans="23:23">
      <c r="W26851" s="503"/>
    </row>
    <row r="26852" spans="23:23">
      <c r="W26852" s="503"/>
    </row>
    <row r="26853" spans="23:23">
      <c r="W26853" s="503"/>
    </row>
    <row r="26854" spans="23:23">
      <c r="W26854" s="503"/>
    </row>
    <row r="26855" spans="23:23">
      <c r="W26855" s="503"/>
    </row>
    <row r="26856" spans="23:23">
      <c r="W26856" s="503"/>
    </row>
    <row r="26857" spans="23:23">
      <c r="W26857" s="503"/>
    </row>
    <row r="26858" spans="23:23">
      <c r="W26858" s="503"/>
    </row>
    <row r="26859" spans="23:23">
      <c r="W26859" s="503"/>
    </row>
    <row r="26860" spans="23:23">
      <c r="W26860" s="503"/>
    </row>
    <row r="26861" spans="23:23">
      <c r="W26861" s="503"/>
    </row>
    <row r="26862" spans="23:23">
      <c r="W26862" s="503"/>
    </row>
    <row r="26863" spans="23:23">
      <c r="W26863" s="503"/>
    </row>
    <row r="26864" spans="23:23">
      <c r="W26864" s="503"/>
    </row>
    <row r="26865" spans="23:23">
      <c r="W26865" s="503"/>
    </row>
    <row r="26866" spans="23:23">
      <c r="W26866" s="503"/>
    </row>
    <row r="26867" spans="23:23">
      <c r="W26867" s="503"/>
    </row>
    <row r="26868" spans="23:23">
      <c r="W26868" s="503"/>
    </row>
    <row r="26869" spans="23:23">
      <c r="W26869" s="503"/>
    </row>
    <row r="26870" spans="23:23">
      <c r="W26870" s="503"/>
    </row>
    <row r="26871" spans="23:23">
      <c r="W26871" s="503"/>
    </row>
    <row r="26872" spans="23:23">
      <c r="W26872" s="503"/>
    </row>
    <row r="26873" spans="23:23">
      <c r="W26873" s="503"/>
    </row>
    <row r="26874" spans="23:23">
      <c r="W26874" s="503"/>
    </row>
    <row r="26875" spans="23:23">
      <c r="W26875" s="503"/>
    </row>
    <row r="26876" spans="23:23">
      <c r="W26876" s="503"/>
    </row>
    <row r="26877" spans="23:23">
      <c r="W26877" s="503"/>
    </row>
    <row r="26878" spans="23:23">
      <c r="W26878" s="503"/>
    </row>
    <row r="26879" spans="23:23">
      <c r="W26879" s="503"/>
    </row>
    <row r="26880" spans="23:23">
      <c r="W26880" s="503"/>
    </row>
    <row r="26881" spans="23:23">
      <c r="W26881" s="503"/>
    </row>
    <row r="26882" spans="23:23">
      <c r="W26882" s="503"/>
    </row>
    <row r="26883" spans="23:23">
      <c r="W26883" s="503"/>
    </row>
    <row r="26884" spans="23:23">
      <c r="W26884" s="503"/>
    </row>
    <row r="26885" spans="23:23">
      <c r="W26885" s="503"/>
    </row>
    <row r="26886" spans="23:23">
      <c r="W26886" s="503"/>
    </row>
    <row r="26887" spans="23:23">
      <c r="W26887" s="503"/>
    </row>
    <row r="26888" spans="23:23">
      <c r="W26888" s="503"/>
    </row>
    <row r="26889" spans="23:23">
      <c r="W26889" s="503"/>
    </row>
    <row r="26890" spans="23:23">
      <c r="W26890" s="503"/>
    </row>
    <row r="26891" spans="23:23">
      <c r="W26891" s="503"/>
    </row>
    <row r="26892" spans="23:23">
      <c r="W26892" s="503"/>
    </row>
    <row r="26893" spans="23:23">
      <c r="W26893" s="503"/>
    </row>
    <row r="26894" spans="23:23">
      <c r="W26894" s="503"/>
    </row>
    <row r="26895" spans="23:23">
      <c r="W26895" s="503"/>
    </row>
    <row r="26896" spans="23:23">
      <c r="W26896" s="503"/>
    </row>
    <row r="26897" spans="23:23">
      <c r="W26897" s="503"/>
    </row>
    <row r="26898" spans="23:23">
      <c r="W26898" s="503"/>
    </row>
    <row r="26899" spans="23:23">
      <c r="W26899" s="503"/>
    </row>
    <row r="26900" spans="23:23">
      <c r="W26900" s="503"/>
    </row>
    <row r="26901" spans="23:23">
      <c r="W26901" s="503"/>
    </row>
    <row r="26902" spans="23:23">
      <c r="W26902" s="503"/>
    </row>
    <row r="26903" spans="23:23">
      <c r="W26903" s="503"/>
    </row>
    <row r="26904" spans="23:23">
      <c r="W26904" s="503"/>
    </row>
    <row r="26905" spans="23:23">
      <c r="W26905" s="503"/>
    </row>
    <row r="26906" spans="23:23">
      <c r="W26906" s="503"/>
    </row>
    <row r="26907" spans="23:23">
      <c r="W26907" s="503"/>
    </row>
    <row r="26908" spans="23:23">
      <c r="W26908" s="503"/>
    </row>
    <row r="26909" spans="23:23">
      <c r="W26909" s="503"/>
    </row>
    <row r="26910" spans="23:23">
      <c r="W26910" s="503"/>
    </row>
    <row r="26911" spans="23:23">
      <c r="W26911" s="503"/>
    </row>
    <row r="26912" spans="23:23">
      <c r="W26912" s="503"/>
    </row>
    <row r="26913" spans="23:23">
      <c r="W26913" s="503"/>
    </row>
    <row r="26914" spans="23:23">
      <c r="W26914" s="503"/>
    </row>
    <row r="26915" spans="23:23">
      <c r="W26915" s="503"/>
    </row>
    <row r="26916" spans="23:23">
      <c r="W26916" s="503"/>
    </row>
    <row r="26917" spans="23:23">
      <c r="W26917" s="503"/>
    </row>
    <row r="26918" spans="23:23">
      <c r="W26918" s="503"/>
    </row>
    <row r="26919" spans="23:23">
      <c r="W26919" s="503"/>
    </row>
    <row r="26920" spans="23:23">
      <c r="W26920" s="503"/>
    </row>
    <row r="26921" spans="23:23">
      <c r="W26921" s="503"/>
    </row>
    <row r="26922" spans="23:23">
      <c r="W26922" s="503"/>
    </row>
    <row r="26923" spans="23:23">
      <c r="W26923" s="503"/>
    </row>
    <row r="26924" spans="23:23">
      <c r="W26924" s="503"/>
    </row>
    <row r="26925" spans="23:23">
      <c r="W26925" s="503"/>
    </row>
    <row r="26926" spans="23:23">
      <c r="W26926" s="503"/>
    </row>
    <row r="26927" spans="23:23">
      <c r="W26927" s="503"/>
    </row>
    <row r="26928" spans="23:23">
      <c r="W26928" s="503"/>
    </row>
    <row r="26929" spans="23:23">
      <c r="W26929" s="503"/>
    </row>
    <row r="26930" spans="23:23">
      <c r="W26930" s="503"/>
    </row>
    <row r="26931" spans="23:23">
      <c r="W26931" s="503"/>
    </row>
    <row r="26932" spans="23:23">
      <c r="W26932" s="503"/>
    </row>
    <row r="26933" spans="23:23">
      <c r="W26933" s="503"/>
    </row>
    <row r="26934" spans="23:23">
      <c r="W26934" s="503"/>
    </row>
    <row r="26935" spans="23:23">
      <c r="W26935" s="503"/>
    </row>
    <row r="26936" spans="23:23">
      <c r="W26936" s="503"/>
    </row>
    <row r="26937" spans="23:23">
      <c r="W26937" s="503"/>
    </row>
    <row r="26938" spans="23:23">
      <c r="W26938" s="503"/>
    </row>
    <row r="26939" spans="23:23">
      <c r="W26939" s="503"/>
    </row>
    <row r="26940" spans="23:23">
      <c r="W26940" s="503"/>
    </row>
    <row r="26941" spans="23:23">
      <c r="W26941" s="503"/>
    </row>
    <row r="26942" spans="23:23">
      <c r="W26942" s="503"/>
    </row>
    <row r="26943" spans="23:23">
      <c r="W26943" s="503"/>
    </row>
    <row r="26944" spans="23:23">
      <c r="W26944" s="503"/>
    </row>
    <row r="26945" spans="23:23">
      <c r="W26945" s="503"/>
    </row>
    <row r="26946" spans="23:23">
      <c r="W26946" s="503"/>
    </row>
    <row r="26947" spans="23:23">
      <c r="W26947" s="503"/>
    </row>
    <row r="26948" spans="23:23">
      <c r="W26948" s="503"/>
    </row>
    <row r="26949" spans="23:23">
      <c r="W26949" s="503"/>
    </row>
    <row r="26950" spans="23:23">
      <c r="W26950" s="503"/>
    </row>
    <row r="26951" spans="23:23">
      <c r="W26951" s="503"/>
    </row>
    <row r="26952" spans="23:23">
      <c r="W26952" s="503"/>
    </row>
    <row r="26953" spans="23:23">
      <c r="W26953" s="503"/>
    </row>
    <row r="26954" spans="23:23">
      <c r="W26954" s="503"/>
    </row>
    <row r="26955" spans="23:23">
      <c r="W26955" s="503"/>
    </row>
    <row r="26956" spans="23:23">
      <c r="W26956" s="503"/>
    </row>
    <row r="26957" spans="23:23">
      <c r="W26957" s="503"/>
    </row>
    <row r="26958" spans="23:23">
      <c r="W26958" s="503"/>
    </row>
    <row r="26959" spans="23:23">
      <c r="W26959" s="503"/>
    </row>
    <row r="26960" spans="23:23">
      <c r="W26960" s="503"/>
    </row>
    <row r="26961" spans="23:23">
      <c r="W26961" s="503"/>
    </row>
    <row r="26962" spans="23:23">
      <c r="W26962" s="503"/>
    </row>
    <row r="26963" spans="23:23">
      <c r="W26963" s="503"/>
    </row>
    <row r="26964" spans="23:23">
      <c r="W26964" s="503"/>
    </row>
    <row r="26965" spans="23:23">
      <c r="W26965" s="503"/>
    </row>
    <row r="26966" spans="23:23">
      <c r="W26966" s="503"/>
    </row>
    <row r="26967" spans="23:23">
      <c r="W26967" s="503"/>
    </row>
    <row r="26968" spans="23:23">
      <c r="W26968" s="503"/>
    </row>
    <row r="26969" spans="23:23">
      <c r="W26969" s="503"/>
    </row>
    <row r="26970" spans="23:23">
      <c r="W26970" s="503"/>
    </row>
    <row r="26971" spans="23:23">
      <c r="W26971" s="503"/>
    </row>
    <row r="26972" spans="23:23">
      <c r="W26972" s="503"/>
    </row>
    <row r="26973" spans="23:23">
      <c r="W26973" s="503"/>
    </row>
    <row r="26974" spans="23:23">
      <c r="W26974" s="503"/>
    </row>
    <row r="26975" spans="23:23">
      <c r="W26975" s="503"/>
    </row>
    <row r="26976" spans="23:23">
      <c r="W26976" s="503"/>
    </row>
    <row r="26977" spans="23:23">
      <c r="W26977" s="503"/>
    </row>
    <row r="26978" spans="23:23">
      <c r="W26978" s="503"/>
    </row>
    <row r="26979" spans="23:23">
      <c r="W26979" s="503"/>
    </row>
    <row r="26980" spans="23:23">
      <c r="W26980" s="503"/>
    </row>
    <row r="26981" spans="23:23">
      <c r="W26981" s="503"/>
    </row>
    <row r="26982" spans="23:23">
      <c r="W26982" s="503"/>
    </row>
    <row r="26983" spans="23:23">
      <c r="W26983" s="503"/>
    </row>
    <row r="26984" spans="23:23">
      <c r="W26984" s="503"/>
    </row>
    <row r="26985" spans="23:23">
      <c r="W26985" s="503"/>
    </row>
    <row r="26986" spans="23:23">
      <c r="W26986" s="503"/>
    </row>
    <row r="26987" spans="23:23">
      <c r="W26987" s="503"/>
    </row>
    <row r="26988" spans="23:23">
      <c r="W26988" s="503"/>
    </row>
    <row r="26989" spans="23:23">
      <c r="W26989" s="503"/>
    </row>
    <row r="26990" spans="23:23">
      <c r="W26990" s="503"/>
    </row>
    <row r="26991" spans="23:23">
      <c r="W26991" s="503"/>
    </row>
    <row r="26992" spans="23:23">
      <c r="W26992" s="503"/>
    </row>
    <row r="26993" spans="23:23">
      <c r="W26993" s="503"/>
    </row>
    <row r="26994" spans="23:23">
      <c r="W26994" s="503"/>
    </row>
    <row r="26995" spans="23:23">
      <c r="W26995" s="503"/>
    </row>
    <row r="26996" spans="23:23">
      <c r="W26996" s="503"/>
    </row>
    <row r="26997" spans="23:23">
      <c r="W26997" s="503"/>
    </row>
    <row r="26998" spans="23:23">
      <c r="W26998" s="503"/>
    </row>
    <row r="26999" spans="23:23">
      <c r="W26999" s="503"/>
    </row>
    <row r="27000" spans="23:23">
      <c r="W27000" s="503"/>
    </row>
    <row r="27001" spans="23:23">
      <c r="W27001" s="503"/>
    </row>
    <row r="27002" spans="23:23">
      <c r="W27002" s="503"/>
    </row>
    <row r="27003" spans="23:23">
      <c r="W27003" s="503"/>
    </row>
    <row r="27004" spans="23:23">
      <c r="W27004" s="503"/>
    </row>
    <row r="27005" spans="23:23">
      <c r="W27005" s="503"/>
    </row>
    <row r="27006" spans="23:23">
      <c r="W27006" s="503"/>
    </row>
    <row r="27007" spans="23:23">
      <c r="W27007" s="503"/>
    </row>
    <row r="27008" spans="23:23">
      <c r="W27008" s="503"/>
    </row>
    <row r="27009" spans="23:23">
      <c r="W27009" s="503"/>
    </row>
    <row r="27010" spans="23:23">
      <c r="W27010" s="503"/>
    </row>
    <row r="27011" spans="23:23">
      <c r="W27011" s="503"/>
    </row>
    <row r="27012" spans="23:23">
      <c r="W27012" s="503"/>
    </row>
    <row r="27013" spans="23:23">
      <c r="W27013" s="503"/>
    </row>
    <row r="27014" spans="23:23">
      <c r="W27014" s="503"/>
    </row>
    <row r="27015" spans="23:23">
      <c r="W27015" s="503"/>
    </row>
    <row r="27016" spans="23:23">
      <c r="W27016" s="503"/>
    </row>
    <row r="27017" spans="23:23">
      <c r="W27017" s="503"/>
    </row>
    <row r="27018" spans="23:23">
      <c r="W27018" s="503"/>
    </row>
    <row r="27019" spans="23:23">
      <c r="W27019" s="503"/>
    </row>
    <row r="27020" spans="23:23">
      <c r="W27020" s="503"/>
    </row>
    <row r="27021" spans="23:23">
      <c r="W27021" s="503"/>
    </row>
    <row r="27022" spans="23:23">
      <c r="W27022" s="503"/>
    </row>
    <row r="27023" spans="23:23">
      <c r="W27023" s="503"/>
    </row>
    <row r="27024" spans="23:23">
      <c r="W27024" s="503"/>
    </row>
    <row r="27025" spans="23:23">
      <c r="W27025" s="503"/>
    </row>
    <row r="27026" spans="23:23">
      <c r="W27026" s="503"/>
    </row>
    <row r="27027" spans="23:23">
      <c r="W27027" s="503"/>
    </row>
    <row r="27028" spans="23:23">
      <c r="W27028" s="503"/>
    </row>
    <row r="27029" spans="23:23">
      <c r="W27029" s="503"/>
    </row>
    <row r="27030" spans="23:23">
      <c r="W27030" s="503"/>
    </row>
    <row r="27031" spans="23:23">
      <c r="W27031" s="503"/>
    </row>
    <row r="27032" spans="23:23">
      <c r="W27032" s="503"/>
    </row>
    <row r="27033" spans="23:23">
      <c r="W27033" s="503"/>
    </row>
    <row r="27034" spans="23:23">
      <c r="W27034" s="503"/>
    </row>
    <row r="27035" spans="23:23">
      <c r="W27035" s="503"/>
    </row>
    <row r="27036" spans="23:23">
      <c r="W27036" s="503"/>
    </row>
    <row r="27037" spans="23:23">
      <c r="W27037" s="503"/>
    </row>
    <row r="27038" spans="23:23">
      <c r="W27038" s="503"/>
    </row>
    <row r="27039" spans="23:23">
      <c r="W27039" s="503"/>
    </row>
    <row r="27040" spans="23:23">
      <c r="W27040" s="503"/>
    </row>
    <row r="27041" spans="23:23">
      <c r="W27041" s="503"/>
    </row>
    <row r="27042" spans="23:23">
      <c r="W27042" s="503"/>
    </row>
    <row r="27043" spans="23:23">
      <c r="W27043" s="503"/>
    </row>
    <row r="27044" spans="23:23">
      <c r="W27044" s="503"/>
    </row>
    <row r="27045" spans="23:23">
      <c r="W27045" s="503"/>
    </row>
    <row r="27046" spans="23:23">
      <c r="W27046" s="503"/>
    </row>
    <row r="27047" spans="23:23">
      <c r="W27047" s="503"/>
    </row>
    <row r="27048" spans="23:23">
      <c r="W27048" s="503"/>
    </row>
    <row r="27049" spans="23:23">
      <c r="W27049" s="503"/>
    </row>
    <row r="27050" spans="23:23">
      <c r="W27050" s="503"/>
    </row>
    <row r="27051" spans="23:23">
      <c r="W27051" s="503"/>
    </row>
    <row r="27052" spans="23:23">
      <c r="W27052" s="503"/>
    </row>
    <row r="27053" spans="23:23">
      <c r="W27053" s="503"/>
    </row>
    <row r="27054" spans="23:23">
      <c r="W27054" s="503"/>
    </row>
    <row r="27055" spans="23:23">
      <c r="W27055" s="503"/>
    </row>
    <row r="27056" spans="23:23">
      <c r="W27056" s="503"/>
    </row>
    <row r="27057" spans="23:23">
      <c r="W27057" s="503"/>
    </row>
    <row r="27058" spans="23:23">
      <c r="W27058" s="503"/>
    </row>
    <row r="27059" spans="23:23">
      <c r="W27059" s="503"/>
    </row>
    <row r="27060" spans="23:23">
      <c r="W27060" s="503"/>
    </row>
    <row r="27061" spans="23:23">
      <c r="W27061" s="503"/>
    </row>
    <row r="27062" spans="23:23">
      <c r="W27062" s="503"/>
    </row>
    <row r="27063" spans="23:23">
      <c r="W27063" s="503"/>
    </row>
    <row r="27064" spans="23:23">
      <c r="W27064" s="503"/>
    </row>
    <row r="27065" spans="23:23">
      <c r="W27065" s="503"/>
    </row>
    <row r="27066" spans="23:23">
      <c r="W27066" s="503"/>
    </row>
    <row r="27067" spans="23:23">
      <c r="W27067" s="503"/>
    </row>
    <row r="27068" spans="23:23">
      <c r="W27068" s="503"/>
    </row>
    <row r="27069" spans="23:23">
      <c r="W27069" s="503"/>
    </row>
    <row r="27070" spans="23:23">
      <c r="W27070" s="503"/>
    </row>
    <row r="27071" spans="23:23">
      <c r="W27071" s="503"/>
    </row>
    <row r="27072" spans="23:23">
      <c r="W27072" s="503"/>
    </row>
    <row r="27073" spans="23:23">
      <c r="W27073" s="503"/>
    </row>
    <row r="27074" spans="23:23">
      <c r="W27074" s="503"/>
    </row>
    <row r="27075" spans="23:23">
      <c r="W27075" s="503"/>
    </row>
    <row r="27076" spans="23:23">
      <c r="W27076" s="503"/>
    </row>
    <row r="27077" spans="23:23">
      <c r="W27077" s="503"/>
    </row>
    <row r="27078" spans="23:23">
      <c r="W27078" s="503"/>
    </row>
    <row r="27079" spans="23:23">
      <c r="W27079" s="503"/>
    </row>
    <row r="27080" spans="23:23">
      <c r="W27080" s="503"/>
    </row>
    <row r="27081" spans="23:23">
      <c r="W27081" s="503"/>
    </row>
    <row r="27082" spans="23:23">
      <c r="W27082" s="503"/>
    </row>
    <row r="27083" spans="23:23">
      <c r="W27083" s="503"/>
    </row>
    <row r="27084" spans="23:23">
      <c r="W27084" s="503"/>
    </row>
    <row r="27085" spans="23:23">
      <c r="W27085" s="503"/>
    </row>
    <row r="27086" spans="23:23">
      <c r="W27086" s="503"/>
    </row>
    <row r="27087" spans="23:23">
      <c r="W27087" s="503"/>
    </row>
    <row r="27088" spans="23:23">
      <c r="W27088" s="503"/>
    </row>
    <row r="27089" spans="23:23">
      <c r="W27089" s="503"/>
    </row>
    <row r="27090" spans="23:23">
      <c r="W27090" s="503"/>
    </row>
    <row r="27091" spans="23:23">
      <c r="W27091" s="503"/>
    </row>
    <row r="27092" spans="23:23">
      <c r="W27092" s="503"/>
    </row>
    <row r="27093" spans="23:23">
      <c r="W27093" s="503"/>
    </row>
    <row r="27094" spans="23:23">
      <c r="W27094" s="503"/>
    </row>
    <row r="27095" spans="23:23">
      <c r="W27095" s="503"/>
    </row>
    <row r="27096" spans="23:23">
      <c r="W27096" s="503"/>
    </row>
    <row r="27097" spans="23:23">
      <c r="W27097" s="503"/>
    </row>
    <row r="27098" spans="23:23">
      <c r="W27098" s="503"/>
    </row>
    <row r="27099" spans="23:23">
      <c r="W27099" s="503"/>
    </row>
    <row r="27100" spans="23:23">
      <c r="W27100" s="503"/>
    </row>
    <row r="27101" spans="23:23">
      <c r="W27101" s="503"/>
    </row>
    <row r="27102" spans="23:23">
      <c r="W27102" s="503"/>
    </row>
    <row r="27103" spans="23:23">
      <c r="W27103" s="503"/>
    </row>
    <row r="27104" spans="23:23">
      <c r="W27104" s="503"/>
    </row>
    <row r="27105" spans="23:23">
      <c r="W27105" s="503"/>
    </row>
    <row r="27106" spans="23:23">
      <c r="W27106" s="503"/>
    </row>
    <row r="27107" spans="23:23">
      <c r="W27107" s="503"/>
    </row>
    <row r="27108" spans="23:23">
      <c r="W27108" s="503"/>
    </row>
    <row r="27109" spans="23:23">
      <c r="W27109" s="503"/>
    </row>
    <row r="27110" spans="23:23">
      <c r="W27110" s="503"/>
    </row>
    <row r="27111" spans="23:23">
      <c r="W27111" s="503"/>
    </row>
    <row r="27112" spans="23:23">
      <c r="W27112" s="503"/>
    </row>
    <row r="27113" spans="23:23">
      <c r="W27113" s="503"/>
    </row>
    <row r="27114" spans="23:23">
      <c r="W27114" s="503"/>
    </row>
    <row r="27115" spans="23:23">
      <c r="W27115" s="503"/>
    </row>
    <row r="27116" spans="23:23">
      <c r="W27116" s="503"/>
    </row>
    <row r="27117" spans="23:23">
      <c r="W27117" s="503"/>
    </row>
    <row r="27118" spans="23:23">
      <c r="W27118" s="503"/>
    </row>
    <row r="27119" spans="23:23">
      <c r="W27119" s="503"/>
    </row>
    <row r="27120" spans="23:23">
      <c r="W27120" s="503"/>
    </row>
    <row r="27121" spans="23:23">
      <c r="W27121" s="503"/>
    </row>
    <row r="27122" spans="23:23">
      <c r="W27122" s="503"/>
    </row>
    <row r="27123" spans="23:23">
      <c r="W27123" s="503"/>
    </row>
    <row r="27124" spans="23:23">
      <c r="W27124" s="503"/>
    </row>
    <row r="27125" spans="23:23">
      <c r="W27125" s="503"/>
    </row>
    <row r="27126" spans="23:23">
      <c r="W27126" s="503"/>
    </row>
    <row r="27127" spans="23:23">
      <c r="W27127" s="503"/>
    </row>
    <row r="27128" spans="23:23">
      <c r="W27128" s="503"/>
    </row>
    <row r="27129" spans="23:23">
      <c r="W27129" s="503"/>
    </row>
    <row r="27130" spans="23:23">
      <c r="W27130" s="503"/>
    </row>
    <row r="27131" spans="23:23">
      <c r="W27131" s="503"/>
    </row>
    <row r="27132" spans="23:23">
      <c r="W27132" s="503"/>
    </row>
    <row r="27133" spans="23:23">
      <c r="W27133" s="503"/>
    </row>
    <row r="27134" spans="23:23">
      <c r="W27134" s="503"/>
    </row>
    <row r="27135" spans="23:23">
      <c r="W27135" s="503"/>
    </row>
    <row r="27136" spans="23:23">
      <c r="W27136" s="503"/>
    </row>
    <row r="27137" spans="23:23">
      <c r="W27137" s="503"/>
    </row>
    <row r="27138" spans="23:23">
      <c r="W27138" s="503"/>
    </row>
    <row r="27139" spans="23:23">
      <c r="W27139" s="503"/>
    </row>
    <row r="27140" spans="23:23">
      <c r="W27140" s="503"/>
    </row>
    <row r="27141" spans="23:23">
      <c r="W27141" s="503"/>
    </row>
    <row r="27142" spans="23:23">
      <c r="W27142" s="503"/>
    </row>
    <row r="27143" spans="23:23">
      <c r="W27143" s="503"/>
    </row>
    <row r="27144" spans="23:23">
      <c r="W27144" s="503"/>
    </row>
    <row r="27145" spans="23:23">
      <c r="W27145" s="503"/>
    </row>
    <row r="27146" spans="23:23">
      <c r="W27146" s="503"/>
    </row>
    <row r="27147" spans="23:23">
      <c r="W27147" s="503"/>
    </row>
    <row r="27148" spans="23:23">
      <c r="W27148" s="503"/>
    </row>
    <row r="27149" spans="23:23">
      <c r="W27149" s="503"/>
    </row>
    <row r="27150" spans="23:23">
      <c r="W27150" s="503"/>
    </row>
    <row r="27151" spans="23:23">
      <c r="W27151" s="503"/>
    </row>
    <row r="27152" spans="23:23">
      <c r="W27152" s="503"/>
    </row>
    <row r="27153" spans="23:23">
      <c r="W27153" s="503"/>
    </row>
    <row r="27154" spans="23:23">
      <c r="W27154" s="503"/>
    </row>
    <row r="27155" spans="23:23">
      <c r="W27155" s="503"/>
    </row>
    <row r="27156" spans="23:23">
      <c r="W27156" s="503"/>
    </row>
    <row r="27157" spans="23:23">
      <c r="W27157" s="503"/>
    </row>
    <row r="27158" spans="23:23">
      <c r="W27158" s="503"/>
    </row>
    <row r="27159" spans="23:23">
      <c r="W27159" s="503"/>
    </row>
    <row r="27160" spans="23:23">
      <c r="W27160" s="503"/>
    </row>
    <row r="27161" spans="23:23">
      <c r="W27161" s="503"/>
    </row>
    <row r="27162" spans="23:23">
      <c r="W27162" s="503"/>
    </row>
    <row r="27163" spans="23:23">
      <c r="W27163" s="503"/>
    </row>
    <row r="27164" spans="23:23">
      <c r="W27164" s="503"/>
    </row>
    <row r="27165" spans="23:23">
      <c r="W27165" s="503"/>
    </row>
    <row r="27166" spans="23:23">
      <c r="W27166" s="503"/>
    </row>
    <row r="27167" spans="23:23">
      <c r="W27167" s="503"/>
    </row>
    <row r="27168" spans="23:23">
      <c r="W27168" s="503"/>
    </row>
    <row r="27169" spans="23:23">
      <c r="W27169" s="503"/>
    </row>
    <row r="27170" spans="23:23">
      <c r="W27170" s="503"/>
    </row>
    <row r="27171" spans="23:23">
      <c r="W27171" s="503"/>
    </row>
    <row r="27172" spans="23:23">
      <c r="W27172" s="503"/>
    </row>
    <row r="27173" spans="23:23">
      <c r="W27173" s="503"/>
    </row>
    <row r="27174" spans="23:23">
      <c r="W27174" s="503"/>
    </row>
    <row r="27175" spans="23:23">
      <c r="W27175" s="503"/>
    </row>
    <row r="27176" spans="23:23">
      <c r="W27176" s="503"/>
    </row>
    <row r="27177" spans="23:23">
      <c r="W27177" s="503"/>
    </row>
    <row r="27178" spans="23:23">
      <c r="W27178" s="503"/>
    </row>
    <row r="27179" spans="23:23">
      <c r="W27179" s="503"/>
    </row>
    <row r="27180" spans="23:23">
      <c r="W27180" s="503"/>
    </row>
    <row r="27181" spans="23:23">
      <c r="W27181" s="503"/>
    </row>
    <row r="27182" spans="23:23">
      <c r="W27182" s="503"/>
    </row>
    <row r="27183" spans="23:23">
      <c r="W27183" s="503"/>
    </row>
    <row r="27184" spans="23:23">
      <c r="W27184" s="503"/>
    </row>
    <row r="27185" spans="23:23">
      <c r="W27185" s="503"/>
    </row>
    <row r="27186" spans="23:23">
      <c r="W27186" s="503"/>
    </row>
    <row r="27187" spans="23:23">
      <c r="W27187" s="503"/>
    </row>
    <row r="27188" spans="23:23">
      <c r="W27188" s="503"/>
    </row>
    <row r="27189" spans="23:23">
      <c r="W27189" s="503"/>
    </row>
    <row r="27190" spans="23:23">
      <c r="W27190" s="503"/>
    </row>
    <row r="27191" spans="23:23">
      <c r="W27191" s="503"/>
    </row>
    <row r="27192" spans="23:23">
      <c r="W27192" s="503"/>
    </row>
    <row r="27193" spans="23:23">
      <c r="W27193" s="503"/>
    </row>
    <row r="27194" spans="23:23">
      <c r="W27194" s="503"/>
    </row>
    <row r="27195" spans="23:23">
      <c r="W27195" s="503"/>
    </row>
    <row r="27196" spans="23:23">
      <c r="W27196" s="503"/>
    </row>
    <row r="27197" spans="23:23">
      <c r="W27197" s="503"/>
    </row>
    <row r="27198" spans="23:23">
      <c r="W27198" s="503"/>
    </row>
    <row r="27199" spans="23:23">
      <c r="W27199" s="503"/>
    </row>
    <row r="27200" spans="23:23">
      <c r="W27200" s="503"/>
    </row>
    <row r="27201" spans="23:23">
      <c r="W27201" s="503"/>
    </row>
    <row r="27202" spans="23:23">
      <c r="W27202" s="503"/>
    </row>
    <row r="27203" spans="23:23">
      <c r="W27203" s="503"/>
    </row>
    <row r="27204" spans="23:23">
      <c r="W27204" s="503"/>
    </row>
    <row r="27205" spans="23:23">
      <c r="W27205" s="503"/>
    </row>
    <row r="27206" spans="23:23">
      <c r="W27206" s="503"/>
    </row>
    <row r="27207" spans="23:23">
      <c r="W27207" s="503"/>
    </row>
    <row r="27208" spans="23:23">
      <c r="W27208" s="503"/>
    </row>
    <row r="27209" spans="23:23">
      <c r="W27209" s="503"/>
    </row>
    <row r="27210" spans="23:23">
      <c r="W27210" s="503"/>
    </row>
    <row r="27211" spans="23:23">
      <c r="W27211" s="503"/>
    </row>
    <row r="27212" spans="23:23">
      <c r="W27212" s="503"/>
    </row>
    <row r="27213" spans="23:23">
      <c r="W27213" s="503"/>
    </row>
    <row r="27214" spans="23:23">
      <c r="W27214" s="503"/>
    </row>
    <row r="27215" spans="23:23">
      <c r="W27215" s="503"/>
    </row>
    <row r="27216" spans="23:23">
      <c r="W27216" s="503"/>
    </row>
    <row r="27217" spans="23:23">
      <c r="W27217" s="503"/>
    </row>
    <row r="27218" spans="23:23">
      <c r="W27218" s="503"/>
    </row>
    <row r="27219" spans="23:23">
      <c r="W27219" s="503"/>
    </row>
    <row r="27220" spans="23:23">
      <c r="W27220" s="503"/>
    </row>
    <row r="27221" spans="23:23">
      <c r="W27221" s="503"/>
    </row>
    <row r="27222" spans="23:23">
      <c r="W27222" s="503"/>
    </row>
    <row r="27223" spans="23:23">
      <c r="W27223" s="503"/>
    </row>
    <row r="27224" spans="23:23">
      <c r="W27224" s="503"/>
    </row>
    <row r="27225" spans="23:23">
      <c r="W27225" s="503"/>
    </row>
    <row r="27226" spans="23:23">
      <c r="W27226" s="503"/>
    </row>
    <row r="27227" spans="23:23">
      <c r="W27227" s="503"/>
    </row>
    <row r="27228" spans="23:23">
      <c r="W27228" s="503"/>
    </row>
    <row r="27229" spans="23:23">
      <c r="W27229" s="503"/>
    </row>
    <row r="27230" spans="23:23">
      <c r="W27230" s="503"/>
    </row>
    <row r="27231" spans="23:23">
      <c r="W27231" s="503"/>
    </row>
    <row r="27232" spans="23:23">
      <c r="W27232" s="503"/>
    </row>
    <row r="27233" spans="23:23">
      <c r="W27233" s="503"/>
    </row>
    <row r="27234" spans="23:23">
      <c r="W27234" s="503"/>
    </row>
    <row r="27235" spans="23:23">
      <c r="W27235" s="503"/>
    </row>
    <row r="27236" spans="23:23">
      <c r="W27236" s="503"/>
    </row>
    <row r="27237" spans="23:23">
      <c r="W27237" s="503"/>
    </row>
    <row r="27238" spans="23:23">
      <c r="W27238" s="503"/>
    </row>
    <row r="27239" spans="23:23">
      <c r="W27239" s="503"/>
    </row>
    <row r="27240" spans="23:23">
      <c r="W27240" s="503"/>
    </row>
    <row r="27241" spans="23:23">
      <c r="W27241" s="503"/>
    </row>
    <row r="27242" spans="23:23">
      <c r="W27242" s="503"/>
    </row>
    <row r="27243" spans="23:23">
      <c r="W27243" s="503"/>
    </row>
    <row r="27244" spans="23:23">
      <c r="W27244" s="503"/>
    </row>
    <row r="27245" spans="23:23">
      <c r="W27245" s="503"/>
    </row>
    <row r="27246" spans="23:23">
      <c r="W27246" s="503"/>
    </row>
    <row r="27247" spans="23:23">
      <c r="W27247" s="503"/>
    </row>
    <row r="27248" spans="23:23">
      <c r="W27248" s="503"/>
    </row>
    <row r="27249" spans="23:23">
      <c r="W27249" s="503"/>
    </row>
    <row r="27250" spans="23:23">
      <c r="W27250" s="503"/>
    </row>
    <row r="27251" spans="23:23">
      <c r="W27251" s="503"/>
    </row>
    <row r="27252" spans="23:23">
      <c r="W27252" s="503"/>
    </row>
    <row r="27253" spans="23:23">
      <c r="W27253" s="503"/>
    </row>
    <row r="27254" spans="23:23">
      <c r="W27254" s="503"/>
    </row>
    <row r="27255" spans="23:23">
      <c r="W27255" s="503"/>
    </row>
    <row r="27256" spans="23:23">
      <c r="W27256" s="503"/>
    </row>
    <row r="27257" spans="23:23">
      <c r="W27257" s="503"/>
    </row>
    <row r="27258" spans="23:23">
      <c r="W27258" s="503"/>
    </row>
    <row r="27259" spans="23:23">
      <c r="W27259" s="503"/>
    </row>
    <row r="27260" spans="23:23">
      <c r="W27260" s="503"/>
    </row>
    <row r="27261" spans="23:23">
      <c r="W27261" s="503"/>
    </row>
    <row r="27262" spans="23:23">
      <c r="W27262" s="503"/>
    </row>
    <row r="27263" spans="23:23">
      <c r="W27263" s="503"/>
    </row>
    <row r="27264" spans="23:23">
      <c r="W27264" s="503"/>
    </row>
    <row r="27265" spans="23:23">
      <c r="W27265" s="503"/>
    </row>
    <row r="27266" spans="23:23">
      <c r="W27266" s="503"/>
    </row>
    <row r="27267" spans="23:23">
      <c r="W27267" s="503"/>
    </row>
    <row r="27268" spans="23:23">
      <c r="W27268" s="503"/>
    </row>
    <row r="27269" spans="23:23">
      <c r="W27269" s="503"/>
    </row>
    <row r="27270" spans="23:23">
      <c r="W27270" s="503"/>
    </row>
    <row r="27271" spans="23:23">
      <c r="W27271" s="503"/>
    </row>
    <row r="27272" spans="23:23">
      <c r="W27272" s="503"/>
    </row>
    <row r="27273" spans="23:23">
      <c r="W27273" s="503"/>
    </row>
    <row r="27274" spans="23:23">
      <c r="W27274" s="503"/>
    </row>
    <row r="27275" spans="23:23">
      <c r="W27275" s="503"/>
    </row>
    <row r="27276" spans="23:23">
      <c r="W27276" s="503"/>
    </row>
    <row r="27277" spans="23:23">
      <c r="W27277" s="503"/>
    </row>
    <row r="27278" spans="23:23">
      <c r="W27278" s="503"/>
    </row>
    <row r="27279" spans="23:23">
      <c r="W27279" s="503"/>
    </row>
    <row r="27280" spans="23:23">
      <c r="W27280" s="503"/>
    </row>
    <row r="27281" spans="23:23">
      <c r="W27281" s="503"/>
    </row>
    <row r="27282" spans="23:23">
      <c r="W27282" s="503"/>
    </row>
    <row r="27283" spans="23:23">
      <c r="W27283" s="503"/>
    </row>
    <row r="27284" spans="23:23">
      <c r="W27284" s="503"/>
    </row>
    <row r="27285" spans="23:23">
      <c r="W27285" s="503"/>
    </row>
    <row r="27286" spans="23:23">
      <c r="W27286" s="503"/>
    </row>
    <row r="27287" spans="23:23">
      <c r="W27287" s="503"/>
    </row>
    <row r="27288" spans="23:23">
      <c r="W27288" s="503"/>
    </row>
    <row r="27289" spans="23:23">
      <c r="W27289" s="503"/>
    </row>
    <row r="27290" spans="23:23">
      <c r="W27290" s="503"/>
    </row>
    <row r="27291" spans="23:23">
      <c r="W27291" s="503"/>
    </row>
    <row r="27292" spans="23:23">
      <c r="W27292" s="503"/>
    </row>
    <row r="27293" spans="23:23">
      <c r="W27293" s="503"/>
    </row>
    <row r="27294" spans="23:23">
      <c r="W27294" s="503"/>
    </row>
    <row r="27295" spans="23:23">
      <c r="W27295" s="503"/>
    </row>
    <row r="27296" spans="23:23">
      <c r="W27296" s="503"/>
    </row>
    <row r="27297" spans="23:23">
      <c r="W27297" s="503"/>
    </row>
    <row r="27298" spans="23:23">
      <c r="W27298" s="503"/>
    </row>
    <row r="27299" spans="23:23">
      <c r="W27299" s="503"/>
    </row>
    <row r="27300" spans="23:23">
      <c r="W27300" s="503"/>
    </row>
    <row r="27301" spans="23:23">
      <c r="W27301" s="503"/>
    </row>
    <row r="27302" spans="23:23">
      <c r="W27302" s="503"/>
    </row>
    <row r="27303" spans="23:23">
      <c r="W27303" s="503"/>
    </row>
    <row r="27304" spans="23:23">
      <c r="W27304" s="503"/>
    </row>
    <row r="27305" spans="23:23">
      <c r="W27305" s="503"/>
    </row>
    <row r="27306" spans="23:23">
      <c r="W27306" s="503"/>
    </row>
    <row r="27307" spans="23:23">
      <c r="W27307" s="503"/>
    </row>
    <row r="27308" spans="23:23">
      <c r="W27308" s="503"/>
    </row>
    <row r="27309" spans="23:23">
      <c r="W27309" s="503"/>
    </row>
    <row r="27310" spans="23:23">
      <c r="W27310" s="503"/>
    </row>
    <row r="27311" spans="23:23">
      <c r="W27311" s="503"/>
    </row>
    <row r="27312" spans="23:23">
      <c r="W27312" s="503"/>
    </row>
    <row r="27313" spans="23:23">
      <c r="W27313" s="503"/>
    </row>
    <row r="27314" spans="23:23">
      <c r="W27314" s="503"/>
    </row>
    <row r="27315" spans="23:23">
      <c r="W27315" s="503"/>
    </row>
    <row r="27316" spans="23:23">
      <c r="W27316" s="503"/>
    </row>
    <row r="27317" spans="23:23">
      <c r="W27317" s="503"/>
    </row>
    <row r="27318" spans="23:23">
      <c r="W27318" s="503"/>
    </row>
    <row r="27319" spans="23:23">
      <c r="W27319" s="503"/>
    </row>
    <row r="27320" spans="23:23">
      <c r="W27320" s="503"/>
    </row>
    <row r="27321" spans="23:23">
      <c r="W27321" s="503"/>
    </row>
    <row r="27322" spans="23:23">
      <c r="W27322" s="503"/>
    </row>
    <row r="27323" spans="23:23">
      <c r="W27323" s="503"/>
    </row>
    <row r="27324" spans="23:23">
      <c r="W27324" s="503"/>
    </row>
    <row r="27325" spans="23:23">
      <c r="W27325" s="503"/>
    </row>
    <row r="27326" spans="23:23">
      <c r="W27326" s="503"/>
    </row>
    <row r="27327" spans="23:23">
      <c r="W27327" s="503"/>
    </row>
    <row r="27328" spans="23:23">
      <c r="W27328" s="503"/>
    </row>
    <row r="27329" spans="23:23">
      <c r="W27329" s="503"/>
    </row>
    <row r="27330" spans="23:23">
      <c r="W27330" s="503"/>
    </row>
    <row r="27331" spans="23:23">
      <c r="W27331" s="503"/>
    </row>
    <row r="27332" spans="23:23">
      <c r="W27332" s="503"/>
    </row>
    <row r="27333" spans="23:23">
      <c r="W27333" s="503"/>
    </row>
    <row r="27334" spans="23:23">
      <c r="W27334" s="503"/>
    </row>
    <row r="27335" spans="23:23">
      <c r="W27335" s="503"/>
    </row>
    <row r="27336" spans="23:23">
      <c r="W27336" s="503"/>
    </row>
    <row r="27337" spans="23:23">
      <c r="W27337" s="503"/>
    </row>
    <row r="27338" spans="23:23">
      <c r="W27338" s="503"/>
    </row>
    <row r="27339" spans="23:23">
      <c r="W27339" s="503"/>
    </row>
    <row r="27340" spans="23:23">
      <c r="W27340" s="503"/>
    </row>
    <row r="27341" spans="23:23">
      <c r="W27341" s="503"/>
    </row>
    <row r="27342" spans="23:23">
      <c r="W27342" s="503"/>
    </row>
    <row r="27343" spans="23:23">
      <c r="W27343" s="503"/>
    </row>
    <row r="27344" spans="23:23">
      <c r="W27344" s="503"/>
    </row>
    <row r="27345" spans="23:23">
      <c r="W27345" s="503"/>
    </row>
    <row r="27346" spans="23:23">
      <c r="W27346" s="503"/>
    </row>
    <row r="27347" spans="23:23">
      <c r="W27347" s="503"/>
    </row>
    <row r="27348" spans="23:23">
      <c r="W27348" s="503"/>
    </row>
    <row r="27349" spans="23:23">
      <c r="W27349" s="503"/>
    </row>
    <row r="27350" spans="23:23">
      <c r="W27350" s="503"/>
    </row>
    <row r="27351" spans="23:23">
      <c r="W27351" s="503"/>
    </row>
    <row r="27352" spans="23:23">
      <c r="W27352" s="503"/>
    </row>
    <row r="27353" spans="23:23">
      <c r="W27353" s="503"/>
    </row>
    <row r="27354" spans="23:23">
      <c r="W27354" s="503"/>
    </row>
    <row r="27355" spans="23:23">
      <c r="W27355" s="503"/>
    </row>
    <row r="27356" spans="23:23">
      <c r="W27356" s="503"/>
    </row>
    <row r="27357" spans="23:23">
      <c r="W27357" s="503"/>
    </row>
    <row r="27358" spans="23:23">
      <c r="W27358" s="503"/>
    </row>
    <row r="27359" spans="23:23">
      <c r="W27359" s="503"/>
    </row>
    <row r="27360" spans="23:23">
      <c r="W27360" s="503"/>
    </row>
    <row r="27361" spans="23:23">
      <c r="W27361" s="503"/>
    </row>
    <row r="27362" spans="23:23">
      <c r="W27362" s="503"/>
    </row>
    <row r="27363" spans="23:23">
      <c r="W27363" s="503"/>
    </row>
    <row r="27364" spans="23:23">
      <c r="W27364" s="503"/>
    </row>
    <row r="27365" spans="23:23">
      <c r="W27365" s="503"/>
    </row>
    <row r="27366" spans="23:23">
      <c r="W27366" s="503"/>
    </row>
    <row r="27367" spans="23:23">
      <c r="W27367" s="503"/>
    </row>
    <row r="27368" spans="23:23">
      <c r="W27368" s="503"/>
    </row>
    <row r="27369" spans="23:23">
      <c r="W27369" s="503"/>
    </row>
    <row r="27370" spans="23:23">
      <c r="W27370" s="503"/>
    </row>
    <row r="27371" spans="23:23">
      <c r="W27371" s="503"/>
    </row>
    <row r="27372" spans="23:23">
      <c r="W27372" s="503"/>
    </row>
    <row r="27373" spans="23:23">
      <c r="W27373" s="503"/>
    </row>
    <row r="27374" spans="23:23">
      <c r="W27374" s="503"/>
    </row>
    <row r="27375" spans="23:23">
      <c r="W27375" s="503"/>
    </row>
    <row r="27376" spans="23:23">
      <c r="W27376" s="503"/>
    </row>
    <row r="27377" spans="23:23">
      <c r="W27377" s="503"/>
    </row>
    <row r="27378" spans="23:23">
      <c r="W27378" s="503"/>
    </row>
    <row r="27379" spans="23:23">
      <c r="W27379" s="503"/>
    </row>
    <row r="27380" spans="23:23">
      <c r="W27380" s="503"/>
    </row>
    <row r="27381" spans="23:23">
      <c r="W27381" s="503"/>
    </row>
    <row r="27382" spans="23:23">
      <c r="W27382" s="503"/>
    </row>
    <row r="27383" spans="23:23">
      <c r="W27383" s="503"/>
    </row>
    <row r="27384" spans="23:23">
      <c r="W27384" s="503"/>
    </row>
    <row r="27385" spans="23:23">
      <c r="W27385" s="503"/>
    </row>
    <row r="27386" spans="23:23">
      <c r="W27386" s="503"/>
    </row>
    <row r="27387" spans="23:23">
      <c r="W27387" s="503"/>
    </row>
    <row r="27388" spans="23:23">
      <c r="W27388" s="503"/>
    </row>
    <row r="27389" spans="23:23">
      <c r="W27389" s="503"/>
    </row>
    <row r="27390" spans="23:23">
      <c r="W27390" s="503"/>
    </row>
    <row r="27391" spans="23:23">
      <c r="W27391" s="503"/>
    </row>
    <row r="27392" spans="23:23">
      <c r="W27392" s="503"/>
    </row>
    <row r="27393" spans="23:23">
      <c r="W27393" s="503"/>
    </row>
    <row r="27394" spans="23:23">
      <c r="W27394" s="503"/>
    </row>
    <row r="27395" spans="23:23">
      <c r="W27395" s="503"/>
    </row>
    <row r="27396" spans="23:23">
      <c r="W27396" s="503"/>
    </row>
    <row r="27397" spans="23:23">
      <c r="W27397" s="503"/>
    </row>
    <row r="27398" spans="23:23">
      <c r="W27398" s="503"/>
    </row>
    <row r="27399" spans="23:23">
      <c r="W27399" s="503"/>
    </row>
    <row r="27400" spans="23:23">
      <c r="W27400" s="503"/>
    </row>
    <row r="27401" spans="23:23">
      <c r="W27401" s="503"/>
    </row>
    <row r="27402" spans="23:23">
      <c r="W27402" s="503"/>
    </row>
    <row r="27403" spans="23:23">
      <c r="W27403" s="503"/>
    </row>
    <row r="27404" spans="23:23">
      <c r="W27404" s="503"/>
    </row>
    <row r="27405" spans="23:23">
      <c r="W27405" s="503"/>
    </row>
    <row r="27406" spans="23:23">
      <c r="W27406" s="503"/>
    </row>
    <row r="27407" spans="23:23">
      <c r="W27407" s="503"/>
    </row>
    <row r="27408" spans="23:23">
      <c r="W27408" s="503"/>
    </row>
    <row r="27409" spans="23:23">
      <c r="W27409" s="503"/>
    </row>
    <row r="27410" spans="23:23">
      <c r="W27410" s="503"/>
    </row>
    <row r="27411" spans="23:23">
      <c r="W27411" s="503"/>
    </row>
    <row r="27412" spans="23:23">
      <c r="W27412" s="503"/>
    </row>
    <row r="27413" spans="23:23">
      <c r="W27413" s="503"/>
    </row>
    <row r="27414" spans="23:23">
      <c r="W27414" s="503"/>
    </row>
    <row r="27415" spans="23:23">
      <c r="W27415" s="503"/>
    </row>
    <row r="27416" spans="23:23">
      <c r="W27416" s="503"/>
    </row>
    <row r="27417" spans="23:23">
      <c r="W27417" s="503"/>
    </row>
    <row r="27418" spans="23:23">
      <c r="W27418" s="503"/>
    </row>
    <row r="27419" spans="23:23">
      <c r="W27419" s="503"/>
    </row>
    <row r="27420" spans="23:23">
      <c r="W27420" s="503"/>
    </row>
    <row r="27421" spans="23:23">
      <c r="W27421" s="503"/>
    </row>
    <row r="27422" spans="23:23">
      <c r="W27422" s="503"/>
    </row>
    <row r="27423" spans="23:23">
      <c r="W27423" s="503"/>
    </row>
    <row r="27424" spans="23:23">
      <c r="W27424" s="503"/>
    </row>
    <row r="27425" spans="23:23">
      <c r="W27425" s="503"/>
    </row>
    <row r="27426" spans="23:23">
      <c r="W27426" s="503"/>
    </row>
    <row r="27427" spans="23:23">
      <c r="W27427" s="503"/>
    </row>
    <row r="27428" spans="23:23">
      <c r="W27428" s="503"/>
    </row>
    <row r="27429" spans="23:23">
      <c r="W27429" s="503"/>
    </row>
    <row r="27430" spans="23:23">
      <c r="W27430" s="503"/>
    </row>
    <row r="27431" spans="23:23">
      <c r="W27431" s="503"/>
    </row>
    <row r="27432" spans="23:23">
      <c r="W27432" s="503"/>
    </row>
    <row r="27433" spans="23:23">
      <c r="W27433" s="503"/>
    </row>
    <row r="27434" spans="23:23">
      <c r="W27434" s="503"/>
    </row>
    <row r="27435" spans="23:23">
      <c r="W27435" s="503"/>
    </row>
    <row r="27436" spans="23:23">
      <c r="W27436" s="503"/>
    </row>
    <row r="27437" spans="23:23">
      <c r="W27437" s="503"/>
    </row>
    <row r="27438" spans="23:23">
      <c r="W27438" s="503"/>
    </row>
    <row r="27439" spans="23:23">
      <c r="W27439" s="503"/>
    </row>
    <row r="27440" spans="23:23">
      <c r="W27440" s="503"/>
    </row>
    <row r="27441" spans="23:23">
      <c r="W27441" s="503"/>
    </row>
    <row r="27442" spans="23:23">
      <c r="W27442" s="503"/>
    </row>
    <row r="27443" spans="23:23">
      <c r="W27443" s="503"/>
    </row>
    <row r="27444" spans="23:23">
      <c r="W27444" s="503"/>
    </row>
    <row r="27445" spans="23:23">
      <c r="W27445" s="503"/>
    </row>
    <row r="27446" spans="23:23">
      <c r="W27446" s="503"/>
    </row>
    <row r="27447" spans="23:23">
      <c r="W27447" s="503"/>
    </row>
    <row r="27448" spans="23:23">
      <c r="W27448" s="503"/>
    </row>
    <row r="27449" spans="23:23">
      <c r="W27449" s="503"/>
    </row>
    <row r="27450" spans="23:23">
      <c r="W27450" s="503"/>
    </row>
    <row r="27451" spans="23:23">
      <c r="W27451" s="503"/>
    </row>
    <row r="27452" spans="23:23">
      <c r="W27452" s="503"/>
    </row>
    <row r="27453" spans="23:23">
      <c r="W27453" s="503"/>
    </row>
    <row r="27454" spans="23:23">
      <c r="W27454" s="503"/>
    </row>
    <row r="27455" spans="23:23">
      <c r="W27455" s="503"/>
    </row>
    <row r="27456" spans="23:23">
      <c r="W27456" s="503"/>
    </row>
    <row r="27457" spans="23:23">
      <c r="W27457" s="503"/>
    </row>
    <row r="27458" spans="23:23">
      <c r="W27458" s="503"/>
    </row>
    <row r="27459" spans="23:23">
      <c r="W27459" s="503"/>
    </row>
    <row r="27460" spans="23:23">
      <c r="W27460" s="503"/>
    </row>
    <row r="27461" spans="23:23">
      <c r="W27461" s="503"/>
    </row>
    <row r="27462" spans="23:23">
      <c r="W27462" s="503"/>
    </row>
    <row r="27463" spans="23:23">
      <c r="W27463" s="503"/>
    </row>
    <row r="27464" spans="23:23">
      <c r="W27464" s="503"/>
    </row>
    <row r="27465" spans="23:23">
      <c r="W27465" s="503"/>
    </row>
    <row r="27466" spans="23:23">
      <c r="W27466" s="503"/>
    </row>
    <row r="27467" spans="23:23">
      <c r="W27467" s="503"/>
    </row>
    <row r="27468" spans="23:23">
      <c r="W27468" s="503"/>
    </row>
    <row r="27469" spans="23:23">
      <c r="W27469" s="503"/>
    </row>
    <row r="27470" spans="23:23">
      <c r="W27470" s="503"/>
    </row>
    <row r="27471" spans="23:23">
      <c r="W27471" s="503"/>
    </row>
    <row r="27472" spans="23:23">
      <c r="W27472" s="503"/>
    </row>
    <row r="27473" spans="23:23">
      <c r="W27473" s="503"/>
    </row>
    <row r="27474" spans="23:23">
      <c r="W27474" s="503"/>
    </row>
    <row r="27475" spans="23:23">
      <c r="W27475" s="503"/>
    </row>
    <row r="27476" spans="23:23">
      <c r="W27476" s="503"/>
    </row>
    <row r="27477" spans="23:23">
      <c r="W27477" s="503"/>
    </row>
    <row r="27478" spans="23:23">
      <c r="W27478" s="503"/>
    </row>
    <row r="27479" spans="23:23">
      <c r="W27479" s="503"/>
    </row>
    <row r="27480" spans="23:23">
      <c r="W27480" s="503"/>
    </row>
    <row r="27481" spans="23:23">
      <c r="W27481" s="503"/>
    </row>
    <row r="27482" spans="23:23">
      <c r="W27482" s="503"/>
    </row>
    <row r="27483" spans="23:23">
      <c r="W27483" s="503"/>
    </row>
    <row r="27484" spans="23:23">
      <c r="W27484" s="503"/>
    </row>
    <row r="27485" spans="23:23">
      <c r="W27485" s="503"/>
    </row>
    <row r="27486" spans="23:23">
      <c r="W27486" s="503"/>
    </row>
    <row r="27487" spans="23:23">
      <c r="W27487" s="503"/>
    </row>
    <row r="27488" spans="23:23">
      <c r="W27488" s="503"/>
    </row>
    <row r="27489" spans="23:23">
      <c r="W27489" s="503"/>
    </row>
    <row r="27490" spans="23:23">
      <c r="W27490" s="503"/>
    </row>
    <row r="27491" spans="23:23">
      <c r="W27491" s="503"/>
    </row>
    <row r="27492" spans="23:23">
      <c r="W27492" s="503"/>
    </row>
    <row r="27493" spans="23:23">
      <c r="W27493" s="503"/>
    </row>
    <row r="27494" spans="23:23">
      <c r="W27494" s="503"/>
    </row>
    <row r="27495" spans="23:23">
      <c r="W27495" s="503"/>
    </row>
    <row r="27496" spans="23:23">
      <c r="W27496" s="503"/>
    </row>
    <row r="27497" spans="23:23">
      <c r="W27497" s="503"/>
    </row>
    <row r="27498" spans="23:23">
      <c r="W27498" s="503"/>
    </row>
    <row r="27499" spans="23:23">
      <c r="W27499" s="503"/>
    </row>
    <row r="27500" spans="23:23">
      <c r="W27500" s="503"/>
    </row>
    <row r="27501" spans="23:23">
      <c r="W27501" s="503"/>
    </row>
    <row r="27502" spans="23:23">
      <c r="W27502" s="503"/>
    </row>
    <row r="27503" spans="23:23">
      <c r="W27503" s="503"/>
    </row>
    <row r="27504" spans="23:23">
      <c r="W27504" s="503"/>
    </row>
    <row r="27505" spans="23:23">
      <c r="W27505" s="503"/>
    </row>
    <row r="27506" spans="23:23">
      <c r="W27506" s="503"/>
    </row>
    <row r="27507" spans="23:23">
      <c r="W27507" s="503"/>
    </row>
    <row r="27508" spans="23:23">
      <c r="W27508" s="503"/>
    </row>
    <row r="27509" spans="23:23">
      <c r="W27509" s="503"/>
    </row>
    <row r="27510" spans="23:23">
      <c r="W27510" s="503"/>
    </row>
    <row r="27511" spans="23:23">
      <c r="W27511" s="503"/>
    </row>
    <row r="27512" spans="23:23">
      <c r="W27512" s="503"/>
    </row>
    <row r="27513" spans="23:23">
      <c r="W27513" s="503"/>
    </row>
    <row r="27514" spans="23:23">
      <c r="W27514" s="503"/>
    </row>
    <row r="27515" spans="23:23">
      <c r="W27515" s="503"/>
    </row>
    <row r="27516" spans="23:23">
      <c r="W27516" s="503"/>
    </row>
    <row r="27517" spans="23:23">
      <c r="W27517" s="503"/>
    </row>
    <row r="27518" spans="23:23">
      <c r="W27518" s="503"/>
    </row>
    <row r="27519" spans="23:23">
      <c r="W27519" s="503"/>
    </row>
    <row r="27520" spans="23:23">
      <c r="W27520" s="503"/>
    </row>
    <row r="27521" spans="23:23">
      <c r="W27521" s="503"/>
    </row>
    <row r="27522" spans="23:23">
      <c r="W27522" s="503"/>
    </row>
    <row r="27523" spans="23:23">
      <c r="W27523" s="503"/>
    </row>
    <row r="27524" spans="23:23">
      <c r="W27524" s="503"/>
    </row>
    <row r="27525" spans="23:23">
      <c r="W27525" s="503"/>
    </row>
    <row r="27526" spans="23:23">
      <c r="W27526" s="503"/>
    </row>
    <row r="27527" spans="23:23">
      <c r="W27527" s="503"/>
    </row>
    <row r="27528" spans="23:23">
      <c r="W27528" s="503"/>
    </row>
    <row r="27529" spans="23:23">
      <c r="W27529" s="503"/>
    </row>
    <row r="27530" spans="23:23">
      <c r="W27530" s="503"/>
    </row>
    <row r="27531" spans="23:23">
      <c r="W27531" s="503"/>
    </row>
    <row r="27532" spans="23:23">
      <c r="W27532" s="503"/>
    </row>
    <row r="27533" spans="23:23">
      <c r="W27533" s="503"/>
    </row>
    <row r="27534" spans="23:23">
      <c r="W27534" s="503"/>
    </row>
    <row r="27535" spans="23:23">
      <c r="W27535" s="503"/>
    </row>
    <row r="27536" spans="23:23">
      <c r="W27536" s="503"/>
    </row>
    <row r="27537" spans="23:23">
      <c r="W27537" s="503"/>
    </row>
    <row r="27538" spans="23:23">
      <c r="W27538" s="503"/>
    </row>
    <row r="27539" spans="23:23">
      <c r="W27539" s="503"/>
    </row>
    <row r="27540" spans="23:23">
      <c r="W27540" s="503"/>
    </row>
    <row r="27541" spans="23:23">
      <c r="W27541" s="503"/>
    </row>
    <row r="27542" spans="23:23">
      <c r="W27542" s="503"/>
    </row>
    <row r="27543" spans="23:23">
      <c r="W27543" s="503"/>
    </row>
    <row r="27544" spans="23:23">
      <c r="W27544" s="503"/>
    </row>
    <row r="27545" spans="23:23">
      <c r="W27545" s="503"/>
    </row>
    <row r="27546" spans="23:23">
      <c r="W27546" s="503"/>
    </row>
    <row r="27547" spans="23:23">
      <c r="W27547" s="503"/>
    </row>
    <row r="27548" spans="23:23">
      <c r="W27548" s="503"/>
    </row>
    <row r="27549" spans="23:23">
      <c r="W27549" s="503"/>
    </row>
    <row r="27550" spans="23:23">
      <c r="W27550" s="503"/>
    </row>
    <row r="27551" spans="23:23">
      <c r="W27551" s="503"/>
    </row>
    <row r="27552" spans="23:23">
      <c r="W27552" s="503"/>
    </row>
    <row r="27553" spans="23:23">
      <c r="W27553" s="503"/>
    </row>
    <row r="27554" spans="23:23">
      <c r="W27554" s="503"/>
    </row>
    <row r="27555" spans="23:23">
      <c r="W27555" s="503"/>
    </row>
    <row r="27556" spans="23:23">
      <c r="W27556" s="503"/>
    </row>
    <row r="27557" spans="23:23">
      <c r="W27557" s="503"/>
    </row>
    <row r="27558" spans="23:23">
      <c r="W27558" s="503"/>
    </row>
    <row r="27559" spans="23:23">
      <c r="W27559" s="503"/>
    </row>
    <row r="27560" spans="23:23">
      <c r="W27560" s="503"/>
    </row>
    <row r="27561" spans="23:23">
      <c r="W27561" s="503"/>
    </row>
    <row r="27562" spans="23:23">
      <c r="W27562" s="503"/>
    </row>
    <row r="27563" spans="23:23">
      <c r="W27563" s="503"/>
    </row>
    <row r="27564" spans="23:23">
      <c r="W27564" s="503"/>
    </row>
    <row r="27565" spans="23:23">
      <c r="W27565" s="503"/>
    </row>
    <row r="27566" spans="23:23">
      <c r="W27566" s="503"/>
    </row>
    <row r="27567" spans="23:23">
      <c r="W27567" s="503"/>
    </row>
    <row r="27568" spans="23:23">
      <c r="W27568" s="503"/>
    </row>
    <row r="27569" spans="23:23">
      <c r="W27569" s="503"/>
    </row>
    <row r="27570" spans="23:23">
      <c r="W27570" s="503"/>
    </row>
    <row r="27571" spans="23:23">
      <c r="W27571" s="503"/>
    </row>
    <row r="27572" spans="23:23">
      <c r="W27572" s="503"/>
    </row>
    <row r="27573" spans="23:23">
      <c r="W27573" s="503"/>
    </row>
    <row r="27574" spans="23:23">
      <c r="W27574" s="503"/>
    </row>
    <row r="27575" spans="23:23">
      <c r="W27575" s="503"/>
    </row>
    <row r="27576" spans="23:23">
      <c r="W27576" s="503"/>
    </row>
    <row r="27577" spans="23:23">
      <c r="W27577" s="503"/>
    </row>
    <row r="27578" spans="23:23">
      <c r="W27578" s="503"/>
    </row>
    <row r="27579" spans="23:23">
      <c r="W27579" s="503"/>
    </row>
    <row r="27580" spans="23:23">
      <c r="W27580" s="503"/>
    </row>
    <row r="27581" spans="23:23">
      <c r="W27581" s="503"/>
    </row>
    <row r="27582" spans="23:23">
      <c r="W27582" s="503"/>
    </row>
    <row r="27583" spans="23:23">
      <c r="W27583" s="503"/>
    </row>
    <row r="27584" spans="23:23">
      <c r="W27584" s="503"/>
    </row>
    <row r="27585" spans="23:23">
      <c r="W27585" s="503"/>
    </row>
    <row r="27586" spans="23:23">
      <c r="W27586" s="503"/>
    </row>
    <row r="27587" spans="23:23">
      <c r="W27587" s="503"/>
    </row>
    <row r="27588" spans="23:23">
      <c r="W27588" s="503"/>
    </row>
    <row r="27589" spans="23:23">
      <c r="W27589" s="503"/>
    </row>
    <row r="27590" spans="23:23">
      <c r="W27590" s="503"/>
    </row>
    <row r="27591" spans="23:23">
      <c r="W27591" s="503"/>
    </row>
    <row r="27592" spans="23:23">
      <c r="W27592" s="503"/>
    </row>
    <row r="27593" spans="23:23">
      <c r="W27593" s="503"/>
    </row>
    <row r="27594" spans="23:23">
      <c r="W27594" s="503"/>
    </row>
    <row r="27595" spans="23:23">
      <c r="W27595" s="503"/>
    </row>
    <row r="27596" spans="23:23">
      <c r="W27596" s="503"/>
    </row>
    <row r="27597" spans="23:23">
      <c r="W27597" s="503"/>
    </row>
    <row r="27598" spans="23:23">
      <c r="W27598" s="503"/>
    </row>
    <row r="27599" spans="23:23">
      <c r="W27599" s="503"/>
    </row>
    <row r="27600" spans="23:23">
      <c r="W27600" s="503"/>
    </row>
    <row r="27601" spans="23:23">
      <c r="W27601" s="503"/>
    </row>
    <row r="27602" spans="23:23">
      <c r="W27602" s="503"/>
    </row>
    <row r="27603" spans="23:23">
      <c r="W27603" s="503"/>
    </row>
    <row r="27604" spans="23:23">
      <c r="W27604" s="503"/>
    </row>
    <row r="27605" spans="23:23">
      <c r="W27605" s="503"/>
    </row>
    <row r="27606" spans="23:23">
      <c r="W27606" s="503"/>
    </row>
    <row r="27607" spans="23:23">
      <c r="W27607" s="503"/>
    </row>
    <row r="27608" spans="23:23">
      <c r="W27608" s="503"/>
    </row>
    <row r="27609" spans="23:23">
      <c r="W27609" s="503"/>
    </row>
    <row r="27610" spans="23:23">
      <c r="W27610" s="503"/>
    </row>
    <row r="27611" spans="23:23">
      <c r="W27611" s="503"/>
    </row>
    <row r="27612" spans="23:23">
      <c r="W27612" s="503"/>
    </row>
    <row r="27613" spans="23:23">
      <c r="W27613" s="503"/>
    </row>
    <row r="27614" spans="23:23">
      <c r="W27614" s="503"/>
    </row>
    <row r="27615" spans="23:23">
      <c r="W27615" s="503"/>
    </row>
    <row r="27616" spans="23:23">
      <c r="W27616" s="503"/>
    </row>
    <row r="27617" spans="23:23">
      <c r="W27617" s="503"/>
    </row>
    <row r="27618" spans="23:23">
      <c r="W27618" s="503"/>
    </row>
    <row r="27619" spans="23:23">
      <c r="W27619" s="503"/>
    </row>
    <row r="27620" spans="23:23">
      <c r="W27620" s="503"/>
    </row>
    <row r="27621" spans="23:23">
      <c r="W27621" s="503"/>
    </row>
    <row r="27622" spans="23:23">
      <c r="W27622" s="503"/>
    </row>
    <row r="27623" spans="23:23">
      <c r="W27623" s="503"/>
    </row>
    <row r="27624" spans="23:23">
      <c r="W27624" s="503"/>
    </row>
    <row r="27625" spans="23:23">
      <c r="W27625" s="503"/>
    </row>
    <row r="27626" spans="23:23">
      <c r="W27626" s="503"/>
    </row>
    <row r="27627" spans="23:23">
      <c r="W27627" s="503"/>
    </row>
    <row r="27628" spans="23:23">
      <c r="W27628" s="503"/>
    </row>
    <row r="27629" spans="23:23">
      <c r="W27629" s="503"/>
    </row>
    <row r="27630" spans="23:23">
      <c r="W27630" s="503"/>
    </row>
    <row r="27631" spans="23:23">
      <c r="W27631" s="503"/>
    </row>
    <row r="27632" spans="23:23">
      <c r="W27632" s="503"/>
    </row>
    <row r="27633" spans="23:23">
      <c r="W27633" s="503"/>
    </row>
    <row r="27634" spans="23:23">
      <c r="W27634" s="503"/>
    </row>
    <row r="27635" spans="23:23">
      <c r="W27635" s="503"/>
    </row>
    <row r="27636" spans="23:23">
      <c r="W27636" s="503"/>
    </row>
    <row r="27637" spans="23:23">
      <c r="W27637" s="503"/>
    </row>
    <row r="27638" spans="23:23">
      <c r="W27638" s="503"/>
    </row>
    <row r="27639" spans="23:23">
      <c r="W27639" s="503"/>
    </row>
    <row r="27640" spans="23:23">
      <c r="W27640" s="503"/>
    </row>
    <row r="27641" spans="23:23">
      <c r="W27641" s="503"/>
    </row>
    <row r="27642" spans="23:23">
      <c r="W27642" s="503"/>
    </row>
    <row r="27643" spans="23:23">
      <c r="W27643" s="503"/>
    </row>
    <row r="27644" spans="23:23">
      <c r="W27644" s="503"/>
    </row>
    <row r="27645" spans="23:23">
      <c r="W27645" s="503"/>
    </row>
    <row r="27646" spans="23:23">
      <c r="W27646" s="503"/>
    </row>
    <row r="27647" spans="23:23">
      <c r="W27647" s="503"/>
    </row>
    <row r="27648" spans="23:23">
      <c r="W27648" s="503"/>
    </row>
    <row r="27649" spans="23:23">
      <c r="W27649" s="503"/>
    </row>
    <row r="27650" spans="23:23">
      <c r="W27650" s="503"/>
    </row>
    <row r="27651" spans="23:23">
      <c r="W27651" s="503"/>
    </row>
    <row r="27652" spans="23:23">
      <c r="W27652" s="503"/>
    </row>
    <row r="27653" spans="23:23">
      <c r="W27653" s="503"/>
    </row>
    <row r="27654" spans="23:23">
      <c r="W27654" s="503"/>
    </row>
    <row r="27655" spans="23:23">
      <c r="W27655" s="503"/>
    </row>
    <row r="27656" spans="23:23">
      <c r="W27656" s="503"/>
    </row>
    <row r="27657" spans="23:23">
      <c r="W27657" s="503"/>
    </row>
    <row r="27658" spans="23:23">
      <c r="W27658" s="503"/>
    </row>
    <row r="27659" spans="23:23">
      <c r="W27659" s="503"/>
    </row>
    <row r="27660" spans="23:23">
      <c r="W27660" s="503"/>
    </row>
    <row r="27661" spans="23:23">
      <c r="W27661" s="503"/>
    </row>
    <row r="27662" spans="23:23">
      <c r="W27662" s="503"/>
    </row>
    <row r="27663" spans="23:23">
      <c r="W27663" s="503"/>
    </row>
    <row r="27664" spans="23:23">
      <c r="W27664" s="503"/>
    </row>
    <row r="27665" spans="23:23">
      <c r="W27665" s="503"/>
    </row>
    <row r="27666" spans="23:23">
      <c r="W27666" s="503"/>
    </row>
    <row r="27667" spans="23:23">
      <c r="W27667" s="503"/>
    </row>
    <row r="27668" spans="23:23">
      <c r="W27668" s="503"/>
    </row>
    <row r="27669" spans="23:23">
      <c r="W27669" s="503"/>
    </row>
    <row r="27670" spans="23:23">
      <c r="W27670" s="503"/>
    </row>
    <row r="27671" spans="23:23">
      <c r="W27671" s="503"/>
    </row>
    <row r="27672" spans="23:23">
      <c r="W27672" s="503"/>
    </row>
    <row r="27673" spans="23:23">
      <c r="W27673" s="503"/>
    </row>
    <row r="27674" spans="23:23">
      <c r="W27674" s="503"/>
    </row>
    <row r="27675" spans="23:23">
      <c r="W27675" s="503"/>
    </row>
    <row r="27676" spans="23:23">
      <c r="W27676" s="503"/>
    </row>
    <row r="27677" spans="23:23">
      <c r="W27677" s="503"/>
    </row>
    <row r="27678" spans="23:23">
      <c r="W27678" s="503"/>
    </row>
    <row r="27679" spans="23:23">
      <c r="W27679" s="503"/>
    </row>
    <row r="27680" spans="23:23">
      <c r="W27680" s="503"/>
    </row>
    <row r="27681" spans="23:23">
      <c r="W27681" s="503"/>
    </row>
    <row r="27682" spans="23:23">
      <c r="W27682" s="503"/>
    </row>
    <row r="27683" spans="23:23">
      <c r="W27683" s="503"/>
    </row>
    <row r="27684" spans="23:23">
      <c r="W27684" s="503"/>
    </row>
    <row r="27685" spans="23:23">
      <c r="W27685" s="503"/>
    </row>
    <row r="27686" spans="23:23">
      <c r="W27686" s="503"/>
    </row>
    <row r="27687" spans="23:23">
      <c r="W27687" s="503"/>
    </row>
    <row r="27688" spans="23:23">
      <c r="W27688" s="503"/>
    </row>
    <row r="27689" spans="23:23">
      <c r="W27689" s="503"/>
    </row>
    <row r="27690" spans="23:23">
      <c r="W27690" s="503"/>
    </row>
    <row r="27691" spans="23:23">
      <c r="W27691" s="503"/>
    </row>
    <row r="27692" spans="23:23">
      <c r="W27692" s="503"/>
    </row>
    <row r="27693" spans="23:23">
      <c r="W27693" s="503"/>
    </row>
    <row r="27694" spans="23:23">
      <c r="W27694" s="503"/>
    </row>
    <row r="27695" spans="23:23">
      <c r="W27695" s="503"/>
    </row>
    <row r="27696" spans="23:23">
      <c r="W27696" s="503"/>
    </row>
    <row r="27697" spans="23:23">
      <c r="W27697" s="503"/>
    </row>
    <row r="27698" spans="23:23">
      <c r="W27698" s="503"/>
    </row>
    <row r="27699" spans="23:23">
      <c r="W27699" s="503"/>
    </row>
    <row r="27700" spans="23:23">
      <c r="W27700" s="503"/>
    </row>
    <row r="27701" spans="23:23">
      <c r="W27701" s="503"/>
    </row>
    <row r="27702" spans="23:23">
      <c r="W27702" s="503"/>
    </row>
    <row r="27703" spans="23:23">
      <c r="W27703" s="503"/>
    </row>
    <row r="27704" spans="23:23">
      <c r="W27704" s="503"/>
    </row>
    <row r="27705" spans="23:23">
      <c r="W27705" s="503"/>
    </row>
    <row r="27706" spans="23:23">
      <c r="W27706" s="503"/>
    </row>
    <row r="27707" spans="23:23">
      <c r="W27707" s="503"/>
    </row>
    <row r="27708" spans="23:23">
      <c r="W27708" s="503"/>
    </row>
    <row r="27709" spans="23:23">
      <c r="W27709" s="503"/>
    </row>
    <row r="27710" spans="23:23">
      <c r="W27710" s="503"/>
    </row>
    <row r="27711" spans="23:23">
      <c r="W27711" s="503"/>
    </row>
    <row r="27712" spans="23:23">
      <c r="W27712" s="503"/>
    </row>
    <row r="27713" spans="23:23">
      <c r="W27713" s="503"/>
    </row>
    <row r="27714" spans="23:23">
      <c r="W27714" s="503"/>
    </row>
    <row r="27715" spans="23:23">
      <c r="W27715" s="503"/>
    </row>
    <row r="27716" spans="23:23">
      <c r="W27716" s="503"/>
    </row>
    <row r="27717" spans="23:23">
      <c r="W27717" s="503"/>
    </row>
    <row r="27718" spans="23:23">
      <c r="W27718" s="503"/>
    </row>
    <row r="27719" spans="23:23">
      <c r="W27719" s="503"/>
    </row>
    <row r="27720" spans="23:23">
      <c r="W27720" s="503"/>
    </row>
    <row r="27721" spans="23:23">
      <c r="W27721" s="503"/>
    </row>
    <row r="27722" spans="23:23">
      <c r="W27722" s="503"/>
    </row>
    <row r="27723" spans="23:23">
      <c r="W27723" s="503"/>
    </row>
    <row r="27724" spans="23:23">
      <c r="W27724" s="503"/>
    </row>
    <row r="27725" spans="23:23">
      <c r="W27725" s="503"/>
    </row>
    <row r="27726" spans="23:23">
      <c r="W27726" s="503"/>
    </row>
    <row r="27727" spans="23:23">
      <c r="W27727" s="503"/>
    </row>
    <row r="27728" spans="23:23">
      <c r="W27728" s="503"/>
    </row>
    <row r="27729" spans="23:23">
      <c r="W27729" s="503"/>
    </row>
    <row r="27730" spans="23:23">
      <c r="W27730" s="503"/>
    </row>
    <row r="27731" spans="23:23">
      <c r="W27731" s="503"/>
    </row>
    <row r="27732" spans="23:23">
      <c r="W27732" s="503"/>
    </row>
    <row r="27733" spans="23:23">
      <c r="W27733" s="503"/>
    </row>
    <row r="27734" spans="23:23">
      <c r="W27734" s="503"/>
    </row>
    <row r="27735" spans="23:23">
      <c r="W27735" s="503"/>
    </row>
    <row r="27736" spans="23:23">
      <c r="W27736" s="503"/>
    </row>
    <row r="27737" spans="23:23">
      <c r="W27737" s="503"/>
    </row>
    <row r="27738" spans="23:23">
      <c r="W27738" s="503"/>
    </row>
    <row r="27739" spans="23:23">
      <c r="W27739" s="503"/>
    </row>
    <row r="27740" spans="23:23">
      <c r="W27740" s="503"/>
    </row>
    <row r="27741" spans="23:23">
      <c r="W27741" s="503"/>
    </row>
    <row r="27742" spans="23:23">
      <c r="W27742" s="503"/>
    </row>
    <row r="27743" spans="23:23">
      <c r="W27743" s="503"/>
    </row>
    <row r="27744" spans="23:23">
      <c r="W27744" s="503"/>
    </row>
    <row r="27745" spans="23:23">
      <c r="W27745" s="503"/>
    </row>
    <row r="27746" spans="23:23">
      <c r="W27746" s="503"/>
    </row>
    <row r="27747" spans="23:23">
      <c r="W27747" s="503"/>
    </row>
    <row r="27748" spans="23:23">
      <c r="W27748" s="503"/>
    </row>
    <row r="27749" spans="23:23">
      <c r="W27749" s="503"/>
    </row>
    <row r="27750" spans="23:23">
      <c r="W27750" s="503"/>
    </row>
    <row r="27751" spans="23:23">
      <c r="W27751" s="503"/>
    </row>
    <row r="27752" spans="23:23">
      <c r="W27752" s="503"/>
    </row>
    <row r="27753" spans="23:23">
      <c r="W27753" s="503"/>
    </row>
    <row r="27754" spans="23:23">
      <c r="W27754" s="503"/>
    </row>
    <row r="27755" spans="23:23">
      <c r="W27755" s="503"/>
    </row>
    <row r="27756" spans="23:23">
      <c r="W27756" s="503"/>
    </row>
    <row r="27757" spans="23:23">
      <c r="W27757" s="503"/>
    </row>
    <row r="27758" spans="23:23">
      <c r="W27758" s="503"/>
    </row>
    <row r="27759" spans="23:23">
      <c r="W27759" s="503"/>
    </row>
    <row r="27760" spans="23:23">
      <c r="W27760" s="503"/>
    </row>
    <row r="27761" spans="23:23">
      <c r="W27761" s="503"/>
    </row>
    <row r="27762" spans="23:23">
      <c r="W27762" s="503"/>
    </row>
    <row r="27763" spans="23:23">
      <c r="W27763" s="503"/>
    </row>
    <row r="27764" spans="23:23">
      <c r="W27764" s="503"/>
    </row>
    <row r="27765" spans="23:23">
      <c r="W27765" s="503"/>
    </row>
    <row r="27766" spans="23:23">
      <c r="W27766" s="503"/>
    </row>
    <row r="27767" spans="23:23">
      <c r="W27767" s="503"/>
    </row>
    <row r="27768" spans="23:23">
      <c r="W27768" s="503"/>
    </row>
    <row r="27769" spans="23:23">
      <c r="W27769" s="503"/>
    </row>
    <row r="27770" spans="23:23">
      <c r="W27770" s="503"/>
    </row>
    <row r="27771" spans="23:23">
      <c r="W27771" s="503"/>
    </row>
    <row r="27772" spans="23:23">
      <c r="W27772" s="503"/>
    </row>
    <row r="27773" spans="23:23">
      <c r="W27773" s="503"/>
    </row>
    <row r="27774" spans="23:23">
      <c r="W27774" s="503"/>
    </row>
    <row r="27775" spans="23:23">
      <c r="W27775" s="503"/>
    </row>
    <row r="27776" spans="23:23">
      <c r="W27776" s="503"/>
    </row>
    <row r="27777" spans="23:23">
      <c r="W27777" s="503"/>
    </row>
    <row r="27778" spans="23:23">
      <c r="W27778" s="503"/>
    </row>
    <row r="27779" spans="23:23">
      <c r="W27779" s="503"/>
    </row>
    <row r="27780" spans="23:23">
      <c r="W27780" s="503"/>
    </row>
    <row r="27781" spans="23:23">
      <c r="W27781" s="503"/>
    </row>
    <row r="27782" spans="23:23">
      <c r="W27782" s="503"/>
    </row>
    <row r="27783" spans="23:23">
      <c r="W27783" s="503"/>
    </row>
    <row r="27784" spans="23:23">
      <c r="W27784" s="503"/>
    </row>
    <row r="27785" spans="23:23">
      <c r="W27785" s="503"/>
    </row>
    <row r="27786" spans="23:23">
      <c r="W27786" s="503"/>
    </row>
    <row r="27787" spans="23:23">
      <c r="W27787" s="503"/>
    </row>
    <row r="27788" spans="23:23">
      <c r="W27788" s="503"/>
    </row>
    <row r="27789" spans="23:23">
      <c r="W27789" s="503"/>
    </row>
    <row r="27790" spans="23:23">
      <c r="W27790" s="503"/>
    </row>
    <row r="27791" spans="23:23">
      <c r="W27791" s="503"/>
    </row>
    <row r="27792" spans="23:23">
      <c r="W27792" s="503"/>
    </row>
    <row r="27793" spans="23:23">
      <c r="W27793" s="503"/>
    </row>
    <row r="27794" spans="23:23">
      <c r="W27794" s="503"/>
    </row>
    <row r="27795" spans="23:23">
      <c r="W27795" s="503"/>
    </row>
    <row r="27796" spans="23:23">
      <c r="W27796" s="503"/>
    </row>
    <row r="27797" spans="23:23">
      <c r="W27797" s="503"/>
    </row>
    <row r="27798" spans="23:23">
      <c r="W27798" s="503"/>
    </row>
    <row r="27799" spans="23:23">
      <c r="W27799" s="503"/>
    </row>
    <row r="27800" spans="23:23">
      <c r="W27800" s="503"/>
    </row>
    <row r="27801" spans="23:23">
      <c r="W27801" s="503"/>
    </row>
    <row r="27802" spans="23:23">
      <c r="W27802" s="503"/>
    </row>
    <row r="27803" spans="23:23">
      <c r="W27803" s="503"/>
    </row>
    <row r="27804" spans="23:23">
      <c r="W27804" s="503"/>
    </row>
    <row r="27805" spans="23:23">
      <c r="W27805" s="503"/>
    </row>
    <row r="27806" spans="23:23">
      <c r="W27806" s="503"/>
    </row>
    <row r="27807" spans="23:23">
      <c r="W27807" s="503"/>
    </row>
    <row r="27808" spans="23:23">
      <c r="W27808" s="503"/>
    </row>
    <row r="27809" spans="23:23">
      <c r="W27809" s="503"/>
    </row>
    <row r="27810" spans="23:23">
      <c r="W27810" s="503"/>
    </row>
    <row r="27811" spans="23:23">
      <c r="W27811" s="503"/>
    </row>
    <row r="27812" spans="23:23">
      <c r="W27812" s="503"/>
    </row>
    <row r="27813" spans="23:23">
      <c r="W27813" s="503"/>
    </row>
    <row r="27814" spans="23:23">
      <c r="W27814" s="503"/>
    </row>
    <row r="27815" spans="23:23">
      <c r="W27815" s="503"/>
    </row>
    <row r="27816" spans="23:23">
      <c r="W27816" s="503"/>
    </row>
    <row r="27817" spans="23:23">
      <c r="W27817" s="503"/>
    </row>
    <row r="27818" spans="23:23">
      <c r="W27818" s="503"/>
    </row>
    <row r="27819" spans="23:23">
      <c r="W27819" s="503"/>
    </row>
    <row r="27820" spans="23:23">
      <c r="W27820" s="503"/>
    </row>
    <row r="27821" spans="23:23">
      <c r="W27821" s="503"/>
    </row>
    <row r="27822" spans="23:23">
      <c r="W27822" s="503"/>
    </row>
    <row r="27823" spans="23:23">
      <c r="W27823" s="503"/>
    </row>
    <row r="27824" spans="23:23">
      <c r="W27824" s="503"/>
    </row>
    <row r="27825" spans="23:23">
      <c r="W27825" s="503"/>
    </row>
    <row r="27826" spans="23:23">
      <c r="W27826" s="503"/>
    </row>
    <row r="27827" spans="23:23">
      <c r="W27827" s="503"/>
    </row>
    <row r="27828" spans="23:23">
      <c r="W27828" s="503"/>
    </row>
    <row r="27829" spans="23:23">
      <c r="W27829" s="503"/>
    </row>
    <row r="27830" spans="23:23">
      <c r="W27830" s="503"/>
    </row>
    <row r="27831" spans="23:23">
      <c r="W27831" s="503"/>
    </row>
    <row r="27832" spans="23:23">
      <c r="W27832" s="503"/>
    </row>
    <row r="27833" spans="23:23">
      <c r="W27833" s="503"/>
    </row>
    <row r="27834" spans="23:23">
      <c r="W27834" s="503"/>
    </row>
    <row r="27835" spans="23:23">
      <c r="W27835" s="503"/>
    </row>
    <row r="27836" spans="23:23">
      <c r="W27836" s="503"/>
    </row>
    <row r="27837" spans="23:23">
      <c r="W27837" s="503"/>
    </row>
    <row r="27838" spans="23:23">
      <c r="W27838" s="503"/>
    </row>
    <row r="27839" spans="23:23">
      <c r="W27839" s="503"/>
    </row>
    <row r="27840" spans="23:23">
      <c r="W27840" s="503"/>
    </row>
    <row r="27841" spans="23:23">
      <c r="W27841" s="503"/>
    </row>
    <row r="27842" spans="23:23">
      <c r="W27842" s="503"/>
    </row>
    <row r="27843" spans="23:23">
      <c r="W27843" s="503"/>
    </row>
    <row r="27844" spans="23:23">
      <c r="W27844" s="503"/>
    </row>
    <row r="27845" spans="23:23">
      <c r="W27845" s="503"/>
    </row>
    <row r="27846" spans="23:23">
      <c r="W27846" s="503"/>
    </row>
    <row r="27847" spans="23:23">
      <c r="W27847" s="503"/>
    </row>
    <row r="27848" spans="23:23">
      <c r="W27848" s="503"/>
    </row>
    <row r="27849" spans="23:23">
      <c r="W27849" s="503"/>
    </row>
    <row r="27850" spans="23:23">
      <c r="W27850" s="503"/>
    </row>
    <row r="27851" spans="23:23">
      <c r="W27851" s="503"/>
    </row>
    <row r="27852" spans="23:23">
      <c r="W27852" s="503"/>
    </row>
    <row r="27853" spans="23:23">
      <c r="W27853" s="503"/>
    </row>
    <row r="27854" spans="23:23">
      <c r="W27854" s="503"/>
    </row>
    <row r="27855" spans="23:23">
      <c r="W27855" s="503"/>
    </row>
    <row r="27856" spans="23:23">
      <c r="W27856" s="503"/>
    </row>
    <row r="27857" spans="23:23">
      <c r="W27857" s="503"/>
    </row>
    <row r="27858" spans="23:23">
      <c r="W27858" s="503"/>
    </row>
    <row r="27859" spans="23:23">
      <c r="W27859" s="503"/>
    </row>
    <row r="27860" spans="23:23">
      <c r="W27860" s="503"/>
    </row>
    <row r="27861" spans="23:23">
      <c r="W27861" s="503"/>
    </row>
    <row r="27862" spans="23:23">
      <c r="W27862" s="503"/>
    </row>
    <row r="27863" spans="23:23">
      <c r="W27863" s="503"/>
    </row>
    <row r="27864" spans="23:23">
      <c r="W27864" s="503"/>
    </row>
    <row r="27865" spans="23:23">
      <c r="W27865" s="503"/>
    </row>
    <row r="27866" spans="23:23">
      <c r="W27866" s="503"/>
    </row>
    <row r="27867" spans="23:23">
      <c r="W27867" s="503"/>
    </row>
    <row r="27868" spans="23:23">
      <c r="W27868" s="503"/>
    </row>
    <row r="27869" spans="23:23">
      <c r="W27869" s="503"/>
    </row>
    <row r="27870" spans="23:23">
      <c r="W27870" s="503"/>
    </row>
    <row r="27871" spans="23:23">
      <c r="W27871" s="503"/>
    </row>
    <row r="27872" spans="23:23">
      <c r="W27872" s="503"/>
    </row>
    <row r="27873" spans="23:23">
      <c r="W27873" s="503"/>
    </row>
    <row r="27874" spans="23:23">
      <c r="W27874" s="503"/>
    </row>
    <row r="27875" spans="23:23">
      <c r="W27875" s="503"/>
    </row>
    <row r="27876" spans="23:23">
      <c r="W27876" s="503"/>
    </row>
    <row r="27877" spans="23:23">
      <c r="W27877" s="503"/>
    </row>
    <row r="27878" spans="23:23">
      <c r="W27878" s="503"/>
    </row>
    <row r="27879" spans="23:23">
      <c r="W27879" s="503"/>
    </row>
    <row r="27880" spans="23:23">
      <c r="W27880" s="503"/>
    </row>
    <row r="27881" spans="23:23">
      <c r="W27881" s="503"/>
    </row>
    <row r="27882" spans="23:23">
      <c r="W27882" s="503"/>
    </row>
    <row r="27883" spans="23:23">
      <c r="W27883" s="503"/>
    </row>
    <row r="27884" spans="23:23">
      <c r="W27884" s="503"/>
    </row>
    <row r="27885" spans="23:23">
      <c r="W27885" s="503"/>
    </row>
    <row r="27886" spans="23:23">
      <c r="W27886" s="503"/>
    </row>
    <row r="27887" spans="23:23">
      <c r="W27887" s="503"/>
    </row>
    <row r="27888" spans="23:23">
      <c r="W27888" s="503"/>
    </row>
    <row r="27889" spans="23:23">
      <c r="W27889" s="503"/>
    </row>
    <row r="27890" spans="23:23">
      <c r="W27890" s="503"/>
    </row>
    <row r="27891" spans="23:23">
      <c r="W27891" s="503"/>
    </row>
    <row r="27892" spans="23:23">
      <c r="W27892" s="503"/>
    </row>
    <row r="27893" spans="23:23">
      <c r="W27893" s="503"/>
    </row>
    <row r="27894" spans="23:23">
      <c r="W27894" s="503"/>
    </row>
    <row r="27895" spans="23:23">
      <c r="W27895" s="503"/>
    </row>
    <row r="27896" spans="23:23">
      <c r="W27896" s="503"/>
    </row>
    <row r="27897" spans="23:23">
      <c r="W27897" s="503"/>
    </row>
    <row r="27898" spans="23:23">
      <c r="W27898" s="503"/>
    </row>
    <row r="27899" spans="23:23">
      <c r="W27899" s="503"/>
    </row>
    <row r="27900" spans="23:23">
      <c r="W27900" s="503"/>
    </row>
    <row r="27901" spans="23:23">
      <c r="W27901" s="503"/>
    </row>
    <row r="27902" spans="23:23">
      <c r="W27902" s="503"/>
    </row>
    <row r="27903" spans="23:23">
      <c r="W27903" s="503"/>
    </row>
    <row r="27904" spans="23:23">
      <c r="W27904" s="503"/>
    </row>
    <row r="27905" spans="23:23">
      <c r="W27905" s="503"/>
    </row>
    <row r="27906" spans="23:23">
      <c r="W27906" s="503"/>
    </row>
    <row r="27907" spans="23:23">
      <c r="W27907" s="503"/>
    </row>
    <row r="27908" spans="23:23">
      <c r="W27908" s="503"/>
    </row>
    <row r="27909" spans="23:23">
      <c r="W27909" s="503"/>
    </row>
    <row r="27910" spans="23:23">
      <c r="W27910" s="503"/>
    </row>
    <row r="27911" spans="23:23">
      <c r="W27911" s="503"/>
    </row>
    <row r="27912" spans="23:23">
      <c r="W27912" s="503"/>
    </row>
    <row r="27913" spans="23:23">
      <c r="W27913" s="503"/>
    </row>
    <row r="27914" spans="23:23">
      <c r="W27914" s="503"/>
    </row>
    <row r="27915" spans="23:23">
      <c r="W27915" s="503"/>
    </row>
    <row r="27916" spans="23:23">
      <c r="W27916" s="503"/>
    </row>
    <row r="27917" spans="23:23">
      <c r="W27917" s="503"/>
    </row>
    <row r="27918" spans="23:23">
      <c r="W27918" s="503"/>
    </row>
    <row r="27919" spans="23:23">
      <c r="W27919" s="503"/>
    </row>
    <row r="27920" spans="23:23">
      <c r="W27920" s="503"/>
    </row>
    <row r="27921" spans="23:23">
      <c r="W27921" s="503"/>
    </row>
    <row r="27922" spans="23:23">
      <c r="W27922" s="503"/>
    </row>
    <row r="27923" spans="23:23">
      <c r="W27923" s="503"/>
    </row>
    <row r="27924" spans="23:23">
      <c r="W27924" s="503"/>
    </row>
    <row r="27925" spans="23:23">
      <c r="W27925" s="503"/>
    </row>
    <row r="27926" spans="23:23">
      <c r="W27926" s="503"/>
    </row>
    <row r="27927" spans="23:23">
      <c r="W27927" s="503"/>
    </row>
    <row r="27928" spans="23:23">
      <c r="W27928" s="503"/>
    </row>
    <row r="27929" spans="23:23">
      <c r="W27929" s="503"/>
    </row>
    <row r="27930" spans="23:23">
      <c r="W27930" s="503"/>
    </row>
    <row r="27931" spans="23:23">
      <c r="W27931" s="503"/>
    </row>
    <row r="27932" spans="23:23">
      <c r="W27932" s="503"/>
    </row>
    <row r="27933" spans="23:23">
      <c r="W27933" s="503"/>
    </row>
    <row r="27934" spans="23:23">
      <c r="W27934" s="503"/>
    </row>
    <row r="27935" spans="23:23">
      <c r="W27935" s="503"/>
    </row>
    <row r="27936" spans="23:23">
      <c r="W27936" s="503"/>
    </row>
    <row r="27937" spans="23:23">
      <c r="W27937" s="503"/>
    </row>
    <row r="27938" spans="23:23">
      <c r="W27938" s="503"/>
    </row>
    <row r="27939" spans="23:23">
      <c r="W27939" s="503"/>
    </row>
    <row r="27940" spans="23:23">
      <c r="W27940" s="503"/>
    </row>
    <row r="27941" spans="23:23">
      <c r="W27941" s="503"/>
    </row>
    <row r="27942" spans="23:23">
      <c r="W27942" s="503"/>
    </row>
    <row r="27943" spans="23:23">
      <c r="W27943" s="503"/>
    </row>
    <row r="27944" spans="23:23">
      <c r="W27944" s="503"/>
    </row>
    <row r="27945" spans="23:23">
      <c r="W27945" s="503"/>
    </row>
    <row r="27946" spans="23:23">
      <c r="W27946" s="503"/>
    </row>
    <row r="27947" spans="23:23">
      <c r="W27947" s="503"/>
    </row>
    <row r="27948" spans="23:23">
      <c r="W27948" s="503"/>
    </row>
    <row r="27949" spans="23:23">
      <c r="W27949" s="503"/>
    </row>
    <row r="27950" spans="23:23">
      <c r="W27950" s="503"/>
    </row>
    <row r="27951" spans="23:23">
      <c r="W27951" s="503"/>
    </row>
    <row r="27952" spans="23:23">
      <c r="W27952" s="503"/>
    </row>
    <row r="27953" spans="23:23">
      <c r="W27953" s="503"/>
    </row>
    <row r="27954" spans="23:23">
      <c r="W27954" s="503"/>
    </row>
    <row r="27955" spans="23:23">
      <c r="W27955" s="503"/>
    </row>
    <row r="27956" spans="23:23">
      <c r="W27956" s="503"/>
    </row>
    <row r="27957" spans="23:23">
      <c r="W27957" s="503"/>
    </row>
    <row r="27958" spans="23:23">
      <c r="W27958" s="503"/>
    </row>
    <row r="27959" spans="23:23">
      <c r="W27959" s="503"/>
    </row>
    <row r="27960" spans="23:23">
      <c r="W27960" s="503"/>
    </row>
    <row r="27961" spans="23:23">
      <c r="W27961" s="503"/>
    </row>
    <row r="27962" spans="23:23">
      <c r="W27962" s="503"/>
    </row>
    <row r="27963" spans="23:23">
      <c r="W27963" s="503"/>
    </row>
    <row r="27964" spans="23:23">
      <c r="W27964" s="503"/>
    </row>
    <row r="27965" spans="23:23">
      <c r="W27965" s="503"/>
    </row>
    <row r="27966" spans="23:23">
      <c r="W27966" s="503"/>
    </row>
    <row r="27967" spans="23:23">
      <c r="W27967" s="503"/>
    </row>
    <row r="27968" spans="23:23">
      <c r="W27968" s="503"/>
    </row>
    <row r="27969" spans="23:23">
      <c r="W27969" s="503"/>
    </row>
    <row r="27970" spans="23:23">
      <c r="W27970" s="503"/>
    </row>
    <row r="27971" spans="23:23">
      <c r="W27971" s="503"/>
    </row>
    <row r="27972" spans="23:23">
      <c r="W27972" s="503"/>
    </row>
    <row r="27973" spans="23:23">
      <c r="W27973" s="503"/>
    </row>
    <row r="27974" spans="23:23">
      <c r="W27974" s="503"/>
    </row>
    <row r="27975" spans="23:23">
      <c r="W27975" s="503"/>
    </row>
    <row r="27976" spans="23:23">
      <c r="W27976" s="503"/>
    </row>
    <row r="27977" spans="23:23">
      <c r="W27977" s="503"/>
    </row>
    <row r="27978" spans="23:23">
      <c r="W27978" s="503"/>
    </row>
    <row r="27979" spans="23:23">
      <c r="W27979" s="503"/>
    </row>
    <row r="27980" spans="23:23">
      <c r="W27980" s="503"/>
    </row>
    <row r="27981" spans="23:23">
      <c r="W27981" s="503"/>
    </row>
    <row r="27982" spans="23:23">
      <c r="W27982" s="503"/>
    </row>
    <row r="27983" spans="23:23">
      <c r="W27983" s="503"/>
    </row>
    <row r="27984" spans="23:23">
      <c r="W27984" s="503"/>
    </row>
    <row r="27985" spans="23:23">
      <c r="W27985" s="503"/>
    </row>
    <row r="27986" spans="23:23">
      <c r="W27986" s="503"/>
    </row>
    <row r="27987" spans="23:23">
      <c r="W27987" s="503"/>
    </row>
    <row r="27988" spans="23:23">
      <c r="W27988" s="503"/>
    </row>
    <row r="27989" spans="23:23">
      <c r="W27989" s="503"/>
    </row>
    <row r="27990" spans="23:23">
      <c r="W27990" s="503"/>
    </row>
    <row r="27991" spans="23:23">
      <c r="W27991" s="503"/>
    </row>
    <row r="27992" spans="23:23">
      <c r="W27992" s="503"/>
    </row>
    <row r="27993" spans="23:23">
      <c r="W27993" s="503"/>
    </row>
    <row r="27994" spans="23:23">
      <c r="W27994" s="503"/>
    </row>
    <row r="27995" spans="23:23">
      <c r="W27995" s="503"/>
    </row>
    <row r="27996" spans="23:23">
      <c r="W27996" s="503"/>
    </row>
    <row r="27997" spans="23:23">
      <c r="W27997" s="503"/>
    </row>
    <row r="27998" spans="23:23">
      <c r="W27998" s="503"/>
    </row>
    <row r="27999" spans="23:23">
      <c r="W27999" s="503"/>
    </row>
    <row r="28000" spans="23:23">
      <c r="W28000" s="503"/>
    </row>
    <row r="28001" spans="23:23">
      <c r="W28001" s="503"/>
    </row>
    <row r="28002" spans="23:23">
      <c r="W28002" s="503"/>
    </row>
    <row r="28003" spans="23:23">
      <c r="W28003" s="503"/>
    </row>
    <row r="28004" spans="23:23">
      <c r="W28004" s="503"/>
    </row>
    <row r="28005" spans="23:23">
      <c r="W28005" s="503"/>
    </row>
    <row r="28006" spans="23:23">
      <c r="W28006" s="503"/>
    </row>
    <row r="28007" spans="23:23">
      <c r="W28007" s="503"/>
    </row>
    <row r="28008" spans="23:23">
      <c r="W28008" s="503"/>
    </row>
    <row r="28009" spans="23:23">
      <c r="W28009" s="503"/>
    </row>
    <row r="28010" spans="23:23">
      <c r="W28010" s="503"/>
    </row>
    <row r="28011" spans="23:23">
      <c r="W28011" s="503"/>
    </row>
    <row r="28012" spans="23:23">
      <c r="W28012" s="503"/>
    </row>
    <row r="28013" spans="23:23">
      <c r="W28013" s="503"/>
    </row>
    <row r="28014" spans="23:23">
      <c r="W28014" s="503"/>
    </row>
    <row r="28015" spans="23:23">
      <c r="W28015" s="503"/>
    </row>
    <row r="28016" spans="23:23">
      <c r="W28016" s="503"/>
    </row>
    <row r="28017" spans="23:23">
      <c r="W28017" s="503"/>
    </row>
    <row r="28018" spans="23:23">
      <c r="W28018" s="503"/>
    </row>
    <row r="28019" spans="23:23">
      <c r="W28019" s="503"/>
    </row>
    <row r="28020" spans="23:23">
      <c r="W28020" s="503"/>
    </row>
    <row r="28021" spans="23:23">
      <c r="W28021" s="503"/>
    </row>
    <row r="28022" spans="23:23">
      <c r="W28022" s="503"/>
    </row>
    <row r="28023" spans="23:23">
      <c r="W28023" s="503"/>
    </row>
    <row r="28024" spans="23:23">
      <c r="W28024" s="503"/>
    </row>
    <row r="28025" spans="23:23">
      <c r="W28025" s="503"/>
    </row>
    <row r="28026" spans="23:23">
      <c r="W28026" s="503"/>
    </row>
    <row r="28027" spans="23:23">
      <c r="W28027" s="503"/>
    </row>
    <row r="28028" spans="23:23">
      <c r="W28028" s="503"/>
    </row>
    <row r="28029" spans="23:23">
      <c r="W28029" s="503"/>
    </row>
    <row r="28030" spans="23:23">
      <c r="W28030" s="503"/>
    </row>
    <row r="28031" spans="23:23">
      <c r="W28031" s="503"/>
    </row>
    <row r="28032" spans="23:23">
      <c r="W28032" s="503"/>
    </row>
    <row r="28033" spans="23:23">
      <c r="W28033" s="503"/>
    </row>
    <row r="28034" spans="23:23">
      <c r="W28034" s="503"/>
    </row>
    <row r="28035" spans="23:23">
      <c r="W28035" s="503"/>
    </row>
    <row r="28036" spans="23:23">
      <c r="W28036" s="503"/>
    </row>
    <row r="28037" spans="23:23">
      <c r="W28037" s="503"/>
    </row>
    <row r="28038" spans="23:23">
      <c r="W28038" s="503"/>
    </row>
    <row r="28039" spans="23:23">
      <c r="W28039" s="503"/>
    </row>
    <row r="28040" spans="23:23">
      <c r="W28040" s="503"/>
    </row>
    <row r="28041" spans="23:23">
      <c r="W28041" s="503"/>
    </row>
    <row r="28042" spans="23:23">
      <c r="W28042" s="503"/>
    </row>
    <row r="28043" spans="23:23">
      <c r="W28043" s="503"/>
    </row>
    <row r="28044" spans="23:23">
      <c r="W28044" s="503"/>
    </row>
    <row r="28045" spans="23:23">
      <c r="W28045" s="503"/>
    </row>
    <row r="28046" spans="23:23">
      <c r="W28046" s="503"/>
    </row>
    <row r="28047" spans="23:23">
      <c r="W28047" s="503"/>
    </row>
    <row r="28048" spans="23:23">
      <c r="W28048" s="503"/>
    </row>
    <row r="28049" spans="23:23">
      <c r="W28049" s="503"/>
    </row>
    <row r="28050" spans="23:23">
      <c r="W28050" s="503"/>
    </row>
    <row r="28051" spans="23:23">
      <c r="W28051" s="503"/>
    </row>
    <row r="28052" spans="23:23">
      <c r="W28052" s="503"/>
    </row>
    <row r="28053" spans="23:23">
      <c r="W28053" s="503"/>
    </row>
    <row r="28054" spans="23:23">
      <c r="W28054" s="503"/>
    </row>
    <row r="28055" spans="23:23">
      <c r="W28055" s="503"/>
    </row>
    <row r="28056" spans="23:23">
      <c r="W28056" s="503"/>
    </row>
    <row r="28057" spans="23:23">
      <c r="W28057" s="503"/>
    </row>
    <row r="28058" spans="23:23">
      <c r="W28058" s="503"/>
    </row>
    <row r="28059" spans="23:23">
      <c r="W28059" s="503"/>
    </row>
    <row r="28060" spans="23:23">
      <c r="W28060" s="503"/>
    </row>
    <row r="28061" spans="23:23">
      <c r="W28061" s="503"/>
    </row>
    <row r="28062" spans="23:23">
      <c r="W28062" s="503"/>
    </row>
    <row r="28063" spans="23:23">
      <c r="W28063" s="503"/>
    </row>
    <row r="28064" spans="23:23">
      <c r="W28064" s="503"/>
    </row>
    <row r="28065" spans="23:23">
      <c r="W28065" s="503"/>
    </row>
    <row r="28066" spans="23:23">
      <c r="W28066" s="503"/>
    </row>
    <row r="28067" spans="23:23">
      <c r="W28067" s="503"/>
    </row>
    <row r="28068" spans="23:23">
      <c r="W28068" s="503"/>
    </row>
    <row r="28069" spans="23:23">
      <c r="W28069" s="503"/>
    </row>
    <row r="28070" spans="23:23">
      <c r="W28070" s="503"/>
    </row>
    <row r="28071" spans="23:23">
      <c r="W28071" s="503"/>
    </row>
    <row r="28072" spans="23:23">
      <c r="W28072" s="503"/>
    </row>
    <row r="28073" spans="23:23">
      <c r="W28073" s="503"/>
    </row>
    <row r="28074" spans="23:23">
      <c r="W28074" s="503"/>
    </row>
    <row r="28075" spans="23:23">
      <c r="W28075" s="503"/>
    </row>
    <row r="28076" spans="23:23">
      <c r="W28076" s="503"/>
    </row>
    <row r="28077" spans="23:23">
      <c r="W28077" s="503"/>
    </row>
    <row r="28078" spans="23:23">
      <c r="W28078" s="503"/>
    </row>
    <row r="28079" spans="23:23">
      <c r="W28079" s="503"/>
    </row>
    <row r="28080" spans="23:23">
      <c r="W28080" s="503"/>
    </row>
    <row r="28081" spans="23:23">
      <c r="W28081" s="503"/>
    </row>
    <row r="28082" spans="23:23">
      <c r="W28082" s="503"/>
    </row>
    <row r="28083" spans="23:23">
      <c r="W28083" s="503"/>
    </row>
    <row r="28084" spans="23:23">
      <c r="W28084" s="503"/>
    </row>
    <row r="28085" spans="23:23">
      <c r="W28085" s="503"/>
    </row>
    <row r="28086" spans="23:23">
      <c r="W28086" s="503"/>
    </row>
    <row r="28087" spans="23:23">
      <c r="W28087" s="503"/>
    </row>
    <row r="28088" spans="23:23">
      <c r="W28088" s="503"/>
    </row>
    <row r="28089" spans="23:23">
      <c r="W28089" s="503"/>
    </row>
    <row r="28090" spans="23:23">
      <c r="W28090" s="503"/>
    </row>
    <row r="28091" spans="23:23">
      <c r="W28091" s="503"/>
    </row>
    <row r="28092" spans="23:23">
      <c r="W28092" s="503"/>
    </row>
    <row r="28093" spans="23:23">
      <c r="W28093" s="503"/>
    </row>
    <row r="28094" spans="23:23">
      <c r="W28094" s="503"/>
    </row>
    <row r="28095" spans="23:23">
      <c r="W28095" s="503"/>
    </row>
    <row r="28096" spans="23:23">
      <c r="W28096" s="503"/>
    </row>
    <row r="28097" spans="23:23">
      <c r="W28097" s="503"/>
    </row>
    <row r="28098" spans="23:23">
      <c r="W28098" s="503"/>
    </row>
    <row r="28099" spans="23:23">
      <c r="W28099" s="503"/>
    </row>
    <row r="28100" spans="23:23">
      <c r="W28100" s="503"/>
    </row>
    <row r="28101" spans="23:23">
      <c r="W28101" s="503"/>
    </row>
    <row r="28102" spans="23:23">
      <c r="W28102" s="503"/>
    </row>
    <row r="28103" spans="23:23">
      <c r="W28103" s="503"/>
    </row>
    <row r="28104" spans="23:23">
      <c r="W28104" s="503"/>
    </row>
    <row r="28105" spans="23:23">
      <c r="W28105" s="503"/>
    </row>
    <row r="28106" spans="23:23">
      <c r="W28106" s="503"/>
    </row>
    <row r="28107" spans="23:23">
      <c r="W28107" s="503"/>
    </row>
    <row r="28108" spans="23:23">
      <c r="W28108" s="503"/>
    </row>
    <row r="28109" spans="23:23">
      <c r="W28109" s="503"/>
    </row>
    <row r="28110" spans="23:23">
      <c r="W28110" s="503"/>
    </row>
    <row r="28111" spans="23:23">
      <c r="W28111" s="503"/>
    </row>
    <row r="28112" spans="23:23">
      <c r="W28112" s="503"/>
    </row>
    <row r="28113" spans="23:23">
      <c r="W28113" s="503"/>
    </row>
    <row r="28114" spans="23:23">
      <c r="W28114" s="503"/>
    </row>
    <row r="28115" spans="23:23">
      <c r="W28115" s="503"/>
    </row>
    <row r="28116" spans="23:23">
      <c r="W28116" s="503"/>
    </row>
    <row r="28117" spans="23:23">
      <c r="W28117" s="503"/>
    </row>
    <row r="28118" spans="23:23">
      <c r="W28118" s="503"/>
    </row>
    <row r="28119" spans="23:23">
      <c r="W28119" s="503"/>
    </row>
    <row r="28120" spans="23:23">
      <c r="W28120" s="503"/>
    </row>
    <row r="28121" spans="23:23">
      <c r="W28121" s="503"/>
    </row>
    <row r="28122" spans="23:23">
      <c r="W28122" s="503"/>
    </row>
    <row r="28123" spans="23:23">
      <c r="W28123" s="503"/>
    </row>
    <row r="28124" spans="23:23">
      <c r="W28124" s="503"/>
    </row>
    <row r="28125" spans="23:23">
      <c r="W28125" s="503"/>
    </row>
    <row r="28126" spans="23:23">
      <c r="W28126" s="503"/>
    </row>
    <row r="28127" spans="23:23">
      <c r="W28127" s="503"/>
    </row>
    <row r="28128" spans="23:23">
      <c r="W28128" s="503"/>
    </row>
    <row r="28129" spans="23:23">
      <c r="W28129" s="503"/>
    </row>
    <row r="28130" spans="23:23">
      <c r="W28130" s="503"/>
    </row>
    <row r="28131" spans="23:23">
      <c r="W28131" s="503"/>
    </row>
    <row r="28132" spans="23:23">
      <c r="W28132" s="503"/>
    </row>
    <row r="28133" spans="23:23">
      <c r="W28133" s="503"/>
    </row>
    <row r="28134" spans="23:23">
      <c r="W28134" s="503"/>
    </row>
    <row r="28135" spans="23:23">
      <c r="W28135" s="503"/>
    </row>
    <row r="28136" spans="23:23">
      <c r="W28136" s="503"/>
    </row>
    <row r="28137" spans="23:23">
      <c r="W28137" s="503"/>
    </row>
    <row r="28138" spans="23:23">
      <c r="W28138" s="503"/>
    </row>
    <row r="28139" spans="23:23">
      <c r="W28139" s="503"/>
    </row>
    <row r="28140" spans="23:23">
      <c r="W28140" s="503"/>
    </row>
    <row r="28141" spans="23:23">
      <c r="W28141" s="503"/>
    </row>
    <row r="28142" spans="23:23">
      <c r="W28142" s="503"/>
    </row>
    <row r="28143" spans="23:23">
      <c r="W28143" s="503"/>
    </row>
    <row r="28144" spans="23:23">
      <c r="W28144" s="503"/>
    </row>
    <row r="28145" spans="23:23">
      <c r="W28145" s="503"/>
    </row>
    <row r="28146" spans="23:23">
      <c r="W28146" s="503"/>
    </row>
    <row r="28147" spans="23:23">
      <c r="W28147" s="503"/>
    </row>
    <row r="28148" spans="23:23">
      <c r="W28148" s="503"/>
    </row>
    <row r="28149" spans="23:23">
      <c r="W28149" s="503"/>
    </row>
    <row r="28150" spans="23:23">
      <c r="W28150" s="503"/>
    </row>
    <row r="28151" spans="23:23">
      <c r="W28151" s="503"/>
    </row>
    <row r="28152" spans="23:23">
      <c r="W28152" s="503"/>
    </row>
    <row r="28153" spans="23:23">
      <c r="W28153" s="503"/>
    </row>
    <row r="28154" spans="23:23">
      <c r="W28154" s="503"/>
    </row>
    <row r="28155" spans="23:23">
      <c r="W28155" s="503"/>
    </row>
    <row r="28156" spans="23:23">
      <c r="W28156" s="503"/>
    </row>
    <row r="28157" spans="23:23">
      <c r="W28157" s="503"/>
    </row>
    <row r="28158" spans="23:23">
      <c r="W28158" s="503"/>
    </row>
    <row r="28159" spans="23:23">
      <c r="W28159" s="503"/>
    </row>
    <row r="28160" spans="23:23">
      <c r="W28160" s="503"/>
    </row>
    <row r="28161" spans="23:23">
      <c r="W28161" s="503"/>
    </row>
    <row r="28162" spans="23:23">
      <c r="W28162" s="503"/>
    </row>
    <row r="28163" spans="23:23">
      <c r="W28163" s="503"/>
    </row>
    <row r="28164" spans="23:23">
      <c r="W28164" s="503"/>
    </row>
    <row r="28165" spans="23:23">
      <c r="W28165" s="503"/>
    </row>
    <row r="28166" spans="23:23">
      <c r="W28166" s="503"/>
    </row>
    <row r="28167" spans="23:23">
      <c r="W28167" s="503"/>
    </row>
    <row r="28168" spans="23:23">
      <c r="W28168" s="503"/>
    </row>
    <row r="28169" spans="23:23">
      <c r="W28169" s="503"/>
    </row>
    <row r="28170" spans="23:23">
      <c r="W28170" s="503"/>
    </row>
    <row r="28171" spans="23:23">
      <c r="W28171" s="503"/>
    </row>
    <row r="28172" spans="23:23">
      <c r="W28172" s="503"/>
    </row>
    <row r="28173" spans="23:23">
      <c r="W28173" s="503"/>
    </row>
    <row r="28174" spans="23:23">
      <c r="W28174" s="503"/>
    </row>
    <row r="28175" spans="23:23">
      <c r="W28175" s="503"/>
    </row>
    <row r="28176" spans="23:23">
      <c r="W28176" s="503"/>
    </row>
    <row r="28177" spans="23:23">
      <c r="W28177" s="503"/>
    </row>
    <row r="28178" spans="23:23">
      <c r="W28178" s="503"/>
    </row>
    <row r="28179" spans="23:23">
      <c r="W28179" s="503"/>
    </row>
    <row r="28180" spans="23:23">
      <c r="W28180" s="503"/>
    </row>
    <row r="28181" spans="23:23">
      <c r="W28181" s="503"/>
    </row>
    <row r="28182" spans="23:23">
      <c r="W28182" s="503"/>
    </row>
    <row r="28183" spans="23:23">
      <c r="W28183" s="503"/>
    </row>
    <row r="28184" spans="23:23">
      <c r="W28184" s="503"/>
    </row>
    <row r="28185" spans="23:23">
      <c r="W28185" s="503"/>
    </row>
    <row r="28186" spans="23:23">
      <c r="W28186" s="503"/>
    </row>
    <row r="28187" spans="23:23">
      <c r="W28187" s="503"/>
    </row>
    <row r="28188" spans="23:23">
      <c r="W28188" s="503"/>
    </row>
    <row r="28189" spans="23:23">
      <c r="W28189" s="503"/>
    </row>
    <row r="28190" spans="23:23">
      <c r="W28190" s="503"/>
    </row>
    <row r="28191" spans="23:23">
      <c r="W28191" s="503"/>
    </row>
    <row r="28192" spans="23:23">
      <c r="W28192" s="503"/>
    </row>
    <row r="28193" spans="23:23">
      <c r="W28193" s="503"/>
    </row>
    <row r="28194" spans="23:23">
      <c r="W28194" s="503"/>
    </row>
    <row r="28195" spans="23:23">
      <c r="W28195" s="503"/>
    </row>
    <row r="28196" spans="23:23">
      <c r="W28196" s="503"/>
    </row>
    <row r="28197" spans="23:23">
      <c r="W28197" s="503"/>
    </row>
    <row r="28198" spans="23:23">
      <c r="W28198" s="503"/>
    </row>
    <row r="28199" spans="23:23">
      <c r="W28199" s="503"/>
    </row>
    <row r="28200" spans="23:23">
      <c r="W28200" s="503"/>
    </row>
    <row r="28201" spans="23:23">
      <c r="W28201" s="503"/>
    </row>
    <row r="28202" spans="23:23">
      <c r="W28202" s="503"/>
    </row>
    <row r="28203" spans="23:23">
      <c r="W28203" s="503"/>
    </row>
    <row r="28204" spans="23:23">
      <c r="W28204" s="503"/>
    </row>
    <row r="28205" spans="23:23">
      <c r="W28205" s="503"/>
    </row>
    <row r="28206" spans="23:23">
      <c r="W28206" s="503"/>
    </row>
    <row r="28207" spans="23:23">
      <c r="W28207" s="503"/>
    </row>
    <row r="28208" spans="23:23">
      <c r="W28208" s="503"/>
    </row>
    <row r="28209" spans="23:23">
      <c r="W28209" s="503"/>
    </row>
    <row r="28210" spans="23:23">
      <c r="W28210" s="503"/>
    </row>
    <row r="28211" spans="23:23">
      <c r="W28211" s="503"/>
    </row>
    <row r="28212" spans="23:23">
      <c r="W28212" s="503"/>
    </row>
    <row r="28213" spans="23:23">
      <c r="W28213" s="503"/>
    </row>
    <row r="28214" spans="23:23">
      <c r="W28214" s="503"/>
    </row>
    <row r="28215" spans="23:23">
      <c r="W28215" s="503"/>
    </row>
    <row r="28216" spans="23:23">
      <c r="W28216" s="503"/>
    </row>
    <row r="28217" spans="23:23">
      <c r="W28217" s="503"/>
    </row>
    <row r="28218" spans="23:23">
      <c r="W28218" s="503"/>
    </row>
    <row r="28219" spans="23:23">
      <c r="W28219" s="503"/>
    </row>
    <row r="28220" spans="23:23">
      <c r="W28220" s="503"/>
    </row>
    <row r="28221" spans="23:23">
      <c r="W28221" s="503"/>
    </row>
    <row r="28222" spans="23:23">
      <c r="W28222" s="503"/>
    </row>
    <row r="28223" spans="23:23">
      <c r="W28223" s="503"/>
    </row>
    <row r="28224" spans="23:23">
      <c r="W28224" s="503"/>
    </row>
    <row r="28225" spans="23:23">
      <c r="W28225" s="503"/>
    </row>
    <row r="28226" spans="23:23">
      <c r="W28226" s="503"/>
    </row>
    <row r="28227" spans="23:23">
      <c r="W28227" s="503"/>
    </row>
    <row r="28228" spans="23:23">
      <c r="W28228" s="503"/>
    </row>
    <row r="28229" spans="23:23">
      <c r="W28229" s="503"/>
    </row>
    <row r="28230" spans="23:23">
      <c r="W28230" s="503"/>
    </row>
    <row r="28231" spans="23:23">
      <c r="W28231" s="503"/>
    </row>
    <row r="28232" spans="23:23">
      <c r="W28232" s="503"/>
    </row>
    <row r="28233" spans="23:23">
      <c r="W28233" s="503"/>
    </row>
    <row r="28234" spans="23:23">
      <c r="W28234" s="503"/>
    </row>
    <row r="28235" spans="23:23">
      <c r="W28235" s="503"/>
    </row>
    <row r="28236" spans="23:23">
      <c r="W28236" s="503"/>
    </row>
    <row r="28237" spans="23:23">
      <c r="W28237" s="503"/>
    </row>
    <row r="28238" spans="23:23">
      <c r="W28238" s="503"/>
    </row>
    <row r="28239" spans="23:23">
      <c r="W28239" s="503"/>
    </row>
    <row r="28240" spans="23:23">
      <c r="W28240" s="503"/>
    </row>
    <row r="28241" spans="23:23">
      <c r="W28241" s="503"/>
    </row>
    <row r="28242" spans="23:23">
      <c r="W28242" s="503"/>
    </row>
    <row r="28243" spans="23:23">
      <c r="W28243" s="503"/>
    </row>
    <row r="28244" spans="23:23">
      <c r="W28244" s="503"/>
    </row>
    <row r="28245" spans="23:23">
      <c r="W28245" s="503"/>
    </row>
    <row r="28246" spans="23:23">
      <c r="W28246" s="503"/>
    </row>
    <row r="28247" spans="23:23">
      <c r="W28247" s="503"/>
    </row>
    <row r="28248" spans="23:23">
      <c r="W28248" s="503"/>
    </row>
    <row r="28249" spans="23:23">
      <c r="W28249" s="503"/>
    </row>
    <row r="28250" spans="23:23">
      <c r="W28250" s="503"/>
    </row>
    <row r="28251" spans="23:23">
      <c r="W28251" s="503"/>
    </row>
    <row r="28252" spans="23:23">
      <c r="W28252" s="503"/>
    </row>
    <row r="28253" spans="23:23">
      <c r="W28253" s="503"/>
    </row>
    <row r="28254" spans="23:23">
      <c r="W28254" s="503"/>
    </row>
    <row r="28255" spans="23:23">
      <c r="W28255" s="503"/>
    </row>
    <row r="28256" spans="23:23">
      <c r="W28256" s="503"/>
    </row>
    <row r="28257" spans="23:23">
      <c r="W28257" s="503"/>
    </row>
    <row r="28258" spans="23:23">
      <c r="W28258" s="503"/>
    </row>
    <row r="28259" spans="23:23">
      <c r="W28259" s="503"/>
    </row>
    <row r="28260" spans="23:23">
      <c r="W28260" s="503"/>
    </row>
    <row r="28261" spans="23:23">
      <c r="W28261" s="503"/>
    </row>
    <row r="28262" spans="23:23">
      <c r="W28262" s="503"/>
    </row>
    <row r="28263" spans="23:23">
      <c r="W28263" s="503"/>
    </row>
    <row r="28264" spans="23:23">
      <c r="W28264" s="503"/>
    </row>
    <row r="28265" spans="23:23">
      <c r="W28265" s="503"/>
    </row>
    <row r="28266" spans="23:23">
      <c r="W28266" s="503"/>
    </row>
    <row r="28267" spans="23:23">
      <c r="W28267" s="503"/>
    </row>
    <row r="28268" spans="23:23">
      <c r="W28268" s="503"/>
    </row>
    <row r="28269" spans="23:23">
      <c r="W28269" s="503"/>
    </row>
    <row r="28270" spans="23:23">
      <c r="W28270" s="503"/>
    </row>
    <row r="28271" spans="23:23">
      <c r="W28271" s="503"/>
    </row>
    <row r="28272" spans="23:23">
      <c r="W28272" s="503"/>
    </row>
    <row r="28273" spans="23:23">
      <c r="W28273" s="503"/>
    </row>
    <row r="28274" spans="23:23">
      <c r="W28274" s="503"/>
    </row>
    <row r="28275" spans="23:23">
      <c r="W28275" s="503"/>
    </row>
    <row r="28276" spans="23:23">
      <c r="W28276" s="503"/>
    </row>
    <row r="28277" spans="23:23">
      <c r="W28277" s="503"/>
    </row>
    <row r="28278" spans="23:23">
      <c r="W28278" s="503"/>
    </row>
    <row r="28279" spans="23:23">
      <c r="W28279" s="503"/>
    </row>
    <row r="28280" spans="23:23">
      <c r="W28280" s="503"/>
    </row>
    <row r="28281" spans="23:23">
      <c r="W28281" s="503"/>
    </row>
    <row r="28282" spans="23:23">
      <c r="W28282" s="503"/>
    </row>
    <row r="28283" spans="23:23">
      <c r="W28283" s="503"/>
    </row>
    <row r="28284" spans="23:23">
      <c r="W28284" s="503"/>
    </row>
    <row r="28285" spans="23:23">
      <c r="W28285" s="503"/>
    </row>
    <row r="28286" spans="23:23">
      <c r="W28286" s="503"/>
    </row>
    <row r="28287" spans="23:23">
      <c r="W28287" s="503"/>
    </row>
    <row r="28288" spans="23:23">
      <c r="W28288" s="503"/>
    </row>
    <row r="28289" spans="23:23">
      <c r="W28289" s="503"/>
    </row>
    <row r="28290" spans="23:23">
      <c r="W28290" s="503"/>
    </row>
    <row r="28291" spans="23:23">
      <c r="W28291" s="503"/>
    </row>
    <row r="28292" spans="23:23">
      <c r="W28292" s="503"/>
    </row>
    <row r="28293" spans="23:23">
      <c r="W28293" s="503"/>
    </row>
    <row r="28294" spans="23:23">
      <c r="W28294" s="503"/>
    </row>
    <row r="28295" spans="23:23">
      <c r="W28295" s="503"/>
    </row>
    <row r="28296" spans="23:23">
      <c r="W28296" s="503"/>
    </row>
    <row r="28297" spans="23:23">
      <c r="W28297" s="503"/>
    </row>
    <row r="28298" spans="23:23">
      <c r="W28298" s="503"/>
    </row>
    <row r="28299" spans="23:23">
      <c r="W28299" s="503"/>
    </row>
    <row r="28300" spans="23:23">
      <c r="W28300" s="503"/>
    </row>
    <row r="28301" spans="23:23">
      <c r="W28301" s="503"/>
    </row>
    <row r="28302" spans="23:23">
      <c r="W28302" s="503"/>
    </row>
    <row r="28303" spans="23:23">
      <c r="W28303" s="503"/>
    </row>
    <row r="28304" spans="23:23">
      <c r="W28304" s="503"/>
    </row>
    <row r="28305" spans="23:23">
      <c r="W28305" s="503"/>
    </row>
    <row r="28306" spans="23:23">
      <c r="W28306" s="503"/>
    </row>
    <row r="28307" spans="23:23">
      <c r="W28307" s="503"/>
    </row>
    <row r="28308" spans="23:23">
      <c r="W28308" s="503"/>
    </row>
    <row r="28309" spans="23:23">
      <c r="W28309" s="503"/>
    </row>
    <row r="28310" spans="23:23">
      <c r="W28310" s="503"/>
    </row>
    <row r="28311" spans="23:23">
      <c r="W28311" s="503"/>
    </row>
    <row r="28312" spans="23:23">
      <c r="W28312" s="503"/>
    </row>
    <row r="28313" spans="23:23">
      <c r="W28313" s="503"/>
    </row>
    <row r="28314" spans="23:23">
      <c r="W28314" s="503"/>
    </row>
    <row r="28315" spans="23:23">
      <c r="W28315" s="503"/>
    </row>
    <row r="28316" spans="23:23">
      <c r="W28316" s="503"/>
    </row>
    <row r="28317" spans="23:23">
      <c r="W28317" s="503"/>
    </row>
    <row r="28318" spans="23:23">
      <c r="W28318" s="503"/>
    </row>
    <row r="28319" spans="23:23">
      <c r="W28319" s="503"/>
    </row>
    <row r="28320" spans="23:23">
      <c r="W28320" s="503"/>
    </row>
    <row r="28321" spans="23:23">
      <c r="W28321" s="503"/>
    </row>
    <row r="28322" spans="23:23">
      <c r="W28322" s="503"/>
    </row>
    <row r="28323" spans="23:23">
      <c r="W28323" s="503"/>
    </row>
    <row r="28324" spans="23:23">
      <c r="W28324" s="503"/>
    </row>
    <row r="28325" spans="23:23">
      <c r="W28325" s="503"/>
    </row>
    <row r="28326" spans="23:23">
      <c r="W28326" s="503"/>
    </row>
    <row r="28327" spans="23:23">
      <c r="W28327" s="503"/>
    </row>
    <row r="28328" spans="23:23">
      <c r="W28328" s="503"/>
    </row>
    <row r="28329" spans="23:23">
      <c r="W28329" s="503"/>
    </row>
    <row r="28330" spans="23:23">
      <c r="W28330" s="503"/>
    </row>
    <row r="28331" spans="23:23">
      <c r="W28331" s="503"/>
    </row>
    <row r="28332" spans="23:23">
      <c r="W28332" s="503"/>
    </row>
    <row r="28333" spans="23:23">
      <c r="W28333" s="503"/>
    </row>
    <row r="28334" spans="23:23">
      <c r="W28334" s="503"/>
    </row>
    <row r="28335" spans="23:23">
      <c r="W28335" s="503"/>
    </row>
    <row r="28336" spans="23:23">
      <c r="W28336" s="503"/>
    </row>
    <row r="28337" spans="23:23">
      <c r="W28337" s="503"/>
    </row>
    <row r="28338" spans="23:23">
      <c r="W28338" s="503"/>
    </row>
    <row r="28339" spans="23:23">
      <c r="W28339" s="503"/>
    </row>
    <row r="28340" spans="23:23">
      <c r="W28340" s="503"/>
    </row>
    <row r="28341" spans="23:23">
      <c r="W28341" s="503"/>
    </row>
    <row r="28342" spans="23:23">
      <c r="W28342" s="503"/>
    </row>
    <row r="28343" spans="23:23">
      <c r="W28343" s="503"/>
    </row>
    <row r="28344" spans="23:23">
      <c r="W28344" s="503"/>
    </row>
    <row r="28345" spans="23:23">
      <c r="W28345" s="503"/>
    </row>
    <row r="28346" spans="23:23">
      <c r="W28346" s="503"/>
    </row>
    <row r="28347" spans="23:23">
      <c r="W28347" s="503"/>
    </row>
    <row r="28348" spans="23:23">
      <c r="W28348" s="503"/>
    </row>
    <row r="28349" spans="23:23">
      <c r="W28349" s="503"/>
    </row>
    <row r="28350" spans="23:23">
      <c r="W28350" s="503"/>
    </row>
    <row r="28351" spans="23:23">
      <c r="W28351" s="503"/>
    </row>
    <row r="28352" spans="23:23">
      <c r="W28352" s="503"/>
    </row>
    <row r="28353" spans="23:23">
      <c r="W28353" s="503"/>
    </row>
    <row r="28354" spans="23:23">
      <c r="W28354" s="503"/>
    </row>
    <row r="28355" spans="23:23">
      <c r="W28355" s="503"/>
    </row>
    <row r="28356" spans="23:23">
      <c r="W28356" s="503"/>
    </row>
    <row r="28357" spans="23:23">
      <c r="W28357" s="503"/>
    </row>
    <row r="28358" spans="23:23">
      <c r="W28358" s="503"/>
    </row>
    <row r="28359" spans="23:23">
      <c r="W28359" s="503"/>
    </row>
    <row r="28360" spans="23:23">
      <c r="W28360" s="503"/>
    </row>
    <row r="28361" spans="23:23">
      <c r="W28361" s="503"/>
    </row>
    <row r="28362" spans="23:23">
      <c r="W28362" s="503"/>
    </row>
    <row r="28363" spans="23:23">
      <c r="W28363" s="503"/>
    </row>
    <row r="28364" spans="23:23">
      <c r="W28364" s="503"/>
    </row>
    <row r="28365" spans="23:23">
      <c r="W28365" s="503"/>
    </row>
    <row r="28366" spans="23:23">
      <c r="W28366" s="503"/>
    </row>
    <row r="28367" spans="23:23">
      <c r="W28367" s="503"/>
    </row>
    <row r="28368" spans="23:23">
      <c r="W28368" s="503"/>
    </row>
    <row r="28369" spans="23:23">
      <c r="W28369" s="503"/>
    </row>
    <row r="28370" spans="23:23">
      <c r="W28370" s="503"/>
    </row>
    <row r="28371" spans="23:23">
      <c r="W28371" s="503"/>
    </row>
    <row r="28372" spans="23:23">
      <c r="W28372" s="503"/>
    </row>
    <row r="28373" spans="23:23">
      <c r="W28373" s="503"/>
    </row>
    <row r="28374" spans="23:23">
      <c r="W28374" s="503"/>
    </row>
    <row r="28375" spans="23:23">
      <c r="W28375" s="503"/>
    </row>
    <row r="28376" spans="23:23">
      <c r="W28376" s="503"/>
    </row>
    <row r="28377" spans="23:23">
      <c r="W28377" s="503"/>
    </row>
    <row r="28378" spans="23:23">
      <c r="W28378" s="503"/>
    </row>
    <row r="28379" spans="23:23">
      <c r="W28379" s="503"/>
    </row>
    <row r="28380" spans="23:23">
      <c r="W28380" s="503"/>
    </row>
    <row r="28381" spans="23:23">
      <c r="W28381" s="503"/>
    </row>
    <row r="28382" spans="23:23">
      <c r="W28382" s="503"/>
    </row>
    <row r="28383" spans="23:23">
      <c r="W28383" s="503"/>
    </row>
    <row r="28384" spans="23:23">
      <c r="W28384" s="503"/>
    </row>
    <row r="28385" spans="23:23">
      <c r="W28385" s="503"/>
    </row>
    <row r="28386" spans="23:23">
      <c r="W28386" s="503"/>
    </row>
    <row r="28387" spans="23:23">
      <c r="W28387" s="503"/>
    </row>
    <row r="28388" spans="23:23">
      <c r="W28388" s="503"/>
    </row>
    <row r="28389" spans="23:23">
      <c r="W28389" s="503"/>
    </row>
    <row r="28390" spans="23:23">
      <c r="W28390" s="503"/>
    </row>
    <row r="28391" spans="23:23">
      <c r="W28391" s="503"/>
    </row>
    <row r="28392" spans="23:23">
      <c r="W28392" s="503"/>
    </row>
    <row r="28393" spans="23:23">
      <c r="W28393" s="503"/>
    </row>
    <row r="28394" spans="23:23">
      <c r="W28394" s="503"/>
    </row>
    <row r="28395" spans="23:23">
      <c r="W28395" s="503"/>
    </row>
    <row r="28396" spans="23:23">
      <c r="W28396" s="503"/>
    </row>
    <row r="28397" spans="23:23">
      <c r="W28397" s="503"/>
    </row>
    <row r="28398" spans="23:23">
      <c r="W28398" s="503"/>
    </row>
    <row r="28399" spans="23:23">
      <c r="W28399" s="503"/>
    </row>
    <row r="28400" spans="23:23">
      <c r="W28400" s="503"/>
    </row>
    <row r="28401" spans="23:23">
      <c r="W28401" s="503"/>
    </row>
    <row r="28402" spans="23:23">
      <c r="W28402" s="503"/>
    </row>
    <row r="28403" spans="23:23">
      <c r="W28403" s="503"/>
    </row>
    <row r="28404" spans="23:23">
      <c r="W28404" s="503"/>
    </row>
    <row r="28405" spans="23:23">
      <c r="W28405" s="503"/>
    </row>
    <row r="28406" spans="23:23">
      <c r="W28406" s="503"/>
    </row>
    <row r="28407" spans="23:23">
      <c r="W28407" s="503"/>
    </row>
    <row r="28408" spans="23:23">
      <c r="W28408" s="503"/>
    </row>
    <row r="28409" spans="23:23">
      <c r="W28409" s="503"/>
    </row>
    <row r="28410" spans="23:23">
      <c r="W28410" s="503"/>
    </row>
    <row r="28411" spans="23:23">
      <c r="W28411" s="503"/>
    </row>
    <row r="28412" spans="23:23">
      <c r="W28412" s="503"/>
    </row>
    <row r="28413" spans="23:23">
      <c r="W28413" s="503"/>
    </row>
    <row r="28414" spans="23:23">
      <c r="W28414" s="503"/>
    </row>
    <row r="28415" spans="23:23">
      <c r="W28415" s="503"/>
    </row>
    <row r="28416" spans="23:23">
      <c r="W28416" s="503"/>
    </row>
    <row r="28417" spans="23:23">
      <c r="W28417" s="503"/>
    </row>
    <row r="28418" spans="23:23">
      <c r="W28418" s="503"/>
    </row>
    <row r="28419" spans="23:23">
      <c r="W28419" s="503"/>
    </row>
    <row r="28420" spans="23:23">
      <c r="W28420" s="503"/>
    </row>
    <row r="28421" spans="23:23">
      <c r="W28421" s="503"/>
    </row>
    <row r="28422" spans="23:23">
      <c r="W28422" s="503"/>
    </row>
    <row r="28423" spans="23:23">
      <c r="W28423" s="503"/>
    </row>
    <row r="28424" spans="23:23">
      <c r="W28424" s="503"/>
    </row>
    <row r="28425" spans="23:23">
      <c r="W28425" s="503"/>
    </row>
    <row r="28426" spans="23:23">
      <c r="W28426" s="503"/>
    </row>
    <row r="28427" spans="23:23">
      <c r="W28427" s="503"/>
    </row>
    <row r="28428" spans="23:23">
      <c r="W28428" s="503"/>
    </row>
    <row r="28429" spans="23:23">
      <c r="W28429" s="503"/>
    </row>
    <row r="28430" spans="23:23">
      <c r="W28430" s="503"/>
    </row>
    <row r="28431" spans="23:23">
      <c r="W28431" s="503"/>
    </row>
    <row r="28432" spans="23:23">
      <c r="W28432" s="503"/>
    </row>
    <row r="28433" spans="23:23">
      <c r="W28433" s="503"/>
    </row>
    <row r="28434" spans="23:23">
      <c r="W28434" s="503"/>
    </row>
    <row r="28435" spans="23:23">
      <c r="W28435" s="503"/>
    </row>
    <row r="28436" spans="23:23">
      <c r="W28436" s="503"/>
    </row>
    <row r="28437" spans="23:23">
      <c r="W28437" s="503"/>
    </row>
    <row r="28438" spans="23:23">
      <c r="W28438" s="503"/>
    </row>
    <row r="28439" spans="23:23">
      <c r="W28439" s="503"/>
    </row>
    <row r="28440" spans="23:23">
      <c r="W28440" s="503"/>
    </row>
    <row r="28441" spans="23:23">
      <c r="W28441" s="503"/>
    </row>
    <row r="28442" spans="23:23">
      <c r="W28442" s="503"/>
    </row>
    <row r="28443" spans="23:23">
      <c r="W28443" s="503"/>
    </row>
    <row r="28444" spans="23:23">
      <c r="W28444" s="503"/>
    </row>
    <row r="28445" spans="23:23">
      <c r="W28445" s="503"/>
    </row>
    <row r="28446" spans="23:23">
      <c r="W28446" s="503"/>
    </row>
    <row r="28447" spans="23:23">
      <c r="W28447" s="503"/>
    </row>
    <row r="28448" spans="23:23">
      <c r="W28448" s="503"/>
    </row>
    <row r="28449" spans="23:23">
      <c r="W28449" s="503"/>
    </row>
    <row r="28450" spans="23:23">
      <c r="W28450" s="503"/>
    </row>
    <row r="28451" spans="23:23">
      <c r="W28451" s="503"/>
    </row>
    <row r="28452" spans="23:23">
      <c r="W28452" s="503"/>
    </row>
    <row r="28453" spans="23:23">
      <c r="W28453" s="503"/>
    </row>
    <row r="28454" spans="23:23">
      <c r="W28454" s="503"/>
    </row>
    <row r="28455" spans="23:23">
      <c r="W28455" s="503"/>
    </row>
    <row r="28456" spans="23:23">
      <c r="W28456" s="503"/>
    </row>
    <row r="28457" spans="23:23">
      <c r="W28457" s="503"/>
    </row>
    <row r="28458" spans="23:23">
      <c r="W28458" s="503"/>
    </row>
    <row r="28459" spans="23:23">
      <c r="W28459" s="503"/>
    </row>
    <row r="28460" spans="23:23">
      <c r="W28460" s="503"/>
    </row>
    <row r="28461" spans="23:23">
      <c r="W28461" s="503"/>
    </row>
    <row r="28462" spans="23:23">
      <c r="W28462" s="503"/>
    </row>
    <row r="28463" spans="23:23">
      <c r="W28463" s="503"/>
    </row>
    <row r="28464" spans="23:23">
      <c r="W28464" s="503"/>
    </row>
    <row r="28465" spans="23:23">
      <c r="W28465" s="503"/>
    </row>
    <row r="28466" spans="23:23">
      <c r="W28466" s="503"/>
    </row>
    <row r="28467" spans="23:23">
      <c r="W28467" s="503"/>
    </row>
    <row r="28468" spans="23:23">
      <c r="W28468" s="503"/>
    </row>
    <row r="28469" spans="23:23">
      <c r="W28469" s="503"/>
    </row>
    <row r="28470" spans="23:23">
      <c r="W28470" s="503"/>
    </row>
    <row r="28471" spans="23:23">
      <c r="W28471" s="503"/>
    </row>
    <row r="28472" spans="23:23">
      <c r="W28472" s="503"/>
    </row>
    <row r="28473" spans="23:23">
      <c r="W28473" s="503"/>
    </row>
    <row r="28474" spans="23:23">
      <c r="W28474" s="503"/>
    </row>
    <row r="28475" spans="23:23">
      <c r="W28475" s="503"/>
    </row>
    <row r="28476" spans="23:23">
      <c r="W28476" s="503"/>
    </row>
    <row r="28477" spans="23:23">
      <c r="W28477" s="503"/>
    </row>
    <row r="28478" spans="23:23">
      <c r="W28478" s="503"/>
    </row>
    <row r="28479" spans="23:23">
      <c r="W28479" s="503"/>
    </row>
    <row r="28480" spans="23:23">
      <c r="W28480" s="503"/>
    </row>
    <row r="28481" spans="23:23">
      <c r="W28481" s="503"/>
    </row>
    <row r="28482" spans="23:23">
      <c r="W28482" s="503"/>
    </row>
    <row r="28483" spans="23:23">
      <c r="W28483" s="503"/>
    </row>
    <row r="28484" spans="23:23">
      <c r="W28484" s="503"/>
    </row>
    <row r="28485" spans="23:23">
      <c r="W28485" s="503"/>
    </row>
    <row r="28486" spans="23:23">
      <c r="W28486" s="503"/>
    </row>
    <row r="28487" spans="23:23">
      <c r="W28487" s="503"/>
    </row>
    <row r="28488" spans="23:23">
      <c r="W28488" s="503"/>
    </row>
    <row r="28489" spans="23:23">
      <c r="W28489" s="503"/>
    </row>
    <row r="28490" spans="23:23">
      <c r="W28490" s="503"/>
    </row>
    <row r="28491" spans="23:23">
      <c r="W28491" s="503"/>
    </row>
    <row r="28492" spans="23:23">
      <c r="W28492" s="503"/>
    </row>
    <row r="28493" spans="23:23">
      <c r="W28493" s="503"/>
    </row>
    <row r="28494" spans="23:23">
      <c r="W28494" s="503"/>
    </row>
    <row r="28495" spans="23:23">
      <c r="W28495" s="503"/>
    </row>
    <row r="28496" spans="23:23">
      <c r="W28496" s="503"/>
    </row>
    <row r="28497" spans="23:23">
      <c r="W28497" s="503"/>
    </row>
    <row r="28498" spans="23:23">
      <c r="W28498" s="503"/>
    </row>
    <row r="28499" spans="23:23">
      <c r="W28499" s="503"/>
    </row>
    <row r="28500" spans="23:23">
      <c r="W28500" s="503"/>
    </row>
    <row r="28501" spans="23:23">
      <c r="W28501" s="503"/>
    </row>
    <row r="28502" spans="23:23">
      <c r="W28502" s="503"/>
    </row>
    <row r="28503" spans="23:23">
      <c r="W28503" s="503"/>
    </row>
    <row r="28504" spans="23:23">
      <c r="W28504" s="503"/>
    </row>
    <row r="28505" spans="23:23">
      <c r="W28505" s="503"/>
    </row>
    <row r="28506" spans="23:23">
      <c r="W28506" s="503"/>
    </row>
    <row r="28507" spans="23:23">
      <c r="W28507" s="503"/>
    </row>
    <row r="28508" spans="23:23">
      <c r="W28508" s="503"/>
    </row>
    <row r="28509" spans="23:23">
      <c r="W28509" s="503"/>
    </row>
    <row r="28510" spans="23:23">
      <c r="W28510" s="503"/>
    </row>
    <row r="28511" spans="23:23">
      <c r="W28511" s="503"/>
    </row>
    <row r="28512" spans="23:23">
      <c r="W28512" s="503"/>
    </row>
    <row r="28513" spans="23:23">
      <c r="W28513" s="503"/>
    </row>
    <row r="28514" spans="23:23">
      <c r="W28514" s="503"/>
    </row>
    <row r="28515" spans="23:23">
      <c r="W28515" s="503"/>
    </row>
    <row r="28516" spans="23:23">
      <c r="W28516" s="503"/>
    </row>
    <row r="28517" spans="23:23">
      <c r="W28517" s="503"/>
    </row>
    <row r="28518" spans="23:23">
      <c r="W28518" s="503"/>
    </row>
    <row r="28519" spans="23:23">
      <c r="W28519" s="503"/>
    </row>
    <row r="28520" spans="23:23">
      <c r="W28520" s="503"/>
    </row>
    <row r="28521" spans="23:23">
      <c r="W28521" s="503"/>
    </row>
    <row r="28522" spans="23:23">
      <c r="W28522" s="503"/>
    </row>
    <row r="28523" spans="23:23">
      <c r="W28523" s="503"/>
    </row>
    <row r="28524" spans="23:23">
      <c r="W28524" s="503"/>
    </row>
    <row r="28525" spans="23:23">
      <c r="W28525" s="503"/>
    </row>
    <row r="28526" spans="23:23">
      <c r="W28526" s="503"/>
    </row>
    <row r="28527" spans="23:23">
      <c r="W28527" s="503"/>
    </row>
    <row r="28528" spans="23:23">
      <c r="W28528" s="503"/>
    </row>
    <row r="28529" spans="23:23">
      <c r="W28529" s="503"/>
    </row>
    <row r="28530" spans="23:23">
      <c r="W28530" s="503"/>
    </row>
    <row r="28531" spans="23:23">
      <c r="W28531" s="503"/>
    </row>
    <row r="28532" spans="23:23">
      <c r="W28532" s="503"/>
    </row>
    <row r="28533" spans="23:23">
      <c r="W28533" s="503"/>
    </row>
    <row r="28534" spans="23:23">
      <c r="W28534" s="503"/>
    </row>
    <row r="28535" spans="23:23">
      <c r="W28535" s="503"/>
    </row>
    <row r="28536" spans="23:23">
      <c r="W28536" s="503"/>
    </row>
    <row r="28537" spans="23:23">
      <c r="W28537" s="503"/>
    </row>
    <row r="28538" spans="23:23">
      <c r="W28538" s="503"/>
    </row>
    <row r="28539" spans="23:23">
      <c r="W28539" s="503"/>
    </row>
    <row r="28540" spans="23:23">
      <c r="W28540" s="503"/>
    </row>
    <row r="28541" spans="23:23">
      <c r="W28541" s="503"/>
    </row>
    <row r="28542" spans="23:23">
      <c r="W28542" s="503"/>
    </row>
    <row r="28543" spans="23:23">
      <c r="W28543" s="503"/>
    </row>
    <row r="28544" spans="23:23">
      <c r="W28544" s="503"/>
    </row>
    <row r="28545" spans="23:23">
      <c r="W28545" s="503"/>
    </row>
    <row r="28546" spans="23:23">
      <c r="W28546" s="503"/>
    </row>
    <row r="28547" spans="23:23">
      <c r="W28547" s="503"/>
    </row>
    <row r="28548" spans="23:23">
      <c r="W28548" s="503"/>
    </row>
    <row r="28549" spans="23:23">
      <c r="W28549" s="503"/>
    </row>
    <row r="28550" spans="23:23">
      <c r="W28550" s="503"/>
    </row>
    <row r="28551" spans="23:23">
      <c r="W28551" s="503"/>
    </row>
    <row r="28552" spans="23:23">
      <c r="W28552" s="503"/>
    </row>
    <row r="28553" spans="23:23">
      <c r="W28553" s="503"/>
    </row>
    <row r="28554" spans="23:23">
      <c r="W28554" s="503"/>
    </row>
    <row r="28555" spans="23:23">
      <c r="W28555" s="503"/>
    </row>
    <row r="28556" spans="23:23">
      <c r="W28556" s="503"/>
    </row>
    <row r="28557" spans="23:23">
      <c r="W28557" s="503"/>
    </row>
    <row r="28558" spans="23:23">
      <c r="W28558" s="503"/>
    </row>
    <row r="28559" spans="23:23">
      <c r="W28559" s="503"/>
    </row>
    <row r="28560" spans="23:23">
      <c r="W28560" s="503"/>
    </row>
    <row r="28561" spans="23:23">
      <c r="W28561" s="503"/>
    </row>
    <row r="28562" spans="23:23">
      <c r="W28562" s="503"/>
    </row>
    <row r="28563" spans="23:23">
      <c r="W28563" s="503"/>
    </row>
    <row r="28564" spans="23:23">
      <c r="W28564" s="503"/>
    </row>
    <row r="28565" spans="23:23">
      <c r="W28565" s="503"/>
    </row>
    <row r="28566" spans="23:23">
      <c r="W28566" s="503"/>
    </row>
    <row r="28567" spans="23:23">
      <c r="W28567" s="503"/>
    </row>
    <row r="28568" spans="23:23">
      <c r="W28568" s="503"/>
    </row>
    <row r="28569" spans="23:23">
      <c r="W28569" s="503"/>
    </row>
    <row r="28570" spans="23:23">
      <c r="W28570" s="503"/>
    </row>
    <row r="28571" spans="23:23">
      <c r="W28571" s="503"/>
    </row>
    <row r="28572" spans="23:23">
      <c r="W28572" s="503"/>
    </row>
    <row r="28573" spans="23:23">
      <c r="W28573" s="503"/>
    </row>
    <row r="28574" spans="23:23">
      <c r="W28574" s="503"/>
    </row>
    <row r="28575" spans="23:23">
      <c r="W28575" s="503"/>
    </row>
    <row r="28576" spans="23:23">
      <c r="W28576" s="503"/>
    </row>
    <row r="28577" spans="23:23">
      <c r="W28577" s="503"/>
    </row>
    <row r="28578" spans="23:23">
      <c r="W28578" s="503"/>
    </row>
    <row r="28579" spans="23:23">
      <c r="W28579" s="503"/>
    </row>
    <row r="28580" spans="23:23">
      <c r="W28580" s="503"/>
    </row>
    <row r="28581" spans="23:23">
      <c r="W28581" s="503"/>
    </row>
    <row r="28582" spans="23:23">
      <c r="W28582" s="503"/>
    </row>
    <row r="28583" spans="23:23">
      <c r="W28583" s="503"/>
    </row>
    <row r="28584" spans="23:23">
      <c r="W28584" s="503"/>
    </row>
    <row r="28585" spans="23:23">
      <c r="W28585" s="503"/>
    </row>
    <row r="28586" spans="23:23">
      <c r="W28586" s="503"/>
    </row>
    <row r="28587" spans="23:23">
      <c r="W28587" s="503"/>
    </row>
    <row r="28588" spans="23:23">
      <c r="W28588" s="503"/>
    </row>
    <row r="28589" spans="23:23">
      <c r="W28589" s="503"/>
    </row>
    <row r="28590" spans="23:23">
      <c r="W28590" s="503"/>
    </row>
    <row r="28591" spans="23:23">
      <c r="W28591" s="503"/>
    </row>
    <row r="28592" spans="23:23">
      <c r="W28592" s="503"/>
    </row>
    <row r="28593" spans="23:23">
      <c r="W28593" s="503"/>
    </row>
    <row r="28594" spans="23:23">
      <c r="W28594" s="503"/>
    </row>
    <row r="28595" spans="23:23">
      <c r="W28595" s="503"/>
    </row>
    <row r="28596" spans="23:23">
      <c r="W28596" s="503"/>
    </row>
    <row r="28597" spans="23:23">
      <c r="W28597" s="503"/>
    </row>
    <row r="28598" spans="23:23">
      <c r="W28598" s="503"/>
    </row>
    <row r="28599" spans="23:23">
      <c r="W28599" s="503"/>
    </row>
    <row r="28600" spans="23:23">
      <c r="W28600" s="503"/>
    </row>
    <row r="28601" spans="23:23">
      <c r="W28601" s="503"/>
    </row>
    <row r="28602" spans="23:23">
      <c r="W28602" s="503"/>
    </row>
    <row r="28603" spans="23:23">
      <c r="W28603" s="503"/>
    </row>
    <row r="28604" spans="23:23">
      <c r="W28604" s="503"/>
    </row>
    <row r="28605" spans="23:23">
      <c r="W28605" s="503"/>
    </row>
    <row r="28606" spans="23:23">
      <c r="W28606" s="503"/>
    </row>
    <row r="28607" spans="23:23">
      <c r="W28607" s="503"/>
    </row>
    <row r="28608" spans="23:23">
      <c r="W28608" s="503"/>
    </row>
    <row r="28609" spans="23:23">
      <c r="W28609" s="503"/>
    </row>
    <row r="28610" spans="23:23">
      <c r="W28610" s="503"/>
    </row>
    <row r="28611" spans="23:23">
      <c r="W28611" s="503"/>
    </row>
    <row r="28612" spans="23:23">
      <c r="W28612" s="503"/>
    </row>
    <row r="28613" spans="23:23">
      <c r="W28613" s="503"/>
    </row>
    <row r="28614" spans="23:23">
      <c r="W28614" s="503"/>
    </row>
    <row r="28615" spans="23:23">
      <c r="W28615" s="503"/>
    </row>
    <row r="28616" spans="23:23">
      <c r="W28616" s="503"/>
    </row>
    <row r="28617" spans="23:23">
      <c r="W28617" s="503"/>
    </row>
    <row r="28618" spans="23:23">
      <c r="W28618" s="503"/>
    </row>
    <row r="28619" spans="23:23">
      <c r="W28619" s="503"/>
    </row>
    <row r="28620" spans="23:23">
      <c r="W28620" s="503"/>
    </row>
    <row r="28621" spans="23:23">
      <c r="W28621" s="503"/>
    </row>
    <row r="28622" spans="23:23">
      <c r="W28622" s="503"/>
    </row>
    <row r="28623" spans="23:23">
      <c r="W28623" s="503"/>
    </row>
    <row r="28624" spans="23:23">
      <c r="W28624" s="503"/>
    </row>
    <row r="28625" spans="23:23">
      <c r="W28625" s="503"/>
    </row>
    <row r="28626" spans="23:23">
      <c r="W28626" s="503"/>
    </row>
    <row r="28627" spans="23:23">
      <c r="W28627" s="503"/>
    </row>
    <row r="28628" spans="23:23">
      <c r="W28628" s="503"/>
    </row>
    <row r="28629" spans="23:23">
      <c r="W28629" s="503"/>
    </row>
    <row r="28630" spans="23:23">
      <c r="W28630" s="503"/>
    </row>
    <row r="28631" spans="23:23">
      <c r="W28631" s="503"/>
    </row>
    <row r="28632" spans="23:23">
      <c r="W28632" s="503"/>
    </row>
    <row r="28633" spans="23:23">
      <c r="W28633" s="503"/>
    </row>
    <row r="28634" spans="23:23">
      <c r="W28634" s="503"/>
    </row>
    <row r="28635" spans="23:23">
      <c r="W28635" s="503"/>
    </row>
    <row r="28636" spans="23:23">
      <c r="W28636" s="503"/>
    </row>
    <row r="28637" spans="23:23">
      <c r="W28637" s="503"/>
    </row>
    <row r="28638" spans="23:23">
      <c r="W28638" s="503"/>
    </row>
    <row r="28639" spans="23:23">
      <c r="W28639" s="503"/>
    </row>
    <row r="28640" spans="23:23">
      <c r="W28640" s="503"/>
    </row>
    <row r="28641" spans="23:23">
      <c r="W28641" s="503"/>
    </row>
    <row r="28642" spans="23:23">
      <c r="W28642" s="503"/>
    </row>
    <row r="28643" spans="23:23">
      <c r="W28643" s="503"/>
    </row>
    <row r="28644" spans="23:23">
      <c r="W28644" s="503"/>
    </row>
    <row r="28645" spans="23:23">
      <c r="W28645" s="503"/>
    </row>
    <row r="28646" spans="23:23">
      <c r="W28646" s="503"/>
    </row>
    <row r="28647" spans="23:23">
      <c r="W28647" s="503"/>
    </row>
    <row r="28648" spans="23:23">
      <c r="W28648" s="503"/>
    </row>
    <row r="28649" spans="23:23">
      <c r="W28649" s="503"/>
    </row>
    <row r="28650" spans="23:23">
      <c r="W28650" s="503"/>
    </row>
    <row r="28651" spans="23:23">
      <c r="W28651" s="503"/>
    </row>
    <row r="28652" spans="23:23">
      <c r="W28652" s="503"/>
    </row>
    <row r="28653" spans="23:23">
      <c r="W28653" s="503"/>
    </row>
    <row r="28654" spans="23:23">
      <c r="W28654" s="503"/>
    </row>
    <row r="28655" spans="23:23">
      <c r="W28655" s="503"/>
    </row>
    <row r="28656" spans="23:23">
      <c r="W28656" s="503"/>
    </row>
    <row r="28657" spans="23:23">
      <c r="W28657" s="503"/>
    </row>
    <row r="28658" spans="23:23">
      <c r="W28658" s="503"/>
    </row>
    <row r="28659" spans="23:23">
      <c r="W28659" s="503"/>
    </row>
    <row r="28660" spans="23:23">
      <c r="W28660" s="503"/>
    </row>
    <row r="28661" spans="23:23">
      <c r="W28661" s="503"/>
    </row>
    <row r="28662" spans="23:23">
      <c r="W28662" s="503"/>
    </row>
    <row r="28663" spans="23:23">
      <c r="W28663" s="503"/>
    </row>
    <row r="28664" spans="23:23">
      <c r="W28664" s="503"/>
    </row>
    <row r="28665" spans="23:23">
      <c r="W28665" s="503"/>
    </row>
    <row r="28666" spans="23:23">
      <c r="W28666" s="503"/>
    </row>
    <row r="28667" spans="23:23">
      <c r="W28667" s="503"/>
    </row>
    <row r="28668" spans="23:23">
      <c r="W28668" s="503"/>
    </row>
    <row r="28669" spans="23:23">
      <c r="W28669" s="503"/>
    </row>
    <row r="28670" spans="23:23">
      <c r="W28670" s="503"/>
    </row>
    <row r="28671" spans="23:23">
      <c r="W28671" s="503"/>
    </row>
    <row r="28672" spans="23:23">
      <c r="W28672" s="503"/>
    </row>
    <row r="28673" spans="23:23">
      <c r="W28673" s="503"/>
    </row>
    <row r="28674" spans="23:23">
      <c r="W28674" s="503"/>
    </row>
    <row r="28675" spans="23:23">
      <c r="W28675" s="503"/>
    </row>
    <row r="28676" spans="23:23">
      <c r="W28676" s="503"/>
    </row>
    <row r="28677" spans="23:23">
      <c r="W28677" s="503"/>
    </row>
    <row r="28678" spans="23:23">
      <c r="W28678" s="503"/>
    </row>
    <row r="28679" spans="23:23">
      <c r="W28679" s="503"/>
    </row>
    <row r="28680" spans="23:23">
      <c r="W28680" s="503"/>
    </row>
    <row r="28681" spans="23:23">
      <c r="W28681" s="503"/>
    </row>
    <row r="28682" spans="23:23">
      <c r="W28682" s="503"/>
    </row>
    <row r="28683" spans="23:23">
      <c r="W28683" s="503"/>
    </row>
    <row r="28684" spans="23:23">
      <c r="W28684" s="503"/>
    </row>
    <row r="28685" spans="23:23">
      <c r="W28685" s="503"/>
    </row>
    <row r="28686" spans="23:23">
      <c r="W28686" s="503"/>
    </row>
    <row r="28687" spans="23:23">
      <c r="W28687" s="503"/>
    </row>
    <row r="28688" spans="23:23">
      <c r="W28688" s="503"/>
    </row>
    <row r="28689" spans="23:23">
      <c r="W28689" s="503"/>
    </row>
    <row r="28690" spans="23:23">
      <c r="W28690" s="503"/>
    </row>
    <row r="28691" spans="23:23">
      <c r="W28691" s="503"/>
    </row>
    <row r="28692" spans="23:23">
      <c r="W28692" s="503"/>
    </row>
    <row r="28693" spans="23:23">
      <c r="W28693" s="503"/>
    </row>
    <row r="28694" spans="23:23">
      <c r="W28694" s="503"/>
    </row>
    <row r="28695" spans="23:23">
      <c r="W28695" s="503"/>
    </row>
    <row r="28696" spans="23:23">
      <c r="W28696" s="503"/>
    </row>
    <row r="28697" spans="23:23">
      <c r="W28697" s="503"/>
    </row>
    <row r="28698" spans="23:23">
      <c r="W28698" s="503"/>
    </row>
    <row r="28699" spans="23:23">
      <c r="W28699" s="503"/>
    </row>
    <row r="28700" spans="23:23">
      <c r="W28700" s="503"/>
    </row>
    <row r="28701" spans="23:23">
      <c r="W28701" s="503"/>
    </row>
    <row r="28702" spans="23:23">
      <c r="W28702" s="503"/>
    </row>
    <row r="28703" spans="23:23">
      <c r="W28703" s="503"/>
    </row>
    <row r="28704" spans="23:23">
      <c r="W28704" s="503"/>
    </row>
    <row r="28705" spans="23:23">
      <c r="W28705" s="503"/>
    </row>
    <row r="28706" spans="23:23">
      <c r="W28706" s="503"/>
    </row>
    <row r="28707" spans="23:23">
      <c r="W28707" s="503"/>
    </row>
    <row r="28708" spans="23:23">
      <c r="W28708" s="503"/>
    </row>
    <row r="28709" spans="23:23">
      <c r="W28709" s="503"/>
    </row>
    <row r="28710" spans="23:23">
      <c r="W28710" s="503"/>
    </row>
    <row r="28711" spans="23:23">
      <c r="W28711" s="503"/>
    </row>
    <row r="28712" spans="23:23">
      <c r="W28712" s="503"/>
    </row>
    <row r="28713" spans="23:23">
      <c r="W28713" s="503"/>
    </row>
    <row r="28714" spans="23:23">
      <c r="W28714" s="503"/>
    </row>
    <row r="28715" spans="23:23">
      <c r="W28715" s="503"/>
    </row>
    <row r="28716" spans="23:23">
      <c r="W28716" s="503"/>
    </row>
    <row r="28717" spans="23:23">
      <c r="W28717" s="503"/>
    </row>
    <row r="28718" spans="23:23">
      <c r="W28718" s="503"/>
    </row>
    <row r="28719" spans="23:23">
      <c r="W28719" s="503"/>
    </row>
    <row r="28720" spans="23:23">
      <c r="W28720" s="503"/>
    </row>
    <row r="28721" spans="23:23">
      <c r="W28721" s="503"/>
    </row>
    <row r="28722" spans="23:23">
      <c r="W28722" s="503"/>
    </row>
    <row r="28723" spans="23:23">
      <c r="W28723" s="503"/>
    </row>
    <row r="28724" spans="23:23">
      <c r="W28724" s="503"/>
    </row>
    <row r="28725" spans="23:23">
      <c r="W28725" s="503"/>
    </row>
    <row r="28726" spans="23:23">
      <c r="W28726" s="503"/>
    </row>
    <row r="28727" spans="23:23">
      <c r="W28727" s="503"/>
    </row>
    <row r="28728" spans="23:23">
      <c r="W28728" s="503"/>
    </row>
    <row r="28729" spans="23:23">
      <c r="W28729" s="503"/>
    </row>
    <row r="28730" spans="23:23">
      <c r="W28730" s="503"/>
    </row>
    <row r="28731" spans="23:23">
      <c r="W28731" s="503"/>
    </row>
    <row r="28732" spans="23:23">
      <c r="W28732" s="503"/>
    </row>
    <row r="28733" spans="23:23">
      <c r="W28733" s="503"/>
    </row>
    <row r="28734" spans="23:23">
      <c r="W28734" s="503"/>
    </row>
    <row r="28735" spans="23:23">
      <c r="W28735" s="503"/>
    </row>
    <row r="28736" spans="23:23">
      <c r="W28736" s="503"/>
    </row>
    <row r="28737" spans="23:23">
      <c r="W28737" s="503"/>
    </row>
    <row r="28738" spans="23:23">
      <c r="W28738" s="503"/>
    </row>
    <row r="28739" spans="23:23">
      <c r="W28739" s="503"/>
    </row>
    <row r="28740" spans="23:23">
      <c r="W28740" s="503"/>
    </row>
    <row r="28741" spans="23:23">
      <c r="W28741" s="503"/>
    </row>
    <row r="28742" spans="23:23">
      <c r="W28742" s="503"/>
    </row>
    <row r="28743" spans="23:23">
      <c r="W28743" s="503"/>
    </row>
    <row r="28744" spans="23:23">
      <c r="W28744" s="503"/>
    </row>
    <row r="28745" spans="23:23">
      <c r="W28745" s="503"/>
    </row>
    <row r="28746" spans="23:23">
      <c r="W28746" s="503"/>
    </row>
    <row r="28747" spans="23:23">
      <c r="W28747" s="503"/>
    </row>
    <row r="28748" spans="23:23">
      <c r="W28748" s="503"/>
    </row>
    <row r="28749" spans="23:23">
      <c r="W28749" s="503"/>
    </row>
    <row r="28750" spans="23:23">
      <c r="W28750" s="503"/>
    </row>
    <row r="28751" spans="23:23">
      <c r="W28751" s="503"/>
    </row>
    <row r="28752" spans="23:23">
      <c r="W28752" s="503"/>
    </row>
    <row r="28753" spans="23:23">
      <c r="W28753" s="503"/>
    </row>
    <row r="28754" spans="23:23">
      <c r="W28754" s="503"/>
    </row>
    <row r="28755" spans="23:23">
      <c r="W28755" s="503"/>
    </row>
    <row r="28756" spans="23:23">
      <c r="W28756" s="503"/>
    </row>
    <row r="28757" spans="23:23">
      <c r="W28757" s="503"/>
    </row>
    <row r="28758" spans="23:23">
      <c r="W28758" s="503"/>
    </row>
    <row r="28759" spans="23:23">
      <c r="W28759" s="503"/>
    </row>
    <row r="28760" spans="23:23">
      <c r="W28760" s="503"/>
    </row>
    <row r="28761" spans="23:23">
      <c r="W28761" s="503"/>
    </row>
    <row r="28762" spans="23:23">
      <c r="W28762" s="503"/>
    </row>
    <row r="28763" spans="23:23">
      <c r="W28763" s="503"/>
    </row>
    <row r="28764" spans="23:23">
      <c r="W28764" s="503"/>
    </row>
    <row r="28765" spans="23:23">
      <c r="W28765" s="503"/>
    </row>
    <row r="28766" spans="23:23">
      <c r="W28766" s="503"/>
    </row>
    <row r="28767" spans="23:23">
      <c r="W28767" s="503"/>
    </row>
    <row r="28768" spans="23:23">
      <c r="W28768" s="503"/>
    </row>
    <row r="28769" spans="23:23">
      <c r="W28769" s="503"/>
    </row>
    <row r="28770" spans="23:23">
      <c r="W28770" s="503"/>
    </row>
    <row r="28771" spans="23:23">
      <c r="W28771" s="503"/>
    </row>
    <row r="28772" spans="23:23">
      <c r="W28772" s="503"/>
    </row>
    <row r="28773" spans="23:23">
      <c r="W28773" s="503"/>
    </row>
    <row r="28774" spans="23:23">
      <c r="W28774" s="503"/>
    </row>
    <row r="28775" spans="23:23">
      <c r="W28775" s="503"/>
    </row>
    <row r="28776" spans="23:23">
      <c r="W28776" s="503"/>
    </row>
    <row r="28777" spans="23:23">
      <c r="W28777" s="503"/>
    </row>
    <row r="28778" spans="23:23">
      <c r="W28778" s="503"/>
    </row>
    <row r="28779" spans="23:23">
      <c r="W28779" s="503"/>
    </row>
    <row r="28780" spans="23:23">
      <c r="W28780" s="503"/>
    </row>
    <row r="28781" spans="23:23">
      <c r="W28781" s="503"/>
    </row>
    <row r="28782" spans="23:23">
      <c r="W28782" s="503"/>
    </row>
    <row r="28783" spans="23:23">
      <c r="W28783" s="503"/>
    </row>
    <row r="28784" spans="23:23">
      <c r="W28784" s="503"/>
    </row>
    <row r="28785" spans="23:23">
      <c r="W28785" s="503"/>
    </row>
    <row r="28786" spans="23:23">
      <c r="W28786" s="503"/>
    </row>
    <row r="28787" spans="23:23">
      <c r="W28787" s="503"/>
    </row>
    <row r="28788" spans="23:23">
      <c r="W28788" s="503"/>
    </row>
    <row r="28789" spans="23:23">
      <c r="W28789" s="503"/>
    </row>
    <row r="28790" spans="23:23">
      <c r="W28790" s="503"/>
    </row>
    <row r="28791" spans="23:23">
      <c r="W28791" s="503"/>
    </row>
    <row r="28792" spans="23:23">
      <c r="W28792" s="503"/>
    </row>
    <row r="28793" spans="23:23">
      <c r="W28793" s="503"/>
    </row>
    <row r="28794" spans="23:23">
      <c r="W28794" s="503"/>
    </row>
    <row r="28795" spans="23:23">
      <c r="W28795" s="503"/>
    </row>
    <row r="28796" spans="23:23">
      <c r="W28796" s="503"/>
    </row>
    <row r="28797" spans="23:23">
      <c r="W28797" s="503"/>
    </row>
    <row r="28798" spans="23:23">
      <c r="W28798" s="503"/>
    </row>
    <row r="28799" spans="23:23">
      <c r="W28799" s="503"/>
    </row>
    <row r="28800" spans="23:23">
      <c r="W28800" s="503"/>
    </row>
    <row r="28801" spans="23:23">
      <c r="W28801" s="503"/>
    </row>
    <row r="28802" spans="23:23">
      <c r="W28802" s="503"/>
    </row>
    <row r="28803" spans="23:23">
      <c r="W28803" s="503"/>
    </row>
    <row r="28804" spans="23:23">
      <c r="W28804" s="503"/>
    </row>
    <row r="28805" spans="23:23">
      <c r="W28805" s="503"/>
    </row>
    <row r="28806" spans="23:23">
      <c r="W28806" s="503"/>
    </row>
    <row r="28807" spans="23:23">
      <c r="W28807" s="503"/>
    </row>
    <row r="28808" spans="23:23">
      <c r="W28808" s="503"/>
    </row>
    <row r="28809" spans="23:23">
      <c r="W28809" s="503"/>
    </row>
    <row r="28810" spans="23:23">
      <c r="W28810" s="503"/>
    </row>
    <row r="28811" spans="23:23">
      <c r="W28811" s="503"/>
    </row>
    <row r="28812" spans="23:23">
      <c r="W28812" s="503"/>
    </row>
    <row r="28813" spans="23:23">
      <c r="W28813" s="503"/>
    </row>
    <row r="28814" spans="23:23">
      <c r="W28814" s="503"/>
    </row>
    <row r="28815" spans="23:23">
      <c r="W28815" s="503"/>
    </row>
    <row r="28816" spans="23:23">
      <c r="W28816" s="503"/>
    </row>
    <row r="28817" spans="23:23">
      <c r="W28817" s="503"/>
    </row>
    <row r="28818" spans="23:23">
      <c r="W28818" s="503"/>
    </row>
    <row r="28819" spans="23:23">
      <c r="W28819" s="503"/>
    </row>
    <row r="28820" spans="23:23">
      <c r="W28820" s="503"/>
    </row>
    <row r="28821" spans="23:23">
      <c r="W28821" s="503"/>
    </row>
    <row r="28822" spans="23:23">
      <c r="W28822" s="503"/>
    </row>
    <row r="28823" spans="23:23">
      <c r="W28823" s="503"/>
    </row>
    <row r="28824" spans="23:23">
      <c r="W28824" s="503"/>
    </row>
    <row r="28825" spans="23:23">
      <c r="W28825" s="503"/>
    </row>
    <row r="28826" spans="23:23">
      <c r="W28826" s="503"/>
    </row>
    <row r="28827" spans="23:23">
      <c r="W28827" s="503"/>
    </row>
    <row r="28828" spans="23:23">
      <c r="W28828" s="503"/>
    </row>
    <row r="28829" spans="23:23">
      <c r="W28829" s="503"/>
    </row>
    <row r="28830" spans="23:23">
      <c r="W28830" s="503"/>
    </row>
    <row r="28831" spans="23:23">
      <c r="W28831" s="503"/>
    </row>
    <row r="28832" spans="23:23">
      <c r="W28832" s="503"/>
    </row>
    <row r="28833" spans="23:23">
      <c r="W28833" s="503"/>
    </row>
    <row r="28834" spans="23:23">
      <c r="W28834" s="503"/>
    </row>
    <row r="28835" spans="23:23">
      <c r="W28835" s="503"/>
    </row>
    <row r="28836" spans="23:23">
      <c r="W28836" s="503"/>
    </row>
    <row r="28837" spans="23:23">
      <c r="W28837" s="503"/>
    </row>
    <row r="28838" spans="23:23">
      <c r="W28838" s="503"/>
    </row>
    <row r="28839" spans="23:23">
      <c r="W28839" s="503"/>
    </row>
    <row r="28840" spans="23:23">
      <c r="W28840" s="503"/>
    </row>
    <row r="28841" spans="23:23">
      <c r="W28841" s="503"/>
    </row>
    <row r="28842" spans="23:23">
      <c r="W28842" s="503"/>
    </row>
    <row r="28843" spans="23:23">
      <c r="W28843" s="503"/>
    </row>
    <row r="28844" spans="23:23">
      <c r="W28844" s="503"/>
    </row>
    <row r="28845" spans="23:23">
      <c r="W28845" s="503"/>
    </row>
    <row r="28846" spans="23:23">
      <c r="W28846" s="503"/>
    </row>
    <row r="28847" spans="23:23">
      <c r="W28847" s="503"/>
    </row>
    <row r="28848" spans="23:23">
      <c r="W28848" s="503"/>
    </row>
    <row r="28849" spans="23:23">
      <c r="W28849" s="503"/>
    </row>
    <row r="28850" spans="23:23">
      <c r="W28850" s="503"/>
    </row>
    <row r="28851" spans="23:23">
      <c r="W28851" s="503"/>
    </row>
    <row r="28852" spans="23:23">
      <c r="W28852" s="503"/>
    </row>
    <row r="28853" spans="23:23">
      <c r="W28853" s="503"/>
    </row>
    <row r="28854" spans="23:23">
      <c r="W28854" s="503"/>
    </row>
    <row r="28855" spans="23:23">
      <c r="W28855" s="503"/>
    </row>
    <row r="28856" spans="23:23">
      <c r="W28856" s="503"/>
    </row>
    <row r="28857" spans="23:23">
      <c r="W28857" s="503"/>
    </row>
    <row r="28858" spans="23:23">
      <c r="W28858" s="503"/>
    </row>
    <row r="28859" spans="23:23">
      <c r="W28859" s="503"/>
    </row>
    <row r="28860" spans="23:23">
      <c r="W28860" s="503"/>
    </row>
    <row r="28861" spans="23:23">
      <c r="W28861" s="503"/>
    </row>
    <row r="28862" spans="23:23">
      <c r="W28862" s="503"/>
    </row>
    <row r="28863" spans="23:23">
      <c r="W28863" s="503"/>
    </row>
    <row r="28864" spans="23:23">
      <c r="W28864" s="503"/>
    </row>
    <row r="28865" spans="23:23">
      <c r="W28865" s="503"/>
    </row>
    <row r="28866" spans="23:23">
      <c r="W28866" s="503"/>
    </row>
    <row r="28867" spans="23:23">
      <c r="W28867" s="503"/>
    </row>
    <row r="28868" spans="23:23">
      <c r="W28868" s="503"/>
    </row>
    <row r="28869" spans="23:23">
      <c r="W28869" s="503"/>
    </row>
    <row r="28870" spans="23:23">
      <c r="W28870" s="503"/>
    </row>
    <row r="28871" spans="23:23">
      <c r="W28871" s="503"/>
    </row>
    <row r="28872" spans="23:23">
      <c r="W28872" s="503"/>
    </row>
    <row r="28873" spans="23:23">
      <c r="W28873" s="503"/>
    </row>
    <row r="28874" spans="23:23">
      <c r="W28874" s="503"/>
    </row>
    <row r="28875" spans="23:23">
      <c r="W28875" s="503"/>
    </row>
    <row r="28876" spans="23:23">
      <c r="W28876" s="503"/>
    </row>
    <row r="28877" spans="23:23">
      <c r="W28877" s="503"/>
    </row>
    <row r="28878" spans="23:23">
      <c r="W28878" s="503"/>
    </row>
    <row r="28879" spans="23:23">
      <c r="W28879" s="503"/>
    </row>
    <row r="28880" spans="23:23">
      <c r="W28880" s="503"/>
    </row>
    <row r="28881" spans="23:23">
      <c r="W28881" s="503"/>
    </row>
    <row r="28882" spans="23:23">
      <c r="W28882" s="503"/>
    </row>
    <row r="28883" spans="23:23">
      <c r="W28883" s="503"/>
    </row>
    <row r="28884" spans="23:23">
      <c r="W28884" s="503"/>
    </row>
    <row r="28885" spans="23:23">
      <c r="W28885" s="503"/>
    </row>
    <row r="28886" spans="23:23">
      <c r="W28886" s="503"/>
    </row>
    <row r="28887" spans="23:23">
      <c r="W28887" s="503"/>
    </row>
    <row r="28888" spans="23:23">
      <c r="W28888" s="503"/>
    </row>
    <row r="28889" spans="23:23">
      <c r="W28889" s="503"/>
    </row>
    <row r="28890" spans="23:23">
      <c r="W28890" s="503"/>
    </row>
    <row r="28891" spans="23:23">
      <c r="W28891" s="503"/>
    </row>
    <row r="28892" spans="23:23">
      <c r="W28892" s="503"/>
    </row>
    <row r="28893" spans="23:23">
      <c r="W28893" s="503"/>
    </row>
    <row r="28894" spans="23:23">
      <c r="W28894" s="503"/>
    </row>
    <row r="28895" spans="23:23">
      <c r="W28895" s="503"/>
    </row>
    <row r="28896" spans="23:23">
      <c r="W28896" s="503"/>
    </row>
    <row r="28897" spans="23:23">
      <c r="W28897" s="503"/>
    </row>
    <row r="28898" spans="23:23">
      <c r="W28898" s="503"/>
    </row>
    <row r="28899" spans="23:23">
      <c r="W28899" s="503"/>
    </row>
    <row r="28900" spans="23:23">
      <c r="W28900" s="503"/>
    </row>
    <row r="28901" spans="23:23">
      <c r="W28901" s="503"/>
    </row>
    <row r="28902" spans="23:23">
      <c r="W28902" s="503"/>
    </row>
    <row r="28903" spans="23:23">
      <c r="W28903" s="503"/>
    </row>
    <row r="28904" spans="23:23">
      <c r="W28904" s="503"/>
    </row>
    <row r="28905" spans="23:23">
      <c r="W28905" s="503"/>
    </row>
    <row r="28906" spans="23:23">
      <c r="W28906" s="503"/>
    </row>
    <row r="28907" spans="23:23">
      <c r="W28907" s="503"/>
    </row>
    <row r="28908" spans="23:23">
      <c r="W28908" s="503"/>
    </row>
    <row r="28909" spans="23:23">
      <c r="W28909" s="503"/>
    </row>
    <row r="28910" spans="23:23">
      <c r="W28910" s="503"/>
    </row>
    <row r="28911" spans="23:23">
      <c r="W28911" s="503"/>
    </row>
    <row r="28912" spans="23:23">
      <c r="W28912" s="503"/>
    </row>
    <row r="28913" spans="23:23">
      <c r="W28913" s="503"/>
    </row>
    <row r="28914" spans="23:23">
      <c r="W28914" s="503"/>
    </row>
    <row r="28915" spans="23:23">
      <c r="W28915" s="503"/>
    </row>
    <row r="28916" spans="23:23">
      <c r="W28916" s="503"/>
    </row>
    <row r="28917" spans="23:23">
      <c r="W28917" s="503"/>
    </row>
    <row r="28918" spans="23:23">
      <c r="W28918" s="503"/>
    </row>
    <row r="28919" spans="23:23">
      <c r="W28919" s="503"/>
    </row>
    <row r="28920" spans="23:23">
      <c r="W28920" s="503"/>
    </row>
    <row r="28921" spans="23:23">
      <c r="W28921" s="503"/>
    </row>
    <row r="28922" spans="23:23">
      <c r="W28922" s="503"/>
    </row>
    <row r="28923" spans="23:23">
      <c r="W28923" s="503"/>
    </row>
    <row r="28924" spans="23:23">
      <c r="W28924" s="503"/>
    </row>
    <row r="28925" spans="23:23">
      <c r="W28925" s="503"/>
    </row>
    <row r="28926" spans="23:23">
      <c r="W28926" s="503"/>
    </row>
    <row r="28927" spans="23:23">
      <c r="W28927" s="503"/>
    </row>
    <row r="28928" spans="23:23">
      <c r="W28928" s="503"/>
    </row>
    <row r="28929" spans="23:23">
      <c r="W28929" s="503"/>
    </row>
    <row r="28930" spans="23:23">
      <c r="W28930" s="503"/>
    </row>
    <row r="28931" spans="23:23">
      <c r="W28931" s="503"/>
    </row>
    <row r="28932" spans="23:23">
      <c r="W28932" s="503"/>
    </row>
    <row r="28933" spans="23:23">
      <c r="W28933" s="503"/>
    </row>
    <row r="28934" spans="23:23">
      <c r="W28934" s="503"/>
    </row>
    <row r="28935" spans="23:23">
      <c r="W28935" s="503"/>
    </row>
    <row r="28936" spans="23:23">
      <c r="W28936" s="503"/>
    </row>
    <row r="28937" spans="23:23">
      <c r="W28937" s="503"/>
    </row>
    <row r="28938" spans="23:23">
      <c r="W28938" s="503"/>
    </row>
    <row r="28939" spans="23:23">
      <c r="W28939" s="503"/>
    </row>
    <row r="28940" spans="23:23">
      <c r="W28940" s="503"/>
    </row>
    <row r="28941" spans="23:23">
      <c r="W28941" s="503"/>
    </row>
    <row r="28942" spans="23:23">
      <c r="W28942" s="503"/>
    </row>
    <row r="28943" spans="23:23">
      <c r="W28943" s="503"/>
    </row>
    <row r="28944" spans="23:23">
      <c r="W28944" s="503"/>
    </row>
    <row r="28945" spans="23:23">
      <c r="W28945" s="503"/>
    </row>
    <row r="28946" spans="23:23">
      <c r="W28946" s="503"/>
    </row>
    <row r="28947" spans="23:23">
      <c r="W28947" s="503"/>
    </row>
    <row r="28948" spans="23:23">
      <c r="W28948" s="503"/>
    </row>
    <row r="28949" spans="23:23">
      <c r="W28949" s="503"/>
    </row>
    <row r="28950" spans="23:23">
      <c r="W28950" s="503"/>
    </row>
    <row r="28951" spans="23:23">
      <c r="W28951" s="503"/>
    </row>
    <row r="28952" spans="23:23">
      <c r="W28952" s="503"/>
    </row>
    <row r="28953" spans="23:23">
      <c r="W28953" s="503"/>
    </row>
    <row r="28954" spans="23:23">
      <c r="W28954" s="503"/>
    </row>
    <row r="28955" spans="23:23">
      <c r="W28955" s="503"/>
    </row>
    <row r="28956" spans="23:23">
      <c r="W28956" s="503"/>
    </row>
    <row r="28957" spans="23:23">
      <c r="W28957" s="503"/>
    </row>
    <row r="28958" spans="23:23">
      <c r="W28958" s="503"/>
    </row>
    <row r="28959" spans="23:23">
      <c r="W28959" s="503"/>
    </row>
    <row r="28960" spans="23:23">
      <c r="W28960" s="503"/>
    </row>
    <row r="28961" spans="23:23">
      <c r="W28961" s="503"/>
    </row>
    <row r="28962" spans="23:23">
      <c r="W28962" s="503"/>
    </row>
    <row r="28963" spans="23:23">
      <c r="W28963" s="503"/>
    </row>
    <row r="28964" spans="23:23">
      <c r="W28964" s="503"/>
    </row>
    <row r="28965" spans="23:23">
      <c r="W28965" s="503"/>
    </row>
    <row r="28966" spans="23:23">
      <c r="W28966" s="503"/>
    </row>
    <row r="28967" spans="23:23">
      <c r="W28967" s="503"/>
    </row>
    <row r="28968" spans="23:23">
      <c r="W28968" s="503"/>
    </row>
    <row r="28969" spans="23:23">
      <c r="W28969" s="503"/>
    </row>
    <row r="28970" spans="23:23">
      <c r="W28970" s="503"/>
    </row>
    <row r="28971" spans="23:23">
      <c r="W28971" s="503"/>
    </row>
    <row r="28972" spans="23:23">
      <c r="W28972" s="503"/>
    </row>
    <row r="28973" spans="23:23">
      <c r="W28973" s="503"/>
    </row>
    <row r="28974" spans="23:23">
      <c r="W28974" s="503"/>
    </row>
    <row r="28975" spans="23:23">
      <c r="W28975" s="503"/>
    </row>
    <row r="28976" spans="23:23">
      <c r="W28976" s="503"/>
    </row>
    <row r="28977" spans="23:23">
      <c r="W28977" s="503"/>
    </row>
    <row r="28978" spans="23:23">
      <c r="W28978" s="503"/>
    </row>
    <row r="28979" spans="23:23">
      <c r="W28979" s="503"/>
    </row>
    <row r="28980" spans="23:23">
      <c r="W28980" s="503"/>
    </row>
    <row r="28981" spans="23:23">
      <c r="W28981" s="503"/>
    </row>
    <row r="28982" spans="23:23">
      <c r="W28982" s="503"/>
    </row>
    <row r="28983" spans="23:23">
      <c r="W28983" s="503"/>
    </row>
    <row r="28984" spans="23:23">
      <c r="W28984" s="503"/>
    </row>
    <row r="28985" spans="23:23">
      <c r="W28985" s="503"/>
    </row>
    <row r="28986" spans="23:23">
      <c r="W28986" s="503"/>
    </row>
    <row r="28987" spans="23:23">
      <c r="W28987" s="503"/>
    </row>
    <row r="28988" spans="23:23">
      <c r="W28988" s="503"/>
    </row>
    <row r="28989" spans="23:23">
      <c r="W28989" s="503"/>
    </row>
    <row r="28990" spans="23:23">
      <c r="W28990" s="503"/>
    </row>
    <row r="28991" spans="23:23">
      <c r="W28991" s="503"/>
    </row>
    <row r="28992" spans="23:23">
      <c r="W28992" s="503"/>
    </row>
    <row r="28993" spans="23:23">
      <c r="W28993" s="503"/>
    </row>
    <row r="28994" spans="23:23">
      <c r="W28994" s="503"/>
    </row>
    <row r="28995" spans="23:23">
      <c r="W28995" s="503"/>
    </row>
    <row r="28996" spans="23:23">
      <c r="W28996" s="503"/>
    </row>
    <row r="28997" spans="23:23">
      <c r="W28997" s="503"/>
    </row>
    <row r="28998" spans="23:23">
      <c r="W28998" s="503"/>
    </row>
    <row r="28999" spans="23:23">
      <c r="W28999" s="503"/>
    </row>
    <row r="29000" spans="23:23">
      <c r="W29000" s="503"/>
    </row>
    <row r="29001" spans="23:23">
      <c r="W29001" s="503"/>
    </row>
    <row r="29002" spans="23:23">
      <c r="W29002" s="503"/>
    </row>
    <row r="29003" spans="23:23">
      <c r="W29003" s="503"/>
    </row>
    <row r="29004" spans="23:23">
      <c r="W29004" s="503"/>
    </row>
    <row r="29005" spans="23:23">
      <c r="W29005" s="503"/>
    </row>
    <row r="29006" spans="23:23">
      <c r="W29006" s="503"/>
    </row>
    <row r="29007" spans="23:23">
      <c r="W29007" s="503"/>
    </row>
    <row r="29008" spans="23:23">
      <c r="W29008" s="503"/>
    </row>
    <row r="29009" spans="23:23">
      <c r="W29009" s="503"/>
    </row>
    <row r="29010" spans="23:23">
      <c r="W29010" s="503"/>
    </row>
    <row r="29011" spans="23:23">
      <c r="W29011" s="503"/>
    </row>
    <row r="29012" spans="23:23">
      <c r="W29012" s="503"/>
    </row>
    <row r="29013" spans="23:23">
      <c r="W29013" s="503"/>
    </row>
    <row r="29014" spans="23:23">
      <c r="W29014" s="503"/>
    </row>
    <row r="29015" spans="23:23">
      <c r="W29015" s="503"/>
    </row>
    <row r="29016" spans="23:23">
      <c r="W29016" s="503"/>
    </row>
    <row r="29017" spans="23:23">
      <c r="W29017" s="503"/>
    </row>
    <row r="29018" spans="23:23">
      <c r="W29018" s="503"/>
    </row>
    <row r="29019" spans="23:23">
      <c r="W29019" s="503"/>
    </row>
    <row r="29020" spans="23:23">
      <c r="W29020" s="503"/>
    </row>
    <row r="29021" spans="23:23">
      <c r="W29021" s="503"/>
    </row>
    <row r="29022" spans="23:23">
      <c r="W29022" s="503"/>
    </row>
    <row r="29023" spans="23:23">
      <c r="W29023" s="503"/>
    </row>
    <row r="29024" spans="23:23">
      <c r="W29024" s="503"/>
    </row>
    <row r="29025" spans="23:23">
      <c r="W29025" s="503"/>
    </row>
    <row r="29026" spans="23:23">
      <c r="W29026" s="503"/>
    </row>
    <row r="29027" spans="23:23">
      <c r="W29027" s="503"/>
    </row>
    <row r="29028" spans="23:23">
      <c r="W29028" s="503"/>
    </row>
    <row r="29029" spans="23:23">
      <c r="W29029" s="503"/>
    </row>
    <row r="29030" spans="23:23">
      <c r="W29030" s="503"/>
    </row>
    <row r="29031" spans="23:23">
      <c r="W29031" s="503"/>
    </row>
    <row r="29032" spans="23:23">
      <c r="W29032" s="503"/>
    </row>
    <row r="29033" spans="23:23">
      <c r="W29033" s="503"/>
    </row>
    <row r="29034" spans="23:23">
      <c r="W29034" s="503"/>
    </row>
    <row r="29035" spans="23:23">
      <c r="W29035" s="503"/>
    </row>
    <row r="29036" spans="23:23">
      <c r="W29036" s="503"/>
    </row>
    <row r="29037" spans="23:23">
      <c r="W29037" s="503"/>
    </row>
    <row r="29038" spans="23:23">
      <c r="W29038" s="503"/>
    </row>
    <row r="29039" spans="23:23">
      <c r="W29039" s="503"/>
    </row>
    <row r="29040" spans="23:23">
      <c r="W29040" s="503"/>
    </row>
    <row r="29041" spans="23:23">
      <c r="W29041" s="503"/>
    </row>
    <row r="29042" spans="23:23">
      <c r="W29042" s="503"/>
    </row>
    <row r="29043" spans="23:23">
      <c r="W29043" s="503"/>
    </row>
    <row r="29044" spans="23:23">
      <c r="W29044" s="503"/>
    </row>
    <row r="29045" spans="23:23">
      <c r="W29045" s="503"/>
    </row>
    <row r="29046" spans="23:23">
      <c r="W29046" s="503"/>
    </row>
    <row r="29047" spans="23:23">
      <c r="W29047" s="503"/>
    </row>
    <row r="29048" spans="23:23">
      <c r="W29048" s="503"/>
    </row>
    <row r="29049" spans="23:23">
      <c r="W29049" s="503"/>
    </row>
    <row r="29050" spans="23:23">
      <c r="W29050" s="503"/>
    </row>
    <row r="29051" spans="23:23">
      <c r="W29051" s="503"/>
    </row>
    <row r="29052" spans="23:23">
      <c r="W29052" s="503"/>
    </row>
    <row r="29053" spans="23:23">
      <c r="W29053" s="503"/>
    </row>
    <row r="29054" spans="23:23">
      <c r="W29054" s="503"/>
    </row>
    <row r="29055" spans="23:23">
      <c r="W29055" s="503"/>
    </row>
    <row r="29056" spans="23:23">
      <c r="W29056" s="503"/>
    </row>
    <row r="29057" spans="23:23">
      <c r="W29057" s="503"/>
    </row>
    <row r="29058" spans="23:23">
      <c r="W29058" s="503"/>
    </row>
    <row r="29059" spans="23:23">
      <c r="W29059" s="503"/>
    </row>
    <row r="29060" spans="23:23">
      <c r="W29060" s="503"/>
    </row>
    <row r="29061" spans="23:23">
      <c r="W29061" s="503"/>
    </row>
    <row r="29062" spans="23:23">
      <c r="W29062" s="503"/>
    </row>
    <row r="29063" spans="23:23">
      <c r="W29063" s="503"/>
    </row>
    <row r="29064" spans="23:23">
      <c r="W29064" s="503"/>
    </row>
    <row r="29065" spans="23:23">
      <c r="W29065" s="503"/>
    </row>
    <row r="29066" spans="23:23">
      <c r="W29066" s="503"/>
    </row>
    <row r="29067" spans="23:23">
      <c r="W29067" s="503"/>
    </row>
    <row r="29068" spans="23:23">
      <c r="W29068" s="503"/>
    </row>
    <row r="29069" spans="23:23">
      <c r="W29069" s="503"/>
    </row>
    <row r="29070" spans="23:23">
      <c r="W29070" s="503"/>
    </row>
    <row r="29071" spans="23:23">
      <c r="W29071" s="503"/>
    </row>
    <row r="29072" spans="23:23">
      <c r="W29072" s="503"/>
    </row>
    <row r="29073" spans="23:23">
      <c r="W29073" s="503"/>
    </row>
    <row r="29074" spans="23:23">
      <c r="W29074" s="503"/>
    </row>
    <row r="29075" spans="23:23">
      <c r="W29075" s="503"/>
    </row>
    <row r="29076" spans="23:23">
      <c r="W29076" s="503"/>
    </row>
    <row r="29077" spans="23:23">
      <c r="W29077" s="503"/>
    </row>
    <row r="29078" spans="23:23">
      <c r="W29078" s="503"/>
    </row>
    <row r="29079" spans="23:23">
      <c r="W29079" s="503"/>
    </row>
    <row r="29080" spans="23:23">
      <c r="W29080" s="503"/>
    </row>
    <row r="29081" spans="23:23">
      <c r="W29081" s="503"/>
    </row>
    <row r="29082" spans="23:23">
      <c r="W29082" s="503"/>
    </row>
    <row r="29083" spans="23:23">
      <c r="W29083" s="503"/>
    </row>
    <row r="29084" spans="23:23">
      <c r="W29084" s="503"/>
    </row>
    <row r="29085" spans="23:23">
      <c r="W29085" s="503"/>
    </row>
    <row r="29086" spans="23:23">
      <c r="W29086" s="503"/>
    </row>
    <row r="29087" spans="23:23">
      <c r="W29087" s="503"/>
    </row>
    <row r="29088" spans="23:23">
      <c r="W29088" s="503"/>
    </row>
    <row r="29089" spans="23:23">
      <c r="W29089" s="503"/>
    </row>
    <row r="29090" spans="23:23">
      <c r="W29090" s="503"/>
    </row>
    <row r="29091" spans="23:23">
      <c r="W29091" s="503"/>
    </row>
    <row r="29092" spans="23:23">
      <c r="W29092" s="503"/>
    </row>
    <row r="29093" spans="23:23">
      <c r="W29093" s="503"/>
    </row>
    <row r="29094" spans="23:23">
      <c r="W29094" s="503"/>
    </row>
    <row r="29095" spans="23:23">
      <c r="W29095" s="503"/>
    </row>
    <row r="29096" spans="23:23">
      <c r="W29096" s="503"/>
    </row>
    <row r="29097" spans="23:23">
      <c r="W29097" s="503"/>
    </row>
    <row r="29098" spans="23:23">
      <c r="W29098" s="503"/>
    </row>
    <row r="29099" spans="23:23">
      <c r="W29099" s="503"/>
    </row>
    <row r="29100" spans="23:23">
      <c r="W29100" s="503"/>
    </row>
    <row r="29101" spans="23:23">
      <c r="W29101" s="503"/>
    </row>
    <row r="29102" spans="23:23">
      <c r="W29102" s="503"/>
    </row>
    <row r="29103" spans="23:23">
      <c r="W29103" s="503"/>
    </row>
    <row r="29104" spans="23:23">
      <c r="W29104" s="503"/>
    </row>
    <row r="29105" spans="23:23">
      <c r="W29105" s="503"/>
    </row>
    <row r="29106" spans="23:23">
      <c r="W29106" s="503"/>
    </row>
    <row r="29107" spans="23:23">
      <c r="W29107" s="503"/>
    </row>
    <row r="29108" spans="23:23">
      <c r="W29108" s="503"/>
    </row>
    <row r="29109" spans="23:23">
      <c r="W29109" s="503"/>
    </row>
    <row r="29110" spans="23:23">
      <c r="W29110" s="503"/>
    </row>
    <row r="29111" spans="23:23">
      <c r="W29111" s="503"/>
    </row>
    <row r="29112" spans="23:23">
      <c r="W29112" s="503"/>
    </row>
    <row r="29113" spans="23:23">
      <c r="W29113" s="503"/>
    </row>
    <row r="29114" spans="23:23">
      <c r="W29114" s="503"/>
    </row>
    <row r="29115" spans="23:23">
      <c r="W29115" s="503"/>
    </row>
    <row r="29116" spans="23:23">
      <c r="W29116" s="503"/>
    </row>
    <row r="29117" spans="23:23">
      <c r="W29117" s="503"/>
    </row>
    <row r="29118" spans="23:23">
      <c r="W29118" s="503"/>
    </row>
    <row r="29119" spans="23:23">
      <c r="W29119" s="503"/>
    </row>
    <row r="29120" spans="23:23">
      <c r="W29120" s="503"/>
    </row>
    <row r="29121" spans="23:23">
      <c r="W29121" s="503"/>
    </row>
    <row r="29122" spans="23:23">
      <c r="W29122" s="503"/>
    </row>
    <row r="29123" spans="23:23">
      <c r="W29123" s="503"/>
    </row>
    <row r="29124" spans="23:23">
      <c r="W29124" s="503"/>
    </row>
    <row r="29125" spans="23:23">
      <c r="W29125" s="503"/>
    </row>
    <row r="29126" spans="23:23">
      <c r="W29126" s="503"/>
    </row>
    <row r="29127" spans="23:23">
      <c r="W29127" s="503"/>
    </row>
    <row r="29128" spans="23:23">
      <c r="W29128" s="503"/>
    </row>
    <row r="29129" spans="23:23">
      <c r="W29129" s="503"/>
    </row>
    <row r="29130" spans="23:23">
      <c r="W29130" s="503"/>
    </row>
    <row r="29131" spans="23:23">
      <c r="W29131" s="503"/>
    </row>
    <row r="29132" spans="23:23">
      <c r="W29132" s="503"/>
    </row>
    <row r="29133" spans="23:23">
      <c r="W29133" s="503"/>
    </row>
    <row r="29134" spans="23:23">
      <c r="W29134" s="503"/>
    </row>
    <row r="29135" spans="23:23">
      <c r="W29135" s="503"/>
    </row>
    <row r="29136" spans="23:23">
      <c r="W29136" s="503"/>
    </row>
    <row r="29137" spans="23:23">
      <c r="W29137" s="503"/>
    </row>
    <row r="29138" spans="23:23">
      <c r="W29138" s="503"/>
    </row>
    <row r="29139" spans="23:23">
      <c r="W29139" s="503"/>
    </row>
    <row r="29140" spans="23:23">
      <c r="W29140" s="503"/>
    </row>
    <row r="29141" spans="23:23">
      <c r="W29141" s="503"/>
    </row>
    <row r="29142" spans="23:23">
      <c r="W29142" s="503"/>
    </row>
    <row r="29143" spans="23:23">
      <c r="W29143" s="503"/>
    </row>
    <row r="29144" spans="23:23">
      <c r="W29144" s="503"/>
    </row>
    <row r="29145" spans="23:23">
      <c r="W29145" s="503"/>
    </row>
    <row r="29146" spans="23:23">
      <c r="W29146" s="503"/>
    </row>
    <row r="29147" spans="23:23">
      <c r="W29147" s="503"/>
    </row>
    <row r="29148" spans="23:23">
      <c r="W29148" s="503"/>
    </row>
    <row r="29149" spans="23:23">
      <c r="W29149" s="503"/>
    </row>
    <row r="29150" spans="23:23">
      <c r="W29150" s="503"/>
    </row>
    <row r="29151" spans="23:23">
      <c r="W29151" s="503"/>
    </row>
    <row r="29152" spans="23:23">
      <c r="W29152" s="503"/>
    </row>
    <row r="29153" spans="23:23">
      <c r="W29153" s="503"/>
    </row>
    <row r="29154" spans="23:23">
      <c r="W29154" s="503"/>
    </row>
    <row r="29155" spans="23:23">
      <c r="W29155" s="503"/>
    </row>
    <row r="29156" spans="23:23">
      <c r="W29156" s="503"/>
    </row>
    <row r="29157" spans="23:23">
      <c r="W29157" s="503"/>
    </row>
    <row r="29158" spans="23:23">
      <c r="W29158" s="503"/>
    </row>
    <row r="29159" spans="23:23">
      <c r="W29159" s="503"/>
    </row>
    <row r="29160" spans="23:23">
      <c r="W29160" s="503"/>
    </row>
    <row r="29161" spans="23:23">
      <c r="W29161" s="503"/>
    </row>
    <row r="29162" spans="23:23">
      <c r="W29162" s="503"/>
    </row>
    <row r="29163" spans="23:23">
      <c r="W29163" s="503"/>
    </row>
    <row r="29164" spans="23:23">
      <c r="W29164" s="503"/>
    </row>
    <row r="29165" spans="23:23">
      <c r="W29165" s="503"/>
    </row>
    <row r="29166" spans="23:23">
      <c r="W29166" s="503"/>
    </row>
    <row r="29167" spans="23:23">
      <c r="W29167" s="503"/>
    </row>
    <row r="29168" spans="23:23">
      <c r="W29168" s="503"/>
    </row>
    <row r="29169" spans="23:23">
      <c r="W29169" s="503"/>
    </row>
    <row r="29170" spans="23:23">
      <c r="W29170" s="503"/>
    </row>
    <row r="29171" spans="23:23">
      <c r="W29171" s="503"/>
    </row>
    <row r="29172" spans="23:23">
      <c r="W29172" s="503"/>
    </row>
    <row r="29173" spans="23:23">
      <c r="W29173" s="503"/>
    </row>
    <row r="29174" spans="23:23">
      <c r="W29174" s="503"/>
    </row>
    <row r="29175" spans="23:23">
      <c r="W29175" s="503"/>
    </row>
    <row r="29176" spans="23:23">
      <c r="W29176" s="503"/>
    </row>
    <row r="29177" spans="23:23">
      <c r="W29177" s="503"/>
    </row>
    <row r="29178" spans="23:23">
      <c r="W29178" s="503"/>
    </row>
    <row r="29179" spans="23:23">
      <c r="W29179" s="503"/>
    </row>
    <row r="29180" spans="23:23">
      <c r="W29180" s="503"/>
    </row>
    <row r="29181" spans="23:23">
      <c r="W29181" s="503"/>
    </row>
    <row r="29182" spans="23:23">
      <c r="W29182" s="503"/>
    </row>
    <row r="29183" spans="23:23">
      <c r="W29183" s="503"/>
    </row>
    <row r="29184" spans="23:23">
      <c r="W29184" s="503"/>
    </row>
    <row r="29185" spans="23:23">
      <c r="W29185" s="503"/>
    </row>
    <row r="29186" spans="23:23">
      <c r="W29186" s="503"/>
    </row>
    <row r="29187" spans="23:23">
      <c r="W29187" s="503"/>
    </row>
    <row r="29188" spans="23:23">
      <c r="W29188" s="503"/>
    </row>
    <row r="29189" spans="23:23">
      <c r="W29189" s="503"/>
    </row>
    <row r="29190" spans="23:23">
      <c r="W29190" s="503"/>
    </row>
    <row r="29191" spans="23:23">
      <c r="W29191" s="503"/>
    </row>
    <row r="29192" spans="23:23">
      <c r="W29192" s="503"/>
    </row>
    <row r="29193" spans="23:23">
      <c r="W29193" s="503"/>
    </row>
    <row r="29194" spans="23:23">
      <c r="W29194" s="503"/>
    </row>
    <row r="29195" spans="23:23">
      <c r="W29195" s="503"/>
    </row>
    <row r="29196" spans="23:23">
      <c r="W29196" s="503"/>
    </row>
    <row r="29197" spans="23:23">
      <c r="W29197" s="503"/>
    </row>
    <row r="29198" spans="23:23">
      <c r="W29198" s="503"/>
    </row>
    <row r="29199" spans="23:23">
      <c r="W29199" s="503"/>
    </row>
    <row r="29200" spans="23:23">
      <c r="W29200" s="503"/>
    </row>
    <row r="29201" spans="23:23">
      <c r="W29201" s="503"/>
    </row>
    <row r="29202" spans="23:23">
      <c r="W29202" s="503"/>
    </row>
    <row r="29203" spans="23:23">
      <c r="W29203" s="503"/>
    </row>
    <row r="29204" spans="23:23">
      <c r="W29204" s="503"/>
    </row>
    <row r="29205" spans="23:23">
      <c r="W29205" s="503"/>
    </row>
    <row r="29206" spans="23:23">
      <c r="W29206" s="503"/>
    </row>
    <row r="29207" spans="23:23">
      <c r="W29207" s="503"/>
    </row>
    <row r="29208" spans="23:23">
      <c r="W29208" s="503"/>
    </row>
    <row r="29209" spans="23:23">
      <c r="W29209" s="503"/>
    </row>
    <row r="29210" spans="23:23">
      <c r="W29210" s="503"/>
    </row>
    <row r="29211" spans="23:23">
      <c r="W29211" s="503"/>
    </row>
    <row r="29212" spans="23:23">
      <c r="W29212" s="503"/>
    </row>
    <row r="29213" spans="23:23">
      <c r="W29213" s="503"/>
    </row>
    <row r="29214" spans="23:23">
      <c r="W29214" s="503"/>
    </row>
    <row r="29215" spans="23:23">
      <c r="W29215" s="503"/>
    </row>
    <row r="29216" spans="23:23">
      <c r="W29216" s="503"/>
    </row>
    <row r="29217" spans="23:23">
      <c r="W29217" s="503"/>
    </row>
    <row r="29218" spans="23:23">
      <c r="W29218" s="503"/>
    </row>
    <row r="29219" spans="23:23">
      <c r="W29219" s="503"/>
    </row>
    <row r="29220" spans="23:23">
      <c r="W29220" s="503"/>
    </row>
    <row r="29221" spans="23:23">
      <c r="W29221" s="503"/>
    </row>
    <row r="29222" spans="23:23">
      <c r="W29222" s="503"/>
    </row>
    <row r="29223" spans="23:23">
      <c r="W29223" s="503"/>
    </row>
    <row r="29224" spans="23:23">
      <c r="W29224" s="503"/>
    </row>
    <row r="29225" spans="23:23">
      <c r="W29225" s="503"/>
    </row>
    <row r="29226" spans="23:23">
      <c r="W29226" s="503"/>
    </row>
    <row r="29227" spans="23:23">
      <c r="W29227" s="503"/>
    </row>
    <row r="29228" spans="23:23">
      <c r="W29228" s="503"/>
    </row>
    <row r="29229" spans="23:23">
      <c r="W29229" s="503"/>
    </row>
    <row r="29230" spans="23:23">
      <c r="W29230" s="503"/>
    </row>
    <row r="29231" spans="23:23">
      <c r="W29231" s="503"/>
    </row>
    <row r="29232" spans="23:23">
      <c r="W29232" s="503"/>
    </row>
    <row r="29233" spans="23:23">
      <c r="W29233" s="503"/>
    </row>
    <row r="29234" spans="23:23">
      <c r="W29234" s="503"/>
    </row>
    <row r="29235" spans="23:23">
      <c r="W29235" s="503"/>
    </row>
    <row r="29236" spans="23:23">
      <c r="W29236" s="503"/>
    </row>
    <row r="29237" spans="23:23">
      <c r="W29237" s="503"/>
    </row>
    <row r="29238" spans="23:23">
      <c r="W29238" s="503"/>
    </row>
    <row r="29239" spans="23:23">
      <c r="W29239" s="503"/>
    </row>
    <row r="29240" spans="23:23">
      <c r="W29240" s="503"/>
    </row>
    <row r="29241" spans="23:23">
      <c r="W29241" s="503"/>
    </row>
    <row r="29242" spans="23:23">
      <c r="W29242" s="503"/>
    </row>
    <row r="29243" spans="23:23">
      <c r="W29243" s="503"/>
    </row>
    <row r="29244" spans="23:23">
      <c r="W29244" s="503"/>
    </row>
    <row r="29245" spans="23:23">
      <c r="W29245" s="503"/>
    </row>
    <row r="29246" spans="23:23">
      <c r="W29246" s="503"/>
    </row>
    <row r="29247" spans="23:23">
      <c r="W29247" s="503"/>
    </row>
    <row r="29248" spans="23:23">
      <c r="W29248" s="503"/>
    </row>
    <row r="29249" spans="23:23">
      <c r="W29249" s="503"/>
    </row>
    <row r="29250" spans="23:23">
      <c r="W29250" s="503"/>
    </row>
    <row r="29251" spans="23:23">
      <c r="W29251" s="503"/>
    </row>
    <row r="29252" spans="23:23">
      <c r="W29252" s="503"/>
    </row>
    <row r="29253" spans="23:23">
      <c r="W29253" s="503"/>
    </row>
    <row r="29254" spans="23:23">
      <c r="W29254" s="503"/>
    </row>
    <row r="29255" spans="23:23">
      <c r="W29255" s="503"/>
    </row>
    <row r="29256" spans="23:23">
      <c r="W29256" s="503"/>
    </row>
    <row r="29257" spans="23:23">
      <c r="W29257" s="503"/>
    </row>
    <row r="29258" spans="23:23">
      <c r="W29258" s="503"/>
    </row>
    <row r="29259" spans="23:23">
      <c r="W29259" s="503"/>
    </row>
    <row r="29260" spans="23:23">
      <c r="W29260" s="503"/>
    </row>
    <row r="29261" spans="23:23">
      <c r="W29261" s="503"/>
    </row>
    <row r="29262" spans="23:23">
      <c r="W29262" s="503"/>
    </row>
    <row r="29263" spans="23:23">
      <c r="W29263" s="503"/>
    </row>
    <row r="29264" spans="23:23">
      <c r="W29264" s="503"/>
    </row>
    <row r="29265" spans="23:23">
      <c r="W29265" s="503"/>
    </row>
    <row r="29266" spans="23:23">
      <c r="W29266" s="503"/>
    </row>
    <row r="29267" spans="23:23">
      <c r="W29267" s="503"/>
    </row>
    <row r="29268" spans="23:23">
      <c r="W29268" s="503"/>
    </row>
    <row r="29269" spans="23:23">
      <c r="W29269" s="503"/>
    </row>
    <row r="29270" spans="23:23">
      <c r="W29270" s="503"/>
    </row>
    <row r="29271" spans="23:23">
      <c r="W29271" s="503"/>
    </row>
    <row r="29272" spans="23:23">
      <c r="W29272" s="503"/>
    </row>
    <row r="29273" spans="23:23">
      <c r="W29273" s="503"/>
    </row>
    <row r="29274" spans="23:23">
      <c r="W29274" s="503"/>
    </row>
    <row r="29275" spans="23:23">
      <c r="W29275" s="503"/>
    </row>
    <row r="29276" spans="23:23">
      <c r="W29276" s="503"/>
    </row>
    <row r="29277" spans="23:23">
      <c r="W29277" s="503"/>
    </row>
    <row r="29278" spans="23:23">
      <c r="W29278" s="503"/>
    </row>
    <row r="29279" spans="23:23">
      <c r="W29279" s="503"/>
    </row>
    <row r="29280" spans="23:23">
      <c r="W29280" s="503"/>
    </row>
    <row r="29281" spans="23:23">
      <c r="W29281" s="503"/>
    </row>
    <row r="29282" spans="23:23">
      <c r="W29282" s="503"/>
    </row>
    <row r="29283" spans="23:23">
      <c r="W29283" s="503"/>
    </row>
    <row r="29284" spans="23:23">
      <c r="W29284" s="503"/>
    </row>
    <row r="29285" spans="23:23">
      <c r="W29285" s="503"/>
    </row>
    <row r="29286" spans="23:23">
      <c r="W29286" s="503"/>
    </row>
    <row r="29287" spans="23:23">
      <c r="W29287" s="503"/>
    </row>
    <row r="29288" spans="23:23">
      <c r="W29288" s="503"/>
    </row>
    <row r="29289" spans="23:23">
      <c r="W29289" s="503"/>
    </row>
    <row r="29290" spans="23:23">
      <c r="W29290" s="503"/>
    </row>
    <row r="29291" spans="23:23">
      <c r="W29291" s="503"/>
    </row>
    <row r="29292" spans="23:23">
      <c r="W29292" s="503"/>
    </row>
    <row r="29293" spans="23:23">
      <c r="W29293" s="503"/>
    </row>
    <row r="29294" spans="23:23">
      <c r="W29294" s="503"/>
    </row>
    <row r="29295" spans="23:23">
      <c r="W29295" s="503"/>
    </row>
    <row r="29296" spans="23:23">
      <c r="W29296" s="503"/>
    </row>
    <row r="29297" spans="23:23">
      <c r="W29297" s="503"/>
    </row>
    <row r="29298" spans="23:23">
      <c r="W29298" s="503"/>
    </row>
    <row r="29299" spans="23:23">
      <c r="W29299" s="503"/>
    </row>
    <row r="29300" spans="23:23">
      <c r="W29300" s="503"/>
    </row>
    <row r="29301" spans="23:23">
      <c r="W29301" s="503"/>
    </row>
    <row r="29302" spans="23:23">
      <c r="W29302" s="503"/>
    </row>
    <row r="29303" spans="23:23">
      <c r="W29303" s="503"/>
    </row>
    <row r="29304" spans="23:23">
      <c r="W29304" s="503"/>
    </row>
    <row r="29305" spans="23:23">
      <c r="W29305" s="503"/>
    </row>
    <row r="29306" spans="23:23">
      <c r="W29306" s="503"/>
    </row>
    <row r="29307" spans="23:23">
      <c r="W29307" s="503"/>
    </row>
    <row r="29308" spans="23:23">
      <c r="W29308" s="503"/>
    </row>
    <row r="29309" spans="23:23">
      <c r="W29309" s="503"/>
    </row>
    <row r="29310" spans="23:23">
      <c r="W29310" s="503"/>
    </row>
    <row r="29311" spans="23:23">
      <c r="W29311" s="503"/>
    </row>
    <row r="29312" spans="23:23">
      <c r="W29312" s="503"/>
    </row>
    <row r="29313" spans="23:23">
      <c r="W29313" s="503"/>
    </row>
    <row r="29314" spans="23:23">
      <c r="W29314" s="503"/>
    </row>
    <row r="29315" spans="23:23">
      <c r="W29315" s="503"/>
    </row>
    <row r="29316" spans="23:23">
      <c r="W29316" s="503"/>
    </row>
    <row r="29317" spans="23:23">
      <c r="W29317" s="503"/>
    </row>
    <row r="29318" spans="23:23">
      <c r="W29318" s="503"/>
    </row>
    <row r="29319" spans="23:23">
      <c r="W29319" s="503"/>
    </row>
    <row r="29320" spans="23:23">
      <c r="W29320" s="503"/>
    </row>
    <row r="29321" spans="23:23">
      <c r="W29321" s="503"/>
    </row>
    <row r="29322" spans="23:23">
      <c r="W29322" s="503"/>
    </row>
    <row r="29323" spans="23:23">
      <c r="W29323" s="503"/>
    </row>
    <row r="29324" spans="23:23">
      <c r="W29324" s="503"/>
    </row>
    <row r="29325" spans="23:23">
      <c r="W29325" s="503"/>
    </row>
    <row r="29326" spans="23:23">
      <c r="W29326" s="503"/>
    </row>
    <row r="29327" spans="23:23">
      <c r="W29327" s="503"/>
    </row>
    <row r="29328" spans="23:23">
      <c r="W29328" s="503"/>
    </row>
    <row r="29329" spans="23:23">
      <c r="W29329" s="503"/>
    </row>
    <row r="29330" spans="23:23">
      <c r="W29330" s="503"/>
    </row>
    <row r="29331" spans="23:23">
      <c r="W29331" s="503"/>
    </row>
    <row r="29332" spans="23:23">
      <c r="W29332" s="503"/>
    </row>
    <row r="29333" spans="23:23">
      <c r="W29333" s="503"/>
    </row>
    <row r="29334" spans="23:23">
      <c r="W29334" s="503"/>
    </row>
    <row r="29335" spans="23:23">
      <c r="W29335" s="503"/>
    </row>
    <row r="29336" spans="23:23">
      <c r="W29336" s="503"/>
    </row>
    <row r="29337" spans="23:23">
      <c r="W29337" s="503"/>
    </row>
    <row r="29338" spans="23:23">
      <c r="W29338" s="503"/>
    </row>
    <row r="29339" spans="23:23">
      <c r="W29339" s="503"/>
    </row>
    <row r="29340" spans="23:23">
      <c r="W29340" s="503"/>
    </row>
    <row r="29341" spans="23:23">
      <c r="W29341" s="503"/>
    </row>
    <row r="29342" spans="23:23">
      <c r="W29342" s="503"/>
    </row>
    <row r="29343" spans="23:23">
      <c r="W29343" s="503"/>
    </row>
    <row r="29344" spans="23:23">
      <c r="W29344" s="503"/>
    </row>
    <row r="29345" spans="23:23">
      <c r="W29345" s="503"/>
    </row>
    <row r="29346" spans="23:23">
      <c r="W29346" s="503"/>
    </row>
    <row r="29347" spans="23:23">
      <c r="W29347" s="503"/>
    </row>
    <row r="29348" spans="23:23">
      <c r="W29348" s="503"/>
    </row>
    <row r="29349" spans="23:23">
      <c r="W29349" s="503"/>
    </row>
    <row r="29350" spans="23:23">
      <c r="W29350" s="503"/>
    </row>
    <row r="29351" spans="23:23">
      <c r="W29351" s="503"/>
    </row>
    <row r="29352" spans="23:23">
      <c r="W29352" s="503"/>
    </row>
    <row r="29353" spans="23:23">
      <c r="W29353" s="503"/>
    </row>
    <row r="29354" spans="23:23">
      <c r="W29354" s="503"/>
    </row>
    <row r="29355" spans="23:23">
      <c r="W29355" s="503"/>
    </row>
    <row r="29356" spans="23:23">
      <c r="W29356" s="503"/>
    </row>
    <row r="29357" spans="23:23">
      <c r="W29357" s="503"/>
    </row>
    <row r="29358" spans="23:23">
      <c r="W29358" s="503"/>
    </row>
    <row r="29359" spans="23:23">
      <c r="W29359" s="503"/>
    </row>
    <row r="29360" spans="23:23">
      <c r="W29360" s="503"/>
    </row>
    <row r="29361" spans="23:23">
      <c r="W29361" s="503"/>
    </row>
    <row r="29362" spans="23:23">
      <c r="W29362" s="503"/>
    </row>
    <row r="29363" spans="23:23">
      <c r="W29363" s="503"/>
    </row>
    <row r="29364" spans="23:23">
      <c r="W29364" s="503"/>
    </row>
    <row r="29365" spans="23:23">
      <c r="W29365" s="503"/>
    </row>
    <row r="29366" spans="23:23">
      <c r="W29366" s="503"/>
    </row>
    <row r="29367" spans="23:23">
      <c r="W29367" s="503"/>
    </row>
    <row r="29368" spans="23:23">
      <c r="W29368" s="503"/>
    </row>
    <row r="29369" spans="23:23">
      <c r="W29369" s="503"/>
    </row>
    <row r="29370" spans="23:23">
      <c r="W29370" s="503"/>
    </row>
    <row r="29371" spans="23:23">
      <c r="W29371" s="503"/>
    </row>
    <row r="29372" spans="23:23">
      <c r="W29372" s="503"/>
    </row>
    <row r="29373" spans="23:23">
      <c r="W29373" s="503"/>
    </row>
    <row r="29374" spans="23:23">
      <c r="W29374" s="503"/>
    </row>
    <row r="29375" spans="23:23">
      <c r="W29375" s="503"/>
    </row>
    <row r="29376" spans="23:23">
      <c r="W29376" s="503"/>
    </row>
    <row r="29377" spans="23:23">
      <c r="W29377" s="503"/>
    </row>
    <row r="29378" spans="23:23">
      <c r="W29378" s="503"/>
    </row>
    <row r="29379" spans="23:23">
      <c r="W29379" s="503"/>
    </row>
    <row r="29380" spans="23:23">
      <c r="W29380" s="503"/>
    </row>
    <row r="29381" spans="23:23">
      <c r="W29381" s="503"/>
    </row>
    <row r="29382" spans="23:23">
      <c r="W29382" s="503"/>
    </row>
    <row r="29383" spans="23:23">
      <c r="W29383" s="503"/>
    </row>
    <row r="29384" spans="23:23">
      <c r="W29384" s="503"/>
    </row>
    <row r="29385" spans="23:23">
      <c r="W29385" s="503"/>
    </row>
    <row r="29386" spans="23:23">
      <c r="W29386" s="503"/>
    </row>
    <row r="29387" spans="23:23">
      <c r="W29387" s="503"/>
    </row>
    <row r="29388" spans="23:23">
      <c r="W29388" s="503"/>
    </row>
    <row r="29389" spans="23:23">
      <c r="W29389" s="503"/>
    </row>
    <row r="29390" spans="23:23">
      <c r="W29390" s="503"/>
    </row>
    <row r="29391" spans="23:23">
      <c r="W29391" s="503"/>
    </row>
    <row r="29392" spans="23:23">
      <c r="W29392" s="503"/>
    </row>
    <row r="29393" spans="23:23">
      <c r="W29393" s="503"/>
    </row>
    <row r="29394" spans="23:23">
      <c r="W29394" s="503"/>
    </row>
    <row r="29395" spans="23:23">
      <c r="W29395" s="503"/>
    </row>
    <row r="29396" spans="23:23">
      <c r="W29396" s="503"/>
    </row>
    <row r="29397" spans="23:23">
      <c r="W29397" s="503"/>
    </row>
    <row r="29398" spans="23:23">
      <c r="W29398" s="503"/>
    </row>
    <row r="29399" spans="23:23">
      <c r="W29399" s="503"/>
    </row>
    <row r="29400" spans="23:23">
      <c r="W29400" s="503"/>
    </row>
    <row r="29401" spans="23:23">
      <c r="W29401" s="503"/>
    </row>
    <row r="29402" spans="23:23">
      <c r="W29402" s="503"/>
    </row>
    <row r="29403" spans="23:23">
      <c r="W29403" s="503"/>
    </row>
    <row r="29404" spans="23:23">
      <c r="W29404" s="503"/>
    </row>
    <row r="29405" spans="23:23">
      <c r="W29405" s="503"/>
    </row>
    <row r="29406" spans="23:23">
      <c r="W29406" s="503"/>
    </row>
    <row r="29407" spans="23:23">
      <c r="W29407" s="503"/>
    </row>
    <row r="29408" spans="23:23">
      <c r="W29408" s="503"/>
    </row>
    <row r="29409" spans="23:23">
      <c r="W29409" s="503"/>
    </row>
    <row r="29410" spans="23:23">
      <c r="W29410" s="503"/>
    </row>
    <row r="29411" spans="23:23">
      <c r="W29411" s="503"/>
    </row>
    <row r="29412" spans="23:23">
      <c r="W29412" s="503"/>
    </row>
    <row r="29413" spans="23:23">
      <c r="W29413" s="503"/>
    </row>
    <row r="29414" spans="23:23">
      <c r="W29414" s="503"/>
    </row>
    <row r="29415" spans="23:23">
      <c r="W29415" s="503"/>
    </row>
    <row r="29416" spans="23:23">
      <c r="W29416" s="503"/>
    </row>
    <row r="29417" spans="23:23">
      <c r="W29417" s="503"/>
    </row>
    <row r="29418" spans="23:23">
      <c r="W29418" s="503"/>
    </row>
    <row r="29419" spans="23:23">
      <c r="W29419" s="503"/>
    </row>
    <row r="29420" spans="23:23">
      <c r="W29420" s="503"/>
    </row>
    <row r="29421" spans="23:23">
      <c r="W29421" s="503"/>
    </row>
    <row r="29422" spans="23:23">
      <c r="W29422" s="503"/>
    </row>
    <row r="29423" spans="23:23">
      <c r="W29423" s="503"/>
    </row>
    <row r="29424" spans="23:23">
      <c r="W29424" s="503"/>
    </row>
    <row r="29425" spans="23:23">
      <c r="W29425" s="503"/>
    </row>
    <row r="29426" spans="23:23">
      <c r="W29426" s="503"/>
    </row>
    <row r="29427" spans="23:23">
      <c r="W29427" s="503"/>
    </row>
    <row r="29428" spans="23:23">
      <c r="W29428" s="503"/>
    </row>
    <row r="29429" spans="23:23">
      <c r="W29429" s="503"/>
    </row>
    <row r="29430" spans="23:23">
      <c r="W29430" s="503"/>
    </row>
    <row r="29431" spans="23:23">
      <c r="W29431" s="503"/>
    </row>
    <row r="29432" spans="23:23">
      <c r="W29432" s="503"/>
    </row>
    <row r="29433" spans="23:23">
      <c r="W29433" s="503"/>
    </row>
    <row r="29434" spans="23:23">
      <c r="W29434" s="503"/>
    </row>
    <row r="29435" spans="23:23">
      <c r="W29435" s="503"/>
    </row>
    <row r="29436" spans="23:23">
      <c r="W29436" s="503"/>
    </row>
    <row r="29437" spans="23:23">
      <c r="W29437" s="503"/>
    </row>
    <row r="29438" spans="23:23">
      <c r="W29438" s="503"/>
    </row>
    <row r="29439" spans="23:23">
      <c r="W29439" s="503"/>
    </row>
    <row r="29440" spans="23:23">
      <c r="W29440" s="503"/>
    </row>
    <row r="29441" spans="23:23">
      <c r="W29441" s="503"/>
    </row>
    <row r="29442" spans="23:23">
      <c r="W29442" s="503"/>
    </row>
    <row r="29443" spans="23:23">
      <c r="W29443" s="503"/>
    </row>
    <row r="29444" spans="23:23">
      <c r="W29444" s="503"/>
    </row>
    <row r="29445" spans="23:23">
      <c r="W29445" s="503"/>
    </row>
    <row r="29446" spans="23:23">
      <c r="W29446" s="503"/>
    </row>
    <row r="29447" spans="23:23">
      <c r="W29447" s="503"/>
    </row>
    <row r="29448" spans="23:23">
      <c r="W29448" s="503"/>
    </row>
    <row r="29449" spans="23:23">
      <c r="W29449" s="503"/>
    </row>
    <row r="29450" spans="23:23">
      <c r="W29450" s="503"/>
    </row>
    <row r="29451" spans="23:23">
      <c r="W29451" s="503"/>
    </row>
    <row r="29452" spans="23:23">
      <c r="W29452" s="503"/>
    </row>
    <row r="29453" spans="23:23">
      <c r="W29453" s="503"/>
    </row>
    <row r="29454" spans="23:23">
      <c r="W29454" s="503"/>
    </row>
    <row r="29455" spans="23:23">
      <c r="W29455" s="503"/>
    </row>
    <row r="29456" spans="23:23">
      <c r="W29456" s="503"/>
    </row>
    <row r="29457" spans="23:23">
      <c r="W29457" s="503"/>
    </row>
    <row r="29458" spans="23:23">
      <c r="W29458" s="503"/>
    </row>
    <row r="29459" spans="23:23">
      <c r="W29459" s="503"/>
    </row>
    <row r="29460" spans="23:23">
      <c r="W29460" s="503"/>
    </row>
    <row r="29461" spans="23:23">
      <c r="W29461" s="503"/>
    </row>
    <row r="29462" spans="23:23">
      <c r="W29462" s="503"/>
    </row>
    <row r="29463" spans="23:23">
      <c r="W29463" s="503"/>
    </row>
    <row r="29464" spans="23:23">
      <c r="W29464" s="503"/>
    </row>
    <row r="29465" spans="23:23">
      <c r="W29465" s="503"/>
    </row>
    <row r="29466" spans="23:23">
      <c r="W29466" s="503"/>
    </row>
    <row r="29467" spans="23:23">
      <c r="W29467" s="503"/>
    </row>
    <row r="29468" spans="23:23">
      <c r="W29468" s="503"/>
    </row>
    <row r="29469" spans="23:23">
      <c r="W29469" s="503"/>
    </row>
    <row r="29470" spans="23:23">
      <c r="W29470" s="503"/>
    </row>
    <row r="29471" spans="23:23">
      <c r="W29471" s="503"/>
    </row>
    <row r="29472" spans="23:23">
      <c r="W29472" s="503"/>
    </row>
    <row r="29473" spans="23:23">
      <c r="W29473" s="503"/>
    </row>
    <row r="29474" spans="23:23">
      <c r="W29474" s="503"/>
    </row>
    <row r="29475" spans="23:23">
      <c r="W29475" s="503"/>
    </row>
    <row r="29476" spans="23:23">
      <c r="W29476" s="503"/>
    </row>
    <row r="29477" spans="23:23">
      <c r="W29477" s="503"/>
    </row>
    <row r="29478" spans="23:23">
      <c r="W29478" s="503"/>
    </row>
    <row r="29479" spans="23:23">
      <c r="W29479" s="503"/>
    </row>
    <row r="29480" spans="23:23">
      <c r="W29480" s="503"/>
    </row>
    <row r="29481" spans="23:23">
      <c r="W29481" s="503"/>
    </row>
    <row r="29482" spans="23:23">
      <c r="W29482" s="503"/>
    </row>
    <row r="29483" spans="23:23">
      <c r="W29483" s="503"/>
    </row>
    <row r="29484" spans="23:23">
      <c r="W29484" s="503"/>
    </row>
    <row r="29485" spans="23:23">
      <c r="W29485" s="503"/>
    </row>
    <row r="29486" spans="23:23">
      <c r="W29486" s="503"/>
    </row>
    <row r="29487" spans="23:23">
      <c r="W29487" s="503"/>
    </row>
    <row r="29488" spans="23:23">
      <c r="W29488" s="503"/>
    </row>
    <row r="29489" spans="23:23">
      <c r="W29489" s="503"/>
    </row>
    <row r="29490" spans="23:23">
      <c r="W29490" s="503"/>
    </row>
    <row r="29491" spans="23:23">
      <c r="W29491" s="503"/>
    </row>
    <row r="29492" spans="23:23">
      <c r="W29492" s="503"/>
    </row>
    <row r="29493" spans="23:23">
      <c r="W29493" s="503"/>
    </row>
    <row r="29494" spans="23:23">
      <c r="W29494" s="503"/>
    </row>
    <row r="29495" spans="23:23">
      <c r="W29495" s="503"/>
    </row>
    <row r="29496" spans="23:23">
      <c r="W29496" s="503"/>
    </row>
    <row r="29497" spans="23:23">
      <c r="W29497" s="503"/>
    </row>
    <row r="29498" spans="23:23">
      <c r="W29498" s="503"/>
    </row>
    <row r="29499" spans="23:23">
      <c r="W29499" s="503"/>
    </row>
    <row r="29500" spans="23:23">
      <c r="W29500" s="503"/>
    </row>
    <row r="29501" spans="23:23">
      <c r="W29501" s="503"/>
    </row>
    <row r="29502" spans="23:23">
      <c r="W29502" s="503"/>
    </row>
    <row r="29503" spans="23:23">
      <c r="W29503" s="503"/>
    </row>
    <row r="29504" spans="23:23">
      <c r="W29504" s="503"/>
    </row>
    <row r="29505" spans="23:23">
      <c r="W29505" s="503"/>
    </row>
    <row r="29506" spans="23:23">
      <c r="W29506" s="503"/>
    </row>
    <row r="29507" spans="23:23">
      <c r="W29507" s="503"/>
    </row>
    <row r="29508" spans="23:23">
      <c r="W29508" s="503"/>
    </row>
    <row r="29509" spans="23:23">
      <c r="W29509" s="503"/>
    </row>
    <row r="29510" spans="23:23">
      <c r="W29510" s="503"/>
    </row>
    <row r="29511" spans="23:23">
      <c r="W29511" s="503"/>
    </row>
    <row r="29512" spans="23:23">
      <c r="W29512" s="503"/>
    </row>
    <row r="29513" spans="23:23">
      <c r="W29513" s="503"/>
    </row>
    <row r="29514" spans="23:23">
      <c r="W29514" s="503"/>
    </row>
    <row r="29515" spans="23:23">
      <c r="W29515" s="503"/>
    </row>
    <row r="29516" spans="23:23">
      <c r="W29516" s="503"/>
    </row>
    <row r="29517" spans="23:23">
      <c r="W29517" s="503"/>
    </row>
    <row r="29518" spans="23:23">
      <c r="W29518" s="503"/>
    </row>
    <row r="29519" spans="23:23">
      <c r="W29519" s="503"/>
    </row>
    <row r="29520" spans="23:23">
      <c r="W29520" s="503"/>
    </row>
    <row r="29521" spans="23:23">
      <c r="W29521" s="503"/>
    </row>
    <row r="29522" spans="23:23">
      <c r="W29522" s="503"/>
    </row>
    <row r="29523" spans="23:23">
      <c r="W29523" s="503"/>
    </row>
    <row r="29524" spans="23:23">
      <c r="W29524" s="503"/>
    </row>
    <row r="29525" spans="23:23">
      <c r="W29525" s="503"/>
    </row>
    <row r="29526" spans="23:23">
      <c r="W29526" s="503"/>
    </row>
    <row r="29527" spans="23:23">
      <c r="W29527" s="503"/>
    </row>
    <row r="29528" spans="23:23">
      <c r="W29528" s="503"/>
    </row>
    <row r="29529" spans="23:23">
      <c r="W29529" s="503"/>
    </row>
    <row r="29530" spans="23:23">
      <c r="W29530" s="503"/>
    </row>
    <row r="29531" spans="23:23">
      <c r="W29531" s="503"/>
    </row>
    <row r="29532" spans="23:23">
      <c r="W29532" s="503"/>
    </row>
    <row r="29533" spans="23:23">
      <c r="W29533" s="503"/>
    </row>
    <row r="29534" spans="23:23">
      <c r="W29534" s="503"/>
    </row>
    <row r="29535" spans="23:23">
      <c r="W29535" s="503"/>
    </row>
    <row r="29536" spans="23:23">
      <c r="W29536" s="503"/>
    </row>
    <row r="29537" spans="23:23">
      <c r="W29537" s="503"/>
    </row>
    <row r="29538" spans="23:23">
      <c r="W29538" s="503"/>
    </row>
    <row r="29539" spans="23:23">
      <c r="W29539" s="503"/>
    </row>
    <row r="29540" spans="23:23">
      <c r="W29540" s="503"/>
    </row>
    <row r="29541" spans="23:23">
      <c r="W29541" s="503"/>
    </row>
    <row r="29542" spans="23:23">
      <c r="W29542" s="503"/>
    </row>
    <row r="29543" spans="23:23">
      <c r="W29543" s="503"/>
    </row>
    <row r="29544" spans="23:23">
      <c r="W29544" s="503"/>
    </row>
    <row r="29545" spans="23:23">
      <c r="W29545" s="503"/>
    </row>
    <row r="29546" spans="23:23">
      <c r="W29546" s="503"/>
    </row>
    <row r="29547" spans="23:23">
      <c r="W29547" s="503"/>
    </row>
    <row r="29548" spans="23:23">
      <c r="W29548" s="503"/>
    </row>
    <row r="29549" spans="23:23">
      <c r="W29549" s="503"/>
    </row>
    <row r="29550" spans="23:23">
      <c r="W29550" s="503"/>
    </row>
    <row r="29551" spans="23:23">
      <c r="W29551" s="503"/>
    </row>
    <row r="29552" spans="23:23">
      <c r="W29552" s="503"/>
    </row>
    <row r="29553" spans="23:23">
      <c r="W29553" s="503"/>
    </row>
    <row r="29554" spans="23:23">
      <c r="W29554" s="503"/>
    </row>
    <row r="29555" spans="23:23">
      <c r="W29555" s="503"/>
    </row>
    <row r="29556" spans="23:23">
      <c r="W29556" s="503"/>
    </row>
    <row r="29557" spans="23:23">
      <c r="W29557" s="503"/>
    </row>
    <row r="29558" spans="23:23">
      <c r="W29558" s="503"/>
    </row>
    <row r="29559" spans="23:23">
      <c r="W29559" s="503"/>
    </row>
    <row r="29560" spans="23:23">
      <c r="W29560" s="503"/>
    </row>
    <row r="29561" spans="23:23">
      <c r="W29561" s="503"/>
    </row>
    <row r="29562" spans="23:23">
      <c r="W29562" s="503"/>
    </row>
    <row r="29563" spans="23:23">
      <c r="W29563" s="503"/>
    </row>
    <row r="29564" spans="23:23">
      <c r="W29564" s="503"/>
    </row>
    <row r="29565" spans="23:23">
      <c r="W29565" s="503"/>
    </row>
    <row r="29566" spans="23:23">
      <c r="W29566" s="503"/>
    </row>
    <row r="29567" spans="23:23">
      <c r="W29567" s="503"/>
    </row>
    <row r="29568" spans="23:23">
      <c r="W29568" s="503"/>
    </row>
    <row r="29569" spans="23:23">
      <c r="W29569" s="503"/>
    </row>
    <row r="29570" spans="23:23">
      <c r="W29570" s="503"/>
    </row>
    <row r="29571" spans="23:23">
      <c r="W29571" s="503"/>
    </row>
    <row r="29572" spans="23:23">
      <c r="W29572" s="503"/>
    </row>
    <row r="29573" spans="23:23">
      <c r="W29573" s="503"/>
    </row>
    <row r="29574" spans="23:23">
      <c r="W29574" s="503"/>
    </row>
    <row r="29575" spans="23:23">
      <c r="W29575" s="503"/>
    </row>
    <row r="29576" spans="23:23">
      <c r="W29576" s="503"/>
    </row>
    <row r="29577" spans="23:23">
      <c r="W29577" s="503"/>
    </row>
    <row r="29578" spans="23:23">
      <c r="W29578" s="503"/>
    </row>
    <row r="29579" spans="23:23">
      <c r="W29579" s="503"/>
    </row>
    <row r="29580" spans="23:23">
      <c r="W29580" s="503"/>
    </row>
    <row r="29581" spans="23:23">
      <c r="W29581" s="503"/>
    </row>
    <row r="29582" spans="23:23">
      <c r="W29582" s="503"/>
    </row>
    <row r="29583" spans="23:23">
      <c r="W29583" s="503"/>
    </row>
    <row r="29584" spans="23:23">
      <c r="W29584" s="503"/>
    </row>
    <row r="29585" spans="23:23">
      <c r="W29585" s="503"/>
    </row>
    <row r="29586" spans="23:23">
      <c r="W29586" s="503"/>
    </row>
    <row r="29587" spans="23:23">
      <c r="W29587" s="503"/>
    </row>
    <row r="29588" spans="23:23">
      <c r="W29588" s="503"/>
    </row>
    <row r="29589" spans="23:23">
      <c r="W29589" s="503"/>
    </row>
    <row r="29590" spans="23:23">
      <c r="W29590" s="503"/>
    </row>
    <row r="29591" spans="23:23">
      <c r="W29591" s="503"/>
    </row>
    <row r="29592" spans="23:23">
      <c r="W29592" s="503"/>
    </row>
    <row r="29593" spans="23:23">
      <c r="W29593" s="503"/>
    </row>
    <row r="29594" spans="23:23">
      <c r="W29594" s="503"/>
    </row>
    <row r="29595" spans="23:23">
      <c r="W29595" s="503"/>
    </row>
    <row r="29596" spans="23:23">
      <c r="W29596" s="503"/>
    </row>
    <row r="29597" spans="23:23">
      <c r="W29597" s="503"/>
    </row>
    <row r="29598" spans="23:23">
      <c r="W29598" s="503"/>
    </row>
    <row r="29599" spans="23:23">
      <c r="W29599" s="503"/>
    </row>
    <row r="29600" spans="23:23">
      <c r="W29600" s="503"/>
    </row>
    <row r="29601" spans="23:23">
      <c r="W29601" s="503"/>
    </row>
    <row r="29602" spans="23:23">
      <c r="W29602" s="503"/>
    </row>
    <row r="29603" spans="23:23">
      <c r="W29603" s="503"/>
    </row>
    <row r="29604" spans="23:23">
      <c r="W29604" s="503"/>
    </row>
    <row r="29605" spans="23:23">
      <c r="W29605" s="503"/>
    </row>
    <row r="29606" spans="23:23">
      <c r="W29606" s="503"/>
    </row>
    <row r="29607" spans="23:23">
      <c r="W29607" s="503"/>
    </row>
    <row r="29608" spans="23:23">
      <c r="W29608" s="503"/>
    </row>
    <row r="29609" spans="23:23">
      <c r="W29609" s="503"/>
    </row>
    <row r="29610" spans="23:23">
      <c r="W29610" s="503"/>
    </row>
    <row r="29611" spans="23:23">
      <c r="W29611" s="503"/>
    </row>
    <row r="29612" spans="23:23">
      <c r="W29612" s="503"/>
    </row>
    <row r="29613" spans="23:23">
      <c r="W29613" s="503"/>
    </row>
    <row r="29614" spans="23:23">
      <c r="W29614" s="503"/>
    </row>
    <row r="29615" spans="23:23">
      <c r="W29615" s="503"/>
    </row>
    <row r="29616" spans="23:23">
      <c r="W29616" s="503"/>
    </row>
    <row r="29617" spans="23:23">
      <c r="W29617" s="503"/>
    </row>
    <row r="29618" spans="23:23">
      <c r="W29618" s="503"/>
    </row>
    <row r="29619" spans="23:23">
      <c r="W29619" s="503"/>
    </row>
    <row r="29620" spans="23:23">
      <c r="W29620" s="503"/>
    </row>
    <row r="29621" spans="23:23">
      <c r="W29621" s="503"/>
    </row>
    <row r="29622" spans="23:23">
      <c r="W29622" s="503"/>
    </row>
    <row r="29623" spans="23:23">
      <c r="W29623" s="503"/>
    </row>
    <row r="29624" spans="23:23">
      <c r="W29624" s="503"/>
    </row>
    <row r="29625" spans="23:23">
      <c r="W29625" s="503"/>
    </row>
    <row r="29626" spans="23:23">
      <c r="W29626" s="503"/>
    </row>
    <row r="29627" spans="23:23">
      <c r="W29627" s="503"/>
    </row>
    <row r="29628" spans="23:23">
      <c r="W29628" s="503"/>
    </row>
    <row r="29629" spans="23:23">
      <c r="W29629" s="503"/>
    </row>
    <row r="29630" spans="23:23">
      <c r="W29630" s="503"/>
    </row>
    <row r="29631" spans="23:23">
      <c r="W29631" s="503"/>
    </row>
    <row r="29632" spans="23:23">
      <c r="W29632" s="503"/>
    </row>
    <row r="29633" spans="23:23">
      <c r="W29633" s="503"/>
    </row>
    <row r="29634" spans="23:23">
      <c r="W29634" s="503"/>
    </row>
    <row r="29635" spans="23:23">
      <c r="W29635" s="503"/>
    </row>
    <row r="29636" spans="23:23">
      <c r="W29636" s="503"/>
    </row>
    <row r="29637" spans="23:23">
      <c r="W29637" s="503"/>
    </row>
    <row r="29638" spans="23:23">
      <c r="W29638" s="503"/>
    </row>
    <row r="29639" spans="23:23">
      <c r="W29639" s="503"/>
    </row>
    <row r="29640" spans="23:23">
      <c r="W29640" s="503"/>
    </row>
    <row r="29641" spans="23:23">
      <c r="W29641" s="503"/>
    </row>
    <row r="29642" spans="23:23">
      <c r="W29642" s="503"/>
    </row>
    <row r="29643" spans="23:23">
      <c r="W29643" s="503"/>
    </row>
    <row r="29644" spans="23:23">
      <c r="W29644" s="503"/>
    </row>
    <row r="29645" spans="23:23">
      <c r="W29645" s="503"/>
    </row>
    <row r="29646" spans="23:23">
      <c r="W29646" s="503"/>
    </row>
    <row r="29647" spans="23:23">
      <c r="W29647" s="503"/>
    </row>
    <row r="29648" spans="23:23">
      <c r="W29648" s="503"/>
    </row>
    <row r="29649" spans="23:23">
      <c r="W29649" s="503"/>
    </row>
    <row r="29650" spans="23:23">
      <c r="W29650" s="503"/>
    </row>
    <row r="29651" spans="23:23">
      <c r="W29651" s="503"/>
    </row>
    <row r="29652" spans="23:23">
      <c r="W29652" s="503"/>
    </row>
    <row r="29653" spans="23:23">
      <c r="W29653" s="503"/>
    </row>
    <row r="29654" spans="23:23">
      <c r="W29654" s="503"/>
    </row>
    <row r="29655" spans="23:23">
      <c r="W29655" s="503"/>
    </row>
    <row r="29656" spans="23:23">
      <c r="W29656" s="503"/>
    </row>
    <row r="29657" spans="23:23">
      <c r="W29657" s="503"/>
    </row>
    <row r="29658" spans="23:23">
      <c r="W29658" s="503"/>
    </row>
    <row r="29659" spans="23:23">
      <c r="W29659" s="503"/>
    </row>
    <row r="29660" spans="23:23">
      <c r="W29660" s="503"/>
    </row>
    <row r="29661" spans="23:23">
      <c r="W29661" s="503"/>
    </row>
    <row r="29662" spans="23:23">
      <c r="W29662" s="503"/>
    </row>
    <row r="29663" spans="23:23">
      <c r="W29663" s="503"/>
    </row>
    <row r="29664" spans="23:23">
      <c r="W29664" s="503"/>
    </row>
    <row r="29665" spans="23:23">
      <c r="W29665" s="503"/>
    </row>
    <row r="29666" spans="23:23">
      <c r="W29666" s="503"/>
    </row>
    <row r="29667" spans="23:23">
      <c r="W29667" s="503"/>
    </row>
    <row r="29668" spans="23:23">
      <c r="W29668" s="503"/>
    </row>
    <row r="29669" spans="23:23">
      <c r="W29669" s="503"/>
    </row>
    <row r="29670" spans="23:23">
      <c r="W29670" s="503"/>
    </row>
    <row r="29671" spans="23:23">
      <c r="W29671" s="503"/>
    </row>
    <row r="29672" spans="23:23">
      <c r="W29672" s="503"/>
    </row>
    <row r="29673" spans="23:23">
      <c r="W29673" s="503"/>
    </row>
    <row r="29674" spans="23:23">
      <c r="W29674" s="503"/>
    </row>
    <row r="29675" spans="23:23">
      <c r="W29675" s="503"/>
    </row>
    <row r="29676" spans="23:23">
      <c r="W29676" s="503"/>
    </row>
    <row r="29677" spans="23:23">
      <c r="W29677" s="503"/>
    </row>
    <row r="29678" spans="23:23">
      <c r="W29678" s="503"/>
    </row>
    <row r="29679" spans="23:23">
      <c r="W29679" s="503"/>
    </row>
    <row r="29680" spans="23:23">
      <c r="W29680" s="503"/>
    </row>
    <row r="29681" spans="23:23">
      <c r="W29681" s="503"/>
    </row>
    <row r="29682" spans="23:23">
      <c r="W29682" s="503"/>
    </row>
    <row r="29683" spans="23:23">
      <c r="W29683" s="503"/>
    </row>
    <row r="29684" spans="23:23">
      <c r="W29684" s="503"/>
    </row>
    <row r="29685" spans="23:23">
      <c r="W29685" s="503"/>
    </row>
    <row r="29686" spans="23:23">
      <c r="W29686" s="503"/>
    </row>
    <row r="29687" spans="23:23">
      <c r="W29687" s="503"/>
    </row>
    <row r="29688" spans="23:23">
      <c r="W29688" s="503"/>
    </row>
    <row r="29689" spans="23:23">
      <c r="W29689" s="503"/>
    </row>
    <row r="29690" spans="23:23">
      <c r="W29690" s="503"/>
    </row>
    <row r="29691" spans="23:23">
      <c r="W29691" s="503"/>
    </row>
    <row r="29692" spans="23:23">
      <c r="W29692" s="503"/>
    </row>
    <row r="29693" spans="23:23">
      <c r="W29693" s="503"/>
    </row>
    <row r="29694" spans="23:23">
      <c r="W29694" s="503"/>
    </row>
    <row r="29695" spans="23:23">
      <c r="W29695" s="503"/>
    </row>
    <row r="29696" spans="23:23">
      <c r="W29696" s="503"/>
    </row>
    <row r="29697" spans="23:23">
      <c r="W29697" s="503"/>
    </row>
    <row r="29698" spans="23:23">
      <c r="W29698" s="503"/>
    </row>
    <row r="29699" spans="23:23">
      <c r="W29699" s="503"/>
    </row>
    <row r="29700" spans="23:23">
      <c r="W29700" s="503"/>
    </row>
    <row r="29701" spans="23:23">
      <c r="W29701" s="503"/>
    </row>
    <row r="29702" spans="23:23">
      <c r="W29702" s="503"/>
    </row>
    <row r="29703" spans="23:23">
      <c r="W29703" s="503"/>
    </row>
    <row r="29704" spans="23:23">
      <c r="W29704" s="503"/>
    </row>
    <row r="29705" spans="23:23">
      <c r="W29705" s="503"/>
    </row>
    <row r="29706" spans="23:23">
      <c r="W29706" s="503"/>
    </row>
    <row r="29707" spans="23:23">
      <c r="W29707" s="503"/>
    </row>
    <row r="29708" spans="23:23">
      <c r="W29708" s="503"/>
    </row>
    <row r="29709" spans="23:23">
      <c r="W29709" s="503"/>
    </row>
    <row r="29710" spans="23:23">
      <c r="W29710" s="503"/>
    </row>
    <row r="29711" spans="23:23">
      <c r="W29711" s="503"/>
    </row>
    <row r="29712" spans="23:23">
      <c r="W29712" s="503"/>
    </row>
    <row r="29713" spans="23:23">
      <c r="W29713" s="503"/>
    </row>
    <row r="29714" spans="23:23">
      <c r="W29714" s="503"/>
    </row>
    <row r="29715" spans="23:23">
      <c r="W29715" s="503"/>
    </row>
    <row r="29716" spans="23:23">
      <c r="W29716" s="503"/>
    </row>
    <row r="29717" spans="23:23">
      <c r="W29717" s="503"/>
    </row>
    <row r="29718" spans="23:23">
      <c r="W29718" s="503"/>
    </row>
    <row r="29719" spans="23:23">
      <c r="W29719" s="503"/>
    </row>
    <row r="29720" spans="23:23">
      <c r="W29720" s="503"/>
    </row>
    <row r="29721" spans="23:23">
      <c r="W29721" s="503"/>
    </row>
    <row r="29722" spans="23:23">
      <c r="W29722" s="503"/>
    </row>
    <row r="29723" spans="23:23">
      <c r="W29723" s="503"/>
    </row>
    <row r="29724" spans="23:23">
      <c r="W29724" s="503"/>
    </row>
    <row r="29725" spans="23:23">
      <c r="W29725" s="503"/>
    </row>
    <row r="29726" spans="23:23">
      <c r="W29726" s="503"/>
    </row>
    <row r="29727" spans="23:23">
      <c r="W29727" s="503"/>
    </row>
    <row r="29728" spans="23:23">
      <c r="W29728" s="503"/>
    </row>
    <row r="29729" spans="23:23">
      <c r="W29729" s="503"/>
    </row>
    <row r="29730" spans="23:23">
      <c r="W29730" s="503"/>
    </row>
    <row r="29731" spans="23:23">
      <c r="W29731" s="503"/>
    </row>
    <row r="29732" spans="23:23">
      <c r="W29732" s="503"/>
    </row>
    <row r="29733" spans="23:23">
      <c r="W29733" s="503"/>
    </row>
    <row r="29734" spans="23:23">
      <c r="W29734" s="503"/>
    </row>
    <row r="29735" spans="23:23">
      <c r="W29735" s="503"/>
    </row>
    <row r="29736" spans="23:23">
      <c r="W29736" s="503"/>
    </row>
    <row r="29737" spans="23:23">
      <c r="W29737" s="503"/>
    </row>
    <row r="29738" spans="23:23">
      <c r="W29738" s="503"/>
    </row>
    <row r="29739" spans="23:23">
      <c r="W29739" s="503"/>
    </row>
    <row r="29740" spans="23:23">
      <c r="W29740" s="503"/>
    </row>
    <row r="29741" spans="23:23">
      <c r="W29741" s="503"/>
    </row>
    <row r="29742" spans="23:23">
      <c r="W29742" s="503"/>
    </row>
    <row r="29743" spans="23:23">
      <c r="W29743" s="503"/>
    </row>
    <row r="29744" spans="23:23">
      <c r="W29744" s="503"/>
    </row>
    <row r="29745" spans="23:23">
      <c r="W29745" s="503"/>
    </row>
    <row r="29746" spans="23:23">
      <c r="W29746" s="503"/>
    </row>
    <row r="29747" spans="23:23">
      <c r="W29747" s="503"/>
    </row>
    <row r="29748" spans="23:23">
      <c r="W29748" s="503"/>
    </row>
    <row r="29749" spans="23:23">
      <c r="W29749" s="503"/>
    </row>
    <row r="29750" spans="23:23">
      <c r="W29750" s="503"/>
    </row>
    <row r="29751" spans="23:23">
      <c r="W29751" s="503"/>
    </row>
    <row r="29752" spans="23:23">
      <c r="W29752" s="503"/>
    </row>
    <row r="29753" spans="23:23">
      <c r="W29753" s="503"/>
    </row>
    <row r="29754" spans="23:23">
      <c r="W29754" s="503"/>
    </row>
    <row r="29755" spans="23:23">
      <c r="W29755" s="503"/>
    </row>
    <row r="29756" spans="23:23">
      <c r="W29756" s="503"/>
    </row>
    <row r="29757" spans="23:23">
      <c r="W29757" s="503"/>
    </row>
    <row r="29758" spans="23:23">
      <c r="W29758" s="503"/>
    </row>
    <row r="29759" spans="23:23">
      <c r="W29759" s="503"/>
    </row>
    <row r="29760" spans="23:23">
      <c r="W29760" s="503"/>
    </row>
    <row r="29761" spans="23:23">
      <c r="W29761" s="503"/>
    </row>
    <row r="29762" spans="23:23">
      <c r="W29762" s="503"/>
    </row>
    <row r="29763" spans="23:23">
      <c r="W29763" s="503"/>
    </row>
    <row r="29764" spans="23:23">
      <c r="W29764" s="503"/>
    </row>
    <row r="29765" spans="23:23">
      <c r="W29765" s="503"/>
    </row>
    <row r="29766" spans="23:23">
      <c r="W29766" s="503"/>
    </row>
    <row r="29767" spans="23:23">
      <c r="W29767" s="503"/>
    </row>
    <row r="29768" spans="23:23">
      <c r="W29768" s="503"/>
    </row>
    <row r="29769" spans="23:23">
      <c r="W29769" s="503"/>
    </row>
    <row r="29770" spans="23:23">
      <c r="W29770" s="503"/>
    </row>
    <row r="29771" spans="23:23">
      <c r="W29771" s="503"/>
    </row>
    <row r="29772" spans="23:23">
      <c r="W29772" s="503"/>
    </row>
    <row r="29773" spans="23:23">
      <c r="W29773" s="503"/>
    </row>
    <row r="29774" spans="23:23">
      <c r="W29774" s="503"/>
    </row>
    <row r="29775" spans="23:23">
      <c r="W29775" s="503"/>
    </row>
    <row r="29776" spans="23:23">
      <c r="W29776" s="503"/>
    </row>
    <row r="29777" spans="23:23">
      <c r="W29777" s="503"/>
    </row>
    <row r="29778" spans="23:23">
      <c r="W29778" s="503"/>
    </row>
    <row r="29779" spans="23:23">
      <c r="W29779" s="503"/>
    </row>
    <row r="29780" spans="23:23">
      <c r="W29780" s="503"/>
    </row>
    <row r="29781" spans="23:23">
      <c r="W29781" s="503"/>
    </row>
    <row r="29782" spans="23:23">
      <c r="W29782" s="503"/>
    </row>
    <row r="29783" spans="23:23">
      <c r="W29783" s="503"/>
    </row>
    <row r="29784" spans="23:23">
      <c r="W29784" s="503"/>
    </row>
    <row r="29785" spans="23:23">
      <c r="W29785" s="503"/>
    </row>
    <row r="29786" spans="23:23">
      <c r="W29786" s="503"/>
    </row>
    <row r="29787" spans="23:23">
      <c r="W29787" s="503"/>
    </row>
    <row r="29788" spans="23:23">
      <c r="W29788" s="503"/>
    </row>
    <row r="29789" spans="23:23">
      <c r="W29789" s="503"/>
    </row>
    <row r="29790" spans="23:23">
      <c r="W29790" s="503"/>
    </row>
    <row r="29791" spans="23:23">
      <c r="W29791" s="503"/>
    </row>
    <row r="29792" spans="23:23">
      <c r="W29792" s="503"/>
    </row>
    <row r="29793" spans="23:23">
      <c r="W29793" s="503"/>
    </row>
    <row r="29794" spans="23:23">
      <c r="W29794" s="503"/>
    </row>
    <row r="29795" spans="23:23">
      <c r="W29795" s="503"/>
    </row>
    <row r="29796" spans="23:23">
      <c r="W29796" s="503"/>
    </row>
    <row r="29797" spans="23:23">
      <c r="W29797" s="503"/>
    </row>
    <row r="29798" spans="23:23">
      <c r="W29798" s="503"/>
    </row>
    <row r="29799" spans="23:23">
      <c r="W29799" s="503"/>
    </row>
    <row r="29800" spans="23:23">
      <c r="W29800" s="503"/>
    </row>
    <row r="29801" spans="23:23">
      <c r="W29801" s="503"/>
    </row>
    <row r="29802" spans="23:23">
      <c r="W29802" s="503"/>
    </row>
    <row r="29803" spans="23:23">
      <c r="W29803" s="503"/>
    </row>
    <row r="29804" spans="23:23">
      <c r="W29804" s="503"/>
    </row>
    <row r="29805" spans="23:23">
      <c r="W29805" s="503"/>
    </row>
    <row r="29806" spans="23:23">
      <c r="W29806" s="503"/>
    </row>
    <row r="29807" spans="23:23">
      <c r="W29807" s="503"/>
    </row>
    <row r="29808" spans="23:23">
      <c r="W29808" s="503"/>
    </row>
    <row r="29809" spans="23:23">
      <c r="W29809" s="503"/>
    </row>
    <row r="29810" spans="23:23">
      <c r="W29810" s="503"/>
    </row>
    <row r="29811" spans="23:23">
      <c r="W29811" s="503"/>
    </row>
    <row r="29812" spans="23:23">
      <c r="W29812" s="503"/>
    </row>
    <row r="29813" spans="23:23">
      <c r="W29813" s="503"/>
    </row>
    <row r="29814" spans="23:23">
      <c r="W29814" s="503"/>
    </row>
    <row r="29815" spans="23:23">
      <c r="W29815" s="503"/>
    </row>
    <row r="29816" spans="23:23">
      <c r="W29816" s="503"/>
    </row>
    <row r="29817" spans="23:23">
      <c r="W29817" s="503"/>
    </row>
    <row r="29818" spans="23:23">
      <c r="W29818" s="503"/>
    </row>
    <row r="29819" spans="23:23">
      <c r="W29819" s="503"/>
    </row>
    <row r="29820" spans="23:23">
      <c r="W29820" s="503"/>
    </row>
    <row r="29821" spans="23:23">
      <c r="W29821" s="503"/>
    </row>
    <row r="29822" spans="23:23">
      <c r="W29822" s="503"/>
    </row>
    <row r="29823" spans="23:23">
      <c r="W29823" s="503"/>
    </row>
    <row r="29824" spans="23:23">
      <c r="W29824" s="503"/>
    </row>
    <row r="29825" spans="23:23">
      <c r="W29825" s="503"/>
    </row>
    <row r="29826" spans="23:23">
      <c r="W29826" s="503"/>
    </row>
    <row r="29827" spans="23:23">
      <c r="W29827" s="503"/>
    </row>
    <row r="29828" spans="23:23">
      <c r="W29828" s="503"/>
    </row>
    <row r="29829" spans="23:23">
      <c r="W29829" s="503"/>
    </row>
    <row r="29830" spans="23:23">
      <c r="W29830" s="503"/>
    </row>
    <row r="29831" spans="23:23">
      <c r="W29831" s="503"/>
    </row>
    <row r="29832" spans="23:23">
      <c r="W29832" s="503"/>
    </row>
    <row r="29833" spans="23:23">
      <c r="W29833" s="503"/>
    </row>
    <row r="29834" spans="23:23">
      <c r="W29834" s="503"/>
    </row>
    <row r="29835" spans="23:23">
      <c r="W29835" s="503"/>
    </row>
    <row r="29836" spans="23:23">
      <c r="W29836" s="503"/>
    </row>
    <row r="29837" spans="23:23">
      <c r="W29837" s="503"/>
    </row>
    <row r="29838" spans="23:23">
      <c r="W29838" s="503"/>
    </row>
    <row r="29839" spans="23:23">
      <c r="W29839" s="503"/>
    </row>
    <row r="29840" spans="23:23">
      <c r="W29840" s="503"/>
    </row>
    <row r="29841" spans="23:23">
      <c r="W29841" s="503"/>
    </row>
    <row r="29842" spans="23:23">
      <c r="W29842" s="503"/>
    </row>
    <row r="29843" spans="23:23">
      <c r="W29843" s="503"/>
    </row>
    <row r="29844" spans="23:23">
      <c r="W29844" s="503"/>
    </row>
    <row r="29845" spans="23:23">
      <c r="W29845" s="503"/>
    </row>
    <row r="29846" spans="23:23">
      <c r="W29846" s="503"/>
    </row>
    <row r="29847" spans="23:23">
      <c r="W29847" s="503"/>
    </row>
    <row r="29848" spans="23:23">
      <c r="W29848" s="503"/>
    </row>
    <row r="29849" spans="23:23">
      <c r="W29849" s="503"/>
    </row>
    <row r="29850" spans="23:23">
      <c r="W29850" s="503"/>
    </row>
    <row r="29851" spans="23:23">
      <c r="W29851" s="503"/>
    </row>
    <row r="29852" spans="23:23">
      <c r="W29852" s="503"/>
    </row>
    <row r="29853" spans="23:23">
      <c r="W29853" s="503"/>
    </row>
    <row r="29854" spans="23:23">
      <c r="W29854" s="503"/>
    </row>
    <row r="29855" spans="23:23">
      <c r="W29855" s="503"/>
    </row>
    <row r="29856" spans="23:23">
      <c r="W29856" s="503"/>
    </row>
    <row r="29857" spans="23:23">
      <c r="W29857" s="503"/>
    </row>
    <row r="29858" spans="23:23">
      <c r="W29858" s="503"/>
    </row>
    <row r="29859" spans="23:23">
      <c r="W29859" s="503"/>
    </row>
    <row r="29860" spans="23:23">
      <c r="W29860" s="503"/>
    </row>
    <row r="29861" spans="23:23">
      <c r="W29861" s="503"/>
    </row>
    <row r="29862" spans="23:23">
      <c r="W29862" s="503"/>
    </row>
    <row r="29863" spans="23:23">
      <c r="W29863" s="503"/>
    </row>
    <row r="29864" spans="23:23">
      <c r="W29864" s="503"/>
    </row>
    <row r="29865" spans="23:23">
      <c r="W29865" s="503"/>
    </row>
    <row r="29866" spans="23:23">
      <c r="W29866" s="503"/>
    </row>
    <row r="29867" spans="23:23">
      <c r="W29867" s="503"/>
    </row>
    <row r="29868" spans="23:23">
      <c r="W29868" s="503"/>
    </row>
    <row r="29869" spans="23:23">
      <c r="W29869" s="503"/>
    </row>
    <row r="29870" spans="23:23">
      <c r="W29870" s="503"/>
    </row>
    <row r="29871" spans="23:23">
      <c r="W29871" s="503"/>
    </row>
    <row r="29872" spans="23:23">
      <c r="W29872" s="503"/>
    </row>
    <row r="29873" spans="23:23">
      <c r="W29873" s="503"/>
    </row>
    <row r="29874" spans="23:23">
      <c r="W29874" s="503"/>
    </row>
    <row r="29875" spans="23:23">
      <c r="W29875" s="503"/>
    </row>
    <row r="29876" spans="23:23">
      <c r="W29876" s="503"/>
    </row>
    <row r="29877" spans="23:23">
      <c r="W29877" s="503"/>
    </row>
    <row r="29878" spans="23:23">
      <c r="W29878" s="503"/>
    </row>
    <row r="29879" spans="23:23">
      <c r="W29879" s="503"/>
    </row>
    <row r="29880" spans="23:23">
      <c r="W29880" s="503"/>
    </row>
    <row r="29881" spans="23:23">
      <c r="W29881" s="503"/>
    </row>
    <row r="29882" spans="23:23">
      <c r="W29882" s="503"/>
    </row>
    <row r="29883" spans="23:23">
      <c r="W29883" s="503"/>
    </row>
    <row r="29884" spans="23:23">
      <c r="W29884" s="503"/>
    </row>
    <row r="29885" spans="23:23">
      <c r="W29885" s="503"/>
    </row>
    <row r="29886" spans="23:23">
      <c r="W29886" s="503"/>
    </row>
    <row r="29887" spans="23:23">
      <c r="W29887" s="503"/>
    </row>
    <row r="29888" spans="23:23">
      <c r="W29888" s="503"/>
    </row>
    <row r="29889" spans="23:23">
      <c r="W29889" s="503"/>
    </row>
    <row r="29890" spans="23:23">
      <c r="W29890" s="503"/>
    </row>
    <row r="29891" spans="23:23">
      <c r="W29891" s="503"/>
    </row>
    <row r="29892" spans="23:23">
      <c r="W29892" s="503"/>
    </row>
    <row r="29893" spans="23:23">
      <c r="W29893" s="503"/>
    </row>
    <row r="29894" spans="23:23">
      <c r="W29894" s="503"/>
    </row>
    <row r="29895" spans="23:23">
      <c r="W29895" s="503"/>
    </row>
    <row r="29896" spans="23:23">
      <c r="W29896" s="503"/>
    </row>
    <row r="29897" spans="23:23">
      <c r="W29897" s="503"/>
    </row>
    <row r="29898" spans="23:23">
      <c r="W29898" s="503"/>
    </row>
    <row r="29899" spans="23:23">
      <c r="W29899" s="503"/>
    </row>
    <row r="29900" spans="23:23">
      <c r="W29900" s="503"/>
    </row>
    <row r="29901" spans="23:23">
      <c r="W29901" s="503"/>
    </row>
    <row r="29902" spans="23:23">
      <c r="W29902" s="503"/>
    </row>
    <row r="29903" spans="23:23">
      <c r="W29903" s="503"/>
    </row>
    <row r="29904" spans="23:23">
      <c r="W29904" s="503"/>
    </row>
    <row r="29905" spans="23:23">
      <c r="W29905" s="503"/>
    </row>
    <row r="29906" spans="23:23">
      <c r="W29906" s="503"/>
    </row>
    <row r="29907" spans="23:23">
      <c r="W29907" s="503"/>
    </row>
    <row r="29908" spans="23:23">
      <c r="W29908" s="503"/>
    </row>
    <row r="29909" spans="23:23">
      <c r="W29909" s="503"/>
    </row>
    <row r="29910" spans="23:23">
      <c r="W29910" s="503"/>
    </row>
    <row r="29911" spans="23:23">
      <c r="W29911" s="503"/>
    </row>
    <row r="29912" spans="23:23">
      <c r="W29912" s="503"/>
    </row>
    <row r="29913" spans="23:23">
      <c r="W29913" s="503"/>
    </row>
    <row r="29914" spans="23:23">
      <c r="W29914" s="503"/>
    </row>
    <row r="29915" spans="23:23">
      <c r="W29915" s="503"/>
    </row>
    <row r="29916" spans="23:23">
      <c r="W29916" s="503"/>
    </row>
    <row r="29917" spans="23:23">
      <c r="W29917" s="503"/>
    </row>
    <row r="29918" spans="23:23">
      <c r="W29918" s="503"/>
    </row>
    <row r="29919" spans="23:23">
      <c r="W29919" s="503"/>
    </row>
    <row r="29920" spans="23:23">
      <c r="W29920" s="503"/>
    </row>
    <row r="29921" spans="23:23">
      <c r="W29921" s="503"/>
    </row>
    <row r="29922" spans="23:23">
      <c r="W29922" s="503"/>
    </row>
    <row r="29923" spans="23:23">
      <c r="W29923" s="503"/>
    </row>
    <row r="29924" spans="23:23">
      <c r="W29924" s="503"/>
    </row>
    <row r="29925" spans="23:23">
      <c r="W29925" s="503"/>
    </row>
    <row r="29926" spans="23:23">
      <c r="W29926" s="503"/>
    </row>
    <row r="29927" spans="23:23">
      <c r="W29927" s="503"/>
    </row>
    <row r="29928" spans="23:23">
      <c r="W29928" s="503"/>
    </row>
    <row r="29929" spans="23:23">
      <c r="W29929" s="503"/>
    </row>
    <row r="29930" spans="23:23">
      <c r="W29930" s="503"/>
    </row>
    <row r="29931" spans="23:23">
      <c r="W29931" s="503"/>
    </row>
    <row r="29932" spans="23:23">
      <c r="W29932" s="503"/>
    </row>
    <row r="29933" spans="23:23">
      <c r="W29933" s="503"/>
    </row>
    <row r="29934" spans="23:23">
      <c r="W29934" s="503"/>
    </row>
    <row r="29935" spans="23:23">
      <c r="W29935" s="503"/>
    </row>
    <row r="29936" spans="23:23">
      <c r="W29936" s="503"/>
    </row>
    <row r="29937" spans="23:23">
      <c r="W29937" s="503"/>
    </row>
    <row r="29938" spans="23:23">
      <c r="W29938" s="503"/>
    </row>
    <row r="29939" spans="23:23">
      <c r="W29939" s="503"/>
    </row>
    <row r="29940" spans="23:23">
      <c r="W29940" s="503"/>
    </row>
    <row r="29941" spans="23:23">
      <c r="W29941" s="503"/>
    </row>
    <row r="29942" spans="23:23">
      <c r="W29942" s="503"/>
    </row>
    <row r="29943" spans="23:23">
      <c r="W29943" s="503"/>
    </row>
    <row r="29944" spans="23:23">
      <c r="W29944" s="503"/>
    </row>
    <row r="29945" spans="23:23">
      <c r="W29945" s="503"/>
    </row>
    <row r="29946" spans="23:23">
      <c r="W29946" s="503"/>
    </row>
    <row r="29947" spans="23:23">
      <c r="W29947" s="503"/>
    </row>
    <row r="29948" spans="23:23">
      <c r="W29948" s="503"/>
    </row>
    <row r="29949" spans="23:23">
      <c r="W29949" s="503"/>
    </row>
    <row r="29950" spans="23:23">
      <c r="W29950" s="503"/>
    </row>
    <row r="29951" spans="23:23">
      <c r="W29951" s="503"/>
    </row>
    <row r="29952" spans="23:23">
      <c r="W29952" s="503"/>
    </row>
    <row r="29953" spans="23:23">
      <c r="W29953" s="503"/>
    </row>
    <row r="29954" spans="23:23">
      <c r="W29954" s="503"/>
    </row>
    <row r="29955" spans="23:23">
      <c r="W29955" s="503"/>
    </row>
    <row r="29956" spans="23:23">
      <c r="W29956" s="503"/>
    </row>
    <row r="29957" spans="23:23">
      <c r="W29957" s="503"/>
    </row>
    <row r="29958" spans="23:23">
      <c r="W29958" s="503"/>
    </row>
    <row r="29959" spans="23:23">
      <c r="W29959" s="503"/>
    </row>
    <row r="29960" spans="23:23">
      <c r="W29960" s="503"/>
    </row>
    <row r="29961" spans="23:23">
      <c r="W29961" s="503"/>
    </row>
    <row r="29962" spans="23:23">
      <c r="W29962" s="503"/>
    </row>
    <row r="29963" spans="23:23">
      <c r="W29963" s="503"/>
    </row>
    <row r="29964" spans="23:23">
      <c r="W29964" s="503"/>
    </row>
    <row r="29965" spans="23:23">
      <c r="W29965" s="503"/>
    </row>
    <row r="29966" spans="23:23">
      <c r="W29966" s="503"/>
    </row>
    <row r="29967" spans="23:23">
      <c r="W29967" s="503"/>
    </row>
    <row r="29968" spans="23:23">
      <c r="W29968" s="503"/>
    </row>
    <row r="29969" spans="23:23">
      <c r="W29969" s="503"/>
    </row>
    <row r="29970" spans="23:23">
      <c r="W29970" s="503"/>
    </row>
    <row r="29971" spans="23:23">
      <c r="W29971" s="503"/>
    </row>
    <row r="29972" spans="23:23">
      <c r="W29972" s="503"/>
    </row>
    <row r="29973" spans="23:23">
      <c r="W29973" s="503"/>
    </row>
    <row r="29974" spans="23:23">
      <c r="W29974" s="503"/>
    </row>
    <row r="29975" spans="23:23">
      <c r="W29975" s="503"/>
    </row>
    <row r="29976" spans="23:23">
      <c r="W29976" s="503"/>
    </row>
    <row r="29977" spans="23:23">
      <c r="W29977" s="503"/>
    </row>
    <row r="29978" spans="23:23">
      <c r="W29978" s="503"/>
    </row>
    <row r="29979" spans="23:23">
      <c r="W29979" s="503"/>
    </row>
    <row r="29980" spans="23:23">
      <c r="W29980" s="503"/>
    </row>
    <row r="29981" spans="23:23">
      <c r="W29981" s="503"/>
    </row>
    <row r="29982" spans="23:23">
      <c r="W29982" s="503"/>
    </row>
    <row r="29983" spans="23:23">
      <c r="W29983" s="503"/>
    </row>
    <row r="29984" spans="23:23">
      <c r="W29984" s="503"/>
    </row>
    <row r="29985" spans="23:23">
      <c r="W29985" s="503"/>
    </row>
    <row r="29986" spans="23:23">
      <c r="W29986" s="503"/>
    </row>
    <row r="29987" spans="23:23">
      <c r="W29987" s="503"/>
    </row>
    <row r="29988" spans="23:23">
      <c r="W29988" s="503"/>
    </row>
    <row r="29989" spans="23:23">
      <c r="W29989" s="503"/>
    </row>
    <row r="29990" spans="23:23">
      <c r="W29990" s="503"/>
    </row>
    <row r="29991" spans="23:23">
      <c r="W29991" s="503"/>
    </row>
    <row r="29992" spans="23:23">
      <c r="W29992" s="503"/>
    </row>
    <row r="29993" spans="23:23">
      <c r="W29993" s="503"/>
    </row>
    <row r="29994" spans="23:23">
      <c r="W29994" s="503"/>
    </row>
    <row r="29995" spans="23:23">
      <c r="W29995" s="503"/>
    </row>
    <row r="29996" spans="23:23">
      <c r="W29996" s="503"/>
    </row>
    <row r="29997" spans="23:23">
      <c r="W29997" s="503"/>
    </row>
    <row r="29998" spans="23:23">
      <c r="W29998" s="503"/>
    </row>
    <row r="29999" spans="23:23">
      <c r="W29999" s="503"/>
    </row>
    <row r="30000" spans="23:23">
      <c r="W30000" s="503"/>
    </row>
    <row r="30001" spans="23:23">
      <c r="W30001" s="503"/>
    </row>
    <row r="30002" spans="23:23">
      <c r="W30002" s="503"/>
    </row>
    <row r="30003" spans="23:23">
      <c r="W30003" s="503"/>
    </row>
    <row r="30004" spans="23:23">
      <c r="W30004" s="503"/>
    </row>
    <row r="30005" spans="23:23">
      <c r="W30005" s="503"/>
    </row>
    <row r="30006" spans="23:23">
      <c r="W30006" s="503"/>
    </row>
    <row r="30007" spans="23:23">
      <c r="W30007" s="503"/>
    </row>
    <row r="30008" spans="23:23">
      <c r="W30008" s="503"/>
    </row>
    <row r="30009" spans="23:23">
      <c r="W30009" s="503"/>
    </row>
    <row r="30010" spans="23:23">
      <c r="W30010" s="503"/>
    </row>
    <row r="30011" spans="23:23">
      <c r="W30011" s="503"/>
    </row>
    <row r="30012" spans="23:23">
      <c r="W30012" s="503"/>
    </row>
    <row r="30013" spans="23:23">
      <c r="W30013" s="503"/>
    </row>
    <row r="30014" spans="23:23">
      <c r="W30014" s="503"/>
    </row>
    <row r="30015" spans="23:23">
      <c r="W30015" s="503"/>
    </row>
    <row r="30016" spans="23:23">
      <c r="W30016" s="503"/>
    </row>
    <row r="30017" spans="23:23">
      <c r="W30017" s="503"/>
    </row>
    <row r="30018" spans="23:23">
      <c r="W30018" s="503"/>
    </row>
    <row r="30019" spans="23:23">
      <c r="W30019" s="503"/>
    </row>
    <row r="30020" spans="23:23">
      <c r="W30020" s="503"/>
    </row>
    <row r="30021" spans="23:23">
      <c r="W30021" s="503"/>
    </row>
    <row r="30022" spans="23:23">
      <c r="W30022" s="503"/>
    </row>
    <row r="30023" spans="23:23">
      <c r="W30023" s="503"/>
    </row>
    <row r="30024" spans="23:23">
      <c r="W30024" s="503"/>
    </row>
    <row r="30025" spans="23:23">
      <c r="W30025" s="503"/>
    </row>
    <row r="30026" spans="23:23">
      <c r="W30026" s="503"/>
    </row>
    <row r="30027" spans="23:23">
      <c r="W30027" s="503"/>
    </row>
    <row r="30028" spans="23:23">
      <c r="W30028" s="503"/>
    </row>
    <row r="30029" spans="23:23">
      <c r="W30029" s="503"/>
    </row>
    <row r="30030" spans="23:23">
      <c r="W30030" s="503"/>
    </row>
    <row r="30031" spans="23:23">
      <c r="W30031" s="503"/>
    </row>
    <row r="30032" spans="23:23">
      <c r="W30032" s="503"/>
    </row>
    <row r="30033" spans="23:23">
      <c r="W30033" s="503"/>
    </row>
    <row r="30034" spans="23:23">
      <c r="W30034" s="503"/>
    </row>
    <row r="30035" spans="23:23">
      <c r="W30035" s="503"/>
    </row>
    <row r="30036" spans="23:23">
      <c r="W30036" s="503"/>
    </row>
    <row r="30037" spans="23:23">
      <c r="W30037" s="503"/>
    </row>
    <row r="30038" spans="23:23">
      <c r="W30038" s="503"/>
    </row>
    <row r="30039" spans="23:23">
      <c r="W30039" s="503"/>
    </row>
    <row r="30040" spans="23:23">
      <c r="W30040" s="503"/>
    </row>
    <row r="30041" spans="23:23">
      <c r="W30041" s="503"/>
    </row>
    <row r="30042" spans="23:23">
      <c r="W30042" s="503"/>
    </row>
    <row r="30043" spans="23:23">
      <c r="W30043" s="503"/>
    </row>
    <row r="30044" spans="23:23">
      <c r="W30044" s="503"/>
    </row>
    <row r="30045" spans="23:23">
      <c r="W30045" s="503"/>
    </row>
    <row r="30046" spans="23:23">
      <c r="W30046" s="503"/>
    </row>
    <row r="30047" spans="23:23">
      <c r="W30047" s="503"/>
    </row>
    <row r="30048" spans="23:23">
      <c r="W30048" s="503"/>
    </row>
    <row r="30049" spans="23:23">
      <c r="W30049" s="503"/>
    </row>
    <row r="30050" spans="23:23">
      <c r="W30050" s="503"/>
    </row>
    <row r="30051" spans="23:23">
      <c r="W30051" s="503"/>
    </row>
    <row r="30052" spans="23:23">
      <c r="W30052" s="503"/>
    </row>
    <row r="30053" spans="23:23">
      <c r="W30053" s="503"/>
    </row>
    <row r="30054" spans="23:23">
      <c r="W30054" s="503"/>
    </row>
    <row r="30055" spans="23:23">
      <c r="W30055" s="503"/>
    </row>
    <row r="30056" spans="23:23">
      <c r="W30056" s="503"/>
    </row>
    <row r="30057" spans="23:23">
      <c r="W30057" s="503"/>
    </row>
    <row r="30058" spans="23:23">
      <c r="W30058" s="503"/>
    </row>
    <row r="30059" spans="23:23">
      <c r="W30059" s="503"/>
    </row>
    <row r="30060" spans="23:23">
      <c r="W30060" s="503"/>
    </row>
    <row r="30061" spans="23:23">
      <c r="W30061" s="503"/>
    </row>
    <row r="30062" spans="23:23">
      <c r="W30062" s="503"/>
    </row>
    <row r="30063" spans="23:23">
      <c r="W30063" s="503"/>
    </row>
    <row r="30064" spans="23:23">
      <c r="W30064" s="503"/>
    </row>
    <row r="30065" spans="23:23">
      <c r="W30065" s="503"/>
    </row>
    <row r="30066" spans="23:23">
      <c r="W30066" s="503"/>
    </row>
    <row r="30067" spans="23:23">
      <c r="W30067" s="503"/>
    </row>
    <row r="30068" spans="23:23">
      <c r="W30068" s="503"/>
    </row>
    <row r="30069" spans="23:23">
      <c r="W30069" s="503"/>
    </row>
    <row r="30070" spans="23:23">
      <c r="W30070" s="503"/>
    </row>
    <row r="30071" spans="23:23">
      <c r="W30071" s="503"/>
    </row>
    <row r="30072" spans="23:23">
      <c r="W30072" s="503"/>
    </row>
    <row r="30073" spans="23:23">
      <c r="W30073" s="503"/>
    </row>
    <row r="30074" spans="23:23">
      <c r="W30074" s="503"/>
    </row>
    <row r="30075" spans="23:23">
      <c r="W30075" s="503"/>
    </row>
    <row r="30076" spans="23:23">
      <c r="W30076" s="503"/>
    </row>
    <row r="30077" spans="23:23">
      <c r="W30077" s="503"/>
    </row>
    <row r="30078" spans="23:23">
      <c r="W30078" s="503"/>
    </row>
    <row r="30079" spans="23:23">
      <c r="W30079" s="503"/>
    </row>
    <row r="30080" spans="23:23">
      <c r="W30080" s="503"/>
    </row>
    <row r="30081" spans="23:23">
      <c r="W30081" s="503"/>
    </row>
    <row r="30082" spans="23:23">
      <c r="W30082" s="503"/>
    </row>
    <row r="30083" spans="23:23">
      <c r="W30083" s="503"/>
    </row>
    <row r="30084" spans="23:23">
      <c r="W30084" s="503"/>
    </row>
    <row r="30085" spans="23:23">
      <c r="W30085" s="503"/>
    </row>
    <row r="30086" spans="23:23">
      <c r="W30086" s="503"/>
    </row>
    <row r="30087" spans="23:23">
      <c r="W30087" s="503"/>
    </row>
    <row r="30088" spans="23:23">
      <c r="W30088" s="503"/>
    </row>
    <row r="30089" spans="23:23">
      <c r="W30089" s="503"/>
    </row>
    <row r="30090" spans="23:23">
      <c r="W30090" s="503"/>
    </row>
    <row r="30091" spans="23:23">
      <c r="W30091" s="503"/>
    </row>
    <row r="30092" spans="23:23">
      <c r="W30092" s="503"/>
    </row>
    <row r="30093" spans="23:23">
      <c r="W30093" s="503"/>
    </row>
    <row r="30094" spans="23:23">
      <c r="W30094" s="503"/>
    </row>
    <row r="30095" spans="23:23">
      <c r="W30095" s="503"/>
    </row>
    <row r="30096" spans="23:23">
      <c r="W30096" s="503"/>
    </row>
    <row r="30097" spans="23:23">
      <c r="W30097" s="503"/>
    </row>
    <row r="30098" spans="23:23">
      <c r="W30098" s="503"/>
    </row>
    <row r="30099" spans="23:23">
      <c r="W30099" s="503"/>
    </row>
    <row r="30100" spans="23:23">
      <c r="W30100" s="503"/>
    </row>
    <row r="30101" spans="23:23">
      <c r="W30101" s="503"/>
    </row>
    <row r="30102" spans="23:23">
      <c r="W30102" s="503"/>
    </row>
    <row r="30103" spans="23:23">
      <c r="W30103" s="503"/>
    </row>
    <row r="30104" spans="23:23">
      <c r="W30104" s="503"/>
    </row>
    <row r="30105" spans="23:23">
      <c r="W30105" s="503"/>
    </row>
    <row r="30106" spans="23:23">
      <c r="W30106" s="503"/>
    </row>
    <row r="30107" spans="23:23">
      <c r="W30107" s="503"/>
    </row>
    <row r="30108" spans="23:23">
      <c r="W30108" s="503"/>
    </row>
    <row r="30109" spans="23:23">
      <c r="W30109" s="503"/>
    </row>
    <row r="30110" spans="23:23">
      <c r="W30110" s="503"/>
    </row>
    <row r="30111" spans="23:23">
      <c r="W30111" s="503"/>
    </row>
    <row r="30112" spans="23:23">
      <c r="W30112" s="503"/>
    </row>
    <row r="30113" spans="23:23">
      <c r="W30113" s="503"/>
    </row>
    <row r="30114" spans="23:23">
      <c r="W30114" s="503"/>
    </row>
    <row r="30115" spans="23:23">
      <c r="W30115" s="503"/>
    </row>
    <row r="30116" spans="23:23">
      <c r="W30116" s="503"/>
    </row>
    <row r="30117" spans="23:23">
      <c r="W30117" s="503"/>
    </row>
    <row r="30118" spans="23:23">
      <c r="W30118" s="503"/>
    </row>
    <row r="30119" spans="23:23">
      <c r="W30119" s="503"/>
    </row>
    <row r="30120" spans="23:23">
      <c r="W30120" s="503"/>
    </row>
    <row r="30121" spans="23:23">
      <c r="W30121" s="503"/>
    </row>
    <row r="30122" spans="23:23">
      <c r="W30122" s="503"/>
    </row>
    <row r="30123" spans="23:23">
      <c r="W30123" s="503"/>
    </row>
    <row r="30124" spans="23:23">
      <c r="W30124" s="503"/>
    </row>
    <row r="30125" spans="23:23">
      <c r="W30125" s="503"/>
    </row>
    <row r="30126" spans="23:23">
      <c r="W30126" s="503"/>
    </row>
    <row r="30127" spans="23:23">
      <c r="W30127" s="503"/>
    </row>
    <row r="30128" spans="23:23">
      <c r="W30128" s="503"/>
    </row>
    <row r="30129" spans="23:23">
      <c r="W30129" s="503"/>
    </row>
    <row r="30130" spans="23:23">
      <c r="W30130" s="503"/>
    </row>
    <row r="30131" spans="23:23">
      <c r="W30131" s="503"/>
    </row>
    <row r="30132" spans="23:23">
      <c r="W30132" s="503"/>
    </row>
    <row r="30133" spans="23:23">
      <c r="W30133" s="503"/>
    </row>
    <row r="30134" spans="23:23">
      <c r="W30134" s="503"/>
    </row>
    <row r="30135" spans="23:23">
      <c r="W30135" s="503"/>
    </row>
    <row r="30136" spans="23:23">
      <c r="W30136" s="503"/>
    </row>
    <row r="30137" spans="23:23">
      <c r="W30137" s="503"/>
    </row>
    <row r="30138" spans="23:23">
      <c r="W30138" s="503"/>
    </row>
    <row r="30139" spans="23:23">
      <c r="W30139" s="503"/>
    </row>
    <row r="30140" spans="23:23">
      <c r="W30140" s="503"/>
    </row>
    <row r="30141" spans="23:23">
      <c r="W30141" s="503"/>
    </row>
    <row r="30142" spans="23:23">
      <c r="W30142" s="503"/>
    </row>
    <row r="30143" spans="23:23">
      <c r="W30143" s="503"/>
    </row>
    <row r="30144" spans="23:23">
      <c r="W30144" s="503"/>
    </row>
    <row r="30145" spans="23:23">
      <c r="W30145" s="503"/>
    </row>
    <row r="30146" spans="23:23">
      <c r="W30146" s="503"/>
    </row>
    <row r="30147" spans="23:23">
      <c r="W30147" s="503"/>
    </row>
    <row r="30148" spans="23:23">
      <c r="W30148" s="503"/>
    </row>
    <row r="30149" spans="23:23">
      <c r="W30149" s="503"/>
    </row>
    <row r="30150" spans="23:23">
      <c r="W30150" s="503"/>
    </row>
    <row r="30151" spans="23:23">
      <c r="W30151" s="503"/>
    </row>
    <row r="30152" spans="23:23">
      <c r="W30152" s="503"/>
    </row>
    <row r="30153" spans="23:23">
      <c r="W30153" s="503"/>
    </row>
    <row r="30154" spans="23:23">
      <c r="W30154" s="503"/>
    </row>
    <row r="30155" spans="23:23">
      <c r="W30155" s="503"/>
    </row>
    <row r="30156" spans="23:23">
      <c r="W30156" s="503"/>
    </row>
    <row r="30157" spans="23:23">
      <c r="W30157" s="503"/>
    </row>
    <row r="30158" spans="23:23">
      <c r="W30158" s="503"/>
    </row>
    <row r="30159" spans="23:23">
      <c r="W30159" s="503"/>
    </row>
    <row r="30160" spans="23:23">
      <c r="W30160" s="503"/>
    </row>
    <row r="30161" spans="23:23">
      <c r="W30161" s="503"/>
    </row>
    <row r="30162" spans="23:23">
      <c r="W30162" s="503"/>
    </row>
    <row r="30163" spans="23:23">
      <c r="W30163" s="503"/>
    </row>
    <row r="30164" spans="23:23">
      <c r="W30164" s="503"/>
    </row>
    <row r="30165" spans="23:23">
      <c r="W30165" s="503"/>
    </row>
    <row r="30166" spans="23:23">
      <c r="W30166" s="503"/>
    </row>
    <row r="30167" spans="23:23">
      <c r="W30167" s="503"/>
    </row>
    <row r="30168" spans="23:23">
      <c r="W30168" s="503"/>
    </row>
    <row r="30169" spans="23:23">
      <c r="W30169" s="503"/>
    </row>
    <row r="30170" spans="23:23">
      <c r="W30170" s="503"/>
    </row>
    <row r="30171" spans="23:23">
      <c r="W30171" s="503"/>
    </row>
    <row r="30172" spans="23:23">
      <c r="W30172" s="503"/>
    </row>
    <row r="30173" spans="23:23">
      <c r="W30173" s="503"/>
    </row>
    <row r="30174" spans="23:23">
      <c r="W30174" s="503"/>
    </row>
    <row r="30175" spans="23:23">
      <c r="W30175" s="503"/>
    </row>
    <row r="30176" spans="23:23">
      <c r="W30176" s="503"/>
    </row>
    <row r="30177" spans="23:23">
      <c r="W30177" s="503"/>
    </row>
    <row r="30178" spans="23:23">
      <c r="W30178" s="503"/>
    </row>
    <row r="30179" spans="23:23">
      <c r="W30179" s="503"/>
    </row>
    <row r="30180" spans="23:23">
      <c r="W30180" s="503"/>
    </row>
    <row r="30181" spans="23:23">
      <c r="W30181" s="503"/>
    </row>
    <row r="30182" spans="23:23">
      <c r="W30182" s="503"/>
    </row>
    <row r="30183" spans="23:23">
      <c r="W30183" s="503"/>
    </row>
    <row r="30184" spans="23:23">
      <c r="W30184" s="503"/>
    </row>
    <row r="30185" spans="23:23">
      <c r="W30185" s="503"/>
    </row>
    <row r="30186" spans="23:23">
      <c r="W30186" s="503"/>
    </row>
    <row r="30187" spans="23:23">
      <c r="W30187" s="503"/>
    </row>
    <row r="30188" spans="23:23">
      <c r="W30188" s="503"/>
    </row>
    <row r="30189" spans="23:23">
      <c r="W30189" s="503"/>
    </row>
    <row r="30190" spans="23:23">
      <c r="W30190" s="503"/>
    </row>
    <row r="30191" spans="23:23">
      <c r="W30191" s="503"/>
    </row>
    <row r="30192" spans="23:23">
      <c r="W30192" s="503"/>
    </row>
    <row r="30193" spans="23:23">
      <c r="W30193" s="503"/>
    </row>
    <row r="30194" spans="23:23">
      <c r="W30194" s="503"/>
    </row>
    <row r="30195" spans="23:23">
      <c r="W30195" s="503"/>
    </row>
    <row r="30196" spans="23:23">
      <c r="W30196" s="503"/>
    </row>
    <row r="30197" spans="23:23">
      <c r="W30197" s="503"/>
    </row>
    <row r="30198" spans="23:23">
      <c r="W30198" s="503"/>
    </row>
    <row r="30199" spans="23:23">
      <c r="W30199" s="503"/>
    </row>
    <row r="30200" spans="23:23">
      <c r="W30200" s="503"/>
    </row>
    <row r="30201" spans="23:23">
      <c r="W30201" s="503"/>
    </row>
    <row r="30202" spans="23:23">
      <c r="W30202" s="503"/>
    </row>
    <row r="30203" spans="23:23">
      <c r="W30203" s="503"/>
    </row>
    <row r="30204" spans="23:23">
      <c r="W30204" s="503"/>
    </row>
    <row r="30205" spans="23:23">
      <c r="W30205" s="503"/>
    </row>
    <row r="30206" spans="23:23">
      <c r="W30206" s="503"/>
    </row>
    <row r="30207" spans="23:23">
      <c r="W30207" s="503"/>
    </row>
    <row r="30208" spans="23:23">
      <c r="W30208" s="503"/>
    </row>
    <row r="30209" spans="23:23">
      <c r="W30209" s="503"/>
    </row>
    <row r="30210" spans="23:23">
      <c r="W30210" s="503"/>
    </row>
    <row r="30211" spans="23:23">
      <c r="W30211" s="503"/>
    </row>
    <row r="30212" spans="23:23">
      <c r="W30212" s="503"/>
    </row>
    <row r="30213" spans="23:23">
      <c r="W30213" s="503"/>
    </row>
    <row r="30214" spans="23:23">
      <c r="W30214" s="503"/>
    </row>
    <row r="30215" spans="23:23">
      <c r="W30215" s="503"/>
    </row>
    <row r="30216" spans="23:23">
      <c r="W30216" s="503"/>
    </row>
    <row r="30217" spans="23:23">
      <c r="W30217" s="503"/>
    </row>
    <row r="30218" spans="23:23">
      <c r="W30218" s="503"/>
    </row>
    <row r="30219" spans="23:23">
      <c r="W30219" s="503"/>
    </row>
    <row r="30220" spans="23:23">
      <c r="W30220" s="503"/>
    </row>
    <row r="30221" spans="23:23">
      <c r="W30221" s="503"/>
    </row>
    <row r="30222" spans="23:23">
      <c r="W30222" s="503"/>
    </row>
    <row r="30223" spans="23:23">
      <c r="W30223" s="503"/>
    </row>
    <row r="30224" spans="23:23">
      <c r="W30224" s="503"/>
    </row>
    <row r="30225" spans="23:23">
      <c r="W30225" s="503"/>
    </row>
    <row r="30226" spans="23:23">
      <c r="W30226" s="503"/>
    </row>
    <row r="30227" spans="23:23">
      <c r="W30227" s="503"/>
    </row>
    <row r="30228" spans="23:23">
      <c r="W30228" s="503"/>
    </row>
    <row r="30229" spans="23:23">
      <c r="W30229" s="503"/>
    </row>
    <row r="30230" spans="23:23">
      <c r="W30230" s="503"/>
    </row>
    <row r="30231" spans="23:23">
      <c r="W30231" s="503"/>
    </row>
    <row r="30232" spans="23:23">
      <c r="W30232" s="503"/>
    </row>
    <row r="30233" spans="23:23">
      <c r="W30233" s="503"/>
    </row>
    <row r="30234" spans="23:23">
      <c r="W30234" s="503"/>
    </row>
    <row r="30235" spans="23:23">
      <c r="W30235" s="503"/>
    </row>
    <row r="30236" spans="23:23">
      <c r="W30236" s="503"/>
    </row>
    <row r="30237" spans="23:23">
      <c r="W30237" s="503"/>
    </row>
    <row r="30238" spans="23:23">
      <c r="W30238" s="503"/>
    </row>
    <row r="30239" spans="23:23">
      <c r="W30239" s="503"/>
    </row>
    <row r="30240" spans="23:23">
      <c r="W30240" s="503"/>
    </row>
    <row r="30241" spans="23:23">
      <c r="W30241" s="503"/>
    </row>
    <row r="30242" spans="23:23">
      <c r="W30242" s="503"/>
    </row>
    <row r="30243" spans="23:23">
      <c r="W30243" s="503"/>
    </row>
    <row r="30244" spans="23:23">
      <c r="W30244" s="503"/>
    </row>
    <row r="30245" spans="23:23">
      <c r="W30245" s="503"/>
    </row>
    <row r="30246" spans="23:23">
      <c r="W30246" s="503"/>
    </row>
    <row r="30247" spans="23:23">
      <c r="W30247" s="503"/>
    </row>
    <row r="30248" spans="23:23">
      <c r="W30248" s="503"/>
    </row>
    <row r="30249" spans="23:23">
      <c r="W30249" s="503"/>
    </row>
    <row r="30250" spans="23:23">
      <c r="W30250" s="503"/>
    </row>
    <row r="30251" spans="23:23">
      <c r="W30251" s="503"/>
    </row>
    <row r="30252" spans="23:23">
      <c r="W30252" s="503"/>
    </row>
    <row r="30253" spans="23:23">
      <c r="W30253" s="503"/>
    </row>
    <row r="30254" spans="23:23">
      <c r="W30254" s="503"/>
    </row>
    <row r="30255" spans="23:23">
      <c r="W30255" s="503"/>
    </row>
    <row r="30256" spans="23:23">
      <c r="W30256" s="503"/>
    </row>
    <row r="30257" spans="23:23">
      <c r="W30257" s="503"/>
    </row>
    <row r="30258" spans="23:23">
      <c r="W30258" s="503"/>
    </row>
    <row r="30259" spans="23:23">
      <c r="W30259" s="503"/>
    </row>
    <row r="30260" spans="23:23">
      <c r="W30260" s="503"/>
    </row>
    <row r="30261" spans="23:23">
      <c r="W30261" s="503"/>
    </row>
    <row r="30262" spans="23:23">
      <c r="W30262" s="503"/>
    </row>
    <row r="30263" spans="23:23">
      <c r="W30263" s="503"/>
    </row>
    <row r="30264" spans="23:23">
      <c r="W30264" s="503"/>
    </row>
    <row r="30265" spans="23:23">
      <c r="W30265" s="503"/>
    </row>
    <row r="30266" spans="23:23">
      <c r="W30266" s="503"/>
    </row>
    <row r="30267" spans="23:23">
      <c r="W30267" s="503"/>
    </row>
    <row r="30268" spans="23:23">
      <c r="W30268" s="503"/>
    </row>
    <row r="30269" spans="23:23">
      <c r="W30269" s="503"/>
    </row>
    <row r="30270" spans="23:23">
      <c r="W30270" s="503"/>
    </row>
    <row r="30271" spans="23:23">
      <c r="W30271" s="503"/>
    </row>
    <row r="30272" spans="23:23">
      <c r="W30272" s="503"/>
    </row>
    <row r="30273" spans="23:23">
      <c r="W30273" s="503"/>
    </row>
    <row r="30274" spans="23:23">
      <c r="W30274" s="503"/>
    </row>
    <row r="30275" spans="23:23">
      <c r="W30275" s="503"/>
    </row>
    <row r="30276" spans="23:23">
      <c r="W30276" s="503"/>
    </row>
    <row r="30277" spans="23:23">
      <c r="W30277" s="503"/>
    </row>
    <row r="30278" spans="23:23">
      <c r="W30278" s="503"/>
    </row>
    <row r="30279" spans="23:23">
      <c r="W30279" s="503"/>
    </row>
    <row r="30280" spans="23:23">
      <c r="W30280" s="503"/>
    </row>
    <row r="30281" spans="23:23">
      <c r="W30281" s="503"/>
    </row>
    <row r="30282" spans="23:23">
      <c r="W30282" s="503"/>
    </row>
    <row r="30283" spans="23:23">
      <c r="W30283" s="503"/>
    </row>
    <row r="30284" spans="23:23">
      <c r="W30284" s="503"/>
    </row>
    <row r="30285" spans="23:23">
      <c r="W30285" s="503"/>
    </row>
    <row r="30286" spans="23:23">
      <c r="W30286" s="503"/>
    </row>
    <row r="30287" spans="23:23">
      <c r="W30287" s="503"/>
    </row>
    <row r="30288" spans="23:23">
      <c r="W30288" s="503"/>
    </row>
    <row r="30289" spans="23:23">
      <c r="W30289" s="503"/>
    </row>
    <row r="30290" spans="23:23">
      <c r="W30290" s="503"/>
    </row>
    <row r="30291" spans="23:23">
      <c r="W30291" s="503"/>
    </row>
    <row r="30292" spans="23:23">
      <c r="W30292" s="503"/>
    </row>
    <row r="30293" spans="23:23">
      <c r="W30293" s="503"/>
    </row>
    <row r="30294" spans="23:23">
      <c r="W30294" s="503"/>
    </row>
    <row r="30295" spans="23:23">
      <c r="W30295" s="503"/>
    </row>
    <row r="30296" spans="23:23">
      <c r="W30296" s="503"/>
    </row>
    <row r="30297" spans="23:23">
      <c r="W30297" s="503"/>
    </row>
    <row r="30298" spans="23:23">
      <c r="W30298" s="503"/>
    </row>
    <row r="30299" spans="23:23">
      <c r="W30299" s="503"/>
    </row>
    <row r="30300" spans="23:23">
      <c r="W30300" s="503"/>
    </row>
    <row r="30301" spans="23:23">
      <c r="W30301" s="503"/>
    </row>
    <row r="30302" spans="23:23">
      <c r="W30302" s="503"/>
    </row>
    <row r="30303" spans="23:23">
      <c r="W30303" s="503"/>
    </row>
    <row r="30304" spans="23:23">
      <c r="W30304" s="503"/>
    </row>
    <row r="30305" spans="23:23">
      <c r="W30305" s="503"/>
    </row>
    <row r="30306" spans="23:23">
      <c r="W30306" s="503"/>
    </row>
    <row r="30307" spans="23:23">
      <c r="W30307" s="503"/>
    </row>
    <row r="30308" spans="23:23">
      <c r="W30308" s="503"/>
    </row>
    <row r="30309" spans="23:23">
      <c r="W30309" s="503"/>
    </row>
    <row r="30310" spans="23:23">
      <c r="W30310" s="503"/>
    </row>
    <row r="30311" spans="23:23">
      <c r="W30311" s="503"/>
    </row>
    <row r="30312" spans="23:23">
      <c r="W30312" s="503"/>
    </row>
    <row r="30313" spans="23:23">
      <c r="W30313" s="503"/>
    </row>
    <row r="30314" spans="23:23">
      <c r="W30314" s="503"/>
    </row>
    <row r="30315" spans="23:23">
      <c r="W30315" s="503"/>
    </row>
    <row r="30316" spans="23:23">
      <c r="W30316" s="503"/>
    </row>
    <row r="30317" spans="23:23">
      <c r="W30317" s="503"/>
    </row>
    <row r="30318" spans="23:23">
      <c r="W30318" s="503"/>
    </row>
    <row r="30319" spans="23:23">
      <c r="W30319" s="503"/>
    </row>
    <row r="30320" spans="23:23">
      <c r="W30320" s="503"/>
    </row>
    <row r="30321" spans="23:23">
      <c r="W30321" s="503"/>
    </row>
    <row r="30322" spans="23:23">
      <c r="W30322" s="503"/>
    </row>
    <row r="30323" spans="23:23">
      <c r="W30323" s="503"/>
    </row>
    <row r="30324" spans="23:23">
      <c r="W30324" s="503"/>
    </row>
    <row r="30325" spans="23:23">
      <c r="W30325" s="503"/>
    </row>
    <row r="30326" spans="23:23">
      <c r="W30326" s="503"/>
    </row>
    <row r="30327" spans="23:23">
      <c r="W30327" s="503"/>
    </row>
    <row r="30328" spans="23:23">
      <c r="W30328" s="503"/>
    </row>
    <row r="30329" spans="23:23">
      <c r="W30329" s="503"/>
    </row>
    <row r="30330" spans="23:23">
      <c r="W30330" s="503"/>
    </row>
    <row r="30331" spans="23:23">
      <c r="W30331" s="503"/>
    </row>
    <row r="30332" spans="23:23">
      <c r="W30332" s="503"/>
    </row>
    <row r="30333" spans="23:23">
      <c r="W30333" s="503"/>
    </row>
    <row r="30334" spans="23:23">
      <c r="W30334" s="503"/>
    </row>
    <row r="30335" spans="23:23">
      <c r="W30335" s="503"/>
    </row>
    <row r="30336" spans="23:23">
      <c r="W30336" s="503"/>
    </row>
    <row r="30337" spans="23:23">
      <c r="W30337" s="503"/>
    </row>
    <row r="30338" spans="23:23">
      <c r="W30338" s="503"/>
    </row>
    <row r="30339" spans="23:23">
      <c r="W30339" s="503"/>
    </row>
    <row r="30340" spans="23:23">
      <c r="W30340" s="503"/>
    </row>
    <row r="30341" spans="23:23">
      <c r="W30341" s="503"/>
    </row>
    <row r="30342" spans="23:23">
      <c r="W30342" s="503"/>
    </row>
    <row r="30343" spans="23:23">
      <c r="W30343" s="503"/>
    </row>
    <row r="30344" spans="23:23">
      <c r="W30344" s="503"/>
    </row>
    <row r="30345" spans="23:23">
      <c r="W30345" s="503"/>
    </row>
    <row r="30346" spans="23:23">
      <c r="W30346" s="503"/>
    </row>
    <row r="30347" spans="23:23">
      <c r="W30347" s="503"/>
    </row>
    <row r="30348" spans="23:23">
      <c r="W30348" s="503"/>
    </row>
    <row r="30349" spans="23:23">
      <c r="W30349" s="503"/>
    </row>
    <row r="30350" spans="23:23">
      <c r="W30350" s="503"/>
    </row>
    <row r="30351" spans="23:23">
      <c r="W30351" s="503"/>
    </row>
    <row r="30352" spans="23:23">
      <c r="W30352" s="503"/>
    </row>
    <row r="30353" spans="23:23">
      <c r="W30353" s="503"/>
    </row>
    <row r="30354" spans="23:23">
      <c r="W30354" s="503"/>
    </row>
    <row r="30355" spans="23:23">
      <c r="W30355" s="503"/>
    </row>
    <row r="30356" spans="23:23">
      <c r="W30356" s="503"/>
    </row>
    <row r="30357" spans="23:23">
      <c r="W30357" s="503"/>
    </row>
    <row r="30358" spans="23:23">
      <c r="W30358" s="503"/>
    </row>
    <row r="30359" spans="23:23">
      <c r="W30359" s="503"/>
    </row>
    <row r="30360" spans="23:23">
      <c r="W30360" s="503"/>
    </row>
    <row r="30361" spans="23:23">
      <c r="W30361" s="503"/>
    </row>
    <row r="30362" spans="23:23">
      <c r="W30362" s="503"/>
    </row>
    <row r="30363" spans="23:23">
      <c r="W30363" s="503"/>
    </row>
    <row r="30364" spans="23:23">
      <c r="W30364" s="503"/>
    </row>
    <row r="30365" spans="23:23">
      <c r="W30365" s="503"/>
    </row>
    <row r="30366" spans="23:23">
      <c r="W30366" s="503"/>
    </row>
    <row r="30367" spans="23:23">
      <c r="W30367" s="503"/>
    </row>
    <row r="30368" spans="23:23">
      <c r="W30368" s="503"/>
    </row>
    <row r="30369" spans="23:23">
      <c r="W30369" s="503"/>
    </row>
    <row r="30370" spans="23:23">
      <c r="W30370" s="503"/>
    </row>
    <row r="30371" spans="23:23">
      <c r="W30371" s="503"/>
    </row>
    <row r="30372" spans="23:23">
      <c r="W30372" s="503"/>
    </row>
    <row r="30373" spans="23:23">
      <c r="W30373" s="503"/>
    </row>
    <row r="30374" spans="23:23">
      <c r="W30374" s="503"/>
    </row>
    <row r="30375" spans="23:23">
      <c r="W30375" s="503"/>
    </row>
    <row r="30376" spans="23:23">
      <c r="W30376" s="503"/>
    </row>
    <row r="30377" spans="23:23">
      <c r="W30377" s="503"/>
    </row>
    <row r="30378" spans="23:23">
      <c r="W30378" s="503"/>
    </row>
    <row r="30379" spans="23:23">
      <c r="W30379" s="503"/>
    </row>
    <row r="30380" spans="23:23">
      <c r="W30380" s="503"/>
    </row>
    <row r="30381" spans="23:23">
      <c r="W30381" s="503"/>
    </row>
    <row r="30382" spans="23:23">
      <c r="W30382" s="503"/>
    </row>
    <row r="30383" spans="23:23">
      <c r="W30383" s="503"/>
    </row>
    <row r="30384" spans="23:23">
      <c r="W30384" s="503"/>
    </row>
    <row r="30385" spans="23:23">
      <c r="W30385" s="503"/>
    </row>
    <row r="30386" spans="23:23">
      <c r="W30386" s="503"/>
    </row>
    <row r="30387" spans="23:23">
      <c r="W30387" s="503"/>
    </row>
    <row r="30388" spans="23:23">
      <c r="W30388" s="503"/>
    </row>
    <row r="30389" spans="23:23">
      <c r="W30389" s="503"/>
    </row>
    <row r="30390" spans="23:23">
      <c r="W30390" s="503"/>
    </row>
    <row r="30391" spans="23:23">
      <c r="W30391" s="503"/>
    </row>
    <row r="30392" spans="23:23">
      <c r="W30392" s="503"/>
    </row>
    <row r="30393" spans="23:23">
      <c r="W30393" s="503"/>
    </row>
    <row r="30394" spans="23:23">
      <c r="W30394" s="503"/>
    </row>
    <row r="30395" spans="23:23">
      <c r="W30395" s="503"/>
    </row>
    <row r="30396" spans="23:23">
      <c r="W30396" s="503"/>
    </row>
    <row r="30397" spans="23:23">
      <c r="W30397" s="503"/>
    </row>
    <row r="30398" spans="23:23">
      <c r="W30398" s="503"/>
    </row>
    <row r="30399" spans="23:23">
      <c r="W30399" s="503"/>
    </row>
    <row r="30400" spans="23:23">
      <c r="W30400" s="503"/>
    </row>
    <row r="30401" spans="23:23">
      <c r="W30401" s="503"/>
    </row>
    <row r="30402" spans="23:23">
      <c r="W30402" s="503"/>
    </row>
    <row r="30403" spans="23:23">
      <c r="W30403" s="503"/>
    </row>
    <row r="30404" spans="23:23">
      <c r="W30404" s="503"/>
    </row>
    <row r="30405" spans="23:23">
      <c r="W30405" s="503"/>
    </row>
    <row r="30406" spans="23:23">
      <c r="W30406" s="503"/>
    </row>
    <row r="30407" spans="23:23">
      <c r="W30407" s="503"/>
    </row>
    <row r="30408" spans="23:23">
      <c r="W30408" s="503"/>
    </row>
    <row r="30409" spans="23:23">
      <c r="W30409" s="503"/>
    </row>
    <row r="30410" spans="23:23">
      <c r="W30410" s="503"/>
    </row>
    <row r="30411" spans="23:23">
      <c r="W30411" s="503"/>
    </row>
    <row r="30412" spans="23:23">
      <c r="W30412" s="503"/>
    </row>
    <row r="30413" spans="23:23">
      <c r="W30413" s="503"/>
    </row>
    <row r="30414" spans="23:23">
      <c r="W30414" s="503"/>
    </row>
    <row r="30415" spans="23:23">
      <c r="W30415" s="503"/>
    </row>
    <row r="30416" spans="23:23">
      <c r="W30416" s="503"/>
    </row>
    <row r="30417" spans="23:23">
      <c r="W30417" s="503"/>
    </row>
    <row r="30418" spans="23:23">
      <c r="W30418" s="503"/>
    </row>
    <row r="30419" spans="23:23">
      <c r="W30419" s="503"/>
    </row>
    <row r="30420" spans="23:23">
      <c r="W30420" s="503"/>
    </row>
    <row r="30421" spans="23:23">
      <c r="W30421" s="503"/>
    </row>
    <row r="30422" spans="23:23">
      <c r="W30422" s="503"/>
    </row>
    <row r="30423" spans="23:23">
      <c r="W30423" s="503"/>
    </row>
    <row r="30424" spans="23:23">
      <c r="W30424" s="503"/>
    </row>
    <row r="30425" spans="23:23">
      <c r="W30425" s="503"/>
    </row>
    <row r="30426" spans="23:23">
      <c r="W30426" s="503"/>
    </row>
    <row r="30427" spans="23:23">
      <c r="W30427" s="503"/>
    </row>
    <row r="30428" spans="23:23">
      <c r="W30428" s="503"/>
    </row>
    <row r="30429" spans="23:23">
      <c r="W30429" s="503"/>
    </row>
    <row r="30430" spans="23:23">
      <c r="W30430" s="503"/>
    </row>
    <row r="30431" spans="23:23">
      <c r="W30431" s="503"/>
    </row>
    <row r="30432" spans="23:23">
      <c r="W30432" s="503"/>
    </row>
    <row r="30433" spans="23:23">
      <c r="W30433" s="503"/>
    </row>
    <row r="30434" spans="23:23">
      <c r="W30434" s="503"/>
    </row>
    <row r="30435" spans="23:23">
      <c r="W30435" s="503"/>
    </row>
    <row r="30436" spans="23:23">
      <c r="W30436" s="503"/>
    </row>
    <row r="30437" spans="23:23">
      <c r="W30437" s="503"/>
    </row>
    <row r="30438" spans="23:23">
      <c r="W30438" s="503"/>
    </row>
    <row r="30439" spans="23:23">
      <c r="W30439" s="503"/>
    </row>
    <row r="30440" spans="23:23">
      <c r="W30440" s="503"/>
    </row>
    <row r="30441" spans="23:23">
      <c r="W30441" s="503"/>
    </row>
    <row r="30442" spans="23:23">
      <c r="W30442" s="503"/>
    </row>
    <row r="30443" spans="23:23">
      <c r="W30443" s="503"/>
    </row>
    <row r="30444" spans="23:23">
      <c r="W30444" s="503"/>
    </row>
    <row r="30445" spans="23:23">
      <c r="W30445" s="503"/>
    </row>
    <row r="30446" spans="23:23">
      <c r="W30446" s="503"/>
    </row>
    <row r="30447" spans="23:23">
      <c r="W30447" s="503"/>
    </row>
    <row r="30448" spans="23:23">
      <c r="W30448" s="503"/>
    </row>
    <row r="30449" spans="23:23">
      <c r="W30449" s="503"/>
    </row>
    <row r="30450" spans="23:23">
      <c r="W30450" s="503"/>
    </row>
    <row r="30451" spans="23:23">
      <c r="W30451" s="503"/>
    </row>
    <row r="30452" spans="23:23">
      <c r="W30452" s="503"/>
    </row>
    <row r="30453" spans="23:23">
      <c r="W30453" s="503"/>
    </row>
    <row r="30454" spans="23:23">
      <c r="W30454" s="503"/>
    </row>
    <row r="30455" spans="23:23">
      <c r="W30455" s="503"/>
    </row>
    <row r="30456" spans="23:23">
      <c r="W30456" s="503"/>
    </row>
    <row r="30457" spans="23:23">
      <c r="W30457" s="503"/>
    </row>
    <row r="30458" spans="23:23">
      <c r="W30458" s="503"/>
    </row>
    <row r="30459" spans="23:23">
      <c r="W30459" s="503"/>
    </row>
    <row r="30460" spans="23:23">
      <c r="W30460" s="503"/>
    </row>
    <row r="30461" spans="23:23">
      <c r="W30461" s="503"/>
    </row>
    <row r="30462" spans="23:23">
      <c r="W30462" s="503"/>
    </row>
    <row r="30463" spans="23:23">
      <c r="W30463" s="503"/>
    </row>
    <row r="30464" spans="23:23">
      <c r="W30464" s="503"/>
    </row>
    <row r="30465" spans="23:23">
      <c r="W30465" s="503"/>
    </row>
    <row r="30466" spans="23:23">
      <c r="W30466" s="503"/>
    </row>
    <row r="30467" spans="23:23">
      <c r="W30467" s="503"/>
    </row>
    <row r="30468" spans="23:23">
      <c r="W30468" s="503"/>
    </row>
    <row r="30469" spans="23:23">
      <c r="W30469" s="503"/>
    </row>
    <row r="30470" spans="23:23">
      <c r="W30470" s="503"/>
    </row>
    <row r="30471" spans="23:23">
      <c r="W30471" s="503"/>
    </row>
    <row r="30472" spans="23:23">
      <c r="W30472" s="503"/>
    </row>
    <row r="30473" spans="23:23">
      <c r="W30473" s="503"/>
    </row>
    <row r="30474" spans="23:23">
      <c r="W30474" s="503"/>
    </row>
    <row r="30475" spans="23:23">
      <c r="W30475" s="503"/>
    </row>
    <row r="30476" spans="23:23">
      <c r="W30476" s="503"/>
    </row>
    <row r="30477" spans="23:23">
      <c r="W30477" s="503"/>
    </row>
    <row r="30478" spans="23:23">
      <c r="W30478" s="503"/>
    </row>
    <row r="30479" spans="23:23">
      <c r="W30479" s="503"/>
    </row>
    <row r="30480" spans="23:23">
      <c r="W30480" s="503"/>
    </row>
    <row r="30481" spans="23:23">
      <c r="W30481" s="503"/>
    </row>
    <row r="30482" spans="23:23">
      <c r="W30482" s="503"/>
    </row>
    <row r="30483" spans="23:23">
      <c r="W30483" s="503"/>
    </row>
    <row r="30484" spans="23:23">
      <c r="W30484" s="503"/>
    </row>
    <row r="30485" spans="23:23">
      <c r="W30485" s="503"/>
    </row>
    <row r="30486" spans="23:23">
      <c r="W30486" s="503"/>
    </row>
    <row r="30487" spans="23:23">
      <c r="W30487" s="503"/>
    </row>
    <row r="30488" spans="23:23">
      <c r="W30488" s="503"/>
    </row>
    <row r="30489" spans="23:23">
      <c r="W30489" s="503"/>
    </row>
    <row r="30490" spans="23:23">
      <c r="W30490" s="503"/>
    </row>
    <row r="30491" spans="23:23">
      <c r="W30491" s="503"/>
    </row>
    <row r="30492" spans="23:23">
      <c r="W30492" s="503"/>
    </row>
    <row r="30493" spans="23:23">
      <c r="W30493" s="503"/>
    </row>
    <row r="30494" spans="23:23">
      <c r="W30494" s="503"/>
    </row>
    <row r="30495" spans="23:23">
      <c r="W30495" s="503"/>
    </row>
    <row r="30496" spans="23:23">
      <c r="W30496" s="503"/>
    </row>
    <row r="30497" spans="23:23">
      <c r="W30497" s="503"/>
    </row>
    <row r="30498" spans="23:23">
      <c r="W30498" s="503"/>
    </row>
    <row r="30499" spans="23:23">
      <c r="W30499" s="503"/>
    </row>
    <row r="30500" spans="23:23">
      <c r="W30500" s="503"/>
    </row>
    <row r="30501" spans="23:23">
      <c r="W30501" s="503"/>
    </row>
    <row r="30502" spans="23:23">
      <c r="W30502" s="503"/>
    </row>
    <row r="30503" spans="23:23">
      <c r="W30503" s="503"/>
    </row>
    <row r="30504" spans="23:23">
      <c r="W30504" s="503"/>
    </row>
    <row r="30505" spans="23:23">
      <c r="W30505" s="503"/>
    </row>
    <row r="30506" spans="23:23">
      <c r="W30506" s="503"/>
    </row>
    <row r="30507" spans="23:23">
      <c r="W30507" s="503"/>
    </row>
    <row r="30508" spans="23:23">
      <c r="W30508" s="503"/>
    </row>
    <row r="30509" spans="23:23">
      <c r="W30509" s="503"/>
    </row>
    <row r="30510" spans="23:23">
      <c r="W30510" s="503"/>
    </row>
    <row r="30511" spans="23:23">
      <c r="W30511" s="503"/>
    </row>
    <row r="30512" spans="23:23">
      <c r="W30512" s="503"/>
    </row>
    <row r="30513" spans="23:23">
      <c r="W30513" s="503"/>
    </row>
    <row r="30514" spans="23:23">
      <c r="W30514" s="503"/>
    </row>
    <row r="30515" spans="23:23">
      <c r="W30515" s="503"/>
    </row>
    <row r="30516" spans="23:23">
      <c r="W30516" s="503"/>
    </row>
    <row r="30517" spans="23:23">
      <c r="W30517" s="503"/>
    </row>
    <row r="30518" spans="23:23">
      <c r="W30518" s="503"/>
    </row>
    <row r="30519" spans="23:23">
      <c r="W30519" s="503"/>
    </row>
    <row r="30520" spans="23:23">
      <c r="W30520" s="503"/>
    </row>
    <row r="30521" spans="23:23">
      <c r="W30521" s="503"/>
    </row>
    <row r="30522" spans="23:23">
      <c r="W30522" s="503"/>
    </row>
    <row r="30523" spans="23:23">
      <c r="W30523" s="503"/>
    </row>
    <row r="30524" spans="23:23">
      <c r="W30524" s="503"/>
    </row>
    <row r="30525" spans="23:23">
      <c r="W30525" s="503"/>
    </row>
    <row r="30526" spans="23:23">
      <c r="W30526" s="503"/>
    </row>
    <row r="30527" spans="23:23">
      <c r="W30527" s="503"/>
    </row>
    <row r="30528" spans="23:23">
      <c r="W30528" s="503"/>
    </row>
    <row r="30529" spans="23:23">
      <c r="W30529" s="503"/>
    </row>
    <row r="30530" spans="23:23">
      <c r="W30530" s="503"/>
    </row>
    <row r="30531" spans="23:23">
      <c r="W30531" s="503"/>
    </row>
    <row r="30532" spans="23:23">
      <c r="W30532" s="503"/>
    </row>
    <row r="30533" spans="23:23">
      <c r="W30533" s="503"/>
    </row>
    <row r="30534" spans="23:23">
      <c r="W30534" s="503"/>
    </row>
    <row r="30535" spans="23:23">
      <c r="W30535" s="503"/>
    </row>
    <row r="30536" spans="23:23">
      <c r="W30536" s="503"/>
    </row>
    <row r="30537" spans="23:23">
      <c r="W30537" s="503"/>
    </row>
    <row r="30538" spans="23:23">
      <c r="W30538" s="503"/>
    </row>
    <row r="30539" spans="23:23">
      <c r="W30539" s="503"/>
    </row>
    <row r="30540" spans="23:23">
      <c r="W30540" s="503"/>
    </row>
    <row r="30541" spans="23:23">
      <c r="W30541" s="503"/>
    </row>
    <row r="30542" spans="23:23">
      <c r="W30542" s="503"/>
    </row>
    <row r="30543" spans="23:23">
      <c r="W30543" s="503"/>
    </row>
    <row r="30544" spans="23:23">
      <c r="W30544" s="503"/>
    </row>
    <row r="30545" spans="23:23">
      <c r="W30545" s="503"/>
    </row>
    <row r="30546" spans="23:23">
      <c r="W30546" s="503"/>
    </row>
    <row r="30547" spans="23:23">
      <c r="W30547" s="503"/>
    </row>
    <row r="30548" spans="23:23">
      <c r="W30548" s="503"/>
    </row>
    <row r="30549" spans="23:23">
      <c r="W30549" s="503"/>
    </row>
    <row r="30550" spans="23:23">
      <c r="W30550" s="503"/>
    </row>
    <row r="30551" spans="23:23">
      <c r="W30551" s="503"/>
    </row>
    <row r="30552" spans="23:23">
      <c r="W30552" s="503"/>
    </row>
    <row r="30553" spans="23:23">
      <c r="W30553" s="503"/>
    </row>
    <row r="30554" spans="23:23">
      <c r="W30554" s="503"/>
    </row>
    <row r="30555" spans="23:23">
      <c r="W30555" s="503"/>
    </row>
    <row r="30556" spans="23:23">
      <c r="W30556" s="503"/>
    </row>
    <row r="30557" spans="23:23">
      <c r="W30557" s="503"/>
    </row>
    <row r="30558" spans="23:23">
      <c r="W30558" s="503"/>
    </row>
    <row r="30559" spans="23:23">
      <c r="W30559" s="503"/>
    </row>
    <row r="30560" spans="23:23">
      <c r="W30560" s="503"/>
    </row>
    <row r="30561" spans="23:23">
      <c r="W30561" s="503"/>
    </row>
    <row r="30562" spans="23:23">
      <c r="W30562" s="503"/>
    </row>
    <row r="30563" spans="23:23">
      <c r="W30563" s="503"/>
    </row>
    <row r="30564" spans="23:23">
      <c r="W30564" s="503"/>
    </row>
    <row r="30565" spans="23:23">
      <c r="W30565" s="503"/>
    </row>
    <row r="30566" spans="23:23">
      <c r="W30566" s="503"/>
    </row>
    <row r="30567" spans="23:23">
      <c r="W30567" s="503"/>
    </row>
    <row r="30568" spans="23:23">
      <c r="W30568" s="503"/>
    </row>
    <row r="30569" spans="23:23">
      <c r="W30569" s="503"/>
    </row>
    <row r="30570" spans="23:23">
      <c r="W30570" s="503"/>
    </row>
    <row r="30571" spans="23:23">
      <c r="W30571" s="503"/>
    </row>
    <row r="30572" spans="23:23">
      <c r="W30572" s="503"/>
    </row>
    <row r="30573" spans="23:23">
      <c r="W30573" s="503"/>
    </row>
    <row r="30574" spans="23:23">
      <c r="W30574" s="503"/>
    </row>
    <row r="30575" spans="23:23">
      <c r="W30575" s="503"/>
    </row>
    <row r="30576" spans="23:23">
      <c r="W30576" s="503"/>
    </row>
    <row r="30577" spans="23:23">
      <c r="W30577" s="503"/>
    </row>
    <row r="30578" spans="23:23">
      <c r="W30578" s="503"/>
    </row>
    <row r="30579" spans="23:23">
      <c r="W30579" s="503"/>
    </row>
    <row r="30580" spans="23:23">
      <c r="W30580" s="503"/>
    </row>
    <row r="30581" spans="23:23">
      <c r="W30581" s="503"/>
    </row>
    <row r="30582" spans="23:23">
      <c r="W30582" s="503"/>
    </row>
    <row r="30583" spans="23:23">
      <c r="W30583" s="503"/>
    </row>
    <row r="30584" spans="23:23">
      <c r="W30584" s="503"/>
    </row>
    <row r="30585" spans="23:23">
      <c r="W30585" s="503"/>
    </row>
    <row r="30586" spans="23:23">
      <c r="W30586" s="503"/>
    </row>
    <row r="30587" spans="23:23">
      <c r="W30587" s="503"/>
    </row>
    <row r="30588" spans="23:23">
      <c r="W30588" s="503"/>
    </row>
    <row r="30589" spans="23:23">
      <c r="W30589" s="503"/>
    </row>
    <row r="30590" spans="23:23">
      <c r="W30590" s="503"/>
    </row>
    <row r="30591" spans="23:23">
      <c r="W30591" s="503"/>
    </row>
    <row r="30592" spans="23:23">
      <c r="W30592" s="503"/>
    </row>
    <row r="30593" spans="23:23">
      <c r="W30593" s="503"/>
    </row>
    <row r="30594" spans="23:23">
      <c r="W30594" s="503"/>
    </row>
    <row r="30595" spans="23:23">
      <c r="W30595" s="503"/>
    </row>
    <row r="30596" spans="23:23">
      <c r="W30596" s="503"/>
    </row>
    <row r="30597" spans="23:23">
      <c r="W30597" s="503"/>
    </row>
    <row r="30598" spans="23:23">
      <c r="W30598" s="503"/>
    </row>
    <row r="30599" spans="23:23">
      <c r="W30599" s="503"/>
    </row>
    <row r="30600" spans="23:23">
      <c r="W30600" s="503"/>
    </row>
    <row r="30601" spans="23:23">
      <c r="W30601" s="503"/>
    </row>
    <row r="30602" spans="23:23">
      <c r="W30602" s="503"/>
    </row>
    <row r="30603" spans="23:23">
      <c r="W30603" s="503"/>
    </row>
    <row r="30604" spans="23:23">
      <c r="W30604" s="503"/>
    </row>
    <row r="30605" spans="23:23">
      <c r="W30605" s="503"/>
    </row>
    <row r="30606" spans="23:23">
      <c r="W30606" s="503"/>
    </row>
    <row r="30607" spans="23:23">
      <c r="W30607" s="503"/>
    </row>
    <row r="30608" spans="23:23">
      <c r="W30608" s="503"/>
    </row>
    <row r="30609" spans="23:23">
      <c r="W30609" s="503"/>
    </row>
    <row r="30610" spans="23:23">
      <c r="W30610" s="503"/>
    </row>
    <row r="30611" spans="23:23">
      <c r="W30611" s="503"/>
    </row>
    <row r="30612" spans="23:23">
      <c r="W30612" s="503"/>
    </row>
    <row r="30613" spans="23:23">
      <c r="W30613" s="503"/>
    </row>
    <row r="30614" spans="23:23">
      <c r="W30614" s="503"/>
    </row>
    <row r="30615" spans="23:23">
      <c r="W30615" s="503"/>
    </row>
    <row r="30616" spans="23:23">
      <c r="W30616" s="503"/>
    </row>
    <row r="30617" spans="23:23">
      <c r="W30617" s="503"/>
    </row>
    <row r="30618" spans="23:23">
      <c r="W30618" s="503"/>
    </row>
    <row r="30619" spans="23:23">
      <c r="W30619" s="503"/>
    </row>
    <row r="30620" spans="23:23">
      <c r="W30620" s="503"/>
    </row>
    <row r="30621" spans="23:23">
      <c r="W30621" s="503"/>
    </row>
    <row r="30622" spans="23:23">
      <c r="W30622" s="503"/>
    </row>
    <row r="30623" spans="23:23">
      <c r="W30623" s="503"/>
    </row>
    <row r="30624" spans="23:23">
      <c r="W30624" s="503"/>
    </row>
    <row r="30625" spans="23:23">
      <c r="W30625" s="503"/>
    </row>
    <row r="30626" spans="23:23">
      <c r="W30626" s="503"/>
    </row>
    <row r="30627" spans="23:23">
      <c r="W30627" s="503"/>
    </row>
    <row r="30628" spans="23:23">
      <c r="W30628" s="503"/>
    </row>
    <row r="30629" spans="23:23">
      <c r="W30629" s="503"/>
    </row>
    <row r="30630" spans="23:23">
      <c r="W30630" s="503"/>
    </row>
    <row r="30631" spans="23:23">
      <c r="W30631" s="503"/>
    </row>
    <row r="30632" spans="23:23">
      <c r="W30632" s="503"/>
    </row>
    <row r="30633" spans="23:23">
      <c r="W30633" s="503"/>
    </row>
    <row r="30634" spans="23:23">
      <c r="W30634" s="503"/>
    </row>
    <row r="30635" spans="23:23">
      <c r="W30635" s="503"/>
    </row>
    <row r="30636" spans="23:23">
      <c r="W30636" s="503"/>
    </row>
    <row r="30637" spans="23:23">
      <c r="W30637" s="503"/>
    </row>
    <row r="30638" spans="23:23">
      <c r="W30638" s="503"/>
    </row>
    <row r="30639" spans="23:23">
      <c r="W30639" s="503"/>
    </row>
    <row r="30640" spans="23:23">
      <c r="W30640" s="503"/>
    </row>
    <row r="30641" spans="23:23">
      <c r="W30641" s="503"/>
    </row>
    <row r="30642" spans="23:23">
      <c r="W30642" s="503"/>
    </row>
    <row r="30643" spans="23:23">
      <c r="W30643" s="503"/>
    </row>
    <row r="30644" spans="23:23">
      <c r="W30644" s="503"/>
    </row>
    <row r="30645" spans="23:23">
      <c r="W30645" s="503"/>
    </row>
    <row r="30646" spans="23:23">
      <c r="W30646" s="503"/>
    </row>
    <row r="30647" spans="23:23">
      <c r="W30647" s="503"/>
    </row>
    <row r="30648" spans="23:23">
      <c r="W30648" s="503"/>
    </row>
    <row r="30649" spans="23:23">
      <c r="W30649" s="503"/>
    </row>
    <row r="30650" spans="23:23">
      <c r="W30650" s="503"/>
    </row>
    <row r="30651" spans="23:23">
      <c r="W30651" s="503"/>
    </row>
    <row r="30652" spans="23:23">
      <c r="W30652" s="503"/>
    </row>
    <row r="30653" spans="23:23">
      <c r="W30653" s="503"/>
    </row>
    <row r="30654" spans="23:23">
      <c r="W30654" s="503"/>
    </row>
    <row r="30655" spans="23:23">
      <c r="W30655" s="503"/>
    </row>
    <row r="30656" spans="23:23">
      <c r="W30656" s="503"/>
    </row>
    <row r="30657" spans="23:23">
      <c r="W30657" s="503"/>
    </row>
    <row r="30658" spans="23:23">
      <c r="W30658" s="503"/>
    </row>
    <row r="30659" spans="23:23">
      <c r="W30659" s="503"/>
    </row>
    <row r="30660" spans="23:23">
      <c r="W30660" s="503"/>
    </row>
    <row r="30661" spans="23:23">
      <c r="W30661" s="503"/>
    </row>
    <row r="30662" spans="23:23">
      <c r="W30662" s="503"/>
    </row>
    <row r="30663" spans="23:23">
      <c r="W30663" s="503"/>
    </row>
    <row r="30664" spans="23:23">
      <c r="W30664" s="503"/>
    </row>
    <row r="30665" spans="23:23">
      <c r="W30665" s="503"/>
    </row>
    <row r="30666" spans="23:23">
      <c r="W30666" s="503"/>
    </row>
    <row r="30667" spans="23:23">
      <c r="W30667" s="503"/>
    </row>
    <row r="30668" spans="23:23">
      <c r="W30668" s="503"/>
    </row>
    <row r="30669" spans="23:23">
      <c r="W30669" s="503"/>
    </row>
    <row r="30670" spans="23:23">
      <c r="W30670" s="503"/>
    </row>
    <row r="30671" spans="23:23">
      <c r="W30671" s="503"/>
    </row>
    <row r="30672" spans="23:23">
      <c r="W30672" s="503"/>
    </row>
    <row r="30673" spans="23:23">
      <c r="W30673" s="503"/>
    </row>
    <row r="30674" spans="23:23">
      <c r="W30674" s="503"/>
    </row>
    <row r="30675" spans="23:23">
      <c r="W30675" s="503"/>
    </row>
    <row r="30676" spans="23:23">
      <c r="W30676" s="503"/>
    </row>
    <row r="30677" spans="23:23">
      <c r="W30677" s="503"/>
    </row>
    <row r="30678" spans="23:23">
      <c r="W30678" s="503"/>
    </row>
    <row r="30679" spans="23:23">
      <c r="W30679" s="503"/>
    </row>
    <row r="30680" spans="23:23">
      <c r="W30680" s="503"/>
    </row>
    <row r="30681" spans="23:23">
      <c r="W30681" s="503"/>
    </row>
    <row r="30682" spans="23:23">
      <c r="W30682" s="503"/>
    </row>
    <row r="30683" spans="23:23">
      <c r="W30683" s="503"/>
    </row>
    <row r="30684" spans="23:23">
      <c r="W30684" s="503"/>
    </row>
    <row r="30685" spans="23:23">
      <c r="W30685" s="503"/>
    </row>
    <row r="30686" spans="23:23">
      <c r="W30686" s="503"/>
    </row>
    <row r="30687" spans="23:23">
      <c r="W30687" s="503"/>
    </row>
    <row r="30688" spans="23:23">
      <c r="W30688" s="503"/>
    </row>
    <row r="30689" spans="23:23">
      <c r="W30689" s="503"/>
    </row>
    <row r="30690" spans="23:23">
      <c r="W30690" s="503"/>
    </row>
    <row r="30691" spans="23:23">
      <c r="W30691" s="503"/>
    </row>
    <row r="30692" spans="23:23">
      <c r="W30692" s="503"/>
    </row>
    <row r="30693" spans="23:23">
      <c r="W30693" s="503"/>
    </row>
    <row r="30694" spans="23:23">
      <c r="W30694" s="503"/>
    </row>
    <row r="30695" spans="23:23">
      <c r="W30695" s="503"/>
    </row>
    <row r="30696" spans="23:23">
      <c r="W30696" s="503"/>
    </row>
    <row r="30697" spans="23:23">
      <c r="W30697" s="503"/>
    </row>
    <row r="30698" spans="23:23">
      <c r="W30698" s="503"/>
    </row>
    <row r="30699" spans="23:23">
      <c r="W30699" s="503"/>
    </row>
    <row r="30700" spans="23:23">
      <c r="W30700" s="503"/>
    </row>
    <row r="30701" spans="23:23">
      <c r="W30701" s="503"/>
    </row>
    <row r="30702" spans="23:23">
      <c r="W30702" s="503"/>
    </row>
    <row r="30703" spans="23:23">
      <c r="W30703" s="503"/>
    </row>
    <row r="30704" spans="23:23">
      <c r="W30704" s="503"/>
    </row>
    <row r="30705" spans="23:23">
      <c r="W30705" s="503"/>
    </row>
    <row r="30706" spans="23:23">
      <c r="W30706" s="503"/>
    </row>
    <row r="30707" spans="23:23">
      <c r="W30707" s="503"/>
    </row>
    <row r="30708" spans="23:23">
      <c r="W30708" s="503"/>
    </row>
    <row r="30709" spans="23:23">
      <c r="W30709" s="503"/>
    </row>
    <row r="30710" spans="23:23">
      <c r="W30710" s="503"/>
    </row>
    <row r="30711" spans="23:23">
      <c r="W30711" s="503"/>
    </row>
    <row r="30712" spans="23:23">
      <c r="W30712" s="503"/>
    </row>
    <row r="30713" spans="23:23">
      <c r="W30713" s="503"/>
    </row>
    <row r="30714" spans="23:23">
      <c r="W30714" s="503"/>
    </row>
    <row r="30715" spans="23:23">
      <c r="W30715" s="503"/>
    </row>
    <row r="30716" spans="23:23">
      <c r="W30716" s="503"/>
    </row>
    <row r="30717" spans="23:23">
      <c r="W30717" s="503"/>
    </row>
    <row r="30718" spans="23:23">
      <c r="W30718" s="503"/>
    </row>
    <row r="30719" spans="23:23">
      <c r="W30719" s="503"/>
    </row>
    <row r="30720" spans="23:23">
      <c r="W30720" s="503"/>
    </row>
    <row r="30721" spans="23:23">
      <c r="W30721" s="503"/>
    </row>
    <row r="30722" spans="23:23">
      <c r="W30722" s="503"/>
    </row>
    <row r="30723" spans="23:23">
      <c r="W30723" s="503"/>
    </row>
    <row r="30724" spans="23:23">
      <c r="W30724" s="503"/>
    </row>
    <row r="30725" spans="23:23">
      <c r="W30725" s="503"/>
    </row>
    <row r="30726" spans="23:23">
      <c r="W30726" s="503"/>
    </row>
    <row r="30727" spans="23:23">
      <c r="W30727" s="503"/>
    </row>
    <row r="30728" spans="23:23">
      <c r="W30728" s="503"/>
    </row>
    <row r="30729" spans="23:23">
      <c r="W30729" s="503"/>
    </row>
    <row r="30730" spans="23:23">
      <c r="W30730" s="503"/>
    </row>
    <row r="30731" spans="23:23">
      <c r="W30731" s="503"/>
    </row>
    <row r="30732" spans="23:23">
      <c r="W30732" s="503"/>
    </row>
    <row r="30733" spans="23:23">
      <c r="W30733" s="503"/>
    </row>
    <row r="30734" spans="23:23">
      <c r="W30734" s="503"/>
    </row>
    <row r="30735" spans="23:23">
      <c r="W30735" s="503"/>
    </row>
    <row r="30736" spans="23:23">
      <c r="W30736" s="503"/>
    </row>
    <row r="30737" spans="23:23">
      <c r="W30737" s="503"/>
    </row>
    <row r="30738" spans="23:23">
      <c r="W30738" s="503"/>
    </row>
    <row r="30739" spans="23:23">
      <c r="W30739" s="503"/>
    </row>
    <row r="30740" spans="23:23">
      <c r="W30740" s="503"/>
    </row>
    <row r="30741" spans="23:23">
      <c r="W30741" s="503"/>
    </row>
    <row r="30742" spans="23:23">
      <c r="W30742" s="503"/>
    </row>
    <row r="30743" spans="23:23">
      <c r="W30743" s="503"/>
    </row>
    <row r="30744" spans="23:23">
      <c r="W30744" s="503"/>
    </row>
    <row r="30745" spans="23:23">
      <c r="W30745" s="503"/>
    </row>
    <row r="30746" spans="23:23">
      <c r="W30746" s="503"/>
    </row>
    <row r="30747" spans="23:23">
      <c r="W30747" s="503"/>
    </row>
    <row r="30748" spans="23:23">
      <c r="W30748" s="503"/>
    </row>
    <row r="30749" spans="23:23">
      <c r="W30749" s="503"/>
    </row>
    <row r="30750" spans="23:23">
      <c r="W30750" s="503"/>
    </row>
    <row r="30751" spans="23:23">
      <c r="W30751" s="503"/>
    </row>
    <row r="30752" spans="23:23">
      <c r="W30752" s="503"/>
    </row>
    <row r="30753" spans="23:23">
      <c r="W30753" s="503"/>
    </row>
    <row r="30754" spans="23:23">
      <c r="W30754" s="503"/>
    </row>
    <row r="30755" spans="23:23">
      <c r="W30755" s="503"/>
    </row>
    <row r="30756" spans="23:23">
      <c r="W30756" s="503"/>
    </row>
    <row r="30757" spans="23:23">
      <c r="W30757" s="503"/>
    </row>
    <row r="30758" spans="23:23">
      <c r="W30758" s="503"/>
    </row>
    <row r="30759" spans="23:23">
      <c r="W30759" s="503"/>
    </row>
    <row r="30760" spans="23:23">
      <c r="W30760" s="503"/>
    </row>
    <row r="30761" spans="23:23">
      <c r="W30761" s="503"/>
    </row>
    <row r="30762" spans="23:23">
      <c r="W30762" s="503"/>
    </row>
    <row r="30763" spans="23:23">
      <c r="W30763" s="503"/>
    </row>
    <row r="30764" spans="23:23">
      <c r="W30764" s="503"/>
    </row>
    <row r="30765" spans="23:23">
      <c r="W30765" s="503"/>
    </row>
    <row r="30766" spans="23:23">
      <c r="W30766" s="503"/>
    </row>
    <row r="30767" spans="23:23">
      <c r="W30767" s="503"/>
    </row>
    <row r="30768" spans="23:23">
      <c r="W30768" s="503"/>
    </row>
    <row r="30769" spans="23:23">
      <c r="W30769" s="503"/>
    </row>
    <row r="30770" spans="23:23">
      <c r="W30770" s="503"/>
    </row>
    <row r="30771" spans="23:23">
      <c r="W30771" s="503"/>
    </row>
    <row r="30772" spans="23:23">
      <c r="W30772" s="503"/>
    </row>
    <row r="30773" spans="23:23">
      <c r="W30773" s="503"/>
    </row>
    <row r="30774" spans="23:23">
      <c r="W30774" s="503"/>
    </row>
    <row r="30775" spans="23:23">
      <c r="W30775" s="503"/>
    </row>
    <row r="30776" spans="23:23">
      <c r="W30776" s="503"/>
    </row>
    <row r="30777" spans="23:23">
      <c r="W30777" s="503"/>
    </row>
    <row r="30778" spans="23:23">
      <c r="W30778" s="503"/>
    </row>
    <row r="30779" spans="23:23">
      <c r="W30779" s="503"/>
    </row>
    <row r="30780" spans="23:23">
      <c r="W30780" s="503"/>
    </row>
    <row r="30781" spans="23:23">
      <c r="W30781" s="503"/>
    </row>
    <row r="30782" spans="23:23">
      <c r="W30782" s="503"/>
    </row>
    <row r="30783" spans="23:23">
      <c r="W30783" s="503"/>
    </row>
    <row r="30784" spans="23:23">
      <c r="W30784" s="503"/>
    </row>
    <row r="30785" spans="23:23">
      <c r="W30785" s="503"/>
    </row>
    <row r="30786" spans="23:23">
      <c r="W30786" s="503"/>
    </row>
    <row r="30787" spans="23:23">
      <c r="W30787" s="503"/>
    </row>
    <row r="30788" spans="23:23">
      <c r="W30788" s="503"/>
    </row>
    <row r="30789" spans="23:23">
      <c r="W30789" s="503"/>
    </row>
    <row r="30790" spans="23:23">
      <c r="W30790" s="503"/>
    </row>
    <row r="30791" spans="23:23">
      <c r="W30791" s="503"/>
    </row>
    <row r="30792" spans="23:23">
      <c r="W30792" s="503"/>
    </row>
    <row r="30793" spans="23:23">
      <c r="W30793" s="503"/>
    </row>
    <row r="30794" spans="23:23">
      <c r="W30794" s="503"/>
    </row>
    <row r="30795" spans="23:23">
      <c r="W30795" s="503"/>
    </row>
    <row r="30796" spans="23:23">
      <c r="W30796" s="503"/>
    </row>
    <row r="30797" spans="23:23">
      <c r="W30797" s="503"/>
    </row>
    <row r="30798" spans="23:23">
      <c r="W30798" s="503"/>
    </row>
    <row r="30799" spans="23:23">
      <c r="W30799" s="503"/>
    </row>
    <row r="30800" spans="23:23">
      <c r="W30800" s="503"/>
    </row>
    <row r="30801" spans="23:23">
      <c r="W30801" s="503"/>
    </row>
    <row r="30802" spans="23:23">
      <c r="W30802" s="503"/>
    </row>
    <row r="30803" spans="23:23">
      <c r="W30803" s="503"/>
    </row>
    <row r="30804" spans="23:23">
      <c r="W30804" s="503"/>
    </row>
    <row r="30805" spans="23:23">
      <c r="W30805" s="503"/>
    </row>
    <row r="30806" spans="23:23">
      <c r="W30806" s="503"/>
    </row>
    <row r="30807" spans="23:23">
      <c r="W30807" s="503"/>
    </row>
    <row r="30808" spans="23:23">
      <c r="W30808" s="503"/>
    </row>
    <row r="30809" spans="23:23">
      <c r="W30809" s="503"/>
    </row>
    <row r="30810" spans="23:23">
      <c r="W30810" s="503"/>
    </row>
    <row r="30811" spans="23:23">
      <c r="W30811" s="503"/>
    </row>
    <row r="30812" spans="23:23">
      <c r="W30812" s="503"/>
    </row>
    <row r="30813" spans="23:23">
      <c r="W30813" s="503"/>
    </row>
    <row r="30814" spans="23:23">
      <c r="W30814" s="503"/>
    </row>
    <row r="30815" spans="23:23">
      <c r="W30815" s="503"/>
    </row>
    <row r="30816" spans="23:23">
      <c r="W30816" s="503"/>
    </row>
    <row r="30817" spans="23:23">
      <c r="W30817" s="503"/>
    </row>
    <row r="30818" spans="23:23">
      <c r="W30818" s="503"/>
    </row>
    <row r="30819" spans="23:23">
      <c r="W30819" s="503"/>
    </row>
    <row r="30820" spans="23:23">
      <c r="W30820" s="503"/>
    </row>
    <row r="30821" spans="23:23">
      <c r="W30821" s="503"/>
    </row>
    <row r="30822" spans="23:23">
      <c r="W30822" s="503"/>
    </row>
    <row r="30823" spans="23:23">
      <c r="W30823" s="503"/>
    </row>
    <row r="30824" spans="23:23">
      <c r="W30824" s="503"/>
    </row>
    <row r="30825" spans="23:23">
      <c r="W30825" s="503"/>
    </row>
    <row r="30826" spans="23:23">
      <c r="W30826" s="503"/>
    </row>
    <row r="30827" spans="23:23">
      <c r="W30827" s="503"/>
    </row>
    <row r="30828" spans="23:23">
      <c r="W30828" s="503"/>
    </row>
    <row r="30829" spans="23:23">
      <c r="W30829" s="503"/>
    </row>
    <row r="30830" spans="23:23">
      <c r="W30830" s="503"/>
    </row>
    <row r="30831" spans="23:23">
      <c r="W30831" s="503"/>
    </row>
    <row r="30832" spans="23:23">
      <c r="W30832" s="503"/>
    </row>
    <row r="30833" spans="23:23">
      <c r="W30833" s="503"/>
    </row>
    <row r="30834" spans="23:23">
      <c r="W30834" s="503"/>
    </row>
    <row r="30835" spans="23:23">
      <c r="W30835" s="503"/>
    </row>
    <row r="30836" spans="23:23">
      <c r="W30836" s="503"/>
    </row>
    <row r="30837" spans="23:23">
      <c r="W30837" s="503"/>
    </row>
    <row r="30838" spans="23:23">
      <c r="W30838" s="503"/>
    </row>
    <row r="30839" spans="23:23">
      <c r="W30839" s="503"/>
    </row>
    <row r="30840" spans="23:23">
      <c r="W30840" s="503"/>
    </row>
    <row r="30841" spans="23:23">
      <c r="W30841" s="503"/>
    </row>
    <row r="30842" spans="23:23">
      <c r="W30842" s="503"/>
    </row>
    <row r="30843" spans="23:23">
      <c r="W30843" s="503"/>
    </row>
    <row r="30844" spans="23:23">
      <c r="W30844" s="503"/>
    </row>
    <row r="30845" spans="23:23">
      <c r="W30845" s="503"/>
    </row>
    <row r="30846" spans="23:23">
      <c r="W30846" s="503"/>
    </row>
    <row r="30847" spans="23:23">
      <c r="W30847" s="503"/>
    </row>
    <row r="30848" spans="23:23">
      <c r="W30848" s="503"/>
    </row>
    <row r="30849" spans="23:23">
      <c r="W30849" s="503"/>
    </row>
    <row r="30850" spans="23:23">
      <c r="W30850" s="503"/>
    </row>
    <row r="30851" spans="23:23">
      <c r="W30851" s="503"/>
    </row>
    <row r="30852" spans="23:23">
      <c r="W30852" s="503"/>
    </row>
    <row r="30853" spans="23:23">
      <c r="W30853" s="503"/>
    </row>
    <row r="30854" spans="23:23">
      <c r="W30854" s="503"/>
    </row>
    <row r="30855" spans="23:23">
      <c r="W30855" s="503"/>
    </row>
    <row r="30856" spans="23:23">
      <c r="W30856" s="503"/>
    </row>
    <row r="30857" spans="23:23">
      <c r="W30857" s="503"/>
    </row>
    <row r="30858" spans="23:23">
      <c r="W30858" s="503"/>
    </row>
    <row r="30859" spans="23:23">
      <c r="W30859" s="503"/>
    </row>
    <row r="30860" spans="23:23">
      <c r="W30860" s="503"/>
    </row>
    <row r="30861" spans="23:23">
      <c r="W30861" s="503"/>
    </row>
    <row r="30862" spans="23:23">
      <c r="W30862" s="503"/>
    </row>
    <row r="30863" spans="23:23">
      <c r="W30863" s="503"/>
    </row>
    <row r="30864" spans="23:23">
      <c r="W30864" s="503"/>
    </row>
    <row r="30865" spans="23:23">
      <c r="W30865" s="503"/>
    </row>
    <row r="30866" spans="23:23">
      <c r="W30866" s="503"/>
    </row>
    <row r="30867" spans="23:23">
      <c r="W30867" s="503"/>
    </row>
    <row r="30868" spans="23:23">
      <c r="W30868" s="503"/>
    </row>
    <row r="30869" spans="23:23">
      <c r="W30869" s="503"/>
    </row>
    <row r="30870" spans="23:23">
      <c r="W30870" s="503"/>
    </row>
    <row r="30871" spans="23:23">
      <c r="W30871" s="503"/>
    </row>
    <row r="30872" spans="23:23">
      <c r="W30872" s="503"/>
    </row>
    <row r="30873" spans="23:23">
      <c r="W30873" s="503"/>
    </row>
    <row r="30874" spans="23:23">
      <c r="W30874" s="503"/>
    </row>
    <row r="30875" spans="23:23">
      <c r="W30875" s="503"/>
    </row>
    <row r="30876" spans="23:23">
      <c r="W30876" s="503"/>
    </row>
    <row r="30877" spans="23:23">
      <c r="W30877" s="503"/>
    </row>
    <row r="30878" spans="23:23">
      <c r="W30878" s="503"/>
    </row>
    <row r="30879" spans="23:23">
      <c r="W30879" s="503"/>
    </row>
    <row r="30880" spans="23:23">
      <c r="W30880" s="503"/>
    </row>
    <row r="30881" spans="23:23">
      <c r="W30881" s="503"/>
    </row>
    <row r="30882" spans="23:23">
      <c r="W30882" s="503"/>
    </row>
    <row r="30883" spans="23:23">
      <c r="W30883" s="503"/>
    </row>
    <row r="30884" spans="23:23">
      <c r="W30884" s="503"/>
    </row>
    <row r="30885" spans="23:23">
      <c r="W30885" s="503"/>
    </row>
    <row r="30886" spans="23:23">
      <c r="W30886" s="503"/>
    </row>
    <row r="30887" spans="23:23">
      <c r="W30887" s="503"/>
    </row>
    <row r="30888" spans="23:23">
      <c r="W30888" s="503"/>
    </row>
    <row r="30889" spans="23:23">
      <c r="W30889" s="503"/>
    </row>
    <row r="30890" spans="23:23">
      <c r="W30890" s="503"/>
    </row>
    <row r="30891" spans="23:23">
      <c r="W30891" s="503"/>
    </row>
    <row r="30892" spans="23:23">
      <c r="W30892" s="503"/>
    </row>
    <row r="30893" spans="23:23">
      <c r="W30893" s="503"/>
    </row>
    <row r="30894" spans="23:23">
      <c r="W30894" s="503"/>
    </row>
    <row r="30895" spans="23:23">
      <c r="W30895" s="503"/>
    </row>
    <row r="30896" spans="23:23">
      <c r="W30896" s="503"/>
    </row>
    <row r="30897" spans="23:23">
      <c r="W30897" s="503"/>
    </row>
    <row r="30898" spans="23:23">
      <c r="W30898" s="503"/>
    </row>
    <row r="30899" spans="23:23">
      <c r="W30899" s="503"/>
    </row>
    <row r="30900" spans="23:23">
      <c r="W30900" s="503"/>
    </row>
    <row r="30901" spans="23:23">
      <c r="W30901" s="503"/>
    </row>
    <row r="30902" spans="23:23">
      <c r="W30902" s="503"/>
    </row>
    <row r="30903" spans="23:23">
      <c r="W30903" s="503"/>
    </row>
    <row r="30904" spans="23:23">
      <c r="W30904" s="503"/>
    </row>
    <row r="30905" spans="23:23">
      <c r="W30905" s="503"/>
    </row>
    <row r="30906" spans="23:23">
      <c r="W30906" s="503"/>
    </row>
    <row r="30907" spans="23:23">
      <c r="W30907" s="503"/>
    </row>
    <row r="30908" spans="23:23">
      <c r="W30908" s="503"/>
    </row>
    <row r="30909" spans="23:23">
      <c r="W30909" s="503"/>
    </row>
    <row r="30910" spans="23:23">
      <c r="W30910" s="503"/>
    </row>
    <row r="30911" spans="23:23">
      <c r="W30911" s="503"/>
    </row>
    <row r="30912" spans="23:23">
      <c r="W30912" s="503"/>
    </row>
    <row r="30913" spans="23:23">
      <c r="W30913" s="503"/>
    </row>
    <row r="30914" spans="23:23">
      <c r="W30914" s="503"/>
    </row>
    <row r="30915" spans="23:23">
      <c r="W30915" s="503"/>
    </row>
    <row r="30916" spans="23:23">
      <c r="W30916" s="503"/>
    </row>
    <row r="30917" spans="23:23">
      <c r="W30917" s="503"/>
    </row>
    <row r="30918" spans="23:23">
      <c r="W30918" s="503"/>
    </row>
    <row r="30919" spans="23:23">
      <c r="W30919" s="503"/>
    </row>
    <row r="30920" spans="23:23">
      <c r="W30920" s="503"/>
    </row>
    <row r="30921" spans="23:23">
      <c r="W30921" s="503"/>
    </row>
    <row r="30922" spans="23:23">
      <c r="W30922" s="503"/>
    </row>
    <row r="30923" spans="23:23">
      <c r="W30923" s="503"/>
    </row>
    <row r="30924" spans="23:23">
      <c r="W30924" s="503"/>
    </row>
    <row r="30925" spans="23:23">
      <c r="W30925" s="503"/>
    </row>
    <row r="30926" spans="23:23">
      <c r="W30926" s="503"/>
    </row>
    <row r="30927" spans="23:23">
      <c r="W30927" s="503"/>
    </row>
    <row r="30928" spans="23:23">
      <c r="W30928" s="503"/>
    </row>
    <row r="30929" spans="23:23">
      <c r="W30929" s="503"/>
    </row>
    <row r="30930" spans="23:23">
      <c r="W30930" s="503"/>
    </row>
    <row r="30931" spans="23:23">
      <c r="W30931" s="503"/>
    </row>
    <row r="30932" spans="23:23">
      <c r="W30932" s="503"/>
    </row>
    <row r="30933" spans="23:23">
      <c r="W30933" s="503"/>
    </row>
    <row r="30934" spans="23:23">
      <c r="W30934" s="503"/>
    </row>
    <row r="30935" spans="23:23">
      <c r="W30935" s="503"/>
    </row>
    <row r="30936" spans="23:23">
      <c r="W30936" s="503"/>
    </row>
    <row r="30937" spans="23:23">
      <c r="W30937" s="503"/>
    </row>
    <row r="30938" spans="23:23">
      <c r="W30938" s="503"/>
    </row>
    <row r="30939" spans="23:23">
      <c r="W30939" s="503"/>
    </row>
    <row r="30940" spans="23:23">
      <c r="W30940" s="503"/>
    </row>
    <row r="30941" spans="23:23">
      <c r="W30941" s="503"/>
    </row>
    <row r="30942" spans="23:23">
      <c r="W30942" s="503"/>
    </row>
    <row r="30943" spans="23:23">
      <c r="W30943" s="503"/>
    </row>
    <row r="30944" spans="23:23">
      <c r="W30944" s="503"/>
    </row>
    <row r="30945" spans="23:23">
      <c r="W30945" s="503"/>
    </row>
    <row r="30946" spans="23:23">
      <c r="W30946" s="503"/>
    </row>
    <row r="30947" spans="23:23">
      <c r="W30947" s="503"/>
    </row>
    <row r="30948" spans="23:23">
      <c r="W30948" s="503"/>
    </row>
    <row r="30949" spans="23:23">
      <c r="W30949" s="503"/>
    </row>
    <row r="30950" spans="23:23">
      <c r="W30950" s="503"/>
    </row>
    <row r="30951" spans="23:23">
      <c r="W30951" s="503"/>
    </row>
    <row r="30952" spans="23:23">
      <c r="W30952" s="503"/>
    </row>
    <row r="30953" spans="23:23">
      <c r="W30953" s="503"/>
    </row>
    <row r="30954" spans="23:23">
      <c r="W30954" s="503"/>
    </row>
    <row r="30955" spans="23:23">
      <c r="W30955" s="503"/>
    </row>
    <row r="30956" spans="23:23">
      <c r="W30956" s="503"/>
    </row>
    <row r="30957" spans="23:23">
      <c r="W30957" s="503"/>
    </row>
    <row r="30958" spans="23:23">
      <c r="W30958" s="503"/>
    </row>
    <row r="30959" spans="23:23">
      <c r="W30959" s="503"/>
    </row>
    <row r="30960" spans="23:23">
      <c r="W30960" s="503"/>
    </row>
    <row r="30961" spans="23:23">
      <c r="W30961" s="503"/>
    </row>
    <row r="30962" spans="23:23">
      <c r="W30962" s="503"/>
    </row>
    <row r="30963" spans="23:23">
      <c r="W30963" s="503"/>
    </row>
    <row r="30964" spans="23:23">
      <c r="W30964" s="503"/>
    </row>
    <row r="30965" spans="23:23">
      <c r="W30965" s="503"/>
    </row>
    <row r="30966" spans="23:23">
      <c r="W30966" s="503"/>
    </row>
    <row r="30967" spans="23:23">
      <c r="W30967" s="503"/>
    </row>
    <row r="30968" spans="23:23">
      <c r="W30968" s="503"/>
    </row>
    <row r="30969" spans="23:23">
      <c r="W30969" s="503"/>
    </row>
    <row r="30970" spans="23:23">
      <c r="W30970" s="503"/>
    </row>
    <row r="30971" spans="23:23">
      <c r="W30971" s="503"/>
    </row>
    <row r="30972" spans="23:23">
      <c r="W30972" s="503"/>
    </row>
    <row r="30973" spans="23:23">
      <c r="W30973" s="503"/>
    </row>
    <row r="30974" spans="23:23">
      <c r="W30974" s="503"/>
    </row>
    <row r="30975" spans="23:23">
      <c r="W30975" s="503"/>
    </row>
    <row r="30976" spans="23:23">
      <c r="W30976" s="503"/>
    </row>
    <row r="30977" spans="23:23">
      <c r="W30977" s="503"/>
    </row>
    <row r="30978" spans="23:23">
      <c r="W30978" s="503"/>
    </row>
    <row r="30979" spans="23:23">
      <c r="W30979" s="503"/>
    </row>
    <row r="30980" spans="23:23">
      <c r="W30980" s="503"/>
    </row>
    <row r="30981" spans="23:23">
      <c r="W30981" s="503"/>
    </row>
    <row r="30982" spans="23:23">
      <c r="W30982" s="503"/>
    </row>
    <row r="30983" spans="23:23">
      <c r="W30983" s="503"/>
    </row>
    <row r="30984" spans="23:23">
      <c r="W30984" s="503"/>
    </row>
    <row r="30985" spans="23:23">
      <c r="W30985" s="503"/>
    </row>
    <row r="30986" spans="23:23">
      <c r="W30986" s="503"/>
    </row>
    <row r="30987" spans="23:23">
      <c r="W30987" s="503"/>
    </row>
    <row r="30988" spans="23:23">
      <c r="W30988" s="503"/>
    </row>
    <row r="30989" spans="23:23">
      <c r="W30989" s="503"/>
    </row>
    <row r="30990" spans="23:23">
      <c r="W30990" s="503"/>
    </row>
    <row r="30991" spans="23:23">
      <c r="W30991" s="503"/>
    </row>
    <row r="30992" spans="23:23">
      <c r="W30992" s="503"/>
    </row>
    <row r="30993" spans="23:23">
      <c r="W30993" s="503"/>
    </row>
    <row r="30994" spans="23:23">
      <c r="W30994" s="503"/>
    </row>
    <row r="30995" spans="23:23">
      <c r="W30995" s="503"/>
    </row>
    <row r="30996" spans="23:23">
      <c r="W30996" s="503"/>
    </row>
    <row r="30997" spans="23:23">
      <c r="W30997" s="503"/>
    </row>
    <row r="30998" spans="23:23">
      <c r="W30998" s="503"/>
    </row>
    <row r="30999" spans="23:23">
      <c r="W30999" s="503"/>
    </row>
    <row r="31000" spans="23:23">
      <c r="W31000" s="503"/>
    </row>
    <row r="31001" spans="23:23">
      <c r="W31001" s="503"/>
    </row>
    <row r="31002" spans="23:23">
      <c r="W31002" s="503"/>
    </row>
    <row r="31003" spans="23:23">
      <c r="W31003" s="503"/>
    </row>
    <row r="31004" spans="23:23">
      <c r="W31004" s="503"/>
    </row>
    <row r="31005" spans="23:23">
      <c r="W31005" s="503"/>
    </row>
    <row r="31006" spans="23:23">
      <c r="W31006" s="503"/>
    </row>
    <row r="31007" spans="23:23">
      <c r="W31007" s="503"/>
    </row>
    <row r="31008" spans="23:23">
      <c r="W31008" s="503"/>
    </row>
    <row r="31009" spans="23:23">
      <c r="W31009" s="503"/>
    </row>
    <row r="31010" spans="23:23">
      <c r="W31010" s="503"/>
    </row>
    <row r="31011" spans="23:23">
      <c r="W31011" s="503"/>
    </row>
    <row r="31012" spans="23:23">
      <c r="W31012" s="503"/>
    </row>
    <row r="31013" spans="23:23">
      <c r="W31013" s="503"/>
    </row>
    <row r="31014" spans="23:23">
      <c r="W31014" s="503"/>
    </row>
    <row r="31015" spans="23:23">
      <c r="W31015" s="503"/>
    </row>
    <row r="31016" spans="23:23">
      <c r="W31016" s="503"/>
    </row>
    <row r="31017" spans="23:23">
      <c r="W31017" s="503"/>
    </row>
    <row r="31018" spans="23:23">
      <c r="W31018" s="503"/>
    </row>
    <row r="31019" spans="23:23">
      <c r="W31019" s="503"/>
    </row>
    <row r="31020" spans="23:23">
      <c r="W31020" s="503"/>
    </row>
    <row r="31021" spans="23:23">
      <c r="W31021" s="503"/>
    </row>
    <row r="31022" spans="23:23">
      <c r="W31022" s="503"/>
    </row>
    <row r="31023" spans="23:23">
      <c r="W31023" s="503"/>
    </row>
    <row r="31024" spans="23:23">
      <c r="W31024" s="503"/>
    </row>
    <row r="31025" spans="23:23">
      <c r="W31025" s="503"/>
    </row>
    <row r="31026" spans="23:23">
      <c r="W31026" s="503"/>
    </row>
    <row r="31027" spans="23:23">
      <c r="W31027" s="503"/>
    </row>
    <row r="31028" spans="23:23">
      <c r="W31028" s="503"/>
    </row>
    <row r="31029" spans="23:23">
      <c r="W31029" s="503"/>
    </row>
    <row r="31030" spans="23:23">
      <c r="W31030" s="503"/>
    </row>
    <row r="31031" spans="23:23">
      <c r="W31031" s="503"/>
    </row>
    <row r="31032" spans="23:23">
      <c r="W31032" s="503"/>
    </row>
    <row r="31033" spans="23:23">
      <c r="W31033" s="503"/>
    </row>
    <row r="31034" spans="23:23">
      <c r="W31034" s="503"/>
    </row>
    <row r="31035" spans="23:23">
      <c r="W31035" s="503"/>
    </row>
    <row r="31036" spans="23:23">
      <c r="W31036" s="503"/>
    </row>
    <row r="31037" spans="23:23">
      <c r="W31037" s="503"/>
    </row>
    <row r="31038" spans="23:23">
      <c r="W31038" s="503"/>
    </row>
    <row r="31039" spans="23:23">
      <c r="W31039" s="503"/>
    </row>
    <row r="31040" spans="23:23">
      <c r="W31040" s="503"/>
    </row>
    <row r="31041" spans="23:23">
      <c r="W31041" s="503"/>
    </row>
    <row r="31042" spans="23:23">
      <c r="W31042" s="503"/>
    </row>
    <row r="31043" spans="23:23">
      <c r="W31043" s="503"/>
    </row>
    <row r="31044" spans="23:23">
      <c r="W31044" s="503"/>
    </row>
    <row r="31045" spans="23:23">
      <c r="W31045" s="503"/>
    </row>
    <row r="31046" spans="23:23">
      <c r="W31046" s="503"/>
    </row>
    <row r="31047" spans="23:23">
      <c r="W31047" s="503"/>
    </row>
    <row r="31048" spans="23:23">
      <c r="W31048" s="503"/>
    </row>
    <row r="31049" spans="23:23">
      <c r="W31049" s="503"/>
    </row>
    <row r="31050" spans="23:23">
      <c r="W31050" s="503"/>
    </row>
    <row r="31051" spans="23:23">
      <c r="W31051" s="503"/>
    </row>
    <row r="31052" spans="23:23">
      <c r="W31052" s="503"/>
    </row>
    <row r="31053" spans="23:23">
      <c r="W31053" s="503"/>
    </row>
    <row r="31054" spans="23:23">
      <c r="W31054" s="503"/>
    </row>
    <row r="31055" spans="23:23">
      <c r="W31055" s="503"/>
    </row>
    <row r="31056" spans="23:23">
      <c r="W31056" s="503"/>
    </row>
    <row r="31057" spans="23:23">
      <c r="W31057" s="503"/>
    </row>
    <row r="31058" spans="23:23">
      <c r="W31058" s="503"/>
    </row>
    <row r="31059" spans="23:23">
      <c r="W31059" s="503"/>
    </row>
    <row r="31060" spans="23:23">
      <c r="W31060" s="503"/>
    </row>
    <row r="31061" spans="23:23">
      <c r="W31061" s="503"/>
    </row>
    <row r="31062" spans="23:23">
      <c r="W31062" s="503"/>
    </row>
    <row r="31063" spans="23:23">
      <c r="W31063" s="503"/>
    </row>
    <row r="31064" spans="23:23">
      <c r="W31064" s="503"/>
    </row>
    <row r="31065" spans="23:23">
      <c r="W31065" s="503"/>
    </row>
    <row r="31066" spans="23:23">
      <c r="W31066" s="503"/>
    </row>
    <row r="31067" spans="23:23">
      <c r="W31067" s="503"/>
    </row>
    <row r="31068" spans="23:23">
      <c r="W31068" s="503"/>
    </row>
    <row r="31069" spans="23:23">
      <c r="W31069" s="503"/>
    </row>
    <row r="31070" spans="23:23">
      <c r="W31070" s="503"/>
    </row>
    <row r="31071" spans="23:23">
      <c r="W31071" s="503"/>
    </row>
    <row r="31072" spans="23:23">
      <c r="W31072" s="503"/>
    </row>
    <row r="31073" spans="23:23">
      <c r="W31073" s="503"/>
    </row>
    <row r="31074" spans="23:23">
      <c r="W31074" s="503"/>
    </row>
    <row r="31075" spans="23:23">
      <c r="W31075" s="503"/>
    </row>
    <row r="31076" spans="23:23">
      <c r="W31076" s="503"/>
    </row>
    <row r="31077" spans="23:23">
      <c r="W31077" s="503"/>
    </row>
    <row r="31078" spans="23:23">
      <c r="W31078" s="503"/>
    </row>
    <row r="31079" spans="23:23">
      <c r="W31079" s="503"/>
    </row>
    <row r="31080" spans="23:23">
      <c r="W31080" s="503"/>
    </row>
    <row r="31081" spans="23:23">
      <c r="W31081" s="503"/>
    </row>
    <row r="31082" spans="23:23">
      <c r="W31082" s="503"/>
    </row>
    <row r="31083" spans="23:23">
      <c r="W31083" s="503"/>
    </row>
    <row r="31084" spans="23:23">
      <c r="W31084" s="503"/>
    </row>
    <row r="31085" spans="23:23">
      <c r="W31085" s="503"/>
    </row>
    <row r="31086" spans="23:23">
      <c r="W31086" s="503"/>
    </row>
    <row r="31087" spans="23:23">
      <c r="W31087" s="503"/>
    </row>
    <row r="31088" spans="23:23">
      <c r="W31088" s="503"/>
    </row>
    <row r="31089" spans="23:23">
      <c r="W31089" s="503"/>
    </row>
    <row r="31090" spans="23:23">
      <c r="W31090" s="503"/>
    </row>
    <row r="31091" spans="23:23">
      <c r="W31091" s="503"/>
    </row>
    <row r="31092" spans="23:23">
      <c r="W31092" s="503"/>
    </row>
    <row r="31093" spans="23:23">
      <c r="W31093" s="503"/>
    </row>
    <row r="31094" spans="23:23">
      <c r="W31094" s="503"/>
    </row>
    <row r="31095" spans="23:23">
      <c r="W31095" s="503"/>
    </row>
    <row r="31096" spans="23:23">
      <c r="W31096" s="503"/>
    </row>
    <row r="31097" spans="23:23">
      <c r="W31097" s="503"/>
    </row>
    <row r="31098" spans="23:23">
      <c r="W31098" s="503"/>
    </row>
    <row r="31099" spans="23:23">
      <c r="W31099" s="503"/>
    </row>
    <row r="31100" spans="23:23">
      <c r="W31100" s="503"/>
    </row>
    <row r="31101" spans="23:23">
      <c r="W31101" s="503"/>
    </row>
    <row r="31102" spans="23:23">
      <c r="W31102" s="503"/>
    </row>
    <row r="31103" spans="23:23">
      <c r="W31103" s="503"/>
    </row>
    <row r="31104" spans="23:23">
      <c r="W31104" s="503"/>
    </row>
    <row r="31105" spans="23:23">
      <c r="W31105" s="503"/>
    </row>
    <row r="31106" spans="23:23">
      <c r="W31106" s="503"/>
    </row>
    <row r="31107" spans="23:23">
      <c r="W31107" s="503"/>
    </row>
    <row r="31108" spans="23:23">
      <c r="W31108" s="503"/>
    </row>
    <row r="31109" spans="23:23">
      <c r="W31109" s="503"/>
    </row>
    <row r="31110" spans="23:23">
      <c r="W31110" s="503"/>
    </row>
    <row r="31111" spans="23:23">
      <c r="W31111" s="503"/>
    </row>
    <row r="31112" spans="23:23">
      <c r="W31112" s="503"/>
    </row>
    <row r="31113" spans="23:23">
      <c r="W31113" s="503"/>
    </row>
    <row r="31114" spans="23:23">
      <c r="W31114" s="503"/>
    </row>
    <row r="31115" spans="23:23">
      <c r="W31115" s="503"/>
    </row>
    <row r="31116" spans="23:23">
      <c r="W31116" s="503"/>
    </row>
    <row r="31117" spans="23:23">
      <c r="W31117" s="503"/>
    </row>
    <row r="31118" spans="23:23">
      <c r="W31118" s="503"/>
    </row>
    <row r="31119" spans="23:23">
      <c r="W31119" s="503"/>
    </row>
    <row r="31120" spans="23:23">
      <c r="W31120" s="503"/>
    </row>
    <row r="31121" spans="23:23">
      <c r="W31121" s="503"/>
    </row>
    <row r="31122" spans="23:23">
      <c r="W31122" s="503"/>
    </row>
    <row r="31123" spans="23:23">
      <c r="W31123" s="503"/>
    </row>
    <row r="31124" spans="23:23">
      <c r="W31124" s="503"/>
    </row>
    <row r="31125" spans="23:23">
      <c r="W31125" s="503"/>
    </row>
    <row r="31126" spans="23:23">
      <c r="W31126" s="503"/>
    </row>
    <row r="31127" spans="23:23">
      <c r="W31127" s="503"/>
    </row>
    <row r="31128" spans="23:23">
      <c r="W31128" s="503"/>
    </row>
    <row r="31129" spans="23:23">
      <c r="W31129" s="503"/>
    </row>
    <row r="31130" spans="23:23">
      <c r="W31130" s="503"/>
    </row>
    <row r="31131" spans="23:23">
      <c r="W31131" s="503"/>
    </row>
    <row r="31132" spans="23:23">
      <c r="W31132" s="503"/>
    </row>
    <row r="31133" spans="23:23">
      <c r="W31133" s="503"/>
    </row>
    <row r="31134" spans="23:23">
      <c r="W31134" s="503"/>
    </row>
    <row r="31135" spans="23:23">
      <c r="W31135" s="503"/>
    </row>
    <row r="31136" spans="23:23">
      <c r="W31136" s="503"/>
    </row>
    <row r="31137" spans="23:23">
      <c r="W31137" s="503"/>
    </row>
    <row r="31138" spans="23:23">
      <c r="W31138" s="503"/>
    </row>
    <row r="31139" spans="23:23">
      <c r="W31139" s="503"/>
    </row>
    <row r="31140" spans="23:23">
      <c r="W31140" s="503"/>
    </row>
    <row r="31141" spans="23:23">
      <c r="W31141" s="503"/>
    </row>
    <row r="31142" spans="23:23">
      <c r="W31142" s="503"/>
    </row>
    <row r="31143" spans="23:23">
      <c r="W31143" s="503"/>
    </row>
    <row r="31144" spans="23:23">
      <c r="W31144" s="503"/>
    </row>
    <row r="31145" spans="23:23">
      <c r="W31145" s="503"/>
    </row>
    <row r="31146" spans="23:23">
      <c r="W31146" s="503"/>
    </row>
    <row r="31147" spans="23:23">
      <c r="W31147" s="503"/>
    </row>
    <row r="31148" spans="23:23">
      <c r="W31148" s="503"/>
    </row>
    <row r="31149" spans="23:23">
      <c r="W31149" s="503"/>
    </row>
    <row r="31150" spans="23:23">
      <c r="W31150" s="503"/>
    </row>
    <row r="31151" spans="23:23">
      <c r="W31151" s="503"/>
    </row>
    <row r="31152" spans="23:23">
      <c r="W31152" s="503"/>
    </row>
    <row r="31153" spans="23:23">
      <c r="W31153" s="503"/>
    </row>
    <row r="31154" spans="23:23">
      <c r="W31154" s="503"/>
    </row>
    <row r="31155" spans="23:23">
      <c r="W31155" s="503"/>
    </row>
    <row r="31156" spans="23:23">
      <c r="W31156" s="503"/>
    </row>
    <row r="31157" spans="23:23">
      <c r="W31157" s="503"/>
    </row>
    <row r="31158" spans="23:23">
      <c r="W31158" s="503"/>
    </row>
    <row r="31159" spans="23:23">
      <c r="W31159" s="503"/>
    </row>
    <row r="31160" spans="23:23">
      <c r="W31160" s="503"/>
    </row>
    <row r="31161" spans="23:23">
      <c r="W31161" s="503"/>
    </row>
    <row r="31162" spans="23:23">
      <c r="W31162" s="503"/>
    </row>
    <row r="31163" spans="23:23">
      <c r="W31163" s="503"/>
    </row>
    <row r="31164" spans="23:23">
      <c r="W31164" s="503"/>
    </row>
    <row r="31165" spans="23:23">
      <c r="W31165" s="503"/>
    </row>
    <row r="31166" spans="23:23">
      <c r="W31166" s="503"/>
    </row>
    <row r="31167" spans="23:23">
      <c r="W31167" s="503"/>
    </row>
    <row r="31168" spans="23:23">
      <c r="W31168" s="503"/>
    </row>
    <row r="31169" spans="23:23">
      <c r="W31169" s="503"/>
    </row>
    <row r="31170" spans="23:23">
      <c r="W31170" s="503"/>
    </row>
    <row r="31171" spans="23:23">
      <c r="W31171" s="503"/>
    </row>
    <row r="31172" spans="23:23">
      <c r="W31172" s="503"/>
    </row>
    <row r="31173" spans="23:23">
      <c r="W31173" s="503"/>
    </row>
    <row r="31174" spans="23:23">
      <c r="W31174" s="503"/>
    </row>
    <row r="31175" spans="23:23">
      <c r="W31175" s="503"/>
    </row>
    <row r="31176" spans="23:23">
      <c r="W31176" s="503"/>
    </row>
    <row r="31177" spans="23:23">
      <c r="W31177" s="503"/>
    </row>
    <row r="31178" spans="23:23">
      <c r="W31178" s="503"/>
    </row>
    <row r="31179" spans="23:23">
      <c r="W31179" s="503"/>
    </row>
    <row r="31180" spans="23:23">
      <c r="W31180" s="503"/>
    </row>
    <row r="31181" spans="23:23">
      <c r="W31181" s="503"/>
    </row>
    <row r="31182" spans="23:23">
      <c r="W31182" s="503"/>
    </row>
    <row r="31183" spans="23:23">
      <c r="W31183" s="503"/>
    </row>
    <row r="31184" spans="23:23">
      <c r="W31184" s="503"/>
    </row>
    <row r="31185" spans="23:23">
      <c r="W31185" s="503"/>
    </row>
    <row r="31186" spans="23:23">
      <c r="W31186" s="503"/>
    </row>
    <row r="31187" spans="23:23">
      <c r="W31187" s="503"/>
    </row>
    <row r="31188" spans="23:23">
      <c r="W31188" s="503"/>
    </row>
    <row r="31189" spans="23:23">
      <c r="W31189" s="503"/>
    </row>
    <row r="31190" spans="23:23">
      <c r="W31190" s="503"/>
    </row>
    <row r="31191" spans="23:23">
      <c r="W31191" s="503"/>
    </row>
    <row r="31192" spans="23:23">
      <c r="W31192" s="503"/>
    </row>
    <row r="31193" spans="23:23">
      <c r="W31193" s="503"/>
    </row>
    <row r="31194" spans="23:23">
      <c r="W31194" s="503"/>
    </row>
    <row r="31195" spans="23:23">
      <c r="W31195" s="503"/>
    </row>
    <row r="31196" spans="23:23">
      <c r="W31196" s="503"/>
    </row>
    <row r="31197" spans="23:23">
      <c r="W31197" s="503"/>
    </row>
    <row r="31198" spans="23:23">
      <c r="W31198" s="503"/>
    </row>
    <row r="31199" spans="23:23">
      <c r="W31199" s="503"/>
    </row>
    <row r="31200" spans="23:23">
      <c r="W31200" s="503"/>
    </row>
    <row r="31201" spans="23:23">
      <c r="W31201" s="503"/>
    </row>
    <row r="31202" spans="23:23">
      <c r="W31202" s="503"/>
    </row>
    <row r="31203" spans="23:23">
      <c r="W31203" s="503"/>
    </row>
    <row r="31204" spans="23:23">
      <c r="W31204" s="503"/>
    </row>
    <row r="31205" spans="23:23">
      <c r="W31205" s="503"/>
    </row>
    <row r="31206" spans="23:23">
      <c r="W31206" s="503"/>
    </row>
    <row r="31207" spans="23:23">
      <c r="W31207" s="503"/>
    </row>
    <row r="31208" spans="23:23">
      <c r="W31208" s="503"/>
    </row>
    <row r="31209" spans="23:23">
      <c r="W31209" s="503"/>
    </row>
    <row r="31210" spans="23:23">
      <c r="W31210" s="503"/>
    </row>
    <row r="31211" spans="23:23">
      <c r="W31211" s="503"/>
    </row>
    <row r="31212" spans="23:23">
      <c r="W31212" s="503"/>
    </row>
    <row r="31213" spans="23:23">
      <c r="W31213" s="503"/>
    </row>
    <row r="31214" spans="23:23">
      <c r="W31214" s="503"/>
    </row>
    <row r="31215" spans="23:23">
      <c r="W31215" s="503"/>
    </row>
    <row r="31216" spans="23:23">
      <c r="W31216" s="503"/>
    </row>
    <row r="31217" spans="23:23">
      <c r="W31217" s="503"/>
    </row>
    <row r="31218" spans="23:23">
      <c r="W31218" s="503"/>
    </row>
    <row r="31219" spans="23:23">
      <c r="W31219" s="503"/>
    </row>
    <row r="31220" spans="23:23">
      <c r="W31220" s="503"/>
    </row>
    <row r="31221" spans="23:23">
      <c r="W31221" s="503"/>
    </row>
    <row r="31222" spans="23:23">
      <c r="W31222" s="503"/>
    </row>
    <row r="31223" spans="23:23">
      <c r="W31223" s="503"/>
    </row>
    <row r="31224" spans="23:23">
      <c r="W31224" s="503"/>
    </row>
    <row r="31225" spans="23:23">
      <c r="W31225" s="503"/>
    </row>
    <row r="31226" spans="23:23">
      <c r="W31226" s="503"/>
    </row>
    <row r="31227" spans="23:23">
      <c r="W31227" s="503"/>
    </row>
    <row r="31228" spans="23:23">
      <c r="W31228" s="503"/>
    </row>
    <row r="31229" spans="23:23">
      <c r="W31229" s="503"/>
    </row>
    <row r="31230" spans="23:23">
      <c r="W31230" s="503"/>
    </row>
    <row r="31231" spans="23:23">
      <c r="W31231" s="503"/>
    </row>
    <row r="31232" spans="23:23">
      <c r="W31232" s="503"/>
    </row>
    <row r="31233" spans="23:23">
      <c r="W31233" s="503"/>
    </row>
    <row r="31234" spans="23:23">
      <c r="W31234" s="503"/>
    </row>
    <row r="31235" spans="23:23">
      <c r="W31235" s="503"/>
    </row>
    <row r="31236" spans="23:23">
      <c r="W31236" s="503"/>
    </row>
    <row r="31237" spans="23:23">
      <c r="W31237" s="503"/>
    </row>
    <row r="31238" spans="23:23">
      <c r="W31238" s="503"/>
    </row>
    <row r="31239" spans="23:23">
      <c r="W31239" s="503"/>
    </row>
    <row r="31240" spans="23:23">
      <c r="W31240" s="503"/>
    </row>
    <row r="31241" spans="23:23">
      <c r="W31241" s="503"/>
    </row>
    <row r="31242" spans="23:23">
      <c r="W31242" s="503"/>
    </row>
    <row r="31243" spans="23:23">
      <c r="W31243" s="503"/>
    </row>
    <row r="31244" spans="23:23">
      <c r="W31244" s="503"/>
    </row>
    <row r="31245" spans="23:23">
      <c r="W31245" s="503"/>
    </row>
    <row r="31246" spans="23:23">
      <c r="W31246" s="503"/>
    </row>
    <row r="31247" spans="23:23">
      <c r="W31247" s="503"/>
    </row>
    <row r="31248" spans="23:23">
      <c r="W31248" s="503"/>
    </row>
    <row r="31249" spans="23:23">
      <c r="W31249" s="503"/>
    </row>
    <row r="31250" spans="23:23">
      <c r="W31250" s="503"/>
    </row>
    <row r="31251" spans="23:23">
      <c r="W31251" s="503"/>
    </row>
    <row r="31252" spans="23:23">
      <c r="W31252" s="503"/>
    </row>
    <row r="31253" spans="23:23">
      <c r="W31253" s="503"/>
    </row>
    <row r="31254" spans="23:23">
      <c r="W31254" s="503"/>
    </row>
    <row r="31255" spans="23:23">
      <c r="W31255" s="503"/>
    </row>
    <row r="31256" spans="23:23">
      <c r="W31256" s="503"/>
    </row>
    <row r="31257" spans="23:23">
      <c r="W31257" s="503"/>
    </row>
    <row r="31258" spans="23:23">
      <c r="W31258" s="503"/>
    </row>
    <row r="31259" spans="23:23">
      <c r="W31259" s="503"/>
    </row>
    <row r="31260" spans="23:23">
      <c r="W31260" s="503"/>
    </row>
    <row r="31261" spans="23:23">
      <c r="W31261" s="503"/>
    </row>
    <row r="31262" spans="23:23">
      <c r="W31262" s="503"/>
    </row>
    <row r="31263" spans="23:23">
      <c r="W31263" s="503"/>
    </row>
    <row r="31264" spans="23:23">
      <c r="W31264" s="503"/>
    </row>
    <row r="31265" spans="23:23">
      <c r="W31265" s="503"/>
    </row>
    <row r="31266" spans="23:23">
      <c r="W31266" s="503"/>
    </row>
    <row r="31267" spans="23:23">
      <c r="W31267" s="503"/>
    </row>
    <row r="31268" spans="23:23">
      <c r="W31268" s="503"/>
    </row>
    <row r="31269" spans="23:23">
      <c r="W31269" s="503"/>
    </row>
    <row r="31270" spans="23:23">
      <c r="W31270" s="503"/>
    </row>
    <row r="31271" spans="23:23">
      <c r="W31271" s="503"/>
    </row>
    <row r="31272" spans="23:23">
      <c r="W31272" s="503"/>
    </row>
    <row r="31273" spans="23:23">
      <c r="W31273" s="503"/>
    </row>
    <row r="31274" spans="23:23">
      <c r="W31274" s="503"/>
    </row>
    <row r="31275" spans="23:23">
      <c r="W31275" s="503"/>
    </row>
    <row r="31276" spans="23:23">
      <c r="W31276" s="503"/>
    </row>
    <row r="31277" spans="23:23">
      <c r="W31277" s="503"/>
    </row>
    <row r="31278" spans="23:23">
      <c r="W31278" s="503"/>
    </row>
    <row r="31279" spans="23:23">
      <c r="W31279" s="503"/>
    </row>
    <row r="31280" spans="23:23">
      <c r="W31280" s="503"/>
    </row>
    <row r="31281" spans="23:23">
      <c r="W31281" s="503"/>
    </row>
    <row r="31282" spans="23:23">
      <c r="W31282" s="503"/>
    </row>
    <row r="31283" spans="23:23">
      <c r="W31283" s="503"/>
    </row>
    <row r="31284" spans="23:23">
      <c r="W31284" s="503"/>
    </row>
    <row r="31285" spans="23:23">
      <c r="W31285" s="503"/>
    </row>
    <row r="31286" spans="23:23">
      <c r="W31286" s="503"/>
    </row>
    <row r="31287" spans="23:23">
      <c r="W31287" s="503"/>
    </row>
    <row r="31288" spans="23:23">
      <c r="W31288" s="503"/>
    </row>
    <row r="31289" spans="23:23">
      <c r="W31289" s="503"/>
    </row>
    <row r="31290" spans="23:23">
      <c r="W31290" s="503"/>
    </row>
    <row r="31291" spans="23:23">
      <c r="W31291" s="503"/>
    </row>
    <row r="31292" spans="23:23">
      <c r="W31292" s="503"/>
    </row>
    <row r="31293" spans="23:23">
      <c r="W31293" s="503"/>
    </row>
    <row r="31294" spans="23:23">
      <c r="W31294" s="503"/>
    </row>
    <row r="31295" spans="23:23">
      <c r="W31295" s="503"/>
    </row>
    <row r="31296" spans="23:23">
      <c r="W31296" s="503"/>
    </row>
    <row r="31297" spans="23:23">
      <c r="W31297" s="503"/>
    </row>
    <row r="31298" spans="23:23">
      <c r="W31298" s="503"/>
    </row>
    <row r="31299" spans="23:23">
      <c r="W31299" s="503"/>
    </row>
    <row r="31300" spans="23:23">
      <c r="W31300" s="503"/>
    </row>
    <row r="31301" spans="23:23">
      <c r="W31301" s="503"/>
    </row>
    <row r="31302" spans="23:23">
      <c r="W31302" s="503"/>
    </row>
    <row r="31303" spans="23:23">
      <c r="W31303" s="503"/>
    </row>
    <row r="31304" spans="23:23">
      <c r="W31304" s="503"/>
    </row>
    <row r="31305" spans="23:23">
      <c r="W31305" s="503"/>
    </row>
    <row r="31306" spans="23:23">
      <c r="W31306" s="503"/>
    </row>
    <row r="31307" spans="23:23">
      <c r="W31307" s="503"/>
    </row>
    <row r="31308" spans="23:23">
      <c r="W31308" s="503"/>
    </row>
    <row r="31309" spans="23:23">
      <c r="W31309" s="503"/>
    </row>
    <row r="31310" spans="23:23">
      <c r="W31310" s="503"/>
    </row>
    <row r="31311" spans="23:23">
      <c r="W31311" s="503"/>
    </row>
    <row r="31312" spans="23:23">
      <c r="W31312" s="503"/>
    </row>
    <row r="31313" spans="23:23">
      <c r="W31313" s="503"/>
    </row>
    <row r="31314" spans="23:23">
      <c r="W31314" s="503"/>
    </row>
    <row r="31315" spans="23:23">
      <c r="W31315" s="503"/>
    </row>
    <row r="31316" spans="23:23">
      <c r="W31316" s="503"/>
    </row>
    <row r="31317" spans="23:23">
      <c r="W31317" s="503"/>
    </row>
    <row r="31318" spans="23:23">
      <c r="W31318" s="503"/>
    </row>
    <row r="31319" spans="23:23">
      <c r="W31319" s="503"/>
    </row>
    <row r="31320" spans="23:23">
      <c r="W31320" s="503"/>
    </row>
    <row r="31321" spans="23:23">
      <c r="W31321" s="503"/>
    </row>
    <row r="31322" spans="23:23">
      <c r="W31322" s="503"/>
    </row>
    <row r="31323" spans="23:23">
      <c r="W31323" s="503"/>
    </row>
    <row r="31324" spans="23:23">
      <c r="W31324" s="503"/>
    </row>
    <row r="31325" spans="23:23">
      <c r="W31325" s="503"/>
    </row>
    <row r="31326" spans="23:23">
      <c r="W31326" s="503"/>
    </row>
    <row r="31327" spans="23:23">
      <c r="W31327" s="503"/>
    </row>
    <row r="31328" spans="23:23">
      <c r="W31328" s="503"/>
    </row>
    <row r="31329" spans="23:23">
      <c r="W31329" s="503"/>
    </row>
    <row r="31330" spans="23:23">
      <c r="W31330" s="503"/>
    </row>
    <row r="31331" spans="23:23">
      <c r="W31331" s="503"/>
    </row>
    <row r="31332" spans="23:23">
      <c r="W31332" s="503"/>
    </row>
    <row r="31333" spans="23:23">
      <c r="W31333" s="503"/>
    </row>
    <row r="31334" spans="23:23">
      <c r="W31334" s="503"/>
    </row>
    <row r="31335" spans="23:23">
      <c r="W31335" s="503"/>
    </row>
    <row r="31336" spans="23:23">
      <c r="W31336" s="503"/>
    </row>
    <row r="31337" spans="23:23">
      <c r="W31337" s="503"/>
    </row>
    <row r="31338" spans="23:23">
      <c r="W31338" s="503"/>
    </row>
    <row r="31339" spans="23:23">
      <c r="W31339" s="503"/>
    </row>
    <row r="31340" spans="23:23">
      <c r="W31340" s="503"/>
    </row>
    <row r="31341" spans="23:23">
      <c r="W31341" s="503"/>
    </row>
    <row r="31342" spans="23:23">
      <c r="W31342" s="503"/>
    </row>
    <row r="31343" spans="23:23">
      <c r="W31343" s="503"/>
    </row>
    <row r="31344" spans="23:23">
      <c r="W31344" s="503"/>
    </row>
    <row r="31345" spans="23:23">
      <c r="W31345" s="503"/>
    </row>
    <row r="31346" spans="23:23">
      <c r="W31346" s="503"/>
    </row>
    <row r="31347" spans="23:23">
      <c r="W31347" s="503"/>
    </row>
    <row r="31348" spans="23:23">
      <c r="W31348" s="503"/>
    </row>
    <row r="31349" spans="23:23">
      <c r="W31349" s="503"/>
    </row>
    <row r="31350" spans="23:23">
      <c r="W31350" s="503"/>
    </row>
    <row r="31351" spans="23:23">
      <c r="W31351" s="503"/>
    </row>
    <row r="31352" spans="23:23">
      <c r="W31352" s="503"/>
    </row>
    <row r="31353" spans="23:23">
      <c r="W31353" s="503"/>
    </row>
    <row r="31354" spans="23:23">
      <c r="W31354" s="503"/>
    </row>
    <row r="31355" spans="23:23">
      <c r="W31355" s="503"/>
    </row>
    <row r="31356" spans="23:23">
      <c r="W31356" s="503"/>
    </row>
    <row r="31357" spans="23:23">
      <c r="W31357" s="503"/>
    </row>
    <row r="31358" spans="23:23">
      <c r="W31358" s="503"/>
    </row>
    <row r="31359" spans="23:23">
      <c r="W31359" s="503"/>
    </row>
    <row r="31360" spans="23:23">
      <c r="W31360" s="503"/>
    </row>
    <row r="31361" spans="23:23">
      <c r="W31361" s="503"/>
    </row>
    <row r="31362" spans="23:23">
      <c r="W31362" s="503"/>
    </row>
    <row r="31363" spans="23:23">
      <c r="W31363" s="503"/>
    </row>
    <row r="31364" spans="23:23">
      <c r="W31364" s="503"/>
    </row>
    <row r="31365" spans="23:23">
      <c r="W31365" s="503"/>
    </row>
    <row r="31366" spans="23:23">
      <c r="W31366" s="503"/>
    </row>
    <row r="31367" spans="23:23">
      <c r="W31367" s="503"/>
    </row>
    <row r="31368" spans="23:23">
      <c r="W31368" s="503"/>
    </row>
    <row r="31369" spans="23:23">
      <c r="W31369" s="503"/>
    </row>
    <row r="31370" spans="23:23">
      <c r="W31370" s="503"/>
    </row>
    <row r="31371" spans="23:23">
      <c r="W31371" s="503"/>
    </row>
    <row r="31372" spans="23:23">
      <c r="W31372" s="503"/>
    </row>
    <row r="31373" spans="23:23">
      <c r="W31373" s="503"/>
    </row>
    <row r="31374" spans="23:23">
      <c r="W31374" s="503"/>
    </row>
    <row r="31375" spans="23:23">
      <c r="W31375" s="503"/>
    </row>
    <row r="31376" spans="23:23">
      <c r="W31376" s="503"/>
    </row>
    <row r="31377" spans="23:23">
      <c r="W31377" s="503"/>
    </row>
    <row r="31378" spans="23:23">
      <c r="W31378" s="503"/>
    </row>
    <row r="31379" spans="23:23">
      <c r="W31379" s="503"/>
    </row>
    <row r="31380" spans="23:23">
      <c r="W31380" s="503"/>
    </row>
    <row r="31381" spans="23:23">
      <c r="W31381" s="503"/>
    </row>
    <row r="31382" spans="23:23">
      <c r="W31382" s="503"/>
    </row>
    <row r="31383" spans="23:23">
      <c r="W31383" s="503"/>
    </row>
    <row r="31384" spans="23:23">
      <c r="W31384" s="503"/>
    </row>
    <row r="31385" spans="23:23">
      <c r="W31385" s="503"/>
    </row>
    <row r="31386" spans="23:23">
      <c r="W31386" s="503"/>
    </row>
    <row r="31387" spans="23:23">
      <c r="W31387" s="503"/>
    </row>
    <row r="31388" spans="23:23">
      <c r="W31388" s="503"/>
    </row>
    <row r="31389" spans="23:23">
      <c r="W31389" s="503"/>
    </row>
    <row r="31390" spans="23:23">
      <c r="W31390" s="503"/>
    </row>
    <row r="31391" spans="23:23">
      <c r="W31391" s="503"/>
    </row>
    <row r="31392" spans="23:23">
      <c r="W31392" s="503"/>
    </row>
    <row r="31393" spans="23:23">
      <c r="W31393" s="503"/>
    </row>
    <row r="31394" spans="23:23">
      <c r="W31394" s="503"/>
    </row>
    <row r="31395" spans="23:23">
      <c r="W31395" s="503"/>
    </row>
    <row r="31396" spans="23:23">
      <c r="W31396" s="503"/>
    </row>
    <row r="31397" spans="23:23">
      <c r="W31397" s="503"/>
    </row>
    <row r="31398" spans="23:23">
      <c r="W31398" s="503"/>
    </row>
    <row r="31399" spans="23:23">
      <c r="W31399" s="503"/>
    </row>
    <row r="31400" spans="23:23">
      <c r="W31400" s="503"/>
    </row>
    <row r="31401" spans="23:23">
      <c r="W31401" s="503"/>
    </row>
    <row r="31402" spans="23:23">
      <c r="W31402" s="503"/>
    </row>
    <row r="31403" spans="23:23">
      <c r="W31403" s="503"/>
    </row>
    <row r="31404" spans="23:23">
      <c r="W31404" s="503"/>
    </row>
    <row r="31405" spans="23:23">
      <c r="W31405" s="503"/>
    </row>
    <row r="31406" spans="23:23">
      <c r="W31406" s="503"/>
    </row>
    <row r="31407" spans="23:23">
      <c r="W31407" s="503"/>
    </row>
    <row r="31408" spans="23:23">
      <c r="W31408" s="503"/>
    </row>
    <row r="31409" spans="23:23">
      <c r="W31409" s="503"/>
    </row>
    <row r="31410" spans="23:23">
      <c r="W31410" s="503"/>
    </row>
    <row r="31411" spans="23:23">
      <c r="W31411" s="503"/>
    </row>
    <row r="31412" spans="23:23">
      <c r="W31412" s="503"/>
    </row>
    <row r="31413" spans="23:23">
      <c r="W31413" s="503"/>
    </row>
    <row r="31414" spans="23:23">
      <c r="W31414" s="503"/>
    </row>
    <row r="31415" spans="23:23">
      <c r="W31415" s="503"/>
    </row>
    <row r="31416" spans="23:23">
      <c r="W31416" s="503"/>
    </row>
    <row r="31417" spans="23:23">
      <c r="W31417" s="503"/>
    </row>
    <row r="31418" spans="23:23">
      <c r="W31418" s="503"/>
    </row>
    <row r="31419" spans="23:23">
      <c r="W31419" s="503"/>
    </row>
    <row r="31420" spans="23:23">
      <c r="W31420" s="503"/>
    </row>
    <row r="31421" spans="23:23">
      <c r="W31421" s="503"/>
    </row>
    <row r="31422" spans="23:23">
      <c r="W31422" s="503"/>
    </row>
    <row r="31423" spans="23:23">
      <c r="W31423" s="503"/>
    </row>
    <row r="31424" spans="23:23">
      <c r="W31424" s="503"/>
    </row>
    <row r="31425" spans="23:23">
      <c r="W31425" s="503"/>
    </row>
    <row r="31426" spans="23:23">
      <c r="W31426" s="503"/>
    </row>
    <row r="31427" spans="23:23">
      <c r="W31427" s="503"/>
    </row>
    <row r="31428" spans="23:23">
      <c r="W31428" s="503"/>
    </row>
    <row r="31429" spans="23:23">
      <c r="W31429" s="503"/>
    </row>
    <row r="31430" spans="23:23">
      <c r="W31430" s="503"/>
    </row>
    <row r="31431" spans="23:23">
      <c r="W31431" s="503"/>
    </row>
    <row r="31432" spans="23:23">
      <c r="W31432" s="503"/>
    </row>
    <row r="31433" spans="23:23">
      <c r="W31433" s="503"/>
    </row>
    <row r="31434" spans="23:23">
      <c r="W31434" s="503"/>
    </row>
    <row r="31435" spans="23:23">
      <c r="W31435" s="503"/>
    </row>
    <row r="31436" spans="23:23">
      <c r="W31436" s="503"/>
    </row>
    <row r="31437" spans="23:23">
      <c r="W31437" s="503"/>
    </row>
    <row r="31438" spans="23:23">
      <c r="W31438" s="503"/>
    </row>
    <row r="31439" spans="23:23">
      <c r="W31439" s="503"/>
    </row>
    <row r="31440" spans="23:23">
      <c r="W31440" s="503"/>
    </row>
    <row r="31441" spans="23:23">
      <c r="W31441" s="503"/>
    </row>
    <row r="31442" spans="23:23">
      <c r="W31442" s="503"/>
    </row>
    <row r="31443" spans="23:23">
      <c r="W31443" s="503"/>
    </row>
    <row r="31444" spans="23:23">
      <c r="W31444" s="503"/>
    </row>
    <row r="31445" spans="23:23">
      <c r="W31445" s="503"/>
    </row>
    <row r="31446" spans="23:23">
      <c r="W31446" s="503"/>
    </row>
    <row r="31447" spans="23:23">
      <c r="W31447" s="503"/>
    </row>
    <row r="31448" spans="23:23">
      <c r="W31448" s="503"/>
    </row>
    <row r="31449" spans="23:23">
      <c r="W31449" s="503"/>
    </row>
    <row r="31450" spans="23:23">
      <c r="W31450" s="503"/>
    </row>
    <row r="31451" spans="23:23">
      <c r="W31451" s="503"/>
    </row>
    <row r="31452" spans="23:23">
      <c r="W31452" s="503"/>
    </row>
    <row r="31453" spans="23:23">
      <c r="W31453" s="503"/>
    </row>
    <row r="31454" spans="23:23">
      <c r="W31454" s="503"/>
    </row>
    <row r="31455" spans="23:23">
      <c r="W31455" s="503"/>
    </row>
    <row r="31456" spans="23:23">
      <c r="W31456" s="503"/>
    </row>
    <row r="31457" spans="23:23">
      <c r="W31457" s="503"/>
    </row>
    <row r="31458" spans="23:23">
      <c r="W31458" s="503"/>
    </row>
    <row r="31459" spans="23:23">
      <c r="W31459" s="503"/>
    </row>
    <row r="31460" spans="23:23">
      <c r="W31460" s="503"/>
    </row>
    <row r="31461" spans="23:23">
      <c r="W31461" s="503"/>
    </row>
    <row r="31462" spans="23:23">
      <c r="W31462" s="503"/>
    </row>
    <row r="31463" spans="23:23">
      <c r="W31463" s="503"/>
    </row>
    <row r="31464" spans="23:23">
      <c r="W31464" s="503"/>
    </row>
    <row r="31465" spans="23:23">
      <c r="W31465" s="503"/>
    </row>
    <row r="31466" spans="23:23">
      <c r="W31466" s="503"/>
    </row>
    <row r="31467" spans="23:23">
      <c r="W31467" s="503"/>
    </row>
    <row r="31468" spans="23:23">
      <c r="W31468" s="503"/>
    </row>
    <row r="31469" spans="23:23">
      <c r="W31469" s="503"/>
    </row>
    <row r="31470" spans="23:23">
      <c r="W31470" s="503"/>
    </row>
    <row r="31471" spans="23:23">
      <c r="W31471" s="503"/>
    </row>
    <row r="31472" spans="23:23">
      <c r="W31472" s="503"/>
    </row>
    <row r="31473" spans="23:23">
      <c r="W31473" s="503"/>
    </row>
    <row r="31474" spans="23:23">
      <c r="W31474" s="503"/>
    </row>
    <row r="31475" spans="23:23">
      <c r="W31475" s="503"/>
    </row>
    <row r="31476" spans="23:23">
      <c r="W31476" s="503"/>
    </row>
    <row r="31477" spans="23:23">
      <c r="W31477" s="503"/>
    </row>
    <row r="31478" spans="23:23">
      <c r="W31478" s="503"/>
    </row>
    <row r="31479" spans="23:23">
      <c r="W31479" s="503"/>
    </row>
    <row r="31480" spans="23:23">
      <c r="W31480" s="503"/>
    </row>
    <row r="31481" spans="23:23">
      <c r="W31481" s="503"/>
    </row>
    <row r="31482" spans="23:23">
      <c r="W31482" s="503"/>
    </row>
    <row r="31483" spans="23:23">
      <c r="W31483" s="503"/>
    </row>
    <row r="31484" spans="23:23">
      <c r="W31484" s="503"/>
    </row>
    <row r="31485" spans="23:23">
      <c r="W31485" s="503"/>
    </row>
    <row r="31486" spans="23:23">
      <c r="W31486" s="503"/>
    </row>
    <row r="31487" spans="23:23">
      <c r="W31487" s="503"/>
    </row>
    <row r="31488" spans="23:23">
      <c r="W31488" s="503"/>
    </row>
    <row r="31489" spans="23:23">
      <c r="W31489" s="503"/>
    </row>
    <row r="31490" spans="23:23">
      <c r="W31490" s="503"/>
    </row>
    <row r="31491" spans="23:23">
      <c r="W31491" s="503"/>
    </row>
    <row r="31492" spans="23:23">
      <c r="W31492" s="503"/>
    </row>
    <row r="31493" spans="23:23">
      <c r="W31493" s="503"/>
    </row>
    <row r="31494" spans="23:23">
      <c r="W31494" s="503"/>
    </row>
    <row r="31495" spans="23:23">
      <c r="W31495" s="503"/>
    </row>
    <row r="31496" spans="23:23">
      <c r="W31496" s="503"/>
    </row>
    <row r="31497" spans="23:23">
      <c r="W31497" s="503"/>
    </row>
    <row r="31498" spans="23:23">
      <c r="W31498" s="503"/>
    </row>
    <row r="31499" spans="23:23">
      <c r="W31499" s="503"/>
    </row>
    <row r="31500" spans="23:23">
      <c r="W31500" s="503"/>
    </row>
    <row r="31501" spans="23:23">
      <c r="W31501" s="503"/>
    </row>
    <row r="31502" spans="23:23">
      <c r="W31502" s="503"/>
    </row>
    <row r="31503" spans="23:23">
      <c r="W31503" s="503"/>
    </row>
    <row r="31504" spans="23:23">
      <c r="W31504" s="503"/>
    </row>
    <row r="31505" spans="23:23">
      <c r="W31505" s="503"/>
    </row>
    <row r="31506" spans="23:23">
      <c r="W31506" s="503"/>
    </row>
    <row r="31507" spans="23:23">
      <c r="W31507" s="503"/>
    </row>
    <row r="31508" spans="23:23">
      <c r="W31508" s="503"/>
    </row>
    <row r="31509" spans="23:23">
      <c r="W31509" s="503"/>
    </row>
    <row r="31510" spans="23:23">
      <c r="W31510" s="503"/>
    </row>
    <row r="31511" spans="23:23">
      <c r="W31511" s="503"/>
    </row>
    <row r="31512" spans="23:23">
      <c r="W31512" s="503"/>
    </row>
    <row r="31513" spans="23:23">
      <c r="W31513" s="503"/>
    </row>
    <row r="31514" spans="23:23">
      <c r="W31514" s="503"/>
    </row>
    <row r="31515" spans="23:23">
      <c r="W31515" s="503"/>
    </row>
    <row r="31516" spans="23:23">
      <c r="W31516" s="503"/>
    </row>
    <row r="31517" spans="23:23">
      <c r="W31517" s="503"/>
    </row>
    <row r="31518" spans="23:23">
      <c r="W31518" s="503"/>
    </row>
    <row r="31519" spans="23:23">
      <c r="W31519" s="503"/>
    </row>
    <row r="31520" spans="23:23">
      <c r="W31520" s="503"/>
    </row>
    <row r="31521" spans="23:23">
      <c r="W31521" s="503"/>
    </row>
    <row r="31522" spans="23:23">
      <c r="W31522" s="503"/>
    </row>
    <row r="31523" spans="23:23">
      <c r="W31523" s="503"/>
    </row>
    <row r="31524" spans="23:23">
      <c r="W31524" s="503"/>
    </row>
    <row r="31525" spans="23:23">
      <c r="W31525" s="503"/>
    </row>
    <row r="31526" spans="23:23">
      <c r="W31526" s="503"/>
    </row>
    <row r="31527" spans="23:23">
      <c r="W31527" s="503"/>
    </row>
    <row r="31528" spans="23:23">
      <c r="W31528" s="503"/>
    </row>
    <row r="31529" spans="23:23">
      <c r="W31529" s="503"/>
    </row>
    <row r="31530" spans="23:23">
      <c r="W31530" s="503"/>
    </row>
    <row r="31531" spans="23:23">
      <c r="W31531" s="503"/>
    </row>
    <row r="31532" spans="23:23">
      <c r="W31532" s="503"/>
    </row>
    <row r="31533" spans="23:23">
      <c r="W31533" s="503"/>
    </row>
    <row r="31534" spans="23:23">
      <c r="W31534" s="503"/>
    </row>
    <row r="31535" spans="23:23">
      <c r="W31535" s="503"/>
    </row>
    <row r="31536" spans="23:23">
      <c r="W31536" s="503"/>
    </row>
    <row r="31537" spans="23:23">
      <c r="W31537" s="503"/>
    </row>
    <row r="31538" spans="23:23">
      <c r="W31538" s="503"/>
    </row>
    <row r="31539" spans="23:23">
      <c r="W31539" s="503"/>
    </row>
    <row r="31540" spans="23:23">
      <c r="W31540" s="503"/>
    </row>
    <row r="31541" spans="23:23">
      <c r="W31541" s="503"/>
    </row>
    <row r="31542" spans="23:23">
      <c r="W31542" s="503"/>
    </row>
    <row r="31543" spans="23:23">
      <c r="W31543" s="503"/>
    </row>
    <row r="31544" spans="23:23">
      <c r="W31544" s="503"/>
    </row>
    <row r="31545" spans="23:23">
      <c r="W31545" s="503"/>
    </row>
    <row r="31546" spans="23:23">
      <c r="W31546" s="503"/>
    </row>
    <row r="31547" spans="23:23">
      <c r="W31547" s="503"/>
    </row>
    <row r="31548" spans="23:23">
      <c r="W31548" s="503"/>
    </row>
    <row r="31549" spans="23:23">
      <c r="W31549" s="503"/>
    </row>
    <row r="31550" spans="23:23">
      <c r="W31550" s="503"/>
    </row>
    <row r="31551" spans="23:23">
      <c r="W31551" s="503"/>
    </row>
    <row r="31552" spans="23:23">
      <c r="W31552" s="503"/>
    </row>
    <row r="31553" spans="23:23">
      <c r="W31553" s="503"/>
    </row>
    <row r="31554" spans="23:23">
      <c r="W31554" s="503"/>
    </row>
    <row r="31555" spans="23:23">
      <c r="W31555" s="503"/>
    </row>
    <row r="31556" spans="23:23">
      <c r="W31556" s="503"/>
    </row>
    <row r="31557" spans="23:23">
      <c r="W31557" s="503"/>
    </row>
    <row r="31558" spans="23:23">
      <c r="W31558" s="503"/>
    </row>
    <row r="31559" spans="23:23">
      <c r="W31559" s="503"/>
    </row>
    <row r="31560" spans="23:23">
      <c r="W31560" s="503"/>
    </row>
    <row r="31561" spans="23:23">
      <c r="W31561" s="503"/>
    </row>
    <row r="31562" spans="23:23">
      <c r="W31562" s="503"/>
    </row>
    <row r="31563" spans="23:23">
      <c r="W31563" s="503"/>
    </row>
    <row r="31564" spans="23:23">
      <c r="W31564" s="503"/>
    </row>
    <row r="31565" spans="23:23">
      <c r="W31565" s="503"/>
    </row>
    <row r="31566" spans="23:23">
      <c r="W31566" s="503"/>
    </row>
    <row r="31567" spans="23:23">
      <c r="W31567" s="503"/>
    </row>
    <row r="31568" spans="23:23">
      <c r="W31568" s="503"/>
    </row>
    <row r="31569" spans="23:23">
      <c r="W31569" s="503"/>
    </row>
    <row r="31570" spans="23:23">
      <c r="W31570" s="503"/>
    </row>
    <row r="31571" spans="23:23">
      <c r="W31571" s="503"/>
    </row>
    <row r="31572" spans="23:23">
      <c r="W31572" s="503"/>
    </row>
    <row r="31573" spans="23:23">
      <c r="W31573" s="503"/>
    </row>
    <row r="31574" spans="23:23">
      <c r="W31574" s="503"/>
    </row>
    <row r="31575" spans="23:23">
      <c r="W31575" s="503"/>
    </row>
    <row r="31576" spans="23:23">
      <c r="W31576" s="503"/>
    </row>
    <row r="31577" spans="23:23">
      <c r="W31577" s="503"/>
    </row>
    <row r="31578" spans="23:23">
      <c r="W31578" s="503"/>
    </row>
    <row r="31579" spans="23:23">
      <c r="W31579" s="503"/>
    </row>
    <row r="31580" spans="23:23">
      <c r="W31580" s="503"/>
    </row>
    <row r="31581" spans="23:23">
      <c r="W31581" s="503"/>
    </row>
    <row r="31582" spans="23:23">
      <c r="W31582" s="503"/>
    </row>
    <row r="31583" spans="23:23">
      <c r="W31583" s="503"/>
    </row>
    <row r="31584" spans="23:23">
      <c r="W31584" s="503"/>
    </row>
    <row r="31585" spans="23:23">
      <c r="W31585" s="503"/>
    </row>
    <row r="31586" spans="23:23">
      <c r="W31586" s="503"/>
    </row>
    <row r="31587" spans="23:23">
      <c r="W31587" s="503"/>
    </row>
    <row r="31588" spans="23:23">
      <c r="W31588" s="503"/>
    </row>
    <row r="31589" spans="23:23">
      <c r="W31589" s="503"/>
    </row>
    <row r="31590" spans="23:23">
      <c r="W31590" s="503"/>
    </row>
    <row r="31591" spans="23:23">
      <c r="W31591" s="503"/>
    </row>
    <row r="31592" spans="23:23">
      <c r="W31592" s="503"/>
    </row>
    <row r="31593" spans="23:23">
      <c r="W31593" s="503"/>
    </row>
    <row r="31594" spans="23:23">
      <c r="W31594" s="503"/>
    </row>
    <row r="31595" spans="23:23">
      <c r="W31595" s="503"/>
    </row>
    <row r="31596" spans="23:23">
      <c r="W31596" s="503"/>
    </row>
    <row r="31597" spans="23:23">
      <c r="W31597" s="503"/>
    </row>
    <row r="31598" spans="23:23">
      <c r="W31598" s="503"/>
    </row>
    <row r="31599" spans="23:23">
      <c r="W31599" s="503"/>
    </row>
    <row r="31600" spans="23:23">
      <c r="W31600" s="503"/>
    </row>
    <row r="31601" spans="23:23">
      <c r="W31601" s="503"/>
    </row>
    <row r="31602" spans="23:23">
      <c r="W31602" s="503"/>
    </row>
    <row r="31603" spans="23:23">
      <c r="W31603" s="503"/>
    </row>
    <row r="31604" spans="23:23">
      <c r="W31604" s="503"/>
    </row>
    <row r="31605" spans="23:23">
      <c r="W31605" s="503"/>
    </row>
    <row r="31606" spans="23:23">
      <c r="W31606" s="503"/>
    </row>
    <row r="31607" spans="23:23">
      <c r="W31607" s="503"/>
    </row>
    <row r="31608" spans="23:23">
      <c r="W31608" s="503"/>
    </row>
    <row r="31609" spans="23:23">
      <c r="W31609" s="503"/>
    </row>
    <row r="31610" spans="23:23">
      <c r="W31610" s="503"/>
    </row>
    <row r="31611" spans="23:23">
      <c r="W31611" s="503"/>
    </row>
    <row r="31612" spans="23:23">
      <c r="W31612" s="503"/>
    </row>
    <row r="31613" spans="23:23">
      <c r="W31613" s="503"/>
    </row>
    <row r="31614" spans="23:23">
      <c r="W31614" s="503"/>
    </row>
    <row r="31615" spans="23:23">
      <c r="W31615" s="503"/>
    </row>
    <row r="31616" spans="23:23">
      <c r="W31616" s="503"/>
    </row>
    <row r="31617" spans="23:23">
      <c r="W31617" s="503"/>
    </row>
    <row r="31618" spans="23:23">
      <c r="W31618" s="503"/>
    </row>
    <row r="31619" spans="23:23">
      <c r="W31619" s="503"/>
    </row>
    <row r="31620" spans="23:23">
      <c r="W31620" s="503"/>
    </row>
    <row r="31621" spans="23:23">
      <c r="W31621" s="503"/>
    </row>
    <row r="31622" spans="23:23">
      <c r="W31622" s="503"/>
    </row>
    <row r="31623" spans="23:23">
      <c r="W31623" s="503"/>
    </row>
    <row r="31624" spans="23:23">
      <c r="W31624" s="503"/>
    </row>
    <row r="31625" spans="23:23">
      <c r="W31625" s="503"/>
    </row>
    <row r="31626" spans="23:23">
      <c r="W31626" s="503"/>
    </row>
    <row r="31627" spans="23:23">
      <c r="W31627" s="503"/>
    </row>
    <row r="31628" spans="23:23">
      <c r="W31628" s="503"/>
    </row>
    <row r="31629" spans="23:23">
      <c r="W31629" s="503"/>
    </row>
    <row r="31630" spans="23:23">
      <c r="W31630" s="503"/>
    </row>
    <row r="31631" spans="23:23">
      <c r="W31631" s="503"/>
    </row>
    <row r="31632" spans="23:23">
      <c r="W31632" s="503"/>
    </row>
    <row r="31633" spans="23:23">
      <c r="W31633" s="503"/>
    </row>
    <row r="31634" spans="23:23">
      <c r="W31634" s="503"/>
    </row>
    <row r="31635" spans="23:23">
      <c r="W31635" s="503"/>
    </row>
    <row r="31636" spans="23:23">
      <c r="W31636" s="503"/>
    </row>
    <row r="31637" spans="23:23">
      <c r="W31637" s="503"/>
    </row>
    <row r="31638" spans="23:23">
      <c r="W31638" s="503"/>
    </row>
    <row r="31639" spans="23:23">
      <c r="W31639" s="503"/>
    </row>
    <row r="31640" spans="23:23">
      <c r="W31640" s="503"/>
    </row>
    <row r="31641" spans="23:23">
      <c r="W31641" s="503"/>
    </row>
    <row r="31642" spans="23:23">
      <c r="W31642" s="503"/>
    </row>
    <row r="31643" spans="23:23">
      <c r="W31643" s="503"/>
    </row>
    <row r="31644" spans="23:23">
      <c r="W31644" s="503"/>
    </row>
    <row r="31645" spans="23:23">
      <c r="W31645" s="503"/>
    </row>
    <row r="31646" spans="23:23">
      <c r="W31646" s="503"/>
    </row>
    <row r="31647" spans="23:23">
      <c r="W31647" s="503"/>
    </row>
    <row r="31648" spans="23:23">
      <c r="W31648" s="503"/>
    </row>
    <row r="31649" spans="23:23">
      <c r="W31649" s="503"/>
    </row>
    <row r="31650" spans="23:23">
      <c r="W31650" s="503"/>
    </row>
    <row r="31651" spans="23:23">
      <c r="W31651" s="503"/>
    </row>
    <row r="31652" spans="23:23">
      <c r="W31652" s="503"/>
    </row>
    <row r="31653" spans="23:23">
      <c r="W31653" s="503"/>
    </row>
    <row r="31654" spans="23:23">
      <c r="W31654" s="503"/>
    </row>
    <row r="31655" spans="23:23">
      <c r="W31655" s="503"/>
    </row>
    <row r="31656" spans="23:23">
      <c r="W31656" s="503"/>
    </row>
    <row r="31657" spans="23:23">
      <c r="W31657" s="503"/>
    </row>
    <row r="31658" spans="23:23">
      <c r="W31658" s="503"/>
    </row>
    <row r="31659" spans="23:23">
      <c r="W31659" s="503"/>
    </row>
    <row r="31660" spans="23:23">
      <c r="W31660" s="503"/>
    </row>
    <row r="31661" spans="23:23">
      <c r="W31661" s="503"/>
    </row>
    <row r="31662" spans="23:23">
      <c r="W31662" s="503"/>
    </row>
    <row r="31663" spans="23:23">
      <c r="W31663" s="503"/>
    </row>
    <row r="31664" spans="23:23">
      <c r="W31664" s="503"/>
    </row>
    <row r="31665" spans="23:23">
      <c r="W31665" s="503"/>
    </row>
    <row r="31666" spans="23:23">
      <c r="W31666" s="503"/>
    </row>
    <row r="31667" spans="23:23">
      <c r="W31667" s="503"/>
    </row>
    <row r="31668" spans="23:23">
      <c r="W31668" s="503"/>
    </row>
    <row r="31669" spans="23:23">
      <c r="W31669" s="503"/>
    </row>
    <row r="31670" spans="23:23">
      <c r="W31670" s="503"/>
    </row>
    <row r="31671" spans="23:23">
      <c r="W31671" s="503"/>
    </row>
    <row r="31672" spans="23:23">
      <c r="W31672" s="503"/>
    </row>
    <row r="31673" spans="23:23">
      <c r="W31673" s="503"/>
    </row>
    <row r="31674" spans="23:23">
      <c r="W31674" s="503"/>
    </row>
    <row r="31675" spans="23:23">
      <c r="W31675" s="503"/>
    </row>
    <row r="31676" spans="23:23">
      <c r="W31676" s="503"/>
    </row>
    <row r="31677" spans="23:23">
      <c r="W31677" s="503"/>
    </row>
    <row r="31678" spans="23:23">
      <c r="W31678" s="503"/>
    </row>
    <row r="31679" spans="23:23">
      <c r="W31679" s="503"/>
    </row>
    <row r="31680" spans="23:23">
      <c r="W31680" s="503"/>
    </row>
    <row r="31681" spans="23:23">
      <c r="W31681" s="503"/>
    </row>
    <row r="31682" spans="23:23">
      <c r="W31682" s="503"/>
    </row>
    <row r="31683" spans="23:23">
      <c r="W31683" s="503"/>
    </row>
    <row r="31684" spans="23:23">
      <c r="W31684" s="503"/>
    </row>
    <row r="31685" spans="23:23">
      <c r="W31685" s="503"/>
    </row>
    <row r="31686" spans="23:23">
      <c r="W31686" s="503"/>
    </row>
    <row r="31687" spans="23:23">
      <c r="W31687" s="503"/>
    </row>
    <row r="31688" spans="23:23">
      <c r="W31688" s="503"/>
    </row>
    <row r="31689" spans="23:23">
      <c r="W31689" s="503"/>
    </row>
    <row r="31690" spans="23:23">
      <c r="W31690" s="503"/>
    </row>
    <row r="31691" spans="23:23">
      <c r="W31691" s="503"/>
    </row>
    <row r="31692" spans="23:23">
      <c r="W31692" s="503"/>
    </row>
    <row r="31693" spans="23:23">
      <c r="W31693" s="503"/>
    </row>
    <row r="31694" spans="23:23">
      <c r="W31694" s="503"/>
    </row>
    <row r="31695" spans="23:23">
      <c r="W31695" s="503"/>
    </row>
    <row r="31696" spans="23:23">
      <c r="W31696" s="503"/>
    </row>
    <row r="31697" spans="23:23">
      <c r="W31697" s="503"/>
    </row>
    <row r="31698" spans="23:23">
      <c r="W31698" s="503"/>
    </row>
    <row r="31699" spans="23:23">
      <c r="W31699" s="503"/>
    </row>
    <row r="31700" spans="23:23">
      <c r="W31700" s="503"/>
    </row>
    <row r="31701" spans="23:23">
      <c r="W31701" s="503"/>
    </row>
    <row r="31702" spans="23:23">
      <c r="W31702" s="503"/>
    </row>
    <row r="31703" spans="23:23">
      <c r="W31703" s="503"/>
    </row>
    <row r="31704" spans="23:23">
      <c r="W31704" s="503"/>
    </row>
    <row r="31705" spans="23:23">
      <c r="W31705" s="503"/>
    </row>
    <row r="31706" spans="23:23">
      <c r="W31706" s="503"/>
    </row>
    <row r="31707" spans="23:23">
      <c r="W31707" s="503"/>
    </row>
    <row r="31708" spans="23:23">
      <c r="W31708" s="503"/>
    </row>
    <row r="31709" spans="23:23">
      <c r="W31709" s="503"/>
    </row>
    <row r="31710" spans="23:23">
      <c r="W31710" s="503"/>
    </row>
    <row r="31711" spans="23:23">
      <c r="W31711" s="503"/>
    </row>
    <row r="31712" spans="23:23">
      <c r="W31712" s="503"/>
    </row>
    <row r="31713" spans="23:23">
      <c r="W31713" s="503"/>
    </row>
    <row r="31714" spans="23:23">
      <c r="W31714" s="503"/>
    </row>
    <row r="31715" spans="23:23">
      <c r="W31715" s="503"/>
    </row>
    <row r="31716" spans="23:23">
      <c r="W31716" s="503"/>
    </row>
    <row r="31717" spans="23:23">
      <c r="W31717" s="503"/>
    </row>
    <row r="31718" spans="23:23">
      <c r="W31718" s="503"/>
    </row>
    <row r="31719" spans="23:23">
      <c r="W31719" s="503"/>
    </row>
    <row r="31720" spans="23:23">
      <c r="W31720" s="503"/>
    </row>
    <row r="31721" spans="23:23">
      <c r="W31721" s="503"/>
    </row>
    <row r="31722" spans="23:23">
      <c r="W31722" s="503"/>
    </row>
    <row r="31723" spans="23:23">
      <c r="W31723" s="503"/>
    </row>
    <row r="31724" spans="23:23">
      <c r="W31724" s="503"/>
    </row>
    <row r="31725" spans="23:23">
      <c r="W31725" s="503"/>
    </row>
    <row r="31726" spans="23:23">
      <c r="W31726" s="503"/>
    </row>
    <row r="31727" spans="23:23">
      <c r="W31727" s="503"/>
    </row>
    <row r="31728" spans="23:23">
      <c r="W31728" s="503"/>
    </row>
    <row r="31729" spans="23:23">
      <c r="W31729" s="503"/>
    </row>
    <row r="31730" spans="23:23">
      <c r="W31730" s="503"/>
    </row>
    <row r="31731" spans="23:23">
      <c r="W31731" s="503"/>
    </row>
    <row r="31732" spans="23:23">
      <c r="W31732" s="503"/>
    </row>
    <row r="31733" spans="23:23">
      <c r="W31733" s="503"/>
    </row>
    <row r="31734" spans="23:23">
      <c r="W31734" s="503"/>
    </row>
    <row r="31735" spans="23:23">
      <c r="W31735" s="503"/>
    </row>
    <row r="31736" spans="23:23">
      <c r="W31736" s="503"/>
    </row>
    <row r="31737" spans="23:23">
      <c r="W31737" s="503"/>
    </row>
    <row r="31738" spans="23:23">
      <c r="W31738" s="503"/>
    </row>
    <row r="31739" spans="23:23">
      <c r="W31739" s="503"/>
    </row>
    <row r="31740" spans="23:23">
      <c r="W31740" s="503"/>
    </row>
    <row r="31741" spans="23:23">
      <c r="W31741" s="503"/>
    </row>
    <row r="31742" spans="23:23">
      <c r="W31742" s="503"/>
    </row>
    <row r="31743" spans="23:23">
      <c r="W31743" s="503"/>
    </row>
    <row r="31744" spans="23:23">
      <c r="W31744" s="503"/>
    </row>
    <row r="31745" spans="23:23">
      <c r="W31745" s="503"/>
    </row>
    <row r="31746" spans="23:23">
      <c r="W31746" s="503"/>
    </row>
    <row r="31747" spans="23:23">
      <c r="W31747" s="503"/>
    </row>
    <row r="31748" spans="23:23">
      <c r="W31748" s="503"/>
    </row>
    <row r="31749" spans="23:23">
      <c r="W31749" s="503"/>
    </row>
    <row r="31750" spans="23:23">
      <c r="W31750" s="503"/>
    </row>
    <row r="31751" spans="23:23">
      <c r="W31751" s="503"/>
    </row>
    <row r="31752" spans="23:23">
      <c r="W31752" s="503"/>
    </row>
    <row r="31753" spans="23:23">
      <c r="W31753" s="503"/>
    </row>
    <row r="31754" spans="23:23">
      <c r="W31754" s="503"/>
    </row>
    <row r="31755" spans="23:23">
      <c r="W31755" s="503"/>
    </row>
    <row r="31756" spans="23:23">
      <c r="W31756" s="503"/>
    </row>
    <row r="31757" spans="23:23">
      <c r="W31757" s="503"/>
    </row>
    <row r="31758" spans="23:23">
      <c r="W31758" s="503"/>
    </row>
    <row r="31759" spans="23:23">
      <c r="W31759" s="503"/>
    </row>
    <row r="31760" spans="23:23">
      <c r="W31760" s="503"/>
    </row>
    <row r="31761" spans="23:23">
      <c r="W31761" s="503"/>
    </row>
    <row r="31762" spans="23:23">
      <c r="W31762" s="503"/>
    </row>
    <row r="31763" spans="23:23">
      <c r="W31763" s="503"/>
    </row>
    <row r="31764" spans="23:23">
      <c r="W31764" s="503"/>
    </row>
    <row r="31765" spans="23:23">
      <c r="W31765" s="503"/>
    </row>
    <row r="31766" spans="23:23">
      <c r="W31766" s="503"/>
    </row>
    <row r="31767" spans="23:23">
      <c r="W31767" s="503"/>
    </row>
    <row r="31768" spans="23:23">
      <c r="W31768" s="503"/>
    </row>
    <row r="31769" spans="23:23">
      <c r="W31769" s="503"/>
    </row>
    <row r="31770" spans="23:23">
      <c r="W31770" s="503"/>
    </row>
    <row r="31771" spans="23:23">
      <c r="W31771" s="503"/>
    </row>
    <row r="31772" spans="23:23">
      <c r="W31772" s="503"/>
    </row>
    <row r="31773" spans="23:23">
      <c r="W31773" s="503"/>
    </row>
    <row r="31774" spans="23:23">
      <c r="W31774" s="503"/>
    </row>
    <row r="31775" spans="23:23">
      <c r="W31775" s="503"/>
    </row>
    <row r="31776" spans="23:23">
      <c r="W31776" s="503"/>
    </row>
    <row r="31777" spans="23:23">
      <c r="W31777" s="503"/>
    </row>
    <row r="31778" spans="23:23">
      <c r="W31778" s="503"/>
    </row>
    <row r="31779" spans="23:23">
      <c r="W31779" s="503"/>
    </row>
    <row r="31780" spans="23:23">
      <c r="W31780" s="503"/>
    </row>
    <row r="31781" spans="23:23">
      <c r="W31781" s="503"/>
    </row>
    <row r="31782" spans="23:23">
      <c r="W31782" s="503"/>
    </row>
    <row r="31783" spans="23:23">
      <c r="W31783" s="503"/>
    </row>
    <row r="31784" spans="23:23">
      <c r="W31784" s="503"/>
    </row>
    <row r="31785" spans="23:23">
      <c r="W31785" s="503"/>
    </row>
    <row r="31786" spans="23:23">
      <c r="W31786" s="503"/>
    </row>
    <row r="31787" spans="23:23">
      <c r="W31787" s="503"/>
    </row>
    <row r="31788" spans="23:23">
      <c r="W31788" s="503"/>
    </row>
    <row r="31789" spans="23:23">
      <c r="W31789" s="503"/>
    </row>
    <row r="31790" spans="23:23">
      <c r="W31790" s="503"/>
    </row>
    <row r="31791" spans="23:23">
      <c r="W31791" s="503"/>
    </row>
    <row r="31792" spans="23:23">
      <c r="W31792" s="503"/>
    </row>
    <row r="31793" spans="23:23">
      <c r="W31793" s="503"/>
    </row>
    <row r="31794" spans="23:23">
      <c r="W31794" s="503"/>
    </row>
    <row r="31795" spans="23:23">
      <c r="W31795" s="503"/>
    </row>
    <row r="31796" spans="23:23">
      <c r="W31796" s="503"/>
    </row>
    <row r="31797" spans="23:23">
      <c r="W31797" s="503"/>
    </row>
    <row r="31798" spans="23:23">
      <c r="W31798" s="503"/>
    </row>
    <row r="31799" spans="23:23">
      <c r="W31799" s="503"/>
    </row>
    <row r="31800" spans="23:23">
      <c r="W31800" s="503"/>
    </row>
    <row r="31801" spans="23:23">
      <c r="W31801" s="503"/>
    </row>
    <row r="31802" spans="23:23">
      <c r="W31802" s="503"/>
    </row>
    <row r="31803" spans="23:23">
      <c r="W31803" s="503"/>
    </row>
    <row r="31804" spans="23:23">
      <c r="W31804" s="503"/>
    </row>
    <row r="31805" spans="23:23">
      <c r="W31805" s="503"/>
    </row>
    <row r="31806" spans="23:23">
      <c r="W31806" s="503"/>
    </row>
    <row r="31807" spans="23:23">
      <c r="W31807" s="503"/>
    </row>
    <row r="31808" spans="23:23">
      <c r="W31808" s="503"/>
    </row>
    <row r="31809" spans="23:23">
      <c r="W31809" s="503"/>
    </row>
    <row r="31810" spans="23:23">
      <c r="W31810" s="503"/>
    </row>
    <row r="31811" spans="23:23">
      <c r="W31811" s="503"/>
    </row>
    <row r="31812" spans="23:23">
      <c r="W31812" s="503"/>
    </row>
    <row r="31813" spans="23:23">
      <c r="W31813" s="503"/>
    </row>
    <row r="31814" spans="23:23">
      <c r="W31814" s="503"/>
    </row>
    <row r="31815" spans="23:23">
      <c r="W31815" s="503"/>
    </row>
    <row r="31816" spans="23:23">
      <c r="W31816" s="503"/>
    </row>
    <row r="31817" spans="23:23">
      <c r="W31817" s="503"/>
    </row>
    <row r="31818" spans="23:23">
      <c r="W31818" s="503"/>
    </row>
    <row r="31819" spans="23:23">
      <c r="W31819" s="503"/>
    </row>
    <row r="31820" spans="23:23">
      <c r="W31820" s="503"/>
    </row>
    <row r="31821" spans="23:23">
      <c r="W31821" s="503"/>
    </row>
    <row r="31822" spans="23:23">
      <c r="W31822" s="503"/>
    </row>
    <row r="31823" spans="23:23">
      <c r="W31823" s="503"/>
    </row>
    <row r="31824" spans="23:23">
      <c r="W31824" s="503"/>
    </row>
    <row r="31825" spans="23:23">
      <c r="W31825" s="503"/>
    </row>
    <row r="31826" spans="23:23">
      <c r="W31826" s="503"/>
    </row>
    <row r="31827" spans="23:23">
      <c r="W31827" s="503"/>
    </row>
    <row r="31828" spans="23:23">
      <c r="W31828" s="503"/>
    </row>
    <row r="31829" spans="23:23">
      <c r="W31829" s="503"/>
    </row>
    <row r="31830" spans="23:23">
      <c r="W31830" s="503"/>
    </row>
    <row r="31831" spans="23:23">
      <c r="W31831" s="503"/>
    </row>
    <row r="31832" spans="23:23">
      <c r="W31832" s="503"/>
    </row>
    <row r="31833" spans="23:23">
      <c r="W31833" s="503"/>
    </row>
    <row r="31834" spans="23:23">
      <c r="W31834" s="503"/>
    </row>
    <row r="31835" spans="23:23">
      <c r="W31835" s="503"/>
    </row>
    <row r="31836" spans="23:23">
      <c r="W31836" s="503"/>
    </row>
    <row r="31837" spans="23:23">
      <c r="W31837" s="503"/>
    </row>
    <row r="31838" spans="23:23">
      <c r="W31838" s="503"/>
    </row>
    <row r="31839" spans="23:23">
      <c r="W31839" s="503"/>
    </row>
    <row r="31840" spans="23:23">
      <c r="W31840" s="503"/>
    </row>
    <row r="31841" spans="23:23">
      <c r="W31841" s="503"/>
    </row>
    <row r="31842" spans="23:23">
      <c r="W31842" s="503"/>
    </row>
    <row r="31843" spans="23:23">
      <c r="W31843" s="503"/>
    </row>
    <row r="31844" spans="23:23">
      <c r="W31844" s="503"/>
    </row>
    <row r="31845" spans="23:23">
      <c r="W31845" s="503"/>
    </row>
    <row r="31846" spans="23:23">
      <c r="W31846" s="503"/>
    </row>
    <row r="31847" spans="23:23">
      <c r="W31847" s="503"/>
    </row>
    <row r="31848" spans="23:23">
      <c r="W31848" s="503"/>
    </row>
    <row r="31849" spans="23:23">
      <c r="W31849" s="503"/>
    </row>
    <row r="31850" spans="23:23">
      <c r="W31850" s="503"/>
    </row>
    <row r="31851" spans="23:23">
      <c r="W31851" s="503"/>
    </row>
    <row r="31852" spans="23:23">
      <c r="W31852" s="503"/>
    </row>
    <row r="31853" spans="23:23">
      <c r="W31853" s="503"/>
    </row>
    <row r="31854" spans="23:23">
      <c r="W31854" s="503"/>
    </row>
    <row r="31855" spans="23:23">
      <c r="W31855" s="503"/>
    </row>
    <row r="31856" spans="23:23">
      <c r="W31856" s="503"/>
    </row>
    <row r="31857" spans="23:23">
      <c r="W31857" s="503"/>
    </row>
    <row r="31858" spans="23:23">
      <c r="W31858" s="503"/>
    </row>
    <row r="31859" spans="23:23">
      <c r="W31859" s="503"/>
    </row>
    <row r="31860" spans="23:23">
      <c r="W31860" s="503"/>
    </row>
    <row r="31861" spans="23:23">
      <c r="W31861" s="503"/>
    </row>
    <row r="31862" spans="23:23">
      <c r="W31862" s="503"/>
    </row>
    <row r="31863" spans="23:23">
      <c r="W31863" s="503"/>
    </row>
    <row r="31864" spans="23:23">
      <c r="W31864" s="503"/>
    </row>
    <row r="31865" spans="23:23">
      <c r="W31865" s="503"/>
    </row>
    <row r="31866" spans="23:23">
      <c r="W31866" s="503"/>
    </row>
    <row r="31867" spans="23:23">
      <c r="W31867" s="503"/>
    </row>
    <row r="31868" spans="23:23">
      <c r="W31868" s="503"/>
    </row>
    <row r="31869" spans="23:23">
      <c r="W31869" s="503"/>
    </row>
    <row r="31870" spans="23:23">
      <c r="W31870" s="503"/>
    </row>
    <row r="31871" spans="23:23">
      <c r="W31871" s="503"/>
    </row>
    <row r="31872" spans="23:23">
      <c r="W31872" s="503"/>
    </row>
    <row r="31873" spans="23:23">
      <c r="W31873" s="503"/>
    </row>
    <row r="31874" spans="23:23">
      <c r="W31874" s="503"/>
    </row>
    <row r="31875" spans="23:23">
      <c r="W31875" s="503"/>
    </row>
    <row r="31876" spans="23:23">
      <c r="W31876" s="503"/>
    </row>
    <row r="31877" spans="23:23">
      <c r="W31877" s="503"/>
    </row>
    <row r="31878" spans="23:23">
      <c r="W31878" s="503"/>
    </row>
    <row r="31879" spans="23:23">
      <c r="W31879" s="503"/>
    </row>
    <row r="31880" spans="23:23">
      <c r="W31880" s="503"/>
    </row>
    <row r="31881" spans="23:23">
      <c r="W31881" s="503"/>
    </row>
    <row r="31882" spans="23:23">
      <c r="W31882" s="503"/>
    </row>
    <row r="31883" spans="23:23">
      <c r="W31883" s="503"/>
    </row>
    <row r="31884" spans="23:23">
      <c r="W31884" s="503"/>
    </row>
    <row r="31885" spans="23:23">
      <c r="W31885" s="503"/>
    </row>
    <row r="31886" spans="23:23">
      <c r="W31886" s="503"/>
    </row>
    <row r="31887" spans="23:23">
      <c r="W31887" s="503"/>
    </row>
    <row r="31888" spans="23:23">
      <c r="W31888" s="503"/>
    </row>
    <row r="31889" spans="23:23">
      <c r="W31889" s="503"/>
    </row>
    <row r="31890" spans="23:23">
      <c r="W31890" s="503"/>
    </row>
    <row r="31891" spans="23:23">
      <c r="W31891" s="503"/>
    </row>
    <row r="31892" spans="23:23">
      <c r="W31892" s="503"/>
    </row>
    <row r="31893" spans="23:23">
      <c r="W31893" s="503"/>
    </row>
    <row r="31894" spans="23:23">
      <c r="W31894" s="503"/>
    </row>
    <row r="31895" spans="23:23">
      <c r="W31895" s="503"/>
    </row>
    <row r="31896" spans="23:23">
      <c r="W31896" s="503"/>
    </row>
    <row r="31897" spans="23:23">
      <c r="W31897" s="503"/>
    </row>
    <row r="31898" spans="23:23">
      <c r="W31898" s="503"/>
    </row>
    <row r="31899" spans="23:23">
      <c r="W31899" s="503"/>
    </row>
    <row r="31900" spans="23:23">
      <c r="W31900" s="503"/>
    </row>
    <row r="31901" spans="23:23">
      <c r="W31901" s="503"/>
    </row>
    <row r="31902" spans="23:23">
      <c r="W31902" s="503"/>
    </row>
    <row r="31903" spans="23:23">
      <c r="W31903" s="503"/>
    </row>
    <row r="31904" spans="23:23">
      <c r="W31904" s="503"/>
    </row>
    <row r="31905" spans="23:23">
      <c r="W31905" s="503"/>
    </row>
    <row r="31906" spans="23:23">
      <c r="W31906" s="503"/>
    </row>
    <row r="31907" spans="23:23">
      <c r="W31907" s="503"/>
    </row>
    <row r="31908" spans="23:23">
      <c r="W31908" s="503"/>
    </row>
    <row r="31909" spans="23:23">
      <c r="W31909" s="503"/>
    </row>
    <row r="31910" spans="23:23">
      <c r="W31910" s="503"/>
    </row>
    <row r="31911" spans="23:23">
      <c r="W31911" s="503"/>
    </row>
    <row r="31912" spans="23:23">
      <c r="W31912" s="503"/>
    </row>
    <row r="31913" spans="23:23">
      <c r="W31913" s="503"/>
    </row>
    <row r="31914" spans="23:23">
      <c r="W31914" s="503"/>
    </row>
    <row r="31915" spans="23:23">
      <c r="W31915" s="503"/>
    </row>
    <row r="31916" spans="23:23">
      <c r="W31916" s="503"/>
    </row>
    <row r="31917" spans="23:23">
      <c r="W31917" s="503"/>
    </row>
    <row r="31918" spans="23:23">
      <c r="W31918" s="503"/>
    </row>
    <row r="31919" spans="23:23">
      <c r="W31919" s="503"/>
    </row>
    <row r="31920" spans="23:23">
      <c r="W31920" s="503"/>
    </row>
    <row r="31921" spans="23:23">
      <c r="W31921" s="503"/>
    </row>
    <row r="31922" spans="23:23">
      <c r="W31922" s="503"/>
    </row>
    <row r="31923" spans="23:23">
      <c r="W31923" s="503"/>
    </row>
    <row r="31924" spans="23:23">
      <c r="W31924" s="503"/>
    </row>
    <row r="31925" spans="23:23">
      <c r="W31925" s="503"/>
    </row>
    <row r="31926" spans="23:23">
      <c r="W31926" s="503"/>
    </row>
    <row r="31927" spans="23:23">
      <c r="W31927" s="503"/>
    </row>
    <row r="31928" spans="23:23">
      <c r="W31928" s="503"/>
    </row>
    <row r="31929" spans="23:23">
      <c r="W31929" s="503"/>
    </row>
    <row r="31930" spans="23:23">
      <c r="W31930" s="503"/>
    </row>
    <row r="31931" spans="23:23">
      <c r="W31931" s="503"/>
    </row>
    <row r="31932" spans="23:23">
      <c r="W31932" s="503"/>
    </row>
    <row r="31933" spans="23:23">
      <c r="W31933" s="503"/>
    </row>
    <row r="31934" spans="23:23">
      <c r="W31934" s="503"/>
    </row>
    <row r="31935" spans="23:23">
      <c r="W31935" s="503"/>
    </row>
    <row r="31936" spans="23:23">
      <c r="W31936" s="503"/>
    </row>
    <row r="31937" spans="23:23">
      <c r="W31937" s="503"/>
    </row>
    <row r="31938" spans="23:23">
      <c r="W31938" s="503"/>
    </row>
    <row r="31939" spans="23:23">
      <c r="W31939" s="503"/>
    </row>
    <row r="31940" spans="23:23">
      <c r="W31940" s="503"/>
    </row>
    <row r="31941" spans="23:23">
      <c r="W31941" s="503"/>
    </row>
    <row r="31942" spans="23:23">
      <c r="W31942" s="503"/>
    </row>
    <row r="31943" spans="23:23">
      <c r="W31943" s="503"/>
    </row>
    <row r="31944" spans="23:23">
      <c r="W31944" s="503"/>
    </row>
    <row r="31945" spans="23:23">
      <c r="W31945" s="503"/>
    </row>
    <row r="31946" spans="23:23">
      <c r="W31946" s="503"/>
    </row>
    <row r="31947" spans="23:23">
      <c r="W31947" s="503"/>
    </row>
    <row r="31948" spans="23:23">
      <c r="W31948" s="503"/>
    </row>
    <row r="31949" spans="23:23">
      <c r="W31949" s="503"/>
    </row>
    <row r="31950" spans="23:23">
      <c r="W31950" s="503"/>
    </row>
    <row r="31951" spans="23:23">
      <c r="W31951" s="503"/>
    </row>
    <row r="31952" spans="23:23">
      <c r="W31952" s="503"/>
    </row>
    <row r="31953" spans="23:23">
      <c r="W31953" s="503"/>
    </row>
    <row r="31954" spans="23:23">
      <c r="W31954" s="503"/>
    </row>
    <row r="31955" spans="23:23">
      <c r="W31955" s="503"/>
    </row>
    <row r="31956" spans="23:23">
      <c r="W31956" s="503"/>
    </row>
    <row r="31957" spans="23:23">
      <c r="W31957" s="503"/>
    </row>
    <row r="31958" spans="23:23">
      <c r="W31958" s="503"/>
    </row>
    <row r="31959" spans="23:23">
      <c r="W31959" s="503"/>
    </row>
    <row r="31960" spans="23:23">
      <c r="W31960" s="503"/>
    </row>
    <row r="31961" spans="23:23">
      <c r="W31961" s="503"/>
    </row>
    <row r="31962" spans="23:23">
      <c r="W31962" s="503"/>
    </row>
    <row r="31963" spans="23:23">
      <c r="W31963" s="503"/>
    </row>
    <row r="31964" spans="23:23">
      <c r="W31964" s="503"/>
    </row>
    <row r="31965" spans="23:23">
      <c r="W31965" s="503"/>
    </row>
    <row r="31966" spans="23:23">
      <c r="W31966" s="503"/>
    </row>
    <row r="31967" spans="23:23">
      <c r="W31967" s="503"/>
    </row>
    <row r="31968" spans="23:23">
      <c r="W31968" s="503"/>
    </row>
    <row r="31969" spans="23:23">
      <c r="W31969" s="503"/>
    </row>
    <row r="31970" spans="23:23">
      <c r="W31970" s="503"/>
    </row>
    <row r="31971" spans="23:23">
      <c r="W31971" s="503"/>
    </row>
    <row r="31972" spans="23:23">
      <c r="W31972" s="503"/>
    </row>
    <row r="31973" spans="23:23">
      <c r="W31973" s="503"/>
    </row>
    <row r="31974" spans="23:23">
      <c r="W31974" s="503"/>
    </row>
    <row r="31975" spans="23:23">
      <c r="W31975" s="503"/>
    </row>
    <row r="31976" spans="23:23">
      <c r="W31976" s="503"/>
    </row>
    <row r="31977" spans="23:23">
      <c r="W31977" s="503"/>
    </row>
    <row r="31978" spans="23:23">
      <c r="W31978" s="503"/>
    </row>
    <row r="31979" spans="23:23">
      <c r="W31979" s="503"/>
    </row>
    <row r="31980" spans="23:23">
      <c r="W31980" s="503"/>
    </row>
    <row r="31981" spans="23:23">
      <c r="W31981" s="503"/>
    </row>
    <row r="31982" spans="23:23">
      <c r="W31982" s="503"/>
    </row>
    <row r="31983" spans="23:23">
      <c r="W31983" s="503"/>
    </row>
    <row r="31984" spans="23:23">
      <c r="W31984" s="503"/>
    </row>
    <row r="31985" spans="23:23">
      <c r="W31985" s="503"/>
    </row>
    <row r="31986" spans="23:23">
      <c r="W31986" s="503"/>
    </row>
    <row r="31987" spans="23:23">
      <c r="W31987" s="503"/>
    </row>
    <row r="31988" spans="23:23">
      <c r="W31988" s="503"/>
    </row>
    <row r="31989" spans="23:23">
      <c r="W31989" s="503"/>
    </row>
    <row r="31990" spans="23:23">
      <c r="W31990" s="503"/>
    </row>
    <row r="31991" spans="23:23">
      <c r="W31991" s="503"/>
    </row>
    <row r="31992" spans="23:23">
      <c r="W31992" s="503"/>
    </row>
    <row r="31993" spans="23:23">
      <c r="W31993" s="503"/>
    </row>
    <row r="31994" spans="23:23">
      <c r="W31994" s="503"/>
    </row>
    <row r="31995" spans="23:23">
      <c r="W31995" s="503"/>
    </row>
    <row r="31996" spans="23:23">
      <c r="W31996" s="503"/>
    </row>
    <row r="31997" spans="23:23">
      <c r="W31997" s="503"/>
    </row>
    <row r="31998" spans="23:23">
      <c r="W31998" s="503"/>
    </row>
    <row r="31999" spans="23:23">
      <c r="W31999" s="503"/>
    </row>
    <row r="32000" spans="23:23">
      <c r="W32000" s="503"/>
    </row>
    <row r="32001" spans="23:23">
      <c r="W32001" s="503"/>
    </row>
    <row r="32002" spans="23:23">
      <c r="W32002" s="503"/>
    </row>
    <row r="32003" spans="23:23">
      <c r="W32003" s="503"/>
    </row>
    <row r="32004" spans="23:23">
      <c r="W32004" s="503"/>
    </row>
    <row r="32005" spans="23:23">
      <c r="W32005" s="503"/>
    </row>
    <row r="32006" spans="23:23">
      <c r="W32006" s="503"/>
    </row>
    <row r="32007" spans="23:23">
      <c r="W32007" s="503"/>
    </row>
    <row r="32008" spans="23:23">
      <c r="W32008" s="503"/>
    </row>
    <row r="32009" spans="23:23">
      <c r="W32009" s="503"/>
    </row>
    <row r="32010" spans="23:23">
      <c r="W32010" s="503"/>
    </row>
    <row r="32011" spans="23:23">
      <c r="W32011" s="503"/>
    </row>
    <row r="32012" spans="23:23">
      <c r="W32012" s="503"/>
    </row>
    <row r="32013" spans="23:23">
      <c r="W32013" s="503"/>
    </row>
    <row r="32014" spans="23:23">
      <c r="W32014" s="503"/>
    </row>
    <row r="32015" spans="23:23">
      <c r="W32015" s="503"/>
    </row>
    <row r="32016" spans="23:23">
      <c r="W32016" s="503"/>
    </row>
    <row r="32017" spans="23:23">
      <c r="W32017" s="503"/>
    </row>
    <row r="32018" spans="23:23">
      <c r="W32018" s="503"/>
    </row>
    <row r="32019" spans="23:23">
      <c r="W32019" s="503"/>
    </row>
    <row r="32020" spans="23:23">
      <c r="W32020" s="503"/>
    </row>
    <row r="32021" spans="23:23">
      <c r="W32021" s="503"/>
    </row>
    <row r="32022" spans="23:23">
      <c r="W32022" s="503"/>
    </row>
    <row r="32023" spans="23:23">
      <c r="W32023" s="503"/>
    </row>
    <row r="32024" spans="23:23">
      <c r="W32024" s="503"/>
    </row>
    <row r="32025" spans="23:23">
      <c r="W32025" s="503"/>
    </row>
    <row r="32026" spans="23:23">
      <c r="W32026" s="503"/>
    </row>
    <row r="32027" spans="23:23">
      <c r="W32027" s="503"/>
    </row>
    <row r="32028" spans="23:23">
      <c r="W32028" s="503"/>
    </row>
    <row r="32029" spans="23:23">
      <c r="W32029" s="503"/>
    </row>
    <row r="32030" spans="23:23">
      <c r="W32030" s="503"/>
    </row>
    <row r="32031" spans="23:23">
      <c r="W32031" s="503"/>
    </row>
    <row r="32032" spans="23:23">
      <c r="W32032" s="503"/>
    </row>
    <row r="32033" spans="23:23">
      <c r="W32033" s="503"/>
    </row>
    <row r="32034" spans="23:23">
      <c r="W32034" s="503"/>
    </row>
    <row r="32035" spans="23:23">
      <c r="W32035" s="503"/>
    </row>
    <row r="32036" spans="23:23">
      <c r="W32036" s="503"/>
    </row>
    <row r="32037" spans="23:23">
      <c r="W32037" s="503"/>
    </row>
    <row r="32038" spans="23:23">
      <c r="W32038" s="503"/>
    </row>
    <row r="32039" spans="23:23">
      <c r="W32039" s="503"/>
    </row>
    <row r="32040" spans="23:23">
      <c r="W32040" s="503"/>
    </row>
    <row r="32041" spans="23:23">
      <c r="W32041" s="503"/>
    </row>
    <row r="32042" spans="23:23">
      <c r="W32042" s="503"/>
    </row>
    <row r="32043" spans="23:23">
      <c r="W32043" s="503"/>
    </row>
    <row r="32044" spans="23:23">
      <c r="W32044" s="503"/>
    </row>
    <row r="32045" spans="23:23">
      <c r="W32045" s="503"/>
    </row>
    <row r="32046" spans="23:23">
      <c r="W32046" s="503"/>
    </row>
    <row r="32047" spans="23:23">
      <c r="W32047" s="503"/>
    </row>
    <row r="32048" spans="23:23">
      <c r="W32048" s="503"/>
    </row>
    <row r="32049" spans="23:23">
      <c r="W32049" s="503"/>
    </row>
    <row r="32050" spans="23:23">
      <c r="W32050" s="503"/>
    </row>
    <row r="32051" spans="23:23">
      <c r="W32051" s="503"/>
    </row>
    <row r="32052" spans="23:23">
      <c r="W32052" s="503"/>
    </row>
    <row r="32053" spans="23:23">
      <c r="W32053" s="503"/>
    </row>
    <row r="32054" spans="23:23">
      <c r="W32054" s="503"/>
    </row>
    <row r="32055" spans="23:23">
      <c r="W32055" s="503"/>
    </row>
    <row r="32056" spans="23:23">
      <c r="W32056" s="503"/>
    </row>
    <row r="32057" spans="23:23">
      <c r="W32057" s="503"/>
    </row>
    <row r="32058" spans="23:23">
      <c r="W32058" s="503"/>
    </row>
    <row r="32059" spans="23:23">
      <c r="W32059" s="503"/>
    </row>
    <row r="32060" spans="23:23">
      <c r="W32060" s="503"/>
    </row>
    <row r="32061" spans="23:23">
      <c r="W32061" s="503"/>
    </row>
    <row r="32062" spans="23:23">
      <c r="W32062" s="503"/>
    </row>
    <row r="32063" spans="23:23">
      <c r="W32063" s="503"/>
    </row>
    <row r="32064" spans="23:23">
      <c r="W32064" s="503"/>
    </row>
    <row r="32065" spans="23:23">
      <c r="W32065" s="503"/>
    </row>
    <row r="32066" spans="23:23">
      <c r="W32066" s="503"/>
    </row>
    <row r="32067" spans="23:23">
      <c r="W32067" s="503"/>
    </row>
    <row r="32068" spans="23:23">
      <c r="W32068" s="503"/>
    </row>
    <row r="32069" spans="23:23">
      <c r="W32069" s="503"/>
    </row>
    <row r="32070" spans="23:23">
      <c r="W32070" s="503"/>
    </row>
    <row r="32071" spans="23:23">
      <c r="W32071" s="503"/>
    </row>
    <row r="32072" spans="23:23">
      <c r="W32072" s="503"/>
    </row>
    <row r="32073" spans="23:23">
      <c r="W32073" s="503"/>
    </row>
    <row r="32074" spans="23:23">
      <c r="W32074" s="503"/>
    </row>
    <row r="32075" spans="23:23">
      <c r="W32075" s="503"/>
    </row>
    <row r="32076" spans="23:23">
      <c r="W32076" s="503"/>
    </row>
    <row r="32077" spans="23:23">
      <c r="W32077" s="503"/>
    </row>
    <row r="32078" spans="23:23">
      <c r="W32078" s="503"/>
    </row>
    <row r="32079" spans="23:23">
      <c r="W32079" s="503"/>
    </row>
    <row r="32080" spans="23:23">
      <c r="W32080" s="503"/>
    </row>
    <row r="32081" spans="23:23">
      <c r="W32081" s="503"/>
    </row>
    <row r="32082" spans="23:23">
      <c r="W32082" s="503"/>
    </row>
    <row r="32083" spans="23:23">
      <c r="W32083" s="503"/>
    </row>
    <row r="32084" spans="23:23">
      <c r="W32084" s="503"/>
    </row>
    <row r="32085" spans="23:23">
      <c r="W32085" s="503"/>
    </row>
    <row r="32086" spans="23:23">
      <c r="W32086" s="503"/>
    </row>
    <row r="32087" spans="23:23">
      <c r="W32087" s="503"/>
    </row>
    <row r="32088" spans="23:23">
      <c r="W32088" s="503"/>
    </row>
    <row r="32089" spans="23:23">
      <c r="W32089" s="503"/>
    </row>
    <row r="32090" spans="23:23">
      <c r="W32090" s="503"/>
    </row>
    <row r="32091" spans="23:23">
      <c r="W32091" s="503"/>
    </row>
    <row r="32092" spans="23:23">
      <c r="W32092" s="503"/>
    </row>
    <row r="32093" spans="23:23">
      <c r="W32093" s="503"/>
    </row>
    <row r="32094" spans="23:23">
      <c r="W32094" s="503"/>
    </row>
    <row r="32095" spans="23:23">
      <c r="W32095" s="503"/>
    </row>
    <row r="32096" spans="23:23">
      <c r="W32096" s="503"/>
    </row>
    <row r="32097" spans="23:23">
      <c r="W32097" s="503"/>
    </row>
    <row r="32098" spans="23:23">
      <c r="W32098" s="503"/>
    </row>
    <row r="32099" spans="23:23">
      <c r="W32099" s="503"/>
    </row>
    <row r="32100" spans="23:23">
      <c r="W32100" s="503"/>
    </row>
    <row r="32101" spans="23:23">
      <c r="W32101" s="503"/>
    </row>
    <row r="32102" spans="23:23">
      <c r="W32102" s="503"/>
    </row>
    <row r="32103" spans="23:23">
      <c r="W32103" s="503"/>
    </row>
    <row r="32104" spans="23:23">
      <c r="W32104" s="503"/>
    </row>
    <row r="32105" spans="23:23">
      <c r="W32105" s="503"/>
    </row>
    <row r="32106" spans="23:23">
      <c r="W32106" s="503"/>
    </row>
    <row r="32107" spans="23:23">
      <c r="W32107" s="503"/>
    </row>
    <row r="32108" spans="23:23">
      <c r="W32108" s="503"/>
    </row>
    <row r="32109" spans="23:23">
      <c r="W32109" s="503"/>
    </row>
    <row r="32110" spans="23:23">
      <c r="W32110" s="503"/>
    </row>
    <row r="32111" spans="23:23">
      <c r="W32111" s="503"/>
    </row>
    <row r="32112" spans="23:23">
      <c r="W32112" s="503"/>
    </row>
    <row r="32113" spans="23:23">
      <c r="W32113" s="503"/>
    </row>
    <row r="32114" spans="23:23">
      <c r="W32114" s="503"/>
    </row>
    <row r="32115" spans="23:23">
      <c r="W32115" s="503"/>
    </row>
    <row r="32116" spans="23:23">
      <c r="W32116" s="503"/>
    </row>
    <row r="32117" spans="23:23">
      <c r="W32117" s="503"/>
    </row>
    <row r="32118" spans="23:23">
      <c r="W32118" s="503"/>
    </row>
    <row r="32119" spans="23:23">
      <c r="W32119" s="503"/>
    </row>
    <row r="32120" spans="23:23">
      <c r="W32120" s="503"/>
    </row>
    <row r="32121" spans="23:23">
      <c r="W32121" s="503"/>
    </row>
    <row r="32122" spans="23:23">
      <c r="W32122" s="503"/>
    </row>
    <row r="32123" spans="23:23">
      <c r="W32123" s="503"/>
    </row>
    <row r="32124" spans="23:23">
      <c r="W32124" s="503"/>
    </row>
    <row r="32125" spans="23:23">
      <c r="W32125" s="503"/>
    </row>
    <row r="32126" spans="23:23">
      <c r="W32126" s="503"/>
    </row>
    <row r="32127" spans="23:23">
      <c r="W32127" s="503"/>
    </row>
    <row r="32128" spans="23:23">
      <c r="W32128" s="503"/>
    </row>
    <row r="32129" spans="23:23">
      <c r="W32129" s="503"/>
    </row>
    <row r="32130" spans="23:23">
      <c r="W32130" s="503"/>
    </row>
    <row r="32131" spans="23:23">
      <c r="W32131" s="503"/>
    </row>
    <row r="32132" spans="23:23">
      <c r="W32132" s="503"/>
    </row>
    <row r="32133" spans="23:23">
      <c r="W32133" s="503"/>
    </row>
    <row r="32134" spans="23:23">
      <c r="W32134" s="503"/>
    </row>
    <row r="32135" spans="23:23">
      <c r="W32135" s="503"/>
    </row>
    <row r="32136" spans="23:23">
      <c r="W32136" s="503"/>
    </row>
    <row r="32137" spans="23:23">
      <c r="W32137" s="503"/>
    </row>
    <row r="32138" spans="23:23">
      <c r="W32138" s="503"/>
    </row>
    <row r="32139" spans="23:23">
      <c r="W32139" s="503"/>
    </row>
    <row r="32140" spans="23:23">
      <c r="W32140" s="503"/>
    </row>
    <row r="32141" spans="23:23">
      <c r="W32141" s="503"/>
    </row>
    <row r="32142" spans="23:23">
      <c r="W32142" s="503"/>
    </row>
    <row r="32143" spans="23:23">
      <c r="W32143" s="503"/>
    </row>
    <row r="32144" spans="23:23">
      <c r="W32144" s="503"/>
    </row>
    <row r="32145" spans="23:23">
      <c r="W32145" s="503"/>
    </row>
    <row r="32146" spans="23:23">
      <c r="W32146" s="503"/>
    </row>
    <row r="32147" spans="23:23">
      <c r="W32147" s="503"/>
    </row>
    <row r="32148" spans="23:23">
      <c r="W32148" s="503"/>
    </row>
    <row r="32149" spans="23:23">
      <c r="W32149" s="503"/>
    </row>
    <row r="32150" spans="23:23">
      <c r="W32150" s="503"/>
    </row>
    <row r="32151" spans="23:23">
      <c r="W32151" s="503"/>
    </row>
    <row r="32152" spans="23:23">
      <c r="W32152" s="503"/>
    </row>
    <row r="32153" spans="23:23">
      <c r="W32153" s="503"/>
    </row>
    <row r="32154" spans="23:23">
      <c r="W32154" s="503"/>
    </row>
    <row r="32155" spans="23:23">
      <c r="W32155" s="503"/>
    </row>
    <row r="32156" spans="23:23">
      <c r="W32156" s="503"/>
    </row>
    <row r="32157" spans="23:23">
      <c r="W32157" s="503"/>
    </row>
    <row r="32158" spans="23:23">
      <c r="W32158" s="503"/>
    </row>
    <row r="32159" spans="23:23">
      <c r="W32159" s="503"/>
    </row>
    <row r="32160" spans="23:23">
      <c r="W32160" s="503"/>
    </row>
    <row r="32161" spans="23:23">
      <c r="W32161" s="503"/>
    </row>
    <row r="32162" spans="23:23">
      <c r="W32162" s="503"/>
    </row>
    <row r="32163" spans="23:23">
      <c r="W32163" s="503"/>
    </row>
    <row r="32164" spans="23:23">
      <c r="W32164" s="503"/>
    </row>
    <row r="32165" spans="23:23">
      <c r="W32165" s="503"/>
    </row>
    <row r="32166" spans="23:23">
      <c r="W32166" s="503"/>
    </row>
    <row r="32167" spans="23:23">
      <c r="W32167" s="503"/>
    </row>
    <row r="32168" spans="23:23">
      <c r="W32168" s="503"/>
    </row>
    <row r="32169" spans="23:23">
      <c r="W32169" s="503"/>
    </row>
    <row r="32170" spans="23:23">
      <c r="W32170" s="503"/>
    </row>
    <row r="32171" spans="23:23">
      <c r="W32171" s="503"/>
    </row>
    <row r="32172" spans="23:23">
      <c r="W32172" s="503"/>
    </row>
    <row r="32173" spans="23:23">
      <c r="W32173" s="503"/>
    </row>
    <row r="32174" spans="23:23">
      <c r="W32174" s="503"/>
    </row>
    <row r="32175" spans="23:23">
      <c r="W32175" s="503"/>
    </row>
    <row r="32176" spans="23:23">
      <c r="W32176" s="503"/>
    </row>
    <row r="32177" spans="23:23">
      <c r="W32177" s="503"/>
    </row>
    <row r="32178" spans="23:23">
      <c r="W32178" s="503"/>
    </row>
    <row r="32179" spans="23:23">
      <c r="W32179" s="503"/>
    </row>
    <row r="32180" spans="23:23">
      <c r="W32180" s="503"/>
    </row>
    <row r="32181" spans="23:23">
      <c r="W32181" s="503"/>
    </row>
    <row r="32182" spans="23:23">
      <c r="W32182" s="503"/>
    </row>
    <row r="32183" spans="23:23">
      <c r="W32183" s="503"/>
    </row>
    <row r="32184" spans="23:23">
      <c r="W32184" s="503"/>
    </row>
    <row r="32185" spans="23:23">
      <c r="W32185" s="503"/>
    </row>
    <row r="32186" spans="23:23">
      <c r="W32186" s="503"/>
    </row>
    <row r="32187" spans="23:23">
      <c r="W32187" s="503"/>
    </row>
    <row r="32188" spans="23:23">
      <c r="W32188" s="503"/>
    </row>
    <row r="32189" spans="23:23">
      <c r="W32189" s="503"/>
    </row>
    <row r="32190" spans="23:23">
      <c r="W32190" s="503"/>
    </row>
    <row r="32191" spans="23:23">
      <c r="W32191" s="503"/>
    </row>
    <row r="32192" spans="23:23">
      <c r="W32192" s="503"/>
    </row>
    <row r="32193" spans="23:23">
      <c r="W32193" s="503"/>
    </row>
    <row r="32194" spans="23:23">
      <c r="W32194" s="503"/>
    </row>
    <row r="32195" spans="23:23">
      <c r="W32195" s="503"/>
    </row>
    <row r="32196" spans="23:23">
      <c r="W32196" s="503"/>
    </row>
    <row r="32197" spans="23:23">
      <c r="W32197" s="503"/>
    </row>
    <row r="32198" spans="23:23">
      <c r="W32198" s="503"/>
    </row>
    <row r="32199" spans="23:23">
      <c r="W32199" s="503"/>
    </row>
    <row r="32200" spans="23:23">
      <c r="W32200" s="503"/>
    </row>
    <row r="32201" spans="23:23">
      <c r="W32201" s="503"/>
    </row>
    <row r="32202" spans="23:23">
      <c r="W32202" s="503"/>
    </row>
    <row r="32203" spans="23:23">
      <c r="W32203" s="503"/>
    </row>
    <row r="32204" spans="23:23">
      <c r="W32204" s="503"/>
    </row>
    <row r="32205" spans="23:23">
      <c r="W32205" s="503"/>
    </row>
    <row r="32206" spans="23:23">
      <c r="W32206" s="503"/>
    </row>
    <row r="32207" spans="23:23">
      <c r="W32207" s="503"/>
    </row>
    <row r="32208" spans="23:23">
      <c r="W32208" s="503"/>
    </row>
    <row r="32209" spans="23:23">
      <c r="W32209" s="503"/>
    </row>
    <row r="32210" spans="23:23">
      <c r="W32210" s="503"/>
    </row>
    <row r="32211" spans="23:23">
      <c r="W32211" s="503"/>
    </row>
    <row r="32212" spans="23:23">
      <c r="W32212" s="503"/>
    </row>
    <row r="32213" spans="23:23">
      <c r="W32213" s="503"/>
    </row>
    <row r="32214" spans="23:23">
      <c r="W32214" s="503"/>
    </row>
    <row r="32215" spans="23:23">
      <c r="W32215" s="503"/>
    </row>
    <row r="32216" spans="23:23">
      <c r="W32216" s="503"/>
    </row>
    <row r="32217" spans="23:23">
      <c r="W32217" s="503"/>
    </row>
    <row r="32218" spans="23:23">
      <c r="W32218" s="503"/>
    </row>
    <row r="32219" spans="23:23">
      <c r="W32219" s="503"/>
    </row>
    <row r="32220" spans="23:23">
      <c r="W32220" s="503"/>
    </row>
    <row r="32221" spans="23:23">
      <c r="W32221" s="503"/>
    </row>
    <row r="32222" spans="23:23">
      <c r="W32222" s="503"/>
    </row>
    <row r="32223" spans="23:23">
      <c r="W32223" s="503"/>
    </row>
    <row r="32224" spans="23:23">
      <c r="W32224" s="503"/>
    </row>
    <row r="32225" spans="23:23">
      <c r="W32225" s="503"/>
    </row>
    <row r="32226" spans="23:23">
      <c r="W32226" s="503"/>
    </row>
    <row r="32227" spans="23:23">
      <c r="W32227" s="503"/>
    </row>
    <row r="32228" spans="23:23">
      <c r="W32228" s="503"/>
    </row>
    <row r="32229" spans="23:23">
      <c r="W32229" s="503"/>
    </row>
    <row r="32230" spans="23:23">
      <c r="W32230" s="503"/>
    </row>
    <row r="32231" spans="23:23">
      <c r="W32231" s="503"/>
    </row>
    <row r="32232" spans="23:23">
      <c r="W32232" s="503"/>
    </row>
    <row r="32233" spans="23:23">
      <c r="W32233" s="503"/>
    </row>
    <row r="32234" spans="23:23">
      <c r="W32234" s="503"/>
    </row>
    <row r="32235" spans="23:23">
      <c r="W32235" s="503"/>
    </row>
    <row r="32236" spans="23:23">
      <c r="W32236" s="503"/>
    </row>
    <row r="32237" spans="23:23">
      <c r="W32237" s="503"/>
    </row>
    <row r="32238" spans="23:23">
      <c r="W32238" s="503"/>
    </row>
    <row r="32239" spans="23:23">
      <c r="W32239" s="503"/>
    </row>
    <row r="32240" spans="23:23">
      <c r="W32240" s="503"/>
    </row>
    <row r="32241" spans="23:23">
      <c r="W32241" s="503"/>
    </row>
    <row r="32242" spans="23:23">
      <c r="W32242" s="503"/>
    </row>
    <row r="32243" spans="23:23">
      <c r="W32243" s="503"/>
    </row>
    <row r="32244" spans="23:23">
      <c r="W32244" s="503"/>
    </row>
    <row r="32245" spans="23:23">
      <c r="W32245" s="503"/>
    </row>
    <row r="32246" spans="23:23">
      <c r="W32246" s="503"/>
    </row>
    <row r="32247" spans="23:23">
      <c r="W32247" s="503"/>
    </row>
    <row r="32248" spans="23:23">
      <c r="W32248" s="503"/>
    </row>
    <row r="32249" spans="23:23">
      <c r="W32249" s="503"/>
    </row>
    <row r="32250" spans="23:23">
      <c r="W32250" s="503"/>
    </row>
    <row r="32251" spans="23:23">
      <c r="W32251" s="503"/>
    </row>
    <row r="32252" spans="23:23">
      <c r="W32252" s="503"/>
    </row>
    <row r="32253" spans="23:23">
      <c r="W32253" s="503"/>
    </row>
    <row r="32254" spans="23:23">
      <c r="W32254" s="503"/>
    </row>
    <row r="32255" spans="23:23">
      <c r="W32255" s="503"/>
    </row>
    <row r="32256" spans="23:23">
      <c r="W32256" s="503"/>
    </row>
    <row r="32257" spans="23:23">
      <c r="W32257" s="503"/>
    </row>
    <row r="32258" spans="23:23">
      <c r="W32258" s="503"/>
    </row>
    <row r="32259" spans="23:23">
      <c r="W32259" s="503"/>
    </row>
    <row r="32260" spans="23:23">
      <c r="W32260" s="503"/>
    </row>
    <row r="32261" spans="23:23">
      <c r="W32261" s="503"/>
    </row>
    <row r="32262" spans="23:23">
      <c r="W32262" s="503"/>
    </row>
    <row r="32263" spans="23:23">
      <c r="W32263" s="503"/>
    </row>
    <row r="32264" spans="23:23">
      <c r="W32264" s="503"/>
    </row>
    <row r="32265" spans="23:23">
      <c r="W32265" s="503"/>
    </row>
    <row r="32266" spans="23:23">
      <c r="W32266" s="503"/>
    </row>
    <row r="32267" spans="23:23">
      <c r="W32267" s="503"/>
    </row>
    <row r="32268" spans="23:23">
      <c r="W32268" s="503"/>
    </row>
    <row r="32269" spans="23:23">
      <c r="W32269" s="503"/>
    </row>
    <row r="32270" spans="23:23">
      <c r="W32270" s="503"/>
    </row>
    <row r="32271" spans="23:23">
      <c r="W32271" s="503"/>
    </row>
    <row r="32272" spans="23:23">
      <c r="W32272" s="503"/>
    </row>
    <row r="32273" spans="23:23">
      <c r="W32273" s="503"/>
    </row>
    <row r="32274" spans="23:23">
      <c r="W32274" s="503"/>
    </row>
    <row r="32275" spans="23:23">
      <c r="W32275" s="503"/>
    </row>
    <row r="32276" spans="23:23">
      <c r="W32276" s="503"/>
    </row>
    <row r="32277" spans="23:23">
      <c r="W32277" s="503"/>
    </row>
    <row r="32278" spans="23:23">
      <c r="W32278" s="503"/>
    </row>
    <row r="32279" spans="23:23">
      <c r="W32279" s="503"/>
    </row>
    <row r="32280" spans="23:23">
      <c r="W32280" s="503"/>
    </row>
    <row r="32281" spans="23:23">
      <c r="W32281" s="503"/>
    </row>
    <row r="32282" spans="23:23">
      <c r="W32282" s="503"/>
    </row>
    <row r="32283" spans="23:23">
      <c r="W32283" s="503"/>
    </row>
    <row r="32284" spans="23:23">
      <c r="W32284" s="503"/>
    </row>
    <row r="32285" spans="23:23">
      <c r="W32285" s="503"/>
    </row>
    <row r="32286" spans="23:23">
      <c r="W32286" s="503"/>
    </row>
    <row r="32287" spans="23:23">
      <c r="W32287" s="503"/>
    </row>
    <row r="32288" spans="23:23">
      <c r="W32288" s="503"/>
    </row>
    <row r="32289" spans="23:23">
      <c r="W32289" s="503"/>
    </row>
    <row r="32290" spans="23:23">
      <c r="W32290" s="503"/>
    </row>
    <row r="32291" spans="23:23">
      <c r="W32291" s="503"/>
    </row>
    <row r="32292" spans="23:23">
      <c r="W32292" s="503"/>
    </row>
    <row r="32293" spans="23:23">
      <c r="W32293" s="503"/>
    </row>
    <row r="32294" spans="23:23">
      <c r="W32294" s="503"/>
    </row>
    <row r="32295" spans="23:23">
      <c r="W32295" s="503"/>
    </row>
    <row r="32296" spans="23:23">
      <c r="W32296" s="503"/>
    </row>
    <row r="32297" spans="23:23">
      <c r="W32297" s="503"/>
    </row>
    <row r="32298" spans="23:23">
      <c r="W32298" s="503"/>
    </row>
    <row r="32299" spans="23:23">
      <c r="W32299" s="503"/>
    </row>
    <row r="32300" spans="23:23">
      <c r="W32300" s="503"/>
    </row>
    <row r="32301" spans="23:23">
      <c r="W32301" s="503"/>
    </row>
    <row r="32302" spans="23:23">
      <c r="W32302" s="503"/>
    </row>
    <row r="32303" spans="23:23">
      <c r="W32303" s="503"/>
    </row>
    <row r="32304" spans="23:23">
      <c r="W32304" s="503"/>
    </row>
    <row r="32305" spans="23:23">
      <c r="W32305" s="503"/>
    </row>
    <row r="32306" spans="23:23">
      <c r="W32306" s="503"/>
    </row>
    <row r="32307" spans="23:23">
      <c r="W32307" s="503"/>
    </row>
    <row r="32308" spans="23:23">
      <c r="W32308" s="503"/>
    </row>
    <row r="32309" spans="23:23">
      <c r="W32309" s="503"/>
    </row>
    <row r="32310" spans="23:23">
      <c r="W32310" s="503"/>
    </row>
    <row r="32311" spans="23:23">
      <c r="W32311" s="503"/>
    </row>
    <row r="32312" spans="23:23">
      <c r="W32312" s="503"/>
    </row>
    <row r="32313" spans="23:23">
      <c r="W32313" s="503"/>
    </row>
    <row r="32314" spans="23:23">
      <c r="W32314" s="503"/>
    </row>
    <row r="32315" spans="23:23">
      <c r="W32315" s="503"/>
    </row>
    <row r="32316" spans="23:23">
      <c r="W32316" s="503"/>
    </row>
    <row r="32317" spans="23:23">
      <c r="W32317" s="503"/>
    </row>
    <row r="32318" spans="23:23">
      <c r="W32318" s="503"/>
    </row>
    <row r="32319" spans="23:23">
      <c r="W32319" s="503"/>
    </row>
    <row r="32320" spans="23:23">
      <c r="W32320" s="503"/>
    </row>
    <row r="32321" spans="23:23">
      <c r="W32321" s="503"/>
    </row>
    <row r="32322" spans="23:23">
      <c r="W32322" s="503"/>
    </row>
    <row r="32323" spans="23:23">
      <c r="W32323" s="503"/>
    </row>
    <row r="32324" spans="23:23">
      <c r="W32324" s="503"/>
    </row>
    <row r="32325" spans="23:23">
      <c r="W32325" s="503"/>
    </row>
    <row r="32326" spans="23:23">
      <c r="W32326" s="503"/>
    </row>
    <row r="32327" spans="23:23">
      <c r="W32327" s="503"/>
    </row>
    <row r="32328" spans="23:23">
      <c r="W32328" s="503"/>
    </row>
    <row r="32329" spans="23:23">
      <c r="W32329" s="503"/>
    </row>
    <row r="32330" spans="23:23">
      <c r="W32330" s="503"/>
    </row>
    <row r="32331" spans="23:23">
      <c r="W32331" s="503"/>
    </row>
    <row r="32332" spans="23:23">
      <c r="W32332" s="503"/>
    </row>
    <row r="32333" spans="23:23">
      <c r="W32333" s="503"/>
    </row>
    <row r="32334" spans="23:23">
      <c r="W32334" s="503"/>
    </row>
    <row r="32335" spans="23:23">
      <c r="W32335" s="503"/>
    </row>
    <row r="32336" spans="23:23">
      <c r="W32336" s="503"/>
    </row>
    <row r="32337" spans="23:23">
      <c r="W32337" s="503"/>
    </row>
    <row r="32338" spans="23:23">
      <c r="W32338" s="503"/>
    </row>
    <row r="32339" spans="23:23">
      <c r="W32339" s="503"/>
    </row>
    <row r="32340" spans="23:23">
      <c r="W32340" s="503"/>
    </row>
    <row r="32341" spans="23:23">
      <c r="W32341" s="503"/>
    </row>
    <row r="32342" spans="23:23">
      <c r="W32342" s="503"/>
    </row>
    <row r="32343" spans="23:23">
      <c r="W32343" s="503"/>
    </row>
    <row r="32344" spans="23:23">
      <c r="W32344" s="503"/>
    </row>
    <row r="32345" spans="23:23">
      <c r="W32345" s="503"/>
    </row>
    <row r="32346" spans="23:23">
      <c r="W32346" s="503"/>
    </row>
    <row r="32347" spans="23:23">
      <c r="W32347" s="503"/>
    </row>
    <row r="32348" spans="23:23">
      <c r="W32348" s="503"/>
    </row>
    <row r="32349" spans="23:23">
      <c r="W32349" s="503"/>
    </row>
    <row r="32350" spans="23:23">
      <c r="W32350" s="503"/>
    </row>
    <row r="32351" spans="23:23">
      <c r="W32351" s="503"/>
    </row>
    <row r="32352" spans="23:23">
      <c r="W32352" s="503"/>
    </row>
    <row r="32353" spans="23:23">
      <c r="W32353" s="503"/>
    </row>
    <row r="32354" spans="23:23">
      <c r="W32354" s="503"/>
    </row>
    <row r="32355" spans="23:23">
      <c r="W32355" s="503"/>
    </row>
    <row r="32356" spans="23:23">
      <c r="W32356" s="503"/>
    </row>
    <row r="32357" spans="23:23">
      <c r="W32357" s="503"/>
    </row>
    <row r="32358" spans="23:23">
      <c r="W32358" s="503"/>
    </row>
    <row r="32359" spans="23:23">
      <c r="W32359" s="503"/>
    </row>
    <row r="32360" spans="23:23">
      <c r="W32360" s="503"/>
    </row>
    <row r="32361" spans="23:23">
      <c r="W32361" s="503"/>
    </row>
    <row r="32362" spans="23:23">
      <c r="W32362" s="503"/>
    </row>
    <row r="32363" spans="23:23">
      <c r="W32363" s="503"/>
    </row>
    <row r="32364" spans="23:23">
      <c r="W32364" s="503"/>
    </row>
    <row r="32365" spans="23:23">
      <c r="W32365" s="503"/>
    </row>
    <row r="32366" spans="23:23">
      <c r="W32366" s="503"/>
    </row>
    <row r="32367" spans="23:23">
      <c r="W32367" s="503"/>
    </row>
    <row r="32368" spans="23:23">
      <c r="W32368" s="503"/>
    </row>
    <row r="32369" spans="23:23">
      <c r="W32369" s="503"/>
    </row>
    <row r="32370" spans="23:23">
      <c r="W32370" s="503"/>
    </row>
    <row r="32371" spans="23:23">
      <c r="W32371" s="503"/>
    </row>
    <row r="32372" spans="23:23">
      <c r="W32372" s="503"/>
    </row>
    <row r="32373" spans="23:23">
      <c r="W32373" s="503"/>
    </row>
    <row r="32374" spans="23:23">
      <c r="W32374" s="503"/>
    </row>
    <row r="32375" spans="23:23">
      <c r="W32375" s="503"/>
    </row>
    <row r="32376" spans="23:23">
      <c r="W32376" s="503"/>
    </row>
    <row r="32377" spans="23:23">
      <c r="W32377" s="503"/>
    </row>
    <row r="32378" spans="23:23">
      <c r="W32378" s="503"/>
    </row>
    <row r="32379" spans="23:23">
      <c r="W32379" s="503"/>
    </row>
    <row r="32380" spans="23:23">
      <c r="W32380" s="503"/>
    </row>
    <row r="32381" spans="23:23">
      <c r="W32381" s="503"/>
    </row>
    <row r="32382" spans="23:23">
      <c r="W32382" s="503"/>
    </row>
    <row r="32383" spans="23:23">
      <c r="W32383" s="503"/>
    </row>
    <row r="32384" spans="23:23">
      <c r="W32384" s="503"/>
    </row>
    <row r="32385" spans="23:23">
      <c r="W32385" s="503"/>
    </row>
    <row r="32386" spans="23:23">
      <c r="W32386" s="503"/>
    </row>
    <row r="32387" spans="23:23">
      <c r="W32387" s="503"/>
    </row>
    <row r="32388" spans="23:23">
      <c r="W32388" s="503"/>
    </row>
    <row r="32389" spans="23:23">
      <c r="W32389" s="503"/>
    </row>
    <row r="32390" spans="23:23">
      <c r="W32390" s="503"/>
    </row>
    <row r="32391" spans="23:23">
      <c r="W32391" s="503"/>
    </row>
    <row r="32392" spans="23:23">
      <c r="W32392" s="503"/>
    </row>
    <row r="32393" spans="23:23">
      <c r="W32393" s="503"/>
    </row>
    <row r="32394" spans="23:23">
      <c r="W32394" s="503"/>
    </row>
    <row r="32395" spans="23:23">
      <c r="W32395" s="503"/>
    </row>
    <row r="32396" spans="23:23">
      <c r="W32396" s="503"/>
    </row>
    <row r="32397" spans="23:23">
      <c r="W32397" s="503"/>
    </row>
    <row r="32398" spans="23:23">
      <c r="W32398" s="503"/>
    </row>
    <row r="32399" spans="23:23">
      <c r="W32399" s="503"/>
    </row>
    <row r="32400" spans="23:23">
      <c r="W32400" s="503"/>
    </row>
    <row r="32401" spans="23:23">
      <c r="W32401" s="503"/>
    </row>
    <row r="32402" spans="23:23">
      <c r="W32402" s="503"/>
    </row>
    <row r="32403" spans="23:23">
      <c r="W32403" s="503"/>
    </row>
    <row r="32404" spans="23:23">
      <c r="W32404" s="503"/>
    </row>
    <row r="32405" spans="23:23">
      <c r="W32405" s="503"/>
    </row>
    <row r="32406" spans="23:23">
      <c r="W32406" s="503"/>
    </row>
    <row r="32407" spans="23:23">
      <c r="W32407" s="503"/>
    </row>
    <row r="32408" spans="23:23">
      <c r="W32408" s="503"/>
    </row>
    <row r="32409" spans="23:23">
      <c r="W32409" s="503"/>
    </row>
    <row r="32410" spans="23:23">
      <c r="W32410" s="503"/>
    </row>
    <row r="32411" spans="23:23">
      <c r="W32411" s="503"/>
    </row>
    <row r="32412" spans="23:23">
      <c r="W32412" s="503"/>
    </row>
    <row r="32413" spans="23:23">
      <c r="W32413" s="503"/>
    </row>
    <row r="32414" spans="23:23">
      <c r="W32414" s="503"/>
    </row>
    <row r="32415" spans="23:23">
      <c r="W32415" s="503"/>
    </row>
    <row r="32416" spans="23:23">
      <c r="W32416" s="503"/>
    </row>
    <row r="32417" spans="23:23">
      <c r="W32417" s="503"/>
    </row>
    <row r="32418" spans="23:23">
      <c r="W32418" s="503"/>
    </row>
    <row r="32419" spans="23:23">
      <c r="W32419" s="503"/>
    </row>
    <row r="32420" spans="23:23">
      <c r="W32420" s="503"/>
    </row>
    <row r="32421" spans="23:23">
      <c r="W32421" s="503"/>
    </row>
    <row r="32422" spans="23:23">
      <c r="W32422" s="503"/>
    </row>
    <row r="32423" spans="23:23">
      <c r="W32423" s="503"/>
    </row>
    <row r="32424" spans="23:23">
      <c r="W32424" s="503"/>
    </row>
    <row r="32425" spans="23:23">
      <c r="W32425" s="503"/>
    </row>
    <row r="32426" spans="23:23">
      <c r="W32426" s="503"/>
    </row>
    <row r="32427" spans="23:23">
      <c r="W32427" s="503"/>
    </row>
    <row r="32428" spans="23:23">
      <c r="W32428" s="503"/>
    </row>
    <row r="32429" spans="23:23">
      <c r="W32429" s="503"/>
    </row>
    <row r="32430" spans="23:23">
      <c r="W32430" s="503"/>
    </row>
    <row r="32431" spans="23:23">
      <c r="W32431" s="503"/>
    </row>
    <row r="32432" spans="23:23">
      <c r="W32432" s="503"/>
    </row>
    <row r="32433" spans="23:23">
      <c r="W32433" s="503"/>
    </row>
    <row r="32434" spans="23:23">
      <c r="W32434" s="503"/>
    </row>
    <row r="32435" spans="23:23">
      <c r="W32435" s="503"/>
    </row>
    <row r="32436" spans="23:23">
      <c r="W32436" s="503"/>
    </row>
    <row r="32437" spans="23:23">
      <c r="W32437" s="503"/>
    </row>
    <row r="32438" spans="23:23">
      <c r="W32438" s="503"/>
    </row>
    <row r="32439" spans="23:23">
      <c r="W32439" s="503"/>
    </row>
    <row r="32440" spans="23:23">
      <c r="W32440" s="503"/>
    </row>
    <row r="32441" spans="23:23">
      <c r="W32441" s="503"/>
    </row>
    <row r="32442" spans="23:23">
      <c r="W32442" s="503"/>
    </row>
    <row r="32443" spans="23:23">
      <c r="W32443" s="503"/>
    </row>
    <row r="32444" spans="23:23">
      <c r="W32444" s="503"/>
    </row>
    <row r="32445" spans="23:23">
      <c r="W32445" s="503"/>
    </row>
    <row r="32446" spans="23:23">
      <c r="W32446" s="503"/>
    </row>
    <row r="32447" spans="23:23">
      <c r="W32447" s="503"/>
    </row>
    <row r="32448" spans="23:23">
      <c r="W32448" s="503"/>
    </row>
    <row r="32449" spans="23:23">
      <c r="W32449" s="503"/>
    </row>
    <row r="32450" spans="23:23">
      <c r="W32450" s="503"/>
    </row>
    <row r="32451" spans="23:23">
      <c r="W32451" s="503"/>
    </row>
    <row r="32452" spans="23:23">
      <c r="W32452" s="503"/>
    </row>
    <row r="32453" spans="23:23">
      <c r="W32453" s="503"/>
    </row>
    <row r="32454" spans="23:23">
      <c r="W32454" s="503"/>
    </row>
    <row r="32455" spans="23:23">
      <c r="W32455" s="503"/>
    </row>
    <row r="32456" spans="23:23">
      <c r="W32456" s="503"/>
    </row>
    <row r="32457" spans="23:23">
      <c r="W32457" s="503"/>
    </row>
    <row r="32458" spans="23:23">
      <c r="W32458" s="503"/>
    </row>
    <row r="32459" spans="23:23">
      <c r="W32459" s="503"/>
    </row>
    <row r="32460" spans="23:23">
      <c r="W32460" s="503"/>
    </row>
    <row r="32461" spans="23:23">
      <c r="W32461" s="503"/>
    </row>
    <row r="32462" spans="23:23">
      <c r="W32462" s="503"/>
    </row>
    <row r="32463" spans="23:23">
      <c r="W32463" s="503"/>
    </row>
    <row r="32464" spans="23:23">
      <c r="W32464" s="503"/>
    </row>
    <row r="32465" spans="23:23">
      <c r="W32465" s="503"/>
    </row>
    <row r="32466" spans="23:23">
      <c r="W32466" s="503"/>
    </row>
    <row r="32467" spans="23:23">
      <c r="W32467" s="503"/>
    </row>
    <row r="32468" spans="23:23">
      <c r="W32468" s="503"/>
    </row>
    <row r="32469" spans="23:23">
      <c r="W32469" s="503"/>
    </row>
    <row r="32470" spans="23:23">
      <c r="W32470" s="503"/>
    </row>
    <row r="32471" spans="23:23">
      <c r="W32471" s="503"/>
    </row>
    <row r="32472" spans="23:23">
      <c r="W32472" s="503"/>
    </row>
    <row r="32473" spans="23:23">
      <c r="W32473" s="503"/>
    </row>
    <row r="32474" spans="23:23">
      <c r="W32474" s="503"/>
    </row>
    <row r="32475" spans="23:23">
      <c r="W32475" s="503"/>
    </row>
    <row r="32476" spans="23:23">
      <c r="W32476" s="503"/>
    </row>
    <row r="32477" spans="23:23">
      <c r="W32477" s="503"/>
    </row>
    <row r="32478" spans="23:23">
      <c r="W32478" s="503"/>
    </row>
    <row r="32479" spans="23:23">
      <c r="W32479" s="503"/>
    </row>
    <row r="32480" spans="23:23">
      <c r="W32480" s="503"/>
    </row>
    <row r="32481" spans="23:23">
      <c r="W32481" s="503"/>
    </row>
    <row r="32482" spans="23:23">
      <c r="W32482" s="503"/>
    </row>
    <row r="32483" spans="23:23">
      <c r="W32483" s="503"/>
    </row>
    <row r="32484" spans="23:23">
      <c r="W32484" s="503"/>
    </row>
    <row r="32485" spans="23:23">
      <c r="W32485" s="503"/>
    </row>
    <row r="32486" spans="23:23">
      <c r="W32486" s="503"/>
    </row>
    <row r="32487" spans="23:23">
      <c r="W32487" s="503"/>
    </row>
    <row r="32488" spans="23:23">
      <c r="W32488" s="503"/>
    </row>
    <row r="32489" spans="23:23">
      <c r="W32489" s="503"/>
    </row>
    <row r="32490" spans="23:23">
      <c r="W32490" s="503"/>
    </row>
    <row r="32491" spans="23:23">
      <c r="W32491" s="503"/>
    </row>
    <row r="32492" spans="23:23">
      <c r="W32492" s="503"/>
    </row>
    <row r="32493" spans="23:23">
      <c r="W32493" s="503"/>
    </row>
    <row r="32494" spans="23:23">
      <c r="W32494" s="503"/>
    </row>
    <row r="32495" spans="23:23">
      <c r="W32495" s="503"/>
    </row>
    <row r="32496" spans="23:23">
      <c r="W32496" s="503"/>
    </row>
    <row r="32497" spans="23:23">
      <c r="W32497" s="503"/>
    </row>
    <row r="32498" spans="23:23">
      <c r="W32498" s="503"/>
    </row>
    <row r="32499" spans="23:23">
      <c r="W32499" s="503"/>
    </row>
    <row r="32500" spans="23:23">
      <c r="W32500" s="503"/>
    </row>
    <row r="32501" spans="23:23">
      <c r="W32501" s="503"/>
    </row>
    <row r="32502" spans="23:23">
      <c r="W32502" s="503"/>
    </row>
    <row r="32503" spans="23:23">
      <c r="W32503" s="503"/>
    </row>
    <row r="32504" spans="23:23">
      <c r="W32504" s="503"/>
    </row>
    <row r="32505" spans="23:23">
      <c r="W32505" s="503"/>
    </row>
    <row r="32506" spans="23:23">
      <c r="W32506" s="503"/>
    </row>
    <row r="32507" spans="23:23">
      <c r="W32507" s="503"/>
    </row>
    <row r="32508" spans="23:23">
      <c r="W32508" s="503"/>
    </row>
    <row r="32509" spans="23:23">
      <c r="W32509" s="503"/>
    </row>
    <row r="32510" spans="23:23">
      <c r="W32510" s="503"/>
    </row>
    <row r="32511" spans="23:23">
      <c r="W32511" s="503"/>
    </row>
    <row r="32512" spans="23:23">
      <c r="W32512" s="503"/>
    </row>
    <row r="32513" spans="23:23">
      <c r="W32513" s="503"/>
    </row>
    <row r="32514" spans="23:23">
      <c r="W32514" s="503"/>
    </row>
    <row r="32515" spans="23:23">
      <c r="W32515" s="503"/>
    </row>
    <row r="32516" spans="23:23">
      <c r="W32516" s="503"/>
    </row>
    <row r="32517" spans="23:23">
      <c r="W32517" s="503"/>
    </row>
    <row r="32518" spans="23:23">
      <c r="W32518" s="503"/>
    </row>
    <row r="32519" spans="23:23">
      <c r="W32519" s="503"/>
    </row>
    <row r="32520" spans="23:23">
      <c r="W32520" s="503"/>
    </row>
    <row r="32521" spans="23:23">
      <c r="W32521" s="503"/>
    </row>
    <row r="32522" spans="23:23">
      <c r="W32522" s="503"/>
    </row>
    <row r="32523" spans="23:23">
      <c r="W32523" s="503"/>
    </row>
    <row r="32524" spans="23:23">
      <c r="W32524" s="503"/>
    </row>
    <row r="32525" spans="23:23">
      <c r="W32525" s="503"/>
    </row>
    <row r="32526" spans="23:23">
      <c r="W32526" s="503"/>
    </row>
    <row r="32527" spans="23:23">
      <c r="W32527" s="503"/>
    </row>
    <row r="32528" spans="23:23">
      <c r="W32528" s="503"/>
    </row>
    <row r="32529" spans="23:23">
      <c r="W32529" s="503"/>
    </row>
    <row r="32530" spans="23:23">
      <c r="W32530" s="503"/>
    </row>
    <row r="32531" spans="23:23">
      <c r="W32531" s="503"/>
    </row>
    <row r="32532" spans="23:23">
      <c r="W32532" s="503"/>
    </row>
    <row r="32533" spans="23:23">
      <c r="W32533" s="503"/>
    </row>
    <row r="32534" spans="23:23">
      <c r="W32534" s="503"/>
    </row>
    <row r="32535" spans="23:23">
      <c r="W32535" s="503"/>
    </row>
    <row r="32536" spans="23:23">
      <c r="W32536" s="503"/>
    </row>
    <row r="32537" spans="23:23">
      <c r="W32537" s="503"/>
    </row>
    <row r="32538" spans="23:23">
      <c r="W32538" s="503"/>
    </row>
    <row r="32539" spans="23:23">
      <c r="W32539" s="503"/>
    </row>
    <row r="32540" spans="23:23">
      <c r="W32540" s="503"/>
    </row>
    <row r="32541" spans="23:23">
      <c r="W32541" s="503"/>
    </row>
    <row r="32542" spans="23:23">
      <c r="W32542" s="503"/>
    </row>
    <row r="32543" spans="23:23">
      <c r="W32543" s="503"/>
    </row>
    <row r="32544" spans="23:23">
      <c r="W32544" s="503"/>
    </row>
    <row r="32545" spans="23:23">
      <c r="W32545" s="503"/>
    </row>
    <row r="32546" spans="23:23">
      <c r="W32546" s="503"/>
    </row>
    <row r="32547" spans="23:23">
      <c r="W32547" s="503"/>
    </row>
    <row r="32548" spans="23:23">
      <c r="W32548" s="503"/>
    </row>
    <row r="32549" spans="23:23">
      <c r="W32549" s="503"/>
    </row>
    <row r="32550" spans="23:23">
      <c r="W32550" s="503"/>
    </row>
    <row r="32551" spans="23:23">
      <c r="W32551" s="503"/>
    </row>
    <row r="32552" spans="23:23">
      <c r="W32552" s="503"/>
    </row>
    <row r="32553" spans="23:23">
      <c r="W32553" s="503"/>
    </row>
    <row r="32554" spans="23:23">
      <c r="W32554" s="503"/>
    </row>
    <row r="32555" spans="23:23">
      <c r="W32555" s="503"/>
    </row>
    <row r="32556" spans="23:23">
      <c r="W32556" s="503"/>
    </row>
    <row r="32557" spans="23:23">
      <c r="W32557" s="503"/>
    </row>
    <row r="32558" spans="23:23">
      <c r="W32558" s="503"/>
    </row>
    <row r="32559" spans="23:23">
      <c r="W32559" s="503"/>
    </row>
    <row r="32560" spans="23:23">
      <c r="W32560" s="503"/>
    </row>
    <row r="32561" spans="23:23">
      <c r="W32561" s="503"/>
    </row>
    <row r="32562" spans="23:23">
      <c r="W32562" s="503"/>
    </row>
    <row r="32563" spans="23:23">
      <c r="W32563" s="503"/>
    </row>
    <row r="32564" spans="23:23">
      <c r="W32564" s="503"/>
    </row>
    <row r="32565" spans="23:23">
      <c r="W32565" s="503"/>
    </row>
    <row r="32566" spans="23:23">
      <c r="W32566" s="503"/>
    </row>
    <row r="32567" spans="23:23">
      <c r="W32567" s="503"/>
    </row>
    <row r="32568" spans="23:23">
      <c r="W32568" s="503"/>
    </row>
    <row r="32569" spans="23:23">
      <c r="W32569" s="503"/>
    </row>
    <row r="32570" spans="23:23">
      <c r="W32570" s="503"/>
    </row>
    <row r="32571" spans="23:23">
      <c r="W32571" s="503"/>
    </row>
    <row r="32572" spans="23:23">
      <c r="W32572" s="503"/>
    </row>
    <row r="32573" spans="23:23">
      <c r="W32573" s="503"/>
    </row>
    <row r="32574" spans="23:23">
      <c r="W32574" s="503"/>
    </row>
    <row r="32575" spans="23:23">
      <c r="W32575" s="503"/>
    </row>
    <row r="32576" spans="23:23">
      <c r="W32576" s="503"/>
    </row>
    <row r="32577" spans="23:23">
      <c r="W32577" s="503"/>
    </row>
    <row r="32578" spans="23:23">
      <c r="W32578" s="503"/>
    </row>
    <row r="32579" spans="23:23">
      <c r="W32579" s="503"/>
    </row>
    <row r="32580" spans="23:23">
      <c r="W32580" s="503"/>
    </row>
    <row r="32581" spans="23:23">
      <c r="W32581" s="503"/>
    </row>
    <row r="32582" spans="23:23">
      <c r="W32582" s="503"/>
    </row>
    <row r="32583" spans="23:23">
      <c r="W32583" s="503"/>
    </row>
    <row r="32584" spans="23:23">
      <c r="W32584" s="503"/>
    </row>
    <row r="32585" spans="23:23">
      <c r="W32585" s="503"/>
    </row>
    <row r="32586" spans="23:23">
      <c r="W32586" s="503"/>
    </row>
    <row r="32587" spans="23:23">
      <c r="W32587" s="503"/>
    </row>
    <row r="32588" spans="23:23">
      <c r="W32588" s="503"/>
    </row>
    <row r="32589" spans="23:23">
      <c r="W32589" s="503"/>
    </row>
    <row r="32590" spans="23:23">
      <c r="W32590" s="503"/>
    </row>
    <row r="32591" spans="23:23">
      <c r="W32591" s="503"/>
    </row>
    <row r="32592" spans="23:23">
      <c r="W32592" s="503"/>
    </row>
    <row r="32593" spans="23:23">
      <c r="W32593" s="503"/>
    </row>
    <row r="32594" spans="23:23">
      <c r="W32594" s="503"/>
    </row>
    <row r="32595" spans="23:23">
      <c r="W32595" s="503"/>
    </row>
    <row r="32596" spans="23:23">
      <c r="W32596" s="503"/>
    </row>
    <row r="32597" spans="23:23">
      <c r="W32597" s="503"/>
    </row>
    <row r="32598" spans="23:23">
      <c r="W32598" s="503"/>
    </row>
    <row r="32599" spans="23:23">
      <c r="W32599" s="503"/>
    </row>
    <row r="32600" spans="23:23">
      <c r="W32600" s="503"/>
    </row>
    <row r="32601" spans="23:23">
      <c r="W32601" s="503"/>
    </row>
    <row r="32602" spans="23:23">
      <c r="W32602" s="503"/>
    </row>
    <row r="32603" spans="23:23">
      <c r="W32603" s="503"/>
    </row>
    <row r="32604" spans="23:23">
      <c r="W32604" s="503"/>
    </row>
    <row r="32605" spans="23:23">
      <c r="W32605" s="503"/>
    </row>
    <row r="32606" spans="23:23">
      <c r="W32606" s="503"/>
    </row>
    <row r="32607" spans="23:23">
      <c r="W32607" s="503"/>
    </row>
    <row r="32608" spans="23:23">
      <c r="W32608" s="503"/>
    </row>
    <row r="32609" spans="23:23">
      <c r="W32609" s="503"/>
    </row>
    <row r="32610" spans="23:23">
      <c r="W32610" s="503"/>
    </row>
    <row r="32611" spans="23:23">
      <c r="W32611" s="503"/>
    </row>
    <row r="32612" spans="23:23">
      <c r="W32612" s="503"/>
    </row>
    <row r="32613" spans="23:23">
      <c r="W32613" s="503"/>
    </row>
    <row r="32614" spans="23:23">
      <c r="W32614" s="503"/>
    </row>
    <row r="32615" spans="23:23">
      <c r="W32615" s="503"/>
    </row>
    <row r="32616" spans="23:23">
      <c r="W32616" s="503"/>
    </row>
    <row r="32617" spans="23:23">
      <c r="W32617" s="503"/>
    </row>
    <row r="32618" spans="23:23">
      <c r="W32618" s="503"/>
    </row>
    <row r="32619" spans="23:23">
      <c r="W32619" s="503"/>
    </row>
    <row r="32620" spans="23:23">
      <c r="W32620" s="503"/>
    </row>
    <row r="32621" spans="23:23">
      <c r="W32621" s="503"/>
    </row>
    <row r="32622" spans="23:23">
      <c r="W32622" s="503"/>
    </row>
    <row r="32623" spans="23:23">
      <c r="W32623" s="503"/>
    </row>
    <row r="32624" spans="23:23">
      <c r="W32624" s="503"/>
    </row>
    <row r="32625" spans="23:23">
      <c r="W32625" s="503"/>
    </row>
    <row r="32626" spans="23:23">
      <c r="W32626" s="503"/>
    </row>
    <row r="32627" spans="23:23">
      <c r="W32627" s="503"/>
    </row>
    <row r="32628" spans="23:23">
      <c r="W32628" s="503"/>
    </row>
    <row r="32629" spans="23:23">
      <c r="W32629" s="503"/>
    </row>
    <row r="32630" spans="23:23">
      <c r="W32630" s="503"/>
    </row>
    <row r="32631" spans="23:23">
      <c r="W32631" s="503"/>
    </row>
    <row r="32632" spans="23:23">
      <c r="W32632" s="503"/>
    </row>
    <row r="32633" spans="23:23">
      <c r="W32633" s="503"/>
    </row>
    <row r="32634" spans="23:23">
      <c r="W32634" s="503"/>
    </row>
    <row r="32635" spans="23:23">
      <c r="W32635" s="503"/>
    </row>
    <row r="32636" spans="23:23">
      <c r="W32636" s="503"/>
    </row>
    <row r="32637" spans="23:23">
      <c r="W32637" s="503"/>
    </row>
    <row r="32638" spans="23:23">
      <c r="W32638" s="503"/>
    </row>
    <row r="32639" spans="23:23">
      <c r="W32639" s="503"/>
    </row>
    <row r="32640" spans="23:23">
      <c r="W32640" s="503"/>
    </row>
    <row r="32641" spans="23:23">
      <c r="W32641" s="503"/>
    </row>
    <row r="32642" spans="23:23">
      <c r="W32642" s="503"/>
    </row>
    <row r="32643" spans="23:23">
      <c r="W32643" s="503"/>
    </row>
    <row r="32644" spans="23:23">
      <c r="W32644" s="503"/>
    </row>
    <row r="32645" spans="23:23">
      <c r="W32645" s="503"/>
    </row>
    <row r="32646" spans="23:23">
      <c r="W32646" s="503"/>
    </row>
    <row r="32647" spans="23:23">
      <c r="W32647" s="503"/>
    </row>
    <row r="32648" spans="23:23">
      <c r="W32648" s="503"/>
    </row>
    <row r="32649" spans="23:23">
      <c r="W32649" s="503"/>
    </row>
    <row r="32650" spans="23:23">
      <c r="W32650" s="503"/>
    </row>
    <row r="32651" spans="23:23">
      <c r="W32651" s="503"/>
    </row>
    <row r="32652" spans="23:23">
      <c r="W32652" s="503"/>
    </row>
    <row r="32653" spans="23:23">
      <c r="W32653" s="503"/>
    </row>
    <row r="32654" spans="23:23">
      <c r="W32654" s="503"/>
    </row>
    <row r="32655" spans="23:23">
      <c r="W32655" s="503"/>
    </row>
    <row r="32656" spans="23:23">
      <c r="W32656" s="503"/>
    </row>
    <row r="32657" spans="23:23">
      <c r="W32657" s="503"/>
    </row>
    <row r="32658" spans="23:23">
      <c r="W32658" s="503"/>
    </row>
    <row r="32659" spans="23:23">
      <c r="W32659" s="503"/>
    </row>
    <row r="32660" spans="23:23">
      <c r="W32660" s="503"/>
    </row>
    <row r="32661" spans="23:23">
      <c r="W32661" s="503"/>
    </row>
    <row r="32662" spans="23:23">
      <c r="W32662" s="503"/>
    </row>
    <row r="32663" spans="23:23">
      <c r="W32663" s="503"/>
    </row>
    <row r="32664" spans="23:23">
      <c r="W32664" s="503"/>
    </row>
    <row r="32665" spans="23:23">
      <c r="W32665" s="503"/>
    </row>
    <row r="32666" spans="23:23">
      <c r="W32666" s="503"/>
    </row>
    <row r="32667" spans="23:23">
      <c r="W32667" s="503"/>
    </row>
    <row r="32668" spans="23:23">
      <c r="W32668" s="503"/>
    </row>
    <row r="32669" spans="23:23">
      <c r="W32669" s="503"/>
    </row>
    <row r="32670" spans="23:23">
      <c r="W32670" s="503"/>
    </row>
    <row r="32671" spans="23:23">
      <c r="W32671" s="503"/>
    </row>
    <row r="32672" spans="23:23">
      <c r="W32672" s="503"/>
    </row>
    <row r="32673" spans="23:23">
      <c r="W32673" s="503"/>
    </row>
    <row r="32674" spans="23:23">
      <c r="W32674" s="503"/>
    </row>
    <row r="32675" spans="23:23">
      <c r="W32675" s="503"/>
    </row>
    <row r="32676" spans="23:23">
      <c r="W32676" s="503"/>
    </row>
    <row r="32677" spans="23:23">
      <c r="W32677" s="503"/>
    </row>
    <row r="32678" spans="23:23">
      <c r="W32678" s="503"/>
    </row>
    <row r="32679" spans="23:23">
      <c r="W32679" s="503"/>
    </row>
    <row r="32680" spans="23:23">
      <c r="W32680" s="503"/>
    </row>
    <row r="32681" spans="23:23">
      <c r="W32681" s="503"/>
    </row>
    <row r="32682" spans="23:23">
      <c r="W32682" s="503"/>
    </row>
    <row r="32683" spans="23:23">
      <c r="W32683" s="503"/>
    </row>
    <row r="32684" spans="23:23">
      <c r="W32684" s="503"/>
    </row>
    <row r="32685" spans="23:23">
      <c r="W32685" s="503"/>
    </row>
    <row r="32686" spans="23:23">
      <c r="W32686" s="503"/>
    </row>
    <row r="32687" spans="23:23">
      <c r="W32687" s="503"/>
    </row>
    <row r="32688" spans="23:23">
      <c r="W32688" s="503"/>
    </row>
    <row r="32689" spans="23:23">
      <c r="W32689" s="503"/>
    </row>
    <row r="32690" spans="23:23">
      <c r="W32690" s="503"/>
    </row>
    <row r="32691" spans="23:23">
      <c r="W32691" s="503"/>
    </row>
    <row r="32692" spans="23:23">
      <c r="W32692" s="503"/>
    </row>
    <row r="32693" spans="23:23">
      <c r="W32693" s="503"/>
    </row>
    <row r="32694" spans="23:23">
      <c r="W32694" s="503"/>
    </row>
    <row r="32695" spans="23:23">
      <c r="W32695" s="503"/>
    </row>
    <row r="32696" spans="23:23">
      <c r="W32696" s="503"/>
    </row>
    <row r="32697" spans="23:23">
      <c r="W32697" s="503"/>
    </row>
    <row r="32698" spans="23:23">
      <c r="W32698" s="503"/>
    </row>
    <row r="32699" spans="23:23">
      <c r="W32699" s="503"/>
    </row>
    <row r="32700" spans="23:23">
      <c r="W32700" s="503"/>
    </row>
    <row r="32701" spans="23:23">
      <c r="W32701" s="503"/>
    </row>
    <row r="32702" spans="23:23">
      <c r="W32702" s="503"/>
    </row>
    <row r="32703" spans="23:23">
      <c r="W32703" s="503"/>
    </row>
    <row r="32704" spans="23:23">
      <c r="W32704" s="503"/>
    </row>
    <row r="32705" spans="23:23">
      <c r="W32705" s="503"/>
    </row>
    <row r="32706" spans="23:23">
      <c r="W32706" s="503"/>
    </row>
    <row r="32707" spans="23:23">
      <c r="W32707" s="503"/>
    </row>
    <row r="32708" spans="23:23">
      <c r="W32708" s="503"/>
    </row>
    <row r="32709" spans="23:23">
      <c r="W32709" s="503"/>
    </row>
    <row r="32710" spans="23:23">
      <c r="W32710" s="503"/>
    </row>
    <row r="32711" spans="23:23">
      <c r="W32711" s="503"/>
    </row>
    <row r="32712" spans="23:23">
      <c r="W32712" s="503"/>
    </row>
    <row r="32713" spans="23:23">
      <c r="W32713" s="503"/>
    </row>
    <row r="32714" spans="23:23">
      <c r="W32714" s="503"/>
    </row>
    <row r="32715" spans="23:23">
      <c r="W32715" s="503"/>
    </row>
    <row r="32716" spans="23:23">
      <c r="W32716" s="503"/>
    </row>
    <row r="32717" spans="23:23">
      <c r="W32717" s="503"/>
    </row>
    <row r="32718" spans="23:23">
      <c r="W32718" s="503"/>
    </row>
    <row r="32719" spans="23:23">
      <c r="W32719" s="503"/>
    </row>
    <row r="32720" spans="23:23">
      <c r="W32720" s="503"/>
    </row>
    <row r="32721" spans="23:23">
      <c r="W32721" s="503"/>
    </row>
    <row r="32722" spans="23:23">
      <c r="W32722" s="503"/>
    </row>
    <row r="32723" spans="23:23">
      <c r="W32723" s="503"/>
    </row>
    <row r="32724" spans="23:23">
      <c r="W32724" s="503"/>
    </row>
    <row r="32725" spans="23:23">
      <c r="W32725" s="503"/>
    </row>
    <row r="32726" spans="23:23">
      <c r="W32726" s="503"/>
    </row>
    <row r="32727" spans="23:23">
      <c r="W32727" s="503"/>
    </row>
    <row r="32728" spans="23:23">
      <c r="W32728" s="503"/>
    </row>
    <row r="32729" spans="23:23">
      <c r="W32729" s="503"/>
    </row>
    <row r="32730" spans="23:23">
      <c r="W32730" s="503"/>
    </row>
    <row r="32731" spans="23:23">
      <c r="W32731" s="503"/>
    </row>
    <row r="32732" spans="23:23">
      <c r="W32732" s="503"/>
    </row>
    <row r="32733" spans="23:23">
      <c r="W32733" s="503"/>
    </row>
    <row r="32734" spans="23:23">
      <c r="W32734" s="503"/>
    </row>
    <row r="32735" spans="23:23">
      <c r="W32735" s="503"/>
    </row>
    <row r="32736" spans="23:23">
      <c r="W32736" s="503"/>
    </row>
    <row r="32737" spans="23:23">
      <c r="W32737" s="503"/>
    </row>
    <row r="32738" spans="23:23">
      <c r="W32738" s="503"/>
    </row>
    <row r="32739" spans="23:23">
      <c r="W32739" s="503"/>
    </row>
    <row r="32740" spans="23:23">
      <c r="W32740" s="503"/>
    </row>
    <row r="32741" spans="23:23">
      <c r="W32741" s="503"/>
    </row>
    <row r="32742" spans="23:23">
      <c r="W32742" s="503"/>
    </row>
    <row r="32743" spans="23:23">
      <c r="W32743" s="503"/>
    </row>
    <row r="32744" spans="23:23">
      <c r="W32744" s="503"/>
    </row>
    <row r="32745" spans="23:23">
      <c r="W32745" s="503"/>
    </row>
    <row r="32746" spans="23:23">
      <c r="W32746" s="503"/>
    </row>
    <row r="32747" spans="23:23">
      <c r="W32747" s="503"/>
    </row>
    <row r="32748" spans="23:23">
      <c r="W32748" s="503"/>
    </row>
    <row r="32749" spans="23:23">
      <c r="W32749" s="503"/>
    </row>
    <row r="32750" spans="23:23">
      <c r="W32750" s="503"/>
    </row>
    <row r="32751" spans="23:23">
      <c r="W32751" s="503"/>
    </row>
    <row r="32752" spans="23:23">
      <c r="W32752" s="503"/>
    </row>
    <row r="32753" spans="23:23">
      <c r="W32753" s="503"/>
    </row>
    <row r="32754" spans="23:23">
      <c r="W32754" s="503"/>
    </row>
    <row r="32755" spans="23:23">
      <c r="W32755" s="503"/>
    </row>
    <row r="32756" spans="23:23">
      <c r="W32756" s="503"/>
    </row>
    <row r="32757" spans="23:23">
      <c r="W32757" s="503"/>
    </row>
    <row r="32758" spans="23:23">
      <c r="W32758" s="503"/>
    </row>
    <row r="32759" spans="23:23">
      <c r="W32759" s="503"/>
    </row>
    <row r="32760" spans="23:23">
      <c r="W32760" s="503"/>
    </row>
    <row r="32761" spans="23:23">
      <c r="W32761" s="503"/>
    </row>
    <row r="32762" spans="23:23">
      <c r="W32762" s="503"/>
    </row>
    <row r="32763" spans="23:23">
      <c r="W32763" s="503"/>
    </row>
    <row r="32764" spans="23:23">
      <c r="W32764" s="503"/>
    </row>
    <row r="32765" spans="23:23">
      <c r="W32765" s="503"/>
    </row>
    <row r="32766" spans="23:23">
      <c r="W32766" s="503"/>
    </row>
    <row r="32767" spans="23:23">
      <c r="W32767" s="503"/>
    </row>
    <row r="32768" spans="23:23">
      <c r="W32768" s="503"/>
    </row>
    <row r="32769" spans="23:23">
      <c r="W32769" s="503"/>
    </row>
    <row r="32770" spans="23:23">
      <c r="W32770" s="503"/>
    </row>
    <row r="32771" spans="23:23">
      <c r="W32771" s="503"/>
    </row>
    <row r="32772" spans="23:23">
      <c r="W32772" s="503"/>
    </row>
    <row r="32773" spans="23:23">
      <c r="W32773" s="503"/>
    </row>
    <row r="32774" spans="23:23">
      <c r="W32774" s="503"/>
    </row>
    <row r="32775" spans="23:23">
      <c r="W32775" s="503"/>
    </row>
    <row r="32776" spans="23:23">
      <c r="W32776" s="503"/>
    </row>
    <row r="32777" spans="23:23">
      <c r="W32777" s="503"/>
    </row>
    <row r="32778" spans="23:23">
      <c r="W32778" s="503"/>
    </row>
    <row r="32779" spans="23:23">
      <c r="W32779" s="503"/>
    </row>
    <row r="32780" spans="23:23">
      <c r="W32780" s="503"/>
    </row>
    <row r="32781" spans="23:23">
      <c r="W32781" s="503"/>
    </row>
    <row r="32782" spans="23:23">
      <c r="W32782" s="503"/>
    </row>
    <row r="32783" spans="23:23">
      <c r="W32783" s="503"/>
    </row>
    <row r="32784" spans="23:23">
      <c r="W32784" s="503"/>
    </row>
    <row r="32785" spans="23:23">
      <c r="W32785" s="503"/>
    </row>
    <row r="32786" spans="23:23">
      <c r="W32786" s="503"/>
    </row>
    <row r="32787" spans="23:23">
      <c r="W32787" s="503"/>
    </row>
    <row r="32788" spans="23:23">
      <c r="W32788" s="503"/>
    </row>
    <row r="32789" spans="23:23">
      <c r="W32789" s="503"/>
    </row>
    <row r="32790" spans="23:23">
      <c r="W32790" s="503"/>
    </row>
    <row r="32791" spans="23:23">
      <c r="W32791" s="503"/>
    </row>
    <row r="32792" spans="23:23">
      <c r="W32792" s="503"/>
    </row>
    <row r="32793" spans="23:23">
      <c r="W32793" s="503"/>
    </row>
    <row r="32794" spans="23:23">
      <c r="W32794" s="503"/>
    </row>
    <row r="32795" spans="23:23">
      <c r="W32795" s="503"/>
    </row>
    <row r="32796" spans="23:23">
      <c r="W32796" s="503"/>
    </row>
    <row r="32797" spans="23:23">
      <c r="W32797" s="503"/>
    </row>
    <row r="32798" spans="23:23">
      <c r="W32798" s="503"/>
    </row>
    <row r="32799" spans="23:23">
      <c r="W32799" s="503"/>
    </row>
    <row r="32800" spans="23:23">
      <c r="W32800" s="503"/>
    </row>
    <row r="32801" spans="23:23">
      <c r="W32801" s="503"/>
    </row>
    <row r="32802" spans="23:23">
      <c r="W32802" s="503"/>
    </row>
    <row r="32803" spans="23:23">
      <c r="W32803" s="503"/>
    </row>
    <row r="32804" spans="23:23">
      <c r="W32804" s="503"/>
    </row>
    <row r="32805" spans="23:23">
      <c r="W32805" s="503"/>
    </row>
    <row r="32806" spans="23:23">
      <c r="W32806" s="503"/>
    </row>
    <row r="32807" spans="23:23">
      <c r="W32807" s="503"/>
    </row>
    <row r="32808" spans="23:23">
      <c r="W32808" s="503"/>
    </row>
    <row r="32809" spans="23:23">
      <c r="W32809" s="503"/>
    </row>
    <row r="32810" spans="23:23">
      <c r="W32810" s="503"/>
    </row>
    <row r="32811" spans="23:23">
      <c r="W32811" s="503"/>
    </row>
    <row r="32812" spans="23:23">
      <c r="W32812" s="503"/>
    </row>
    <row r="32813" spans="23:23">
      <c r="W32813" s="503"/>
    </row>
    <row r="32814" spans="23:23">
      <c r="W32814" s="503"/>
    </row>
    <row r="32815" spans="23:23">
      <c r="W32815" s="503"/>
    </row>
    <row r="32816" spans="23:23">
      <c r="W32816" s="503"/>
    </row>
    <row r="32817" spans="23:23">
      <c r="W32817" s="503"/>
    </row>
    <row r="32818" spans="23:23">
      <c r="W32818" s="503"/>
    </row>
    <row r="32819" spans="23:23">
      <c r="W32819" s="503"/>
    </row>
    <row r="32820" spans="23:23">
      <c r="W32820" s="503"/>
    </row>
    <row r="32821" spans="23:23">
      <c r="W32821" s="503"/>
    </row>
    <row r="32822" spans="23:23">
      <c r="W32822" s="503"/>
    </row>
    <row r="32823" spans="23:23">
      <c r="W32823" s="503"/>
    </row>
    <row r="32824" spans="23:23">
      <c r="W32824" s="503"/>
    </row>
    <row r="32825" spans="23:23">
      <c r="W32825" s="503"/>
    </row>
    <row r="32826" spans="23:23">
      <c r="W32826" s="503"/>
    </row>
    <row r="32827" spans="23:23">
      <c r="W32827" s="503"/>
    </row>
    <row r="32828" spans="23:23">
      <c r="W32828" s="503"/>
    </row>
    <row r="32829" spans="23:23">
      <c r="W32829" s="503"/>
    </row>
    <row r="32830" spans="23:23">
      <c r="W32830" s="503"/>
    </row>
    <row r="32831" spans="23:23">
      <c r="W32831" s="503"/>
    </row>
    <row r="32832" spans="23:23">
      <c r="W32832" s="503"/>
    </row>
    <row r="32833" spans="23:23">
      <c r="W32833" s="503"/>
    </row>
    <row r="32834" spans="23:23">
      <c r="W32834" s="503"/>
    </row>
    <row r="32835" spans="23:23">
      <c r="W32835" s="503"/>
    </row>
    <row r="32836" spans="23:23">
      <c r="W32836" s="503"/>
    </row>
    <row r="32837" spans="23:23">
      <c r="W32837" s="503"/>
    </row>
    <row r="32838" spans="23:23">
      <c r="W32838" s="503"/>
    </row>
    <row r="32839" spans="23:23">
      <c r="W32839" s="503"/>
    </row>
    <row r="32840" spans="23:23">
      <c r="W32840" s="503"/>
    </row>
    <row r="32841" spans="23:23">
      <c r="W32841" s="503"/>
    </row>
    <row r="32842" spans="23:23">
      <c r="W32842" s="503"/>
    </row>
    <row r="32843" spans="23:23">
      <c r="W32843" s="503"/>
    </row>
    <row r="32844" spans="23:23">
      <c r="W32844" s="503"/>
    </row>
    <row r="32845" spans="23:23">
      <c r="W32845" s="503"/>
    </row>
    <row r="32846" spans="23:23">
      <c r="W32846" s="503"/>
    </row>
    <row r="32847" spans="23:23">
      <c r="W32847" s="503"/>
    </row>
    <row r="32848" spans="23:23">
      <c r="W32848" s="503"/>
    </row>
    <row r="32849" spans="23:23">
      <c r="W32849" s="503"/>
    </row>
    <row r="32850" spans="23:23">
      <c r="W32850" s="503"/>
    </row>
    <row r="32851" spans="23:23">
      <c r="W32851" s="503"/>
    </row>
    <row r="32852" spans="23:23">
      <c r="W32852" s="503"/>
    </row>
    <row r="32853" spans="23:23">
      <c r="W32853" s="503"/>
    </row>
    <row r="32854" spans="23:23">
      <c r="W32854" s="503"/>
    </row>
    <row r="32855" spans="23:23">
      <c r="W32855" s="503"/>
    </row>
    <row r="32856" spans="23:23">
      <c r="W32856" s="503"/>
    </row>
    <row r="32857" spans="23:23">
      <c r="W32857" s="503"/>
    </row>
    <row r="32858" spans="23:23">
      <c r="W32858" s="503"/>
    </row>
    <row r="32859" spans="23:23">
      <c r="W32859" s="503"/>
    </row>
    <row r="32860" spans="23:23">
      <c r="W32860" s="503"/>
    </row>
    <row r="32861" spans="23:23">
      <c r="W32861" s="503"/>
    </row>
    <row r="32862" spans="23:23">
      <c r="W32862" s="503"/>
    </row>
    <row r="32863" spans="23:23">
      <c r="W32863" s="503"/>
    </row>
    <row r="32864" spans="23:23">
      <c r="W32864" s="503"/>
    </row>
    <row r="32865" spans="23:23">
      <c r="W32865" s="503"/>
    </row>
    <row r="32866" spans="23:23">
      <c r="W32866" s="503"/>
    </row>
    <row r="32867" spans="23:23">
      <c r="W32867" s="503"/>
    </row>
    <row r="32868" spans="23:23">
      <c r="W32868" s="503"/>
    </row>
    <row r="32869" spans="23:23">
      <c r="W32869" s="503"/>
    </row>
    <row r="32870" spans="23:23">
      <c r="W32870" s="503"/>
    </row>
    <row r="32871" spans="23:23">
      <c r="W32871" s="503"/>
    </row>
    <row r="32872" spans="23:23">
      <c r="W32872" s="503"/>
    </row>
    <row r="32873" spans="23:23">
      <c r="W32873" s="503"/>
    </row>
    <row r="32874" spans="23:23">
      <c r="W32874" s="503"/>
    </row>
    <row r="32875" spans="23:23">
      <c r="W32875" s="503"/>
    </row>
    <row r="32876" spans="23:23">
      <c r="W32876" s="503"/>
    </row>
    <row r="32877" spans="23:23">
      <c r="W32877" s="503"/>
    </row>
    <row r="32878" spans="23:23">
      <c r="W32878" s="503"/>
    </row>
    <row r="32879" spans="23:23">
      <c r="W32879" s="503"/>
    </row>
    <row r="32880" spans="23:23">
      <c r="W32880" s="503"/>
    </row>
    <row r="32881" spans="23:23">
      <c r="W32881" s="503"/>
    </row>
    <row r="32882" spans="23:23">
      <c r="W32882" s="503"/>
    </row>
    <row r="32883" spans="23:23">
      <c r="W32883" s="503"/>
    </row>
    <row r="32884" spans="23:23">
      <c r="W32884" s="503"/>
    </row>
    <row r="32885" spans="23:23">
      <c r="W32885" s="503"/>
    </row>
    <row r="32886" spans="23:23">
      <c r="W32886" s="503"/>
    </row>
    <row r="32887" spans="23:23">
      <c r="W32887" s="503"/>
    </row>
    <row r="32888" spans="23:23">
      <c r="W32888" s="503"/>
    </row>
    <row r="32889" spans="23:23">
      <c r="W32889" s="503"/>
    </row>
    <row r="32890" spans="23:23">
      <c r="W32890" s="503"/>
    </row>
    <row r="32891" spans="23:23">
      <c r="W32891" s="503"/>
    </row>
    <row r="32892" spans="23:23">
      <c r="W32892" s="503"/>
    </row>
    <row r="32893" spans="23:23">
      <c r="W32893" s="503"/>
    </row>
    <row r="32894" spans="23:23">
      <c r="W32894" s="503"/>
    </row>
    <row r="32895" spans="23:23">
      <c r="W32895" s="503"/>
    </row>
    <row r="32896" spans="23:23">
      <c r="W32896" s="503"/>
    </row>
    <row r="32897" spans="23:23">
      <c r="W32897" s="503"/>
    </row>
    <row r="32898" spans="23:23">
      <c r="W32898" s="503"/>
    </row>
    <row r="32899" spans="23:23">
      <c r="W32899" s="503"/>
    </row>
    <row r="32900" spans="23:23">
      <c r="W32900" s="503"/>
    </row>
    <row r="32901" spans="23:23">
      <c r="W32901" s="503"/>
    </row>
    <row r="32902" spans="23:23">
      <c r="W32902" s="503"/>
    </row>
    <row r="32903" spans="23:23">
      <c r="W32903" s="503"/>
    </row>
    <row r="32904" spans="23:23">
      <c r="W32904" s="503"/>
    </row>
    <row r="32905" spans="23:23">
      <c r="W32905" s="503"/>
    </row>
    <row r="32906" spans="23:23">
      <c r="W32906" s="503"/>
    </row>
    <row r="32907" spans="23:23">
      <c r="W32907" s="503"/>
    </row>
    <row r="32908" spans="23:23">
      <c r="W32908" s="503"/>
    </row>
    <row r="32909" spans="23:23">
      <c r="W32909" s="503"/>
    </row>
    <row r="32910" spans="23:23">
      <c r="W32910" s="503"/>
    </row>
    <row r="32911" spans="23:23">
      <c r="W32911" s="503"/>
    </row>
    <row r="32912" spans="23:23">
      <c r="W32912" s="503"/>
    </row>
    <row r="32913" spans="23:23">
      <c r="W32913" s="503"/>
    </row>
    <row r="32914" spans="23:23">
      <c r="W32914" s="503"/>
    </row>
    <row r="32915" spans="23:23">
      <c r="W32915" s="503"/>
    </row>
    <row r="32916" spans="23:23">
      <c r="W32916" s="503"/>
    </row>
    <row r="32917" spans="23:23">
      <c r="W32917" s="503"/>
    </row>
    <row r="32918" spans="23:23">
      <c r="W32918" s="503"/>
    </row>
    <row r="32919" spans="23:23">
      <c r="W32919" s="503"/>
    </row>
    <row r="32920" spans="23:23">
      <c r="W32920" s="503"/>
    </row>
    <row r="32921" spans="23:23">
      <c r="W32921" s="503"/>
    </row>
    <row r="32922" spans="23:23">
      <c r="W32922" s="503"/>
    </row>
    <row r="32923" spans="23:23">
      <c r="W32923" s="503"/>
    </row>
    <row r="32924" spans="23:23">
      <c r="W32924" s="503"/>
    </row>
    <row r="32925" spans="23:23">
      <c r="W32925" s="503"/>
    </row>
    <row r="32926" spans="23:23">
      <c r="W32926" s="503"/>
    </row>
    <row r="32927" spans="23:23">
      <c r="W32927" s="503"/>
    </row>
    <row r="32928" spans="23:23">
      <c r="W32928" s="503"/>
    </row>
    <row r="32929" spans="23:23">
      <c r="W32929" s="503"/>
    </row>
    <row r="32930" spans="23:23">
      <c r="W32930" s="503"/>
    </row>
    <row r="32931" spans="23:23">
      <c r="W32931" s="503"/>
    </row>
    <row r="32932" spans="23:23">
      <c r="W32932" s="503"/>
    </row>
    <row r="32933" spans="23:23">
      <c r="W32933" s="503"/>
    </row>
    <row r="32934" spans="23:23">
      <c r="W32934" s="503"/>
    </row>
    <row r="32935" spans="23:23">
      <c r="W32935" s="503"/>
    </row>
    <row r="32936" spans="23:23">
      <c r="W32936" s="503"/>
    </row>
    <row r="32937" spans="23:23">
      <c r="W32937" s="503"/>
    </row>
    <row r="32938" spans="23:23">
      <c r="W32938" s="503"/>
    </row>
    <row r="32939" spans="23:23">
      <c r="W32939" s="503"/>
    </row>
    <row r="32940" spans="23:23">
      <c r="W32940" s="503"/>
    </row>
    <row r="32941" spans="23:23">
      <c r="W32941" s="503"/>
    </row>
    <row r="32942" spans="23:23">
      <c r="W32942" s="503"/>
    </row>
    <row r="32943" spans="23:23">
      <c r="W32943" s="503"/>
    </row>
    <row r="32944" spans="23:23">
      <c r="W32944" s="503"/>
    </row>
    <row r="32945" spans="23:23">
      <c r="W32945" s="503"/>
    </row>
    <row r="32946" spans="23:23">
      <c r="W32946" s="503"/>
    </row>
    <row r="32947" spans="23:23">
      <c r="W32947" s="503"/>
    </row>
    <row r="32948" spans="23:23">
      <c r="W32948" s="503"/>
    </row>
    <row r="32949" spans="23:23">
      <c r="W32949" s="503"/>
    </row>
    <row r="32950" spans="23:23">
      <c r="W32950" s="503"/>
    </row>
    <row r="32951" spans="23:23">
      <c r="W32951" s="503"/>
    </row>
    <row r="32952" spans="23:23">
      <c r="W32952" s="503"/>
    </row>
    <row r="32953" spans="23:23">
      <c r="W32953" s="503"/>
    </row>
    <row r="32954" spans="23:23">
      <c r="W32954" s="503"/>
    </row>
    <row r="32955" spans="23:23">
      <c r="W32955" s="503"/>
    </row>
    <row r="32956" spans="23:23">
      <c r="W32956" s="503"/>
    </row>
    <row r="32957" spans="23:23">
      <c r="W32957" s="503"/>
    </row>
    <row r="32958" spans="23:23">
      <c r="W32958" s="503"/>
    </row>
    <row r="32959" spans="23:23">
      <c r="W32959" s="503"/>
    </row>
    <row r="32960" spans="23:23">
      <c r="W32960" s="503"/>
    </row>
    <row r="32961" spans="23:23">
      <c r="W32961" s="503"/>
    </row>
    <row r="32962" spans="23:23">
      <c r="W32962" s="503"/>
    </row>
    <row r="32963" spans="23:23">
      <c r="W32963" s="503"/>
    </row>
    <row r="32964" spans="23:23">
      <c r="W32964" s="503"/>
    </row>
    <row r="32965" spans="23:23">
      <c r="W32965" s="503"/>
    </row>
    <row r="32966" spans="23:23">
      <c r="W32966" s="503"/>
    </row>
    <row r="32967" spans="23:23">
      <c r="W32967" s="503"/>
    </row>
    <row r="32968" spans="23:23">
      <c r="W32968" s="503"/>
    </row>
    <row r="32969" spans="23:23">
      <c r="W32969" s="503"/>
    </row>
    <row r="32970" spans="23:23">
      <c r="W32970" s="503"/>
    </row>
    <row r="32971" spans="23:23">
      <c r="W32971" s="503"/>
    </row>
    <row r="32972" spans="23:23">
      <c r="W32972" s="503"/>
    </row>
    <row r="32973" spans="23:23">
      <c r="W32973" s="503"/>
    </row>
    <row r="32974" spans="23:23">
      <c r="W32974" s="503"/>
    </row>
    <row r="32975" spans="23:23">
      <c r="W32975" s="503"/>
    </row>
    <row r="32976" spans="23:23">
      <c r="W32976" s="503"/>
    </row>
    <row r="32977" spans="23:23">
      <c r="W32977" s="503"/>
    </row>
    <row r="32978" spans="23:23">
      <c r="W32978" s="503"/>
    </row>
    <row r="32979" spans="23:23">
      <c r="W32979" s="503"/>
    </row>
    <row r="32980" spans="23:23">
      <c r="W32980" s="503"/>
    </row>
    <row r="32981" spans="23:23">
      <c r="W32981" s="503"/>
    </row>
    <row r="32982" spans="23:23">
      <c r="W32982" s="503"/>
    </row>
    <row r="32983" spans="23:23">
      <c r="W32983" s="503"/>
    </row>
    <row r="32984" spans="23:23">
      <c r="W32984" s="503"/>
    </row>
    <row r="32985" spans="23:23">
      <c r="W32985" s="503"/>
    </row>
    <row r="32986" spans="23:23">
      <c r="W32986" s="503"/>
    </row>
    <row r="32987" spans="23:23">
      <c r="W32987" s="503"/>
    </row>
    <row r="32988" spans="23:23">
      <c r="W32988" s="503"/>
    </row>
    <row r="32989" spans="23:23">
      <c r="W32989" s="503"/>
    </row>
    <row r="32990" spans="23:23">
      <c r="W32990" s="503"/>
    </row>
    <row r="32991" spans="23:23">
      <c r="W32991" s="503"/>
    </row>
    <row r="32992" spans="23:23">
      <c r="W32992" s="503"/>
    </row>
    <row r="32993" spans="23:23">
      <c r="W32993" s="503"/>
    </row>
    <row r="32994" spans="23:23">
      <c r="W32994" s="503"/>
    </row>
    <row r="32995" spans="23:23">
      <c r="W32995" s="503"/>
    </row>
    <row r="32996" spans="23:23">
      <c r="W32996" s="503"/>
    </row>
    <row r="32997" spans="23:23">
      <c r="W32997" s="503"/>
    </row>
    <row r="32998" spans="23:23">
      <c r="W32998" s="503"/>
    </row>
    <row r="32999" spans="23:23">
      <c r="W32999" s="503"/>
    </row>
    <row r="33000" spans="23:23">
      <c r="W33000" s="503"/>
    </row>
    <row r="33001" spans="23:23">
      <c r="W33001" s="503"/>
    </row>
    <row r="33002" spans="23:23">
      <c r="W33002" s="503"/>
    </row>
    <row r="33003" spans="23:23">
      <c r="W33003" s="503"/>
    </row>
    <row r="33004" spans="23:23">
      <c r="W33004" s="503"/>
    </row>
    <row r="33005" spans="23:23">
      <c r="W33005" s="503"/>
    </row>
    <row r="33006" spans="23:23">
      <c r="W33006" s="503"/>
    </row>
    <row r="33007" spans="23:23">
      <c r="W33007" s="503"/>
    </row>
    <row r="33008" spans="23:23">
      <c r="W33008" s="503"/>
    </row>
    <row r="33009" spans="23:23">
      <c r="W33009" s="503"/>
    </row>
    <row r="33010" spans="23:23">
      <c r="W33010" s="503"/>
    </row>
    <row r="33011" spans="23:23">
      <c r="W33011" s="503"/>
    </row>
    <row r="33012" spans="23:23">
      <c r="W33012" s="503"/>
    </row>
    <row r="33013" spans="23:23">
      <c r="W33013" s="503"/>
    </row>
    <row r="33014" spans="23:23">
      <c r="W33014" s="503"/>
    </row>
    <row r="33015" spans="23:23">
      <c r="W33015" s="503"/>
    </row>
    <row r="33016" spans="23:23">
      <c r="W33016" s="503"/>
    </row>
    <row r="33017" spans="23:23">
      <c r="W33017" s="503"/>
    </row>
    <row r="33018" spans="23:23">
      <c r="W33018" s="503"/>
    </row>
    <row r="33019" spans="23:23">
      <c r="W33019" s="503"/>
    </row>
    <row r="33020" spans="23:23">
      <c r="W33020" s="503"/>
    </row>
    <row r="33021" spans="23:23">
      <c r="W33021" s="503"/>
    </row>
    <row r="33022" spans="23:23">
      <c r="W33022" s="503"/>
    </row>
    <row r="33023" spans="23:23">
      <c r="W33023" s="503"/>
    </row>
    <row r="33024" spans="23:23">
      <c r="W33024" s="503"/>
    </row>
    <row r="33025" spans="23:23">
      <c r="W33025" s="503"/>
    </row>
    <row r="33026" spans="23:23">
      <c r="W33026" s="503"/>
    </row>
    <row r="33027" spans="23:23">
      <c r="W33027" s="503"/>
    </row>
    <row r="33028" spans="23:23">
      <c r="W33028" s="503"/>
    </row>
    <row r="33029" spans="23:23">
      <c r="W33029" s="503"/>
    </row>
    <row r="33030" spans="23:23">
      <c r="W33030" s="503"/>
    </row>
    <row r="33031" spans="23:23">
      <c r="W33031" s="503"/>
    </row>
    <row r="33032" spans="23:23">
      <c r="W33032" s="503"/>
    </row>
    <row r="33033" spans="23:23">
      <c r="W33033" s="503"/>
    </row>
    <row r="33034" spans="23:23">
      <c r="W33034" s="503"/>
    </row>
    <row r="33035" spans="23:23">
      <c r="W33035" s="503"/>
    </row>
    <row r="33036" spans="23:23">
      <c r="W33036" s="503"/>
    </row>
    <row r="33037" spans="23:23">
      <c r="W33037" s="503"/>
    </row>
    <row r="33038" spans="23:23">
      <c r="W33038" s="503"/>
    </row>
    <row r="33039" spans="23:23">
      <c r="W33039" s="503"/>
    </row>
    <row r="33040" spans="23:23">
      <c r="W33040" s="503"/>
    </row>
    <row r="33041" spans="23:23">
      <c r="W33041" s="503"/>
    </row>
    <row r="33042" spans="23:23">
      <c r="W33042" s="503"/>
    </row>
    <row r="33043" spans="23:23">
      <c r="W33043" s="503"/>
    </row>
    <row r="33044" spans="23:23">
      <c r="W33044" s="503"/>
    </row>
    <row r="33045" spans="23:23">
      <c r="W33045" s="503"/>
    </row>
    <row r="33046" spans="23:23">
      <c r="W33046" s="503"/>
    </row>
    <row r="33047" spans="23:23">
      <c r="W33047" s="503"/>
    </row>
    <row r="33048" spans="23:23">
      <c r="W33048" s="503"/>
    </row>
    <row r="33049" spans="23:23">
      <c r="W33049" s="503"/>
    </row>
    <row r="33050" spans="23:23">
      <c r="W33050" s="503"/>
    </row>
    <row r="33051" spans="23:23">
      <c r="W33051" s="503"/>
    </row>
    <row r="33052" spans="23:23">
      <c r="W33052" s="503"/>
    </row>
    <row r="33053" spans="23:23">
      <c r="W33053" s="503"/>
    </row>
    <row r="33054" spans="23:23">
      <c r="W33054" s="503"/>
    </row>
    <row r="33055" spans="23:23">
      <c r="W33055" s="503"/>
    </row>
    <row r="33056" spans="23:23">
      <c r="W33056" s="503"/>
    </row>
    <row r="33057" spans="23:23">
      <c r="W33057" s="503"/>
    </row>
    <row r="33058" spans="23:23">
      <c r="W33058" s="503"/>
    </row>
    <row r="33059" spans="23:23">
      <c r="W33059" s="503"/>
    </row>
    <row r="33060" spans="23:23">
      <c r="W33060" s="503"/>
    </row>
    <row r="33061" spans="23:23">
      <c r="W33061" s="503"/>
    </row>
    <row r="33062" spans="23:23">
      <c r="W33062" s="503"/>
    </row>
    <row r="33063" spans="23:23">
      <c r="W33063" s="503"/>
    </row>
    <row r="33064" spans="23:23">
      <c r="W33064" s="503"/>
    </row>
    <row r="33065" spans="23:23">
      <c r="W33065" s="503"/>
    </row>
    <row r="33066" spans="23:23">
      <c r="W33066" s="503"/>
    </row>
    <row r="33067" spans="23:23">
      <c r="W33067" s="503"/>
    </row>
    <row r="33068" spans="23:23">
      <c r="W33068" s="503"/>
    </row>
    <row r="33069" spans="23:23">
      <c r="W33069" s="503"/>
    </row>
    <row r="33070" spans="23:23">
      <c r="W33070" s="503"/>
    </row>
    <row r="33071" spans="23:23">
      <c r="W33071" s="503"/>
    </row>
    <row r="33072" spans="23:23">
      <c r="W33072" s="503"/>
    </row>
    <row r="33073" spans="23:23">
      <c r="W33073" s="503"/>
    </row>
    <row r="33074" spans="23:23">
      <c r="W33074" s="503"/>
    </row>
    <row r="33075" spans="23:23">
      <c r="W33075" s="503"/>
    </row>
    <row r="33076" spans="23:23">
      <c r="W33076" s="503"/>
    </row>
    <row r="33077" spans="23:23">
      <c r="W33077" s="503"/>
    </row>
    <row r="33078" spans="23:23">
      <c r="W33078" s="503"/>
    </row>
    <row r="33079" spans="23:23">
      <c r="W33079" s="503"/>
    </row>
    <row r="33080" spans="23:23">
      <c r="W33080" s="503"/>
    </row>
    <row r="33081" spans="23:23">
      <c r="W33081" s="503"/>
    </row>
    <row r="33082" spans="23:23">
      <c r="W33082" s="503"/>
    </row>
    <row r="33083" spans="23:23">
      <c r="W33083" s="503"/>
    </row>
    <row r="33084" spans="23:23">
      <c r="W33084" s="503"/>
    </row>
    <row r="33085" spans="23:23">
      <c r="W33085" s="503"/>
    </row>
    <row r="33086" spans="23:23">
      <c r="W33086" s="503"/>
    </row>
    <row r="33087" spans="23:23">
      <c r="W33087" s="503"/>
    </row>
    <row r="33088" spans="23:23">
      <c r="W33088" s="503"/>
    </row>
    <row r="33089" spans="23:23">
      <c r="W33089" s="503"/>
    </row>
    <row r="33090" spans="23:23">
      <c r="W33090" s="503"/>
    </row>
    <row r="33091" spans="23:23">
      <c r="W33091" s="503"/>
    </row>
    <row r="33092" spans="23:23">
      <c r="W33092" s="503"/>
    </row>
    <row r="33093" spans="23:23">
      <c r="W33093" s="503"/>
    </row>
    <row r="33094" spans="23:23">
      <c r="W33094" s="503"/>
    </row>
    <row r="33095" spans="23:23">
      <c r="W33095" s="503"/>
    </row>
    <row r="33096" spans="23:23">
      <c r="W33096" s="503"/>
    </row>
    <row r="33097" spans="23:23">
      <c r="W33097" s="503"/>
    </row>
    <row r="33098" spans="23:23">
      <c r="W33098" s="503"/>
    </row>
    <row r="33099" spans="23:23">
      <c r="W33099" s="503"/>
    </row>
    <row r="33100" spans="23:23">
      <c r="W33100" s="503"/>
    </row>
    <row r="33101" spans="23:23">
      <c r="W33101" s="503"/>
    </row>
    <row r="33102" spans="23:23">
      <c r="W33102" s="503"/>
    </row>
    <row r="33103" spans="23:23">
      <c r="W33103" s="503"/>
    </row>
    <row r="33104" spans="23:23">
      <c r="W33104" s="503"/>
    </row>
    <row r="33105" spans="23:23">
      <c r="W33105" s="503"/>
    </row>
    <row r="33106" spans="23:23">
      <c r="W33106" s="503"/>
    </row>
    <row r="33107" spans="23:23">
      <c r="W33107" s="503"/>
    </row>
    <row r="33108" spans="23:23">
      <c r="W33108" s="503"/>
    </row>
    <row r="33109" spans="23:23">
      <c r="W33109" s="503"/>
    </row>
    <row r="33110" spans="23:23">
      <c r="W33110" s="503"/>
    </row>
    <row r="33111" spans="23:23">
      <c r="W33111" s="503"/>
    </row>
    <row r="33112" spans="23:23">
      <c r="W33112" s="503"/>
    </row>
    <row r="33113" spans="23:23">
      <c r="W33113" s="503"/>
    </row>
    <row r="33114" spans="23:23">
      <c r="W33114" s="503"/>
    </row>
    <row r="33115" spans="23:23">
      <c r="W33115" s="503"/>
    </row>
    <row r="33116" spans="23:23">
      <c r="W33116" s="503"/>
    </row>
    <row r="33117" spans="23:23">
      <c r="W33117" s="503"/>
    </row>
    <row r="33118" spans="23:23">
      <c r="W33118" s="503"/>
    </row>
    <row r="33119" spans="23:23">
      <c r="W33119" s="503"/>
    </row>
    <row r="33120" spans="23:23">
      <c r="W33120" s="503"/>
    </row>
    <row r="33121" spans="23:23">
      <c r="W33121" s="503"/>
    </row>
    <row r="33122" spans="23:23">
      <c r="W33122" s="503"/>
    </row>
    <row r="33123" spans="23:23">
      <c r="W33123" s="503"/>
    </row>
    <row r="33124" spans="23:23">
      <c r="W33124" s="503"/>
    </row>
    <row r="33125" spans="23:23">
      <c r="W33125" s="503"/>
    </row>
    <row r="33126" spans="23:23">
      <c r="W33126" s="503"/>
    </row>
    <row r="33127" spans="23:23">
      <c r="W33127" s="503"/>
    </row>
    <row r="33128" spans="23:23">
      <c r="W33128" s="503"/>
    </row>
    <row r="33129" spans="23:23">
      <c r="W33129" s="503"/>
    </row>
    <row r="33130" spans="23:23">
      <c r="W33130" s="503"/>
    </row>
    <row r="33131" spans="23:23">
      <c r="W33131" s="503"/>
    </row>
    <row r="33132" spans="23:23">
      <c r="W33132" s="503"/>
    </row>
    <row r="33133" spans="23:23">
      <c r="W33133" s="503"/>
    </row>
    <row r="33134" spans="23:23">
      <c r="W33134" s="503"/>
    </row>
    <row r="33135" spans="23:23">
      <c r="W33135" s="503"/>
    </row>
    <row r="33136" spans="23:23">
      <c r="W33136" s="503"/>
    </row>
    <row r="33137" spans="23:23">
      <c r="W33137" s="503"/>
    </row>
    <row r="33138" spans="23:23">
      <c r="W33138" s="503"/>
    </row>
    <row r="33139" spans="23:23">
      <c r="W33139" s="503"/>
    </row>
    <row r="33140" spans="23:23">
      <c r="W33140" s="503"/>
    </row>
    <row r="33141" spans="23:23">
      <c r="W33141" s="503"/>
    </row>
    <row r="33142" spans="23:23">
      <c r="W33142" s="503"/>
    </row>
    <row r="33143" spans="23:23">
      <c r="W33143" s="503"/>
    </row>
    <row r="33144" spans="23:23">
      <c r="W33144" s="503"/>
    </row>
    <row r="33145" spans="23:23">
      <c r="W33145" s="503"/>
    </row>
    <row r="33146" spans="23:23">
      <c r="W33146" s="503"/>
    </row>
    <row r="33147" spans="23:23">
      <c r="W33147" s="503"/>
    </row>
    <row r="33148" spans="23:23">
      <c r="W33148" s="503"/>
    </row>
    <row r="33149" spans="23:23">
      <c r="W33149" s="503"/>
    </row>
    <row r="33150" spans="23:23">
      <c r="W33150" s="503"/>
    </row>
    <row r="33151" spans="23:23">
      <c r="W33151" s="503"/>
    </row>
    <row r="33152" spans="23:23">
      <c r="W33152" s="503"/>
    </row>
    <row r="33153" spans="23:23">
      <c r="W33153" s="503"/>
    </row>
    <row r="33154" spans="23:23">
      <c r="W33154" s="503"/>
    </row>
    <row r="33155" spans="23:23">
      <c r="W33155" s="503"/>
    </row>
    <row r="33156" spans="23:23">
      <c r="W33156" s="503"/>
    </row>
    <row r="33157" spans="23:23">
      <c r="W33157" s="503"/>
    </row>
    <row r="33158" spans="23:23">
      <c r="W33158" s="503"/>
    </row>
    <row r="33159" spans="23:23">
      <c r="W33159" s="503"/>
    </row>
    <row r="33160" spans="23:23">
      <c r="W33160" s="503"/>
    </row>
    <row r="33161" spans="23:23">
      <c r="W33161" s="503"/>
    </row>
    <row r="33162" spans="23:23">
      <c r="W33162" s="503"/>
    </row>
    <row r="33163" spans="23:23">
      <c r="W33163" s="503"/>
    </row>
    <row r="33164" spans="23:23">
      <c r="W33164" s="503"/>
    </row>
    <row r="33165" spans="23:23">
      <c r="W33165" s="503"/>
    </row>
    <row r="33166" spans="23:23">
      <c r="W33166" s="503"/>
    </row>
    <row r="33167" spans="23:23">
      <c r="W33167" s="503"/>
    </row>
    <row r="33168" spans="23:23">
      <c r="W33168" s="503"/>
    </row>
    <row r="33169" spans="23:23">
      <c r="W33169" s="503"/>
    </row>
    <row r="33170" spans="23:23">
      <c r="W33170" s="503"/>
    </row>
    <row r="33171" spans="23:23">
      <c r="W33171" s="503"/>
    </row>
    <row r="33172" spans="23:23">
      <c r="W33172" s="503"/>
    </row>
    <row r="33173" spans="23:23">
      <c r="W33173" s="503"/>
    </row>
    <row r="33174" spans="23:23">
      <c r="W33174" s="503"/>
    </row>
    <row r="33175" spans="23:23">
      <c r="W33175" s="503"/>
    </row>
    <row r="33176" spans="23:23">
      <c r="W33176" s="503"/>
    </row>
    <row r="33177" spans="23:23">
      <c r="W33177" s="503"/>
    </row>
    <row r="33178" spans="23:23">
      <c r="W33178" s="503"/>
    </row>
    <row r="33179" spans="23:23">
      <c r="W33179" s="503"/>
    </row>
    <row r="33180" spans="23:23">
      <c r="W33180" s="503"/>
    </row>
    <row r="33181" spans="23:23">
      <c r="W33181" s="503"/>
    </row>
    <row r="33182" spans="23:23">
      <c r="W33182" s="503"/>
    </row>
    <row r="33183" spans="23:23">
      <c r="W33183" s="503"/>
    </row>
    <row r="33184" spans="23:23">
      <c r="W33184" s="503"/>
    </row>
    <row r="33185" spans="23:23">
      <c r="W33185" s="503"/>
    </row>
    <row r="33186" spans="23:23">
      <c r="W33186" s="503"/>
    </row>
    <row r="33187" spans="23:23">
      <c r="W33187" s="503"/>
    </row>
    <row r="33188" spans="23:23">
      <c r="W33188" s="503"/>
    </row>
    <row r="33189" spans="23:23">
      <c r="W33189" s="503"/>
    </row>
    <row r="33190" spans="23:23">
      <c r="W33190" s="503"/>
    </row>
    <row r="33191" spans="23:23">
      <c r="W33191" s="503"/>
    </row>
    <row r="33192" spans="23:23">
      <c r="W33192" s="503"/>
    </row>
    <row r="33193" spans="23:23">
      <c r="W33193" s="503"/>
    </row>
    <row r="33194" spans="23:23">
      <c r="W33194" s="503"/>
    </row>
    <row r="33195" spans="23:23">
      <c r="W33195" s="503"/>
    </row>
    <row r="33196" spans="23:23">
      <c r="W33196" s="503"/>
    </row>
    <row r="33197" spans="23:23">
      <c r="W33197" s="503"/>
    </row>
    <row r="33198" spans="23:23">
      <c r="W33198" s="503"/>
    </row>
    <row r="33199" spans="23:23">
      <c r="W33199" s="503"/>
    </row>
    <row r="33200" spans="23:23">
      <c r="W33200" s="503"/>
    </row>
    <row r="33201" spans="23:23">
      <c r="W33201" s="503"/>
    </row>
    <row r="33202" spans="23:23">
      <c r="W33202" s="503"/>
    </row>
    <row r="33203" spans="23:23">
      <c r="W33203" s="503"/>
    </row>
    <row r="33204" spans="23:23">
      <c r="W33204" s="503"/>
    </row>
    <row r="33205" spans="23:23">
      <c r="W33205" s="503"/>
    </row>
    <row r="33206" spans="23:23">
      <c r="W33206" s="503"/>
    </row>
    <row r="33207" spans="23:23">
      <c r="W33207" s="503"/>
    </row>
    <row r="33208" spans="23:23">
      <c r="W33208" s="503"/>
    </row>
    <row r="33209" spans="23:23">
      <c r="W33209" s="503"/>
    </row>
    <row r="33210" spans="23:23">
      <c r="W33210" s="503"/>
    </row>
    <row r="33211" spans="23:23">
      <c r="W33211" s="503"/>
    </row>
    <row r="33212" spans="23:23">
      <c r="W33212" s="503"/>
    </row>
    <row r="33213" spans="23:23">
      <c r="W33213" s="503"/>
    </row>
    <row r="33214" spans="23:23">
      <c r="W33214" s="503"/>
    </row>
    <row r="33215" spans="23:23">
      <c r="W33215" s="503"/>
    </row>
    <row r="33216" spans="23:23">
      <c r="W33216" s="503"/>
    </row>
    <row r="33217" spans="23:23">
      <c r="W33217" s="503"/>
    </row>
    <row r="33218" spans="23:23">
      <c r="W33218" s="503"/>
    </row>
    <row r="33219" spans="23:23">
      <c r="W33219" s="503"/>
    </row>
    <row r="33220" spans="23:23">
      <c r="W33220" s="503"/>
    </row>
    <row r="33221" spans="23:23">
      <c r="W33221" s="503"/>
    </row>
    <row r="33222" spans="23:23">
      <c r="W33222" s="503"/>
    </row>
    <row r="33223" spans="23:23">
      <c r="W33223" s="503"/>
    </row>
    <row r="33224" spans="23:23">
      <c r="W33224" s="503"/>
    </row>
    <row r="33225" spans="23:23">
      <c r="W33225" s="503"/>
    </row>
    <row r="33226" spans="23:23">
      <c r="W33226" s="503"/>
    </row>
    <row r="33227" spans="23:23">
      <c r="W33227" s="503"/>
    </row>
    <row r="33228" spans="23:23">
      <c r="W33228" s="503"/>
    </row>
    <row r="33229" spans="23:23">
      <c r="W33229" s="503"/>
    </row>
    <row r="33230" spans="23:23">
      <c r="W33230" s="503"/>
    </row>
    <row r="33231" spans="23:23">
      <c r="W33231" s="503"/>
    </row>
    <row r="33232" spans="23:23">
      <c r="W33232" s="503"/>
    </row>
    <row r="33233" spans="23:23">
      <c r="W33233" s="503"/>
    </row>
    <row r="33234" spans="23:23">
      <c r="W33234" s="503"/>
    </row>
    <row r="33235" spans="23:23">
      <c r="W33235" s="503"/>
    </row>
    <row r="33236" spans="23:23">
      <c r="W33236" s="503"/>
    </row>
    <row r="33237" spans="23:23">
      <c r="W33237" s="503"/>
    </row>
    <row r="33238" spans="23:23">
      <c r="W33238" s="503"/>
    </row>
    <row r="33239" spans="23:23">
      <c r="W33239" s="503"/>
    </row>
    <row r="33240" spans="23:23">
      <c r="W33240" s="503"/>
    </row>
    <row r="33241" spans="23:23">
      <c r="W33241" s="503"/>
    </row>
    <row r="33242" spans="23:23">
      <c r="W33242" s="503"/>
    </row>
    <row r="33243" spans="23:23">
      <c r="W33243" s="503"/>
    </row>
    <row r="33244" spans="23:23">
      <c r="W33244" s="503"/>
    </row>
    <row r="33245" spans="23:23">
      <c r="W33245" s="503"/>
    </row>
    <row r="33246" spans="23:23">
      <c r="W33246" s="503"/>
    </row>
    <row r="33247" spans="23:23">
      <c r="W33247" s="503"/>
    </row>
    <row r="33248" spans="23:23">
      <c r="W33248" s="503"/>
    </row>
    <row r="33249" spans="23:23">
      <c r="W33249" s="503"/>
    </row>
    <row r="33250" spans="23:23">
      <c r="W33250" s="503"/>
    </row>
    <row r="33251" spans="23:23">
      <c r="W33251" s="503"/>
    </row>
    <row r="33252" spans="23:23">
      <c r="W33252" s="503"/>
    </row>
    <row r="33253" spans="23:23">
      <c r="W33253" s="503"/>
    </row>
    <row r="33254" spans="23:23">
      <c r="W33254" s="503"/>
    </row>
    <row r="33255" spans="23:23">
      <c r="W33255" s="503"/>
    </row>
    <row r="33256" spans="23:23">
      <c r="W33256" s="503"/>
    </row>
    <row r="33257" spans="23:23">
      <c r="W33257" s="503"/>
    </row>
    <row r="33258" spans="23:23">
      <c r="W33258" s="503"/>
    </row>
    <row r="33259" spans="23:23">
      <c r="W33259" s="503"/>
    </row>
    <row r="33260" spans="23:23">
      <c r="W33260" s="503"/>
    </row>
    <row r="33261" spans="23:23">
      <c r="W33261" s="503"/>
    </row>
    <row r="33262" spans="23:23">
      <c r="W33262" s="503"/>
    </row>
    <row r="33263" spans="23:23">
      <c r="W33263" s="503"/>
    </row>
    <row r="33264" spans="23:23">
      <c r="W33264" s="503"/>
    </row>
    <row r="33265" spans="23:23">
      <c r="W33265" s="503"/>
    </row>
    <row r="33266" spans="23:23">
      <c r="W33266" s="503"/>
    </row>
    <row r="33267" spans="23:23">
      <c r="W33267" s="503"/>
    </row>
    <row r="33268" spans="23:23">
      <c r="W33268" s="503"/>
    </row>
    <row r="33269" spans="23:23">
      <c r="W33269" s="503"/>
    </row>
    <row r="33270" spans="23:23">
      <c r="W33270" s="503"/>
    </row>
    <row r="33271" spans="23:23">
      <c r="W33271" s="503"/>
    </row>
    <row r="33272" spans="23:23">
      <c r="W33272" s="503"/>
    </row>
    <row r="33273" spans="23:23">
      <c r="W33273" s="503"/>
    </row>
    <row r="33274" spans="23:23">
      <c r="W33274" s="503"/>
    </row>
    <row r="33275" spans="23:23">
      <c r="W33275" s="503"/>
    </row>
    <row r="33276" spans="23:23">
      <c r="W33276" s="503"/>
    </row>
    <row r="33277" spans="23:23">
      <c r="W33277" s="503"/>
    </row>
    <row r="33278" spans="23:23">
      <c r="W33278" s="503"/>
    </row>
    <row r="33279" spans="23:23">
      <c r="W33279" s="503"/>
    </row>
    <row r="33280" spans="23:23">
      <c r="W33280" s="503"/>
    </row>
    <row r="33281" spans="23:23">
      <c r="W33281" s="503"/>
    </row>
    <row r="33282" spans="23:23">
      <c r="W33282" s="503"/>
    </row>
    <row r="33283" spans="23:23">
      <c r="W33283" s="503"/>
    </row>
    <row r="33284" spans="23:23">
      <c r="W33284" s="503"/>
    </row>
    <row r="33285" spans="23:23">
      <c r="W33285" s="503"/>
    </row>
    <row r="33286" spans="23:23">
      <c r="W33286" s="503"/>
    </row>
    <row r="33287" spans="23:23">
      <c r="W33287" s="503"/>
    </row>
    <row r="33288" spans="23:23">
      <c r="W33288" s="503"/>
    </row>
    <row r="33289" spans="23:23">
      <c r="W33289" s="503"/>
    </row>
    <row r="33290" spans="23:23">
      <c r="W33290" s="503"/>
    </row>
    <row r="33291" spans="23:23">
      <c r="W33291" s="503"/>
    </row>
    <row r="33292" spans="23:23">
      <c r="W33292" s="503"/>
    </row>
    <row r="33293" spans="23:23">
      <c r="W33293" s="503"/>
    </row>
    <row r="33294" spans="23:23">
      <c r="W33294" s="503"/>
    </row>
    <row r="33295" spans="23:23">
      <c r="W33295" s="503"/>
    </row>
    <row r="33296" spans="23:23">
      <c r="W33296" s="503"/>
    </row>
    <row r="33297" spans="23:23">
      <c r="W33297" s="503"/>
    </row>
    <row r="33298" spans="23:23">
      <c r="W33298" s="503"/>
    </row>
    <row r="33299" spans="23:23">
      <c r="W33299" s="503"/>
    </row>
    <row r="33300" spans="23:23">
      <c r="W33300" s="503"/>
    </row>
    <row r="33301" spans="23:23">
      <c r="W33301" s="503"/>
    </row>
    <row r="33302" spans="23:23">
      <c r="W33302" s="503"/>
    </row>
    <row r="33303" spans="23:23">
      <c r="W33303" s="503"/>
    </row>
    <row r="33304" spans="23:23">
      <c r="W33304" s="503"/>
    </row>
    <row r="33305" spans="23:23">
      <c r="W33305" s="503"/>
    </row>
    <row r="33306" spans="23:23">
      <c r="W33306" s="503"/>
    </row>
    <row r="33307" spans="23:23">
      <c r="W33307" s="503"/>
    </row>
    <row r="33308" spans="23:23">
      <c r="W33308" s="503"/>
    </row>
    <row r="33309" spans="23:23">
      <c r="W33309" s="503"/>
    </row>
    <row r="33310" spans="23:23">
      <c r="W33310" s="503"/>
    </row>
    <row r="33311" spans="23:23">
      <c r="W33311" s="503"/>
    </row>
    <row r="33312" spans="23:23">
      <c r="W33312" s="503"/>
    </row>
    <row r="33313" spans="23:23">
      <c r="W33313" s="503"/>
    </row>
    <row r="33314" spans="23:23">
      <c r="W33314" s="503"/>
    </row>
    <row r="33315" spans="23:23">
      <c r="W33315" s="503"/>
    </row>
    <row r="33316" spans="23:23">
      <c r="W33316" s="503"/>
    </row>
    <row r="33317" spans="23:23">
      <c r="W33317" s="503"/>
    </row>
    <row r="33318" spans="23:23">
      <c r="W33318" s="503"/>
    </row>
    <row r="33319" spans="23:23">
      <c r="W33319" s="503"/>
    </row>
    <row r="33320" spans="23:23">
      <c r="W33320" s="503"/>
    </row>
    <row r="33321" spans="23:23">
      <c r="W33321" s="503"/>
    </row>
    <row r="33322" spans="23:23">
      <c r="W33322" s="503"/>
    </row>
    <row r="33323" spans="23:23">
      <c r="W33323" s="503"/>
    </row>
    <row r="33324" spans="23:23">
      <c r="W33324" s="503"/>
    </row>
    <row r="33325" spans="23:23">
      <c r="W33325" s="503"/>
    </row>
    <row r="33326" spans="23:23">
      <c r="W33326" s="503"/>
    </row>
    <row r="33327" spans="23:23">
      <c r="W33327" s="503"/>
    </row>
    <row r="33328" spans="23:23">
      <c r="W33328" s="503"/>
    </row>
    <row r="33329" spans="23:23">
      <c r="W33329" s="503"/>
    </row>
    <row r="33330" spans="23:23">
      <c r="W33330" s="503"/>
    </row>
    <row r="33331" spans="23:23">
      <c r="W33331" s="503"/>
    </row>
    <row r="33332" spans="23:23">
      <c r="W33332" s="503"/>
    </row>
    <row r="33333" spans="23:23">
      <c r="W33333" s="503"/>
    </row>
    <row r="33334" spans="23:23">
      <c r="W33334" s="503"/>
    </row>
    <row r="33335" spans="23:23">
      <c r="W33335" s="503"/>
    </row>
    <row r="33336" spans="23:23">
      <c r="W33336" s="503"/>
    </row>
    <row r="33337" spans="23:23">
      <c r="W33337" s="503"/>
    </row>
    <row r="33338" spans="23:23">
      <c r="W33338" s="503"/>
    </row>
    <row r="33339" spans="23:23">
      <c r="W33339" s="503"/>
    </row>
    <row r="33340" spans="23:23">
      <c r="W33340" s="503"/>
    </row>
    <row r="33341" spans="23:23">
      <c r="W33341" s="503"/>
    </row>
    <row r="33342" spans="23:23">
      <c r="W33342" s="503"/>
    </row>
    <row r="33343" spans="23:23">
      <c r="W33343" s="503"/>
    </row>
    <row r="33344" spans="23:23">
      <c r="W33344" s="503"/>
    </row>
    <row r="33345" spans="23:23">
      <c r="W33345" s="503"/>
    </row>
    <row r="33346" spans="23:23">
      <c r="W33346" s="503"/>
    </row>
    <row r="33347" spans="23:23">
      <c r="W33347" s="503"/>
    </row>
    <row r="33348" spans="23:23">
      <c r="W33348" s="503"/>
    </row>
    <row r="33349" spans="23:23">
      <c r="W33349" s="503"/>
    </row>
    <row r="33350" spans="23:23">
      <c r="W33350" s="503"/>
    </row>
    <row r="33351" spans="23:23">
      <c r="W33351" s="503"/>
    </row>
    <row r="33352" spans="23:23">
      <c r="W33352" s="503"/>
    </row>
    <row r="33353" spans="23:23">
      <c r="W33353" s="503"/>
    </row>
    <row r="33354" spans="23:23">
      <c r="W33354" s="503"/>
    </row>
    <row r="33355" spans="23:23">
      <c r="W33355" s="503"/>
    </row>
    <row r="33356" spans="23:23">
      <c r="W33356" s="503"/>
    </row>
    <row r="33357" spans="23:23">
      <c r="W33357" s="503"/>
    </row>
    <row r="33358" spans="23:23">
      <c r="W33358" s="503"/>
    </row>
    <row r="33359" spans="23:23">
      <c r="W33359" s="503"/>
    </row>
    <row r="33360" spans="23:23">
      <c r="W33360" s="503"/>
    </row>
    <row r="33361" spans="23:23">
      <c r="W33361" s="503"/>
    </row>
    <row r="33362" spans="23:23">
      <c r="W33362" s="503"/>
    </row>
    <row r="33363" spans="23:23">
      <c r="W33363" s="503"/>
    </row>
    <row r="33364" spans="23:23">
      <c r="W33364" s="503"/>
    </row>
    <row r="33365" spans="23:23">
      <c r="W33365" s="503"/>
    </row>
    <row r="33366" spans="23:23">
      <c r="W33366" s="503"/>
    </row>
    <row r="33367" spans="23:23">
      <c r="W33367" s="503"/>
    </row>
    <row r="33368" spans="23:23">
      <c r="W33368" s="503"/>
    </row>
    <row r="33369" spans="23:23">
      <c r="W33369" s="503"/>
    </row>
    <row r="33370" spans="23:23">
      <c r="W33370" s="503"/>
    </row>
    <row r="33371" spans="23:23">
      <c r="W33371" s="503"/>
    </row>
    <row r="33372" spans="23:23">
      <c r="W33372" s="503"/>
    </row>
    <row r="33373" spans="23:23">
      <c r="W33373" s="503"/>
    </row>
    <row r="33374" spans="23:23">
      <c r="W33374" s="503"/>
    </row>
    <row r="33375" spans="23:23">
      <c r="W33375" s="503"/>
    </row>
    <row r="33376" spans="23:23">
      <c r="W33376" s="503"/>
    </row>
    <row r="33377" spans="23:23">
      <c r="W33377" s="503"/>
    </row>
    <row r="33378" spans="23:23">
      <c r="W33378" s="503"/>
    </row>
    <row r="33379" spans="23:23">
      <c r="W33379" s="503"/>
    </row>
    <row r="33380" spans="23:23">
      <c r="W33380" s="503"/>
    </row>
    <row r="33381" spans="23:23">
      <c r="W33381" s="503"/>
    </row>
    <row r="33382" spans="23:23">
      <c r="W33382" s="503"/>
    </row>
    <row r="33383" spans="23:23">
      <c r="W33383" s="503"/>
    </row>
    <row r="33384" spans="23:23">
      <c r="W33384" s="503"/>
    </row>
    <row r="33385" spans="23:23">
      <c r="W33385" s="503"/>
    </row>
    <row r="33386" spans="23:23">
      <c r="W33386" s="503"/>
    </row>
    <row r="33387" spans="23:23">
      <c r="W33387" s="503"/>
    </row>
    <row r="33388" spans="23:23">
      <c r="W33388" s="503"/>
    </row>
    <row r="33389" spans="23:23">
      <c r="W33389" s="503"/>
    </row>
    <row r="33390" spans="23:23">
      <c r="W33390" s="503"/>
    </row>
    <row r="33391" spans="23:23">
      <c r="W33391" s="503"/>
    </row>
    <row r="33392" spans="23:23">
      <c r="W33392" s="503"/>
    </row>
    <row r="33393" spans="23:23">
      <c r="W33393" s="503"/>
    </row>
    <row r="33394" spans="23:23">
      <c r="W33394" s="503"/>
    </row>
    <row r="33395" spans="23:23">
      <c r="W33395" s="503"/>
    </row>
    <row r="33396" spans="23:23">
      <c r="W33396" s="503"/>
    </row>
    <row r="33397" spans="23:23">
      <c r="W33397" s="503"/>
    </row>
    <row r="33398" spans="23:23">
      <c r="W33398" s="503"/>
    </row>
    <row r="33399" spans="23:23">
      <c r="W33399" s="503"/>
    </row>
    <row r="33400" spans="23:23">
      <c r="W33400" s="503"/>
    </row>
    <row r="33401" spans="23:23">
      <c r="W33401" s="503"/>
    </row>
    <row r="33402" spans="23:23">
      <c r="W33402" s="503"/>
    </row>
    <row r="33403" spans="23:23">
      <c r="W33403" s="503"/>
    </row>
    <row r="33404" spans="23:23">
      <c r="W33404" s="503"/>
    </row>
    <row r="33405" spans="23:23">
      <c r="W33405" s="503"/>
    </row>
    <row r="33406" spans="23:23">
      <c r="W33406" s="503"/>
    </row>
    <row r="33407" spans="23:23">
      <c r="W33407" s="503"/>
    </row>
    <row r="33408" spans="23:23">
      <c r="W33408" s="503"/>
    </row>
    <row r="33409" spans="23:23">
      <c r="W33409" s="503"/>
    </row>
    <row r="33410" spans="23:23">
      <c r="W33410" s="503"/>
    </row>
    <row r="33411" spans="23:23">
      <c r="W33411" s="503"/>
    </row>
    <row r="33412" spans="23:23">
      <c r="W33412" s="503"/>
    </row>
    <row r="33413" spans="23:23">
      <c r="W33413" s="503"/>
    </row>
    <row r="33414" spans="23:23">
      <c r="W33414" s="503"/>
    </row>
    <row r="33415" spans="23:23">
      <c r="W33415" s="503"/>
    </row>
    <row r="33416" spans="23:23">
      <c r="W33416" s="503"/>
    </row>
    <row r="33417" spans="23:23">
      <c r="W33417" s="503"/>
    </row>
    <row r="33418" spans="23:23">
      <c r="W33418" s="503"/>
    </row>
    <row r="33419" spans="23:23">
      <c r="W33419" s="503"/>
    </row>
    <row r="33420" spans="23:23">
      <c r="W33420" s="503"/>
    </row>
    <row r="33421" spans="23:23">
      <c r="W33421" s="503"/>
    </row>
    <row r="33422" spans="23:23">
      <c r="W33422" s="503"/>
    </row>
    <row r="33423" spans="23:23">
      <c r="W33423" s="503"/>
    </row>
    <row r="33424" spans="23:23">
      <c r="W33424" s="503"/>
    </row>
    <row r="33425" spans="23:23">
      <c r="W33425" s="503"/>
    </row>
    <row r="33426" spans="23:23">
      <c r="W33426" s="503"/>
    </row>
    <row r="33427" spans="23:23">
      <c r="W33427" s="503"/>
    </row>
    <row r="33428" spans="23:23">
      <c r="W33428" s="503"/>
    </row>
    <row r="33429" spans="23:23">
      <c r="W33429" s="503"/>
    </row>
    <row r="33430" spans="23:23">
      <c r="W33430" s="503"/>
    </row>
    <row r="33431" spans="23:23">
      <c r="W33431" s="503"/>
    </row>
    <row r="33432" spans="23:23">
      <c r="W33432" s="503"/>
    </row>
    <row r="33433" spans="23:23">
      <c r="W33433" s="503"/>
    </row>
    <row r="33434" spans="23:23">
      <c r="W33434" s="503"/>
    </row>
    <row r="33435" spans="23:23">
      <c r="W33435" s="503"/>
    </row>
    <row r="33436" spans="23:23">
      <c r="W33436" s="503"/>
    </row>
    <row r="33437" spans="23:23">
      <c r="W33437" s="503"/>
    </row>
    <row r="33438" spans="23:23">
      <c r="W33438" s="503"/>
    </row>
    <row r="33439" spans="23:23">
      <c r="W33439" s="503"/>
    </row>
    <row r="33440" spans="23:23">
      <c r="W33440" s="503"/>
    </row>
    <row r="33441" spans="23:23">
      <c r="W33441" s="503"/>
    </row>
    <row r="33442" spans="23:23">
      <c r="W33442" s="503"/>
    </row>
    <row r="33443" spans="23:23">
      <c r="W33443" s="503"/>
    </row>
    <row r="33444" spans="23:23">
      <c r="W33444" s="503"/>
    </row>
    <row r="33445" spans="23:23">
      <c r="W33445" s="503"/>
    </row>
    <row r="33446" spans="23:23">
      <c r="W33446" s="503"/>
    </row>
    <row r="33447" spans="23:23">
      <c r="W33447" s="503"/>
    </row>
    <row r="33448" spans="23:23">
      <c r="W33448" s="503"/>
    </row>
    <row r="33449" spans="23:23">
      <c r="W33449" s="503"/>
    </row>
    <row r="33450" spans="23:23">
      <c r="W33450" s="503"/>
    </row>
    <row r="33451" spans="23:23">
      <c r="W33451" s="503"/>
    </row>
    <row r="33452" spans="23:23">
      <c r="W33452" s="503"/>
    </row>
    <row r="33453" spans="23:23">
      <c r="W33453" s="503"/>
    </row>
    <row r="33454" spans="23:23">
      <c r="W33454" s="503"/>
    </row>
    <row r="33455" spans="23:23">
      <c r="W33455" s="503"/>
    </row>
    <row r="33456" spans="23:23">
      <c r="W33456" s="503"/>
    </row>
    <row r="33457" spans="23:23">
      <c r="W33457" s="503"/>
    </row>
    <row r="33458" spans="23:23">
      <c r="W33458" s="503"/>
    </row>
    <row r="33459" spans="23:23">
      <c r="W33459" s="503"/>
    </row>
    <row r="33460" spans="23:23">
      <c r="W33460" s="503"/>
    </row>
    <row r="33461" spans="23:23">
      <c r="W33461" s="503"/>
    </row>
    <row r="33462" spans="23:23">
      <c r="W33462" s="503"/>
    </row>
    <row r="33463" spans="23:23">
      <c r="W33463" s="503"/>
    </row>
    <row r="33464" spans="23:23">
      <c r="W33464" s="503"/>
    </row>
    <row r="33465" spans="23:23">
      <c r="W33465" s="503"/>
    </row>
    <row r="33466" spans="23:23">
      <c r="W33466" s="503"/>
    </row>
    <row r="33467" spans="23:23">
      <c r="W33467" s="503"/>
    </row>
    <row r="33468" spans="23:23">
      <c r="W33468" s="503"/>
    </row>
    <row r="33469" spans="23:23">
      <c r="W33469" s="503"/>
    </row>
    <row r="33470" spans="23:23">
      <c r="W33470" s="503"/>
    </row>
    <row r="33471" spans="23:23">
      <c r="W33471" s="503"/>
    </row>
    <row r="33472" spans="23:23">
      <c r="W33472" s="503"/>
    </row>
    <row r="33473" spans="23:23">
      <c r="W33473" s="503"/>
    </row>
    <row r="33474" spans="23:23">
      <c r="W33474" s="503"/>
    </row>
    <row r="33475" spans="23:23">
      <c r="W33475" s="503"/>
    </row>
    <row r="33476" spans="23:23">
      <c r="W33476" s="503"/>
    </row>
    <row r="33477" spans="23:23">
      <c r="W33477" s="503"/>
    </row>
    <row r="33478" spans="23:23">
      <c r="W33478" s="503"/>
    </row>
    <row r="33479" spans="23:23">
      <c r="W33479" s="503"/>
    </row>
    <row r="33480" spans="23:23">
      <c r="W33480" s="503"/>
    </row>
    <row r="33481" spans="23:23">
      <c r="W33481" s="503"/>
    </row>
    <row r="33482" spans="23:23">
      <c r="W33482" s="503"/>
    </row>
    <row r="33483" spans="23:23">
      <c r="W33483" s="503"/>
    </row>
    <row r="33484" spans="23:23">
      <c r="W33484" s="503"/>
    </row>
    <row r="33485" spans="23:23">
      <c r="W33485" s="503"/>
    </row>
    <row r="33486" spans="23:23">
      <c r="W33486" s="503"/>
    </row>
    <row r="33487" spans="23:23">
      <c r="W33487" s="503"/>
    </row>
    <row r="33488" spans="23:23">
      <c r="W33488" s="503"/>
    </row>
    <row r="33489" spans="23:23">
      <c r="W33489" s="503"/>
    </row>
    <row r="33490" spans="23:23">
      <c r="W33490" s="503"/>
    </row>
    <row r="33491" spans="23:23">
      <c r="W33491" s="503"/>
    </row>
    <row r="33492" spans="23:23">
      <c r="W33492" s="503"/>
    </row>
    <row r="33493" spans="23:23">
      <c r="W33493" s="503"/>
    </row>
    <row r="33494" spans="23:23">
      <c r="W33494" s="503"/>
    </row>
    <row r="33495" spans="23:23">
      <c r="W33495" s="503"/>
    </row>
    <row r="33496" spans="23:23">
      <c r="W33496" s="503"/>
    </row>
    <row r="33497" spans="23:23">
      <c r="W33497" s="503"/>
    </row>
    <row r="33498" spans="23:23">
      <c r="W33498" s="503"/>
    </row>
    <row r="33499" spans="23:23">
      <c r="W33499" s="503"/>
    </row>
    <row r="33500" spans="23:23">
      <c r="W33500" s="503"/>
    </row>
    <row r="33501" spans="23:23">
      <c r="W33501" s="503"/>
    </row>
    <row r="33502" spans="23:23">
      <c r="W33502" s="503"/>
    </row>
    <row r="33503" spans="23:23">
      <c r="W33503" s="503"/>
    </row>
    <row r="33504" spans="23:23">
      <c r="W33504" s="503"/>
    </row>
    <row r="33505" spans="23:23">
      <c r="W33505" s="503"/>
    </row>
    <row r="33506" spans="23:23">
      <c r="W33506" s="503"/>
    </row>
    <row r="33507" spans="23:23">
      <c r="W33507" s="503"/>
    </row>
    <row r="33508" spans="23:23">
      <c r="W33508" s="503"/>
    </row>
    <row r="33509" spans="23:23">
      <c r="W33509" s="503"/>
    </row>
    <row r="33510" spans="23:23">
      <c r="W33510" s="503"/>
    </row>
    <row r="33511" spans="23:23">
      <c r="W33511" s="503"/>
    </row>
    <row r="33512" spans="23:23">
      <c r="W33512" s="503"/>
    </row>
    <row r="33513" spans="23:23">
      <c r="W33513" s="503"/>
    </row>
    <row r="33514" spans="23:23">
      <c r="W33514" s="503"/>
    </row>
    <row r="33515" spans="23:23">
      <c r="W33515" s="503"/>
    </row>
    <row r="33516" spans="23:23">
      <c r="W33516" s="503"/>
    </row>
    <row r="33517" spans="23:23">
      <c r="W33517" s="503"/>
    </row>
    <row r="33518" spans="23:23">
      <c r="W33518" s="503"/>
    </row>
    <row r="33519" spans="23:23">
      <c r="W33519" s="503"/>
    </row>
    <row r="33520" spans="23:23">
      <c r="W33520" s="503"/>
    </row>
    <row r="33521" spans="23:23">
      <c r="W33521" s="503"/>
    </row>
    <row r="33522" spans="23:23">
      <c r="W33522" s="503"/>
    </row>
    <row r="33523" spans="23:23">
      <c r="W33523" s="503"/>
    </row>
    <row r="33524" spans="23:23">
      <c r="W33524" s="503"/>
    </row>
    <row r="33525" spans="23:23">
      <c r="W33525" s="503"/>
    </row>
    <row r="33526" spans="23:23">
      <c r="W33526" s="503"/>
    </row>
    <row r="33527" spans="23:23">
      <c r="W33527" s="503"/>
    </row>
    <row r="33528" spans="23:23">
      <c r="W33528" s="503"/>
    </row>
    <row r="33529" spans="23:23">
      <c r="W33529" s="503"/>
    </row>
    <row r="33530" spans="23:23">
      <c r="W33530" s="503"/>
    </row>
    <row r="33531" spans="23:23">
      <c r="W33531" s="503"/>
    </row>
    <row r="33532" spans="23:23">
      <c r="W33532" s="503"/>
    </row>
    <row r="33533" spans="23:23">
      <c r="W33533" s="503"/>
    </row>
    <row r="33534" spans="23:23">
      <c r="W33534" s="503"/>
    </row>
    <row r="33535" spans="23:23">
      <c r="W33535" s="503"/>
    </row>
    <row r="33536" spans="23:23">
      <c r="W33536" s="503"/>
    </row>
    <row r="33537" spans="23:23">
      <c r="W33537" s="503"/>
    </row>
    <row r="33538" spans="23:23">
      <c r="W33538" s="503"/>
    </row>
    <row r="33539" spans="23:23">
      <c r="W33539" s="503"/>
    </row>
    <row r="33540" spans="23:23">
      <c r="W33540" s="503"/>
    </row>
    <row r="33541" spans="23:23">
      <c r="W33541" s="503"/>
    </row>
    <row r="33542" spans="23:23">
      <c r="W33542" s="503"/>
    </row>
    <row r="33543" spans="23:23">
      <c r="W33543" s="503"/>
    </row>
    <row r="33544" spans="23:23">
      <c r="W33544" s="503"/>
    </row>
    <row r="33545" spans="23:23">
      <c r="W33545" s="503"/>
    </row>
    <row r="33546" spans="23:23">
      <c r="W33546" s="503"/>
    </row>
    <row r="33547" spans="23:23">
      <c r="W33547" s="503"/>
    </row>
    <row r="33548" spans="23:23">
      <c r="W33548" s="503"/>
    </row>
    <row r="33549" spans="23:23">
      <c r="W33549" s="503"/>
    </row>
    <row r="33550" spans="23:23">
      <c r="W33550" s="503"/>
    </row>
    <row r="33551" spans="23:23">
      <c r="W33551" s="503"/>
    </row>
    <row r="33552" spans="23:23">
      <c r="W33552" s="503"/>
    </row>
    <row r="33553" spans="23:23">
      <c r="W33553" s="503"/>
    </row>
    <row r="33554" spans="23:23">
      <c r="W33554" s="503"/>
    </row>
    <row r="33555" spans="23:23">
      <c r="W33555" s="503"/>
    </row>
    <row r="33556" spans="23:23">
      <c r="W33556" s="503"/>
    </row>
    <row r="33557" spans="23:23">
      <c r="W33557" s="503"/>
    </row>
    <row r="33558" spans="23:23">
      <c r="W33558" s="503"/>
    </row>
    <row r="33559" spans="23:23">
      <c r="W33559" s="503"/>
    </row>
    <row r="33560" spans="23:23">
      <c r="W33560" s="503"/>
    </row>
    <row r="33561" spans="23:23">
      <c r="W33561" s="503"/>
    </row>
    <row r="33562" spans="23:23">
      <c r="W33562" s="503"/>
    </row>
    <row r="33563" spans="23:23">
      <c r="W33563" s="503"/>
    </row>
    <row r="33564" spans="23:23">
      <c r="W33564" s="503"/>
    </row>
    <row r="33565" spans="23:23">
      <c r="W33565" s="503"/>
    </row>
    <row r="33566" spans="23:23">
      <c r="W33566" s="503"/>
    </row>
    <row r="33567" spans="23:23">
      <c r="W33567" s="503"/>
    </row>
    <row r="33568" spans="23:23">
      <c r="W33568" s="503"/>
    </row>
    <row r="33569" spans="23:23">
      <c r="W33569" s="503"/>
    </row>
    <row r="33570" spans="23:23">
      <c r="W33570" s="503"/>
    </row>
    <row r="33571" spans="23:23">
      <c r="W33571" s="503"/>
    </row>
    <row r="33572" spans="23:23">
      <c r="W33572" s="503"/>
    </row>
    <row r="33573" spans="23:23">
      <c r="W33573" s="503"/>
    </row>
    <row r="33574" spans="23:23">
      <c r="W33574" s="503"/>
    </row>
    <row r="33575" spans="23:23">
      <c r="W33575" s="503"/>
    </row>
    <row r="33576" spans="23:23">
      <c r="W33576" s="503"/>
    </row>
    <row r="33577" spans="23:23">
      <c r="W33577" s="503"/>
    </row>
    <row r="33578" spans="23:23">
      <c r="W33578" s="503"/>
    </row>
    <row r="33579" spans="23:23">
      <c r="W33579" s="503"/>
    </row>
    <row r="33580" spans="23:23">
      <c r="W33580" s="503"/>
    </row>
    <row r="33581" spans="23:23">
      <c r="W33581" s="503"/>
    </row>
    <row r="33582" spans="23:23">
      <c r="W33582" s="503"/>
    </row>
    <row r="33583" spans="23:23">
      <c r="W33583" s="503"/>
    </row>
    <row r="33584" spans="23:23">
      <c r="W33584" s="503"/>
    </row>
    <row r="33585" spans="23:23">
      <c r="W33585" s="503"/>
    </row>
    <row r="33586" spans="23:23">
      <c r="W33586" s="503"/>
    </row>
    <row r="33587" spans="23:23">
      <c r="W33587" s="503"/>
    </row>
    <row r="33588" spans="23:23">
      <c r="W33588" s="503"/>
    </row>
    <row r="33589" spans="23:23">
      <c r="W33589" s="503"/>
    </row>
    <row r="33590" spans="23:23">
      <c r="W33590" s="503"/>
    </row>
    <row r="33591" spans="23:23">
      <c r="W33591" s="503"/>
    </row>
    <row r="33592" spans="23:23">
      <c r="W33592" s="503"/>
    </row>
    <row r="33593" spans="23:23">
      <c r="W33593" s="503"/>
    </row>
    <row r="33594" spans="23:23">
      <c r="W33594" s="503"/>
    </row>
    <row r="33595" spans="23:23">
      <c r="W33595" s="503"/>
    </row>
    <row r="33596" spans="23:23">
      <c r="W33596" s="503"/>
    </row>
    <row r="33597" spans="23:23">
      <c r="W33597" s="503"/>
    </row>
    <row r="33598" spans="23:23">
      <c r="W33598" s="503"/>
    </row>
    <row r="33599" spans="23:23">
      <c r="W33599" s="503"/>
    </row>
    <row r="33600" spans="23:23">
      <c r="W33600" s="503"/>
    </row>
    <row r="33601" spans="23:23">
      <c r="W33601" s="503"/>
    </row>
    <row r="33602" spans="23:23">
      <c r="W33602" s="503"/>
    </row>
    <row r="33603" spans="23:23">
      <c r="W33603" s="503"/>
    </row>
    <row r="33604" spans="23:23">
      <c r="W33604" s="503"/>
    </row>
    <row r="33605" spans="23:23">
      <c r="W33605" s="503"/>
    </row>
    <row r="33606" spans="23:23">
      <c r="W33606" s="503"/>
    </row>
    <row r="33607" spans="23:23">
      <c r="W33607" s="503"/>
    </row>
    <row r="33608" spans="23:23">
      <c r="W33608" s="503"/>
    </row>
    <row r="33609" spans="23:23">
      <c r="W33609" s="503"/>
    </row>
    <row r="33610" spans="23:23">
      <c r="W33610" s="503"/>
    </row>
    <row r="33611" spans="23:23">
      <c r="W33611" s="503"/>
    </row>
    <row r="33612" spans="23:23">
      <c r="W33612" s="503"/>
    </row>
    <row r="33613" spans="23:23">
      <c r="W33613" s="503"/>
    </row>
    <row r="33614" spans="23:23">
      <c r="W33614" s="503"/>
    </row>
    <row r="33615" spans="23:23">
      <c r="W33615" s="503"/>
    </row>
    <row r="33616" spans="23:23">
      <c r="W33616" s="503"/>
    </row>
    <row r="33617" spans="23:23">
      <c r="W33617" s="503"/>
    </row>
    <row r="33618" spans="23:23">
      <c r="W33618" s="503"/>
    </row>
    <row r="33619" spans="23:23">
      <c r="W33619" s="503"/>
    </row>
    <row r="33620" spans="23:23">
      <c r="W33620" s="503"/>
    </row>
    <row r="33621" spans="23:23">
      <c r="W33621" s="503"/>
    </row>
    <row r="33622" spans="23:23">
      <c r="W33622" s="503"/>
    </row>
    <row r="33623" spans="23:23">
      <c r="W33623" s="503"/>
    </row>
    <row r="33624" spans="23:23">
      <c r="W33624" s="503"/>
    </row>
    <row r="33625" spans="23:23">
      <c r="W33625" s="503"/>
    </row>
    <row r="33626" spans="23:23">
      <c r="W33626" s="503"/>
    </row>
    <row r="33627" spans="23:23">
      <c r="W33627" s="503"/>
    </row>
    <row r="33628" spans="23:23">
      <c r="W33628" s="503"/>
    </row>
    <row r="33629" spans="23:23">
      <c r="W33629" s="503"/>
    </row>
    <row r="33630" spans="23:23">
      <c r="W33630" s="503"/>
    </row>
    <row r="33631" spans="23:23">
      <c r="W33631" s="503"/>
    </row>
    <row r="33632" spans="23:23">
      <c r="W33632" s="503"/>
    </row>
    <row r="33633" spans="23:23">
      <c r="W33633" s="503"/>
    </row>
    <row r="33634" spans="23:23">
      <c r="W33634" s="503"/>
    </row>
    <row r="33635" spans="23:23">
      <c r="W33635" s="503"/>
    </row>
    <row r="33636" spans="23:23">
      <c r="W33636" s="503"/>
    </row>
    <row r="33637" spans="23:23">
      <c r="W33637" s="503"/>
    </row>
    <row r="33638" spans="23:23">
      <c r="W33638" s="503"/>
    </row>
    <row r="33639" spans="23:23">
      <c r="W33639" s="503"/>
    </row>
    <row r="33640" spans="23:23">
      <c r="W33640" s="503"/>
    </row>
    <row r="33641" spans="23:23">
      <c r="W33641" s="503"/>
    </row>
    <row r="33642" spans="23:23">
      <c r="W33642" s="503"/>
    </row>
    <row r="33643" spans="23:23">
      <c r="W33643" s="503"/>
    </row>
    <row r="33644" spans="23:23">
      <c r="W33644" s="503"/>
    </row>
    <row r="33645" spans="23:23">
      <c r="W33645" s="503"/>
    </row>
    <row r="33646" spans="23:23">
      <c r="W33646" s="503"/>
    </row>
    <row r="33647" spans="23:23">
      <c r="W33647" s="503"/>
    </row>
    <row r="33648" spans="23:23">
      <c r="W33648" s="503"/>
    </row>
    <row r="33649" spans="23:23">
      <c r="W33649" s="503"/>
    </row>
    <row r="33650" spans="23:23">
      <c r="W33650" s="503"/>
    </row>
    <row r="33651" spans="23:23">
      <c r="W33651" s="503"/>
    </row>
    <row r="33652" spans="23:23">
      <c r="W33652" s="503"/>
    </row>
    <row r="33653" spans="23:23">
      <c r="W33653" s="503"/>
    </row>
    <row r="33654" spans="23:23">
      <c r="W33654" s="503"/>
    </row>
    <row r="33655" spans="23:23">
      <c r="W33655" s="503"/>
    </row>
    <row r="33656" spans="23:23">
      <c r="W33656" s="503"/>
    </row>
    <row r="33657" spans="23:23">
      <c r="W33657" s="503"/>
    </row>
    <row r="33658" spans="23:23">
      <c r="W33658" s="503"/>
    </row>
    <row r="33659" spans="23:23">
      <c r="W33659" s="503"/>
    </row>
    <row r="33660" spans="23:23">
      <c r="W33660" s="503"/>
    </row>
    <row r="33661" spans="23:23">
      <c r="W33661" s="503"/>
    </row>
    <row r="33662" spans="23:23">
      <c r="W33662" s="503"/>
    </row>
    <row r="33663" spans="23:23">
      <c r="W33663" s="503"/>
    </row>
    <row r="33664" spans="23:23">
      <c r="W33664" s="503"/>
    </row>
    <row r="33665" spans="23:23">
      <c r="W33665" s="503"/>
    </row>
    <row r="33666" spans="23:23">
      <c r="W33666" s="503"/>
    </row>
    <row r="33667" spans="23:23">
      <c r="W33667" s="503"/>
    </row>
    <row r="33668" spans="23:23">
      <c r="W33668" s="503"/>
    </row>
    <row r="33669" spans="23:23">
      <c r="W33669" s="503"/>
    </row>
    <row r="33670" spans="23:23">
      <c r="W33670" s="503"/>
    </row>
    <row r="33671" spans="23:23">
      <c r="W33671" s="503"/>
    </row>
    <row r="33672" spans="23:23">
      <c r="W33672" s="503"/>
    </row>
    <row r="33673" spans="23:23">
      <c r="W33673" s="503"/>
    </row>
    <row r="33674" spans="23:23">
      <c r="W33674" s="503"/>
    </row>
    <row r="33675" spans="23:23">
      <c r="W33675" s="503"/>
    </row>
    <row r="33676" spans="23:23">
      <c r="W33676" s="503"/>
    </row>
    <row r="33677" spans="23:23">
      <c r="W33677" s="503"/>
    </row>
    <row r="33678" spans="23:23">
      <c r="W33678" s="503"/>
    </row>
    <row r="33679" spans="23:23">
      <c r="W33679" s="503"/>
    </row>
    <row r="33680" spans="23:23">
      <c r="W33680" s="503"/>
    </row>
    <row r="33681" spans="23:23">
      <c r="W33681" s="503"/>
    </row>
    <row r="33682" spans="23:23">
      <c r="W33682" s="503"/>
    </row>
    <row r="33683" spans="23:23">
      <c r="W33683" s="503"/>
    </row>
    <row r="33684" spans="23:23">
      <c r="W33684" s="503"/>
    </row>
    <row r="33685" spans="23:23">
      <c r="W33685" s="503"/>
    </row>
    <row r="33686" spans="23:23">
      <c r="W33686" s="503"/>
    </row>
    <row r="33687" spans="23:23">
      <c r="W33687" s="503"/>
    </row>
    <row r="33688" spans="23:23">
      <c r="W33688" s="503"/>
    </row>
    <row r="33689" spans="23:23">
      <c r="W33689" s="503"/>
    </row>
    <row r="33690" spans="23:23">
      <c r="W33690" s="503"/>
    </row>
    <row r="33691" spans="23:23">
      <c r="W33691" s="503"/>
    </row>
    <row r="33692" spans="23:23">
      <c r="W33692" s="503"/>
    </row>
    <row r="33693" spans="23:23">
      <c r="W33693" s="503"/>
    </row>
    <row r="33694" spans="23:23">
      <c r="W33694" s="503"/>
    </row>
    <row r="33695" spans="23:23">
      <c r="W33695" s="503"/>
    </row>
    <row r="33696" spans="23:23">
      <c r="W33696" s="503"/>
    </row>
    <row r="33697" spans="23:23">
      <c r="W33697" s="503"/>
    </row>
    <row r="33698" spans="23:23">
      <c r="W33698" s="503"/>
    </row>
    <row r="33699" spans="23:23">
      <c r="W33699" s="503"/>
    </row>
    <row r="33700" spans="23:23">
      <c r="W33700" s="503"/>
    </row>
    <row r="33701" spans="23:23">
      <c r="W33701" s="503"/>
    </row>
    <row r="33702" spans="23:23">
      <c r="W33702" s="503"/>
    </row>
    <row r="33703" spans="23:23">
      <c r="W33703" s="503"/>
    </row>
    <row r="33704" spans="23:23">
      <c r="W33704" s="503"/>
    </row>
    <row r="33705" spans="23:23">
      <c r="W33705" s="503"/>
    </row>
    <row r="33706" spans="23:23">
      <c r="W33706" s="503"/>
    </row>
    <row r="33707" spans="23:23">
      <c r="W33707" s="503"/>
    </row>
    <row r="33708" spans="23:23">
      <c r="W33708" s="503"/>
    </row>
    <row r="33709" spans="23:23">
      <c r="W33709" s="503"/>
    </row>
    <row r="33710" spans="23:23">
      <c r="W33710" s="503"/>
    </row>
    <row r="33711" spans="23:23">
      <c r="W33711" s="503"/>
    </row>
    <row r="33712" spans="23:23">
      <c r="W33712" s="503"/>
    </row>
    <row r="33713" spans="23:23">
      <c r="W33713" s="503"/>
    </row>
    <row r="33714" spans="23:23">
      <c r="W33714" s="503"/>
    </row>
    <row r="33715" spans="23:23">
      <c r="W33715" s="503"/>
    </row>
    <row r="33716" spans="23:23">
      <c r="W33716" s="503"/>
    </row>
    <row r="33717" spans="23:23">
      <c r="W33717" s="503"/>
    </row>
    <row r="33718" spans="23:23">
      <c r="W33718" s="503"/>
    </row>
    <row r="33719" spans="23:23">
      <c r="W33719" s="503"/>
    </row>
    <row r="33720" spans="23:23">
      <c r="W33720" s="503"/>
    </row>
    <row r="33721" spans="23:23">
      <c r="W33721" s="503"/>
    </row>
    <row r="33722" spans="23:23">
      <c r="W33722" s="503"/>
    </row>
    <row r="33723" spans="23:23">
      <c r="W33723" s="503"/>
    </row>
    <row r="33724" spans="23:23">
      <c r="W33724" s="503"/>
    </row>
    <row r="33725" spans="23:23">
      <c r="W33725" s="503"/>
    </row>
    <row r="33726" spans="23:23">
      <c r="W33726" s="503"/>
    </row>
    <row r="33727" spans="23:23">
      <c r="W33727" s="503"/>
    </row>
    <row r="33728" spans="23:23">
      <c r="W33728" s="503"/>
    </row>
    <row r="33729" spans="23:23">
      <c r="W33729" s="503"/>
    </row>
    <row r="33730" spans="23:23">
      <c r="W33730" s="503"/>
    </row>
    <row r="33731" spans="23:23">
      <c r="W33731" s="503"/>
    </row>
    <row r="33732" spans="23:23">
      <c r="W33732" s="503"/>
    </row>
    <row r="33733" spans="23:23">
      <c r="W33733" s="503"/>
    </row>
    <row r="33734" spans="23:23">
      <c r="W33734" s="503"/>
    </row>
    <row r="33735" spans="23:23">
      <c r="W33735" s="503"/>
    </row>
    <row r="33736" spans="23:23">
      <c r="W33736" s="503"/>
    </row>
    <row r="33737" spans="23:23">
      <c r="W33737" s="503"/>
    </row>
    <row r="33738" spans="23:23">
      <c r="W33738" s="503"/>
    </row>
    <row r="33739" spans="23:23">
      <c r="W33739" s="503"/>
    </row>
    <row r="33740" spans="23:23">
      <c r="W33740" s="503"/>
    </row>
    <row r="33741" spans="23:23">
      <c r="W33741" s="503"/>
    </row>
    <row r="33742" spans="23:23">
      <c r="W33742" s="503"/>
    </row>
    <row r="33743" spans="23:23">
      <c r="W33743" s="503"/>
    </row>
    <row r="33744" spans="23:23">
      <c r="W33744" s="503"/>
    </row>
    <row r="33745" spans="23:23">
      <c r="W33745" s="503"/>
    </row>
    <row r="33746" spans="23:23">
      <c r="W33746" s="503"/>
    </row>
    <row r="33747" spans="23:23">
      <c r="W33747" s="503"/>
    </row>
    <row r="33748" spans="23:23">
      <c r="W33748" s="503"/>
    </row>
    <row r="33749" spans="23:23">
      <c r="W33749" s="503"/>
    </row>
    <row r="33750" spans="23:23">
      <c r="W33750" s="503"/>
    </row>
    <row r="33751" spans="23:23">
      <c r="W33751" s="503"/>
    </row>
    <row r="33752" spans="23:23">
      <c r="W33752" s="503"/>
    </row>
    <row r="33753" spans="23:23">
      <c r="W33753" s="503"/>
    </row>
    <row r="33754" spans="23:23">
      <c r="W33754" s="503"/>
    </row>
    <row r="33755" spans="23:23">
      <c r="W33755" s="503"/>
    </row>
    <row r="33756" spans="23:23">
      <c r="W33756" s="503"/>
    </row>
    <row r="33757" spans="23:23">
      <c r="W33757" s="503"/>
    </row>
    <row r="33758" spans="23:23">
      <c r="W33758" s="503"/>
    </row>
    <row r="33759" spans="23:23">
      <c r="W33759" s="503"/>
    </row>
    <row r="33760" spans="23:23">
      <c r="W33760" s="503"/>
    </row>
    <row r="33761" spans="23:23">
      <c r="W33761" s="503"/>
    </row>
    <row r="33762" spans="23:23">
      <c r="W33762" s="503"/>
    </row>
    <row r="33763" spans="23:23">
      <c r="W33763" s="503"/>
    </row>
    <row r="33764" spans="23:23">
      <c r="W33764" s="503"/>
    </row>
    <row r="33765" spans="23:23">
      <c r="W33765" s="503"/>
    </row>
    <row r="33766" spans="23:23">
      <c r="W33766" s="503"/>
    </row>
    <row r="33767" spans="23:23">
      <c r="W33767" s="503"/>
    </row>
    <row r="33768" spans="23:23">
      <c r="W33768" s="503"/>
    </row>
    <row r="33769" spans="23:23">
      <c r="W33769" s="503"/>
    </row>
    <row r="33770" spans="23:23">
      <c r="W33770" s="503"/>
    </row>
    <row r="33771" spans="23:23">
      <c r="W33771" s="503"/>
    </row>
    <row r="33772" spans="23:23">
      <c r="W33772" s="503"/>
    </row>
    <row r="33773" spans="23:23">
      <c r="W33773" s="503"/>
    </row>
    <row r="33774" spans="23:23">
      <c r="W33774" s="503"/>
    </row>
    <row r="33775" spans="23:23">
      <c r="W33775" s="503"/>
    </row>
    <row r="33776" spans="23:23">
      <c r="W33776" s="503"/>
    </row>
    <row r="33777" spans="23:23">
      <c r="W33777" s="503"/>
    </row>
    <row r="33778" spans="23:23">
      <c r="W33778" s="503"/>
    </row>
    <row r="33779" spans="23:23">
      <c r="W33779" s="503"/>
    </row>
    <row r="33780" spans="23:23">
      <c r="W33780" s="503"/>
    </row>
    <row r="33781" spans="23:23">
      <c r="W33781" s="503"/>
    </row>
    <row r="33782" spans="23:23">
      <c r="W33782" s="503"/>
    </row>
    <row r="33783" spans="23:23">
      <c r="W33783" s="503"/>
    </row>
    <row r="33784" spans="23:23">
      <c r="W33784" s="503"/>
    </row>
    <row r="33785" spans="23:23">
      <c r="W33785" s="503"/>
    </row>
    <row r="33786" spans="23:23">
      <c r="W33786" s="503"/>
    </row>
    <row r="33787" spans="23:23">
      <c r="W33787" s="503"/>
    </row>
    <row r="33788" spans="23:23">
      <c r="W33788" s="503"/>
    </row>
    <row r="33789" spans="23:23">
      <c r="W33789" s="503"/>
    </row>
    <row r="33790" spans="23:23">
      <c r="W33790" s="503"/>
    </row>
    <row r="33791" spans="23:23">
      <c r="W33791" s="503"/>
    </row>
    <row r="33792" spans="23:23">
      <c r="W33792" s="503"/>
    </row>
    <row r="33793" spans="23:23">
      <c r="W33793" s="503"/>
    </row>
    <row r="33794" spans="23:23">
      <c r="W33794" s="503"/>
    </row>
    <row r="33795" spans="23:23">
      <c r="W33795" s="503"/>
    </row>
    <row r="33796" spans="23:23">
      <c r="W33796" s="503"/>
    </row>
    <row r="33797" spans="23:23">
      <c r="W33797" s="503"/>
    </row>
    <row r="33798" spans="23:23">
      <c r="W33798" s="503"/>
    </row>
    <row r="33799" spans="23:23">
      <c r="W33799" s="503"/>
    </row>
    <row r="33800" spans="23:23">
      <c r="W33800" s="503"/>
    </row>
    <row r="33801" spans="23:23">
      <c r="W33801" s="503"/>
    </row>
    <row r="33802" spans="23:23">
      <c r="W33802" s="503"/>
    </row>
    <row r="33803" spans="23:23">
      <c r="W33803" s="503"/>
    </row>
    <row r="33804" spans="23:23">
      <c r="W33804" s="503"/>
    </row>
    <row r="33805" spans="23:23">
      <c r="W33805" s="503"/>
    </row>
    <row r="33806" spans="23:23">
      <c r="W33806" s="503"/>
    </row>
    <row r="33807" spans="23:23">
      <c r="W33807" s="503"/>
    </row>
    <row r="33808" spans="23:23">
      <c r="W33808" s="503"/>
    </row>
    <row r="33809" spans="23:23">
      <c r="W33809" s="503"/>
    </row>
    <row r="33810" spans="23:23">
      <c r="W33810" s="503"/>
    </row>
    <row r="33811" spans="23:23">
      <c r="W33811" s="503"/>
    </row>
    <row r="33812" spans="23:23">
      <c r="W33812" s="503"/>
    </row>
    <row r="33813" spans="23:23">
      <c r="W33813" s="503"/>
    </row>
    <row r="33814" spans="23:23">
      <c r="W33814" s="503"/>
    </row>
    <row r="33815" spans="23:23">
      <c r="W33815" s="503"/>
    </row>
    <row r="33816" spans="23:23">
      <c r="W33816" s="503"/>
    </row>
    <row r="33817" spans="23:23">
      <c r="W33817" s="503"/>
    </row>
    <row r="33818" spans="23:23">
      <c r="W33818" s="503"/>
    </row>
    <row r="33819" spans="23:23">
      <c r="W33819" s="503"/>
    </row>
    <row r="33820" spans="23:23">
      <c r="W33820" s="503"/>
    </row>
    <row r="33821" spans="23:23">
      <c r="W33821" s="503"/>
    </row>
    <row r="33822" spans="23:23">
      <c r="W33822" s="503"/>
    </row>
    <row r="33823" spans="23:23">
      <c r="W33823" s="503"/>
    </row>
    <row r="33824" spans="23:23">
      <c r="W33824" s="503"/>
    </row>
    <row r="33825" spans="23:23">
      <c r="W33825" s="503"/>
    </row>
    <row r="33826" spans="23:23">
      <c r="W33826" s="503"/>
    </row>
    <row r="33827" spans="23:23">
      <c r="W33827" s="503"/>
    </row>
    <row r="33828" spans="23:23">
      <c r="W33828" s="503"/>
    </row>
    <row r="33829" spans="23:23">
      <c r="W33829" s="503"/>
    </row>
    <row r="33830" spans="23:23">
      <c r="W33830" s="503"/>
    </row>
    <row r="33831" spans="23:23">
      <c r="W33831" s="503"/>
    </row>
    <row r="33832" spans="23:23">
      <c r="W33832" s="503"/>
    </row>
    <row r="33833" spans="23:23">
      <c r="W33833" s="503"/>
    </row>
    <row r="33834" spans="23:23">
      <c r="W33834" s="503"/>
    </row>
    <row r="33835" spans="23:23">
      <c r="W33835" s="503"/>
    </row>
    <row r="33836" spans="23:23">
      <c r="W33836" s="503"/>
    </row>
    <row r="33837" spans="23:23">
      <c r="W33837" s="503"/>
    </row>
    <row r="33838" spans="23:23">
      <c r="W33838" s="503"/>
    </row>
    <row r="33839" spans="23:23">
      <c r="W33839" s="503"/>
    </row>
    <row r="33840" spans="23:23">
      <c r="W33840" s="503"/>
    </row>
    <row r="33841" spans="23:23">
      <c r="W33841" s="503"/>
    </row>
    <row r="33842" spans="23:23">
      <c r="W33842" s="503"/>
    </row>
    <row r="33843" spans="23:23">
      <c r="W33843" s="503"/>
    </row>
    <row r="33844" spans="23:23">
      <c r="W33844" s="503"/>
    </row>
    <row r="33845" spans="23:23">
      <c r="W33845" s="503"/>
    </row>
    <row r="33846" spans="23:23">
      <c r="W33846" s="503"/>
    </row>
    <row r="33847" spans="23:23">
      <c r="W33847" s="503"/>
    </row>
    <row r="33848" spans="23:23">
      <c r="W33848" s="503"/>
    </row>
    <row r="33849" spans="23:23">
      <c r="W33849" s="503"/>
    </row>
    <row r="33850" spans="23:23">
      <c r="W33850" s="503"/>
    </row>
    <row r="33851" spans="23:23">
      <c r="W33851" s="503"/>
    </row>
    <row r="33852" spans="23:23">
      <c r="W33852" s="503"/>
    </row>
    <row r="33853" spans="23:23">
      <c r="W33853" s="503"/>
    </row>
    <row r="33854" spans="23:23">
      <c r="W33854" s="503"/>
    </row>
    <row r="33855" spans="23:23">
      <c r="W33855" s="503"/>
    </row>
    <row r="33856" spans="23:23">
      <c r="W33856" s="503"/>
    </row>
    <row r="33857" spans="23:23">
      <c r="W33857" s="503"/>
    </row>
    <row r="33858" spans="23:23">
      <c r="W33858" s="503"/>
    </row>
    <row r="33859" spans="23:23">
      <c r="W33859" s="503"/>
    </row>
    <row r="33860" spans="23:23">
      <c r="W33860" s="503"/>
    </row>
    <row r="33861" spans="23:23">
      <c r="W33861" s="503"/>
    </row>
    <row r="33862" spans="23:23">
      <c r="W33862" s="503"/>
    </row>
    <row r="33863" spans="23:23">
      <c r="W33863" s="503"/>
    </row>
    <row r="33864" spans="23:23">
      <c r="W33864" s="503"/>
    </row>
    <row r="33865" spans="23:23">
      <c r="W33865" s="503"/>
    </row>
    <row r="33866" spans="23:23">
      <c r="W33866" s="503"/>
    </row>
    <row r="33867" spans="23:23">
      <c r="W33867" s="503"/>
    </row>
    <row r="33868" spans="23:23">
      <c r="W33868" s="503"/>
    </row>
    <row r="33869" spans="23:23">
      <c r="W33869" s="503"/>
    </row>
    <row r="33870" spans="23:23">
      <c r="W33870" s="503"/>
    </row>
    <row r="33871" spans="23:23">
      <c r="W33871" s="503"/>
    </row>
    <row r="33872" spans="23:23">
      <c r="W33872" s="503"/>
    </row>
    <row r="33873" spans="23:23">
      <c r="W33873" s="503"/>
    </row>
    <row r="33874" spans="23:23">
      <c r="W33874" s="503"/>
    </row>
    <row r="33875" spans="23:23">
      <c r="W33875" s="503"/>
    </row>
    <row r="33876" spans="23:23">
      <c r="W33876" s="503"/>
    </row>
    <row r="33877" spans="23:23">
      <c r="W33877" s="503"/>
    </row>
    <row r="33878" spans="23:23">
      <c r="W33878" s="503"/>
    </row>
    <row r="33879" spans="23:23">
      <c r="W33879" s="503"/>
    </row>
    <row r="33880" spans="23:23">
      <c r="W33880" s="503"/>
    </row>
    <row r="33881" spans="23:23">
      <c r="W33881" s="503"/>
    </row>
    <row r="33882" spans="23:23">
      <c r="W33882" s="503"/>
    </row>
    <row r="33883" spans="23:23">
      <c r="W33883" s="503"/>
    </row>
    <row r="33884" spans="23:23">
      <c r="W33884" s="503"/>
    </row>
    <row r="33885" spans="23:23">
      <c r="W33885" s="503"/>
    </row>
    <row r="33886" spans="23:23">
      <c r="W33886" s="503"/>
    </row>
    <row r="33887" spans="23:23">
      <c r="W33887" s="503"/>
    </row>
    <row r="33888" spans="23:23">
      <c r="W33888" s="503"/>
    </row>
    <row r="33889" spans="23:23">
      <c r="W33889" s="503"/>
    </row>
    <row r="33890" spans="23:23">
      <c r="W33890" s="503"/>
    </row>
    <row r="33891" spans="23:23">
      <c r="W33891" s="503"/>
    </row>
    <row r="33892" spans="23:23">
      <c r="W33892" s="503"/>
    </row>
    <row r="33893" spans="23:23">
      <c r="W33893" s="503"/>
    </row>
    <row r="33894" spans="23:23">
      <c r="W33894" s="503"/>
    </row>
    <row r="33895" spans="23:23">
      <c r="W33895" s="503"/>
    </row>
    <row r="33896" spans="23:23">
      <c r="W33896" s="503"/>
    </row>
    <row r="33897" spans="23:23">
      <c r="W33897" s="503"/>
    </row>
    <row r="33898" spans="23:23">
      <c r="W33898" s="503"/>
    </row>
    <row r="33899" spans="23:23">
      <c r="W33899" s="503"/>
    </row>
    <row r="33900" spans="23:23">
      <c r="W33900" s="503"/>
    </row>
    <row r="33901" spans="23:23">
      <c r="W33901" s="503"/>
    </row>
    <row r="33902" spans="23:23">
      <c r="W33902" s="503"/>
    </row>
    <row r="33903" spans="23:23">
      <c r="W33903" s="503"/>
    </row>
    <row r="33904" spans="23:23">
      <c r="W33904" s="503"/>
    </row>
    <row r="33905" spans="23:23">
      <c r="W33905" s="503"/>
    </row>
    <row r="33906" spans="23:23">
      <c r="W33906" s="503"/>
    </row>
    <row r="33907" spans="23:23">
      <c r="W33907" s="503"/>
    </row>
    <row r="33908" spans="23:23">
      <c r="W33908" s="503"/>
    </row>
    <row r="33909" spans="23:23">
      <c r="W33909" s="503"/>
    </row>
    <row r="33910" spans="23:23">
      <c r="W33910" s="503"/>
    </row>
    <row r="33911" spans="23:23">
      <c r="W33911" s="503"/>
    </row>
    <row r="33912" spans="23:23">
      <c r="W33912" s="503"/>
    </row>
    <row r="33913" spans="23:23">
      <c r="W33913" s="503"/>
    </row>
    <row r="33914" spans="23:23">
      <c r="W33914" s="503"/>
    </row>
    <row r="33915" spans="23:23">
      <c r="W33915" s="503"/>
    </row>
    <row r="33916" spans="23:23">
      <c r="W33916" s="503"/>
    </row>
    <row r="33917" spans="23:23">
      <c r="W33917" s="503"/>
    </row>
    <row r="33918" spans="23:23">
      <c r="W33918" s="503"/>
    </row>
    <row r="33919" spans="23:23">
      <c r="W33919" s="503"/>
    </row>
    <row r="33920" spans="23:23">
      <c r="W33920" s="503"/>
    </row>
    <row r="33921" spans="23:23">
      <c r="W33921" s="503"/>
    </row>
    <row r="33922" spans="23:23">
      <c r="W33922" s="503"/>
    </row>
    <row r="33923" spans="23:23">
      <c r="W33923" s="503"/>
    </row>
    <row r="33924" spans="23:23">
      <c r="W33924" s="503"/>
    </row>
    <row r="33925" spans="23:23">
      <c r="W33925" s="503"/>
    </row>
    <row r="33926" spans="23:23">
      <c r="W33926" s="503"/>
    </row>
    <row r="33927" spans="23:23">
      <c r="W33927" s="503"/>
    </row>
    <row r="33928" spans="23:23">
      <c r="W33928" s="503"/>
    </row>
    <row r="33929" spans="23:23">
      <c r="W33929" s="503"/>
    </row>
    <row r="33930" spans="23:23">
      <c r="W33930" s="503"/>
    </row>
    <row r="33931" spans="23:23">
      <c r="W33931" s="503"/>
    </row>
    <row r="33932" spans="23:23">
      <c r="W33932" s="503"/>
    </row>
    <row r="33933" spans="23:23">
      <c r="W33933" s="503"/>
    </row>
    <row r="33934" spans="23:23">
      <c r="W33934" s="503"/>
    </row>
    <row r="33935" spans="23:23">
      <c r="W33935" s="503"/>
    </row>
    <row r="33936" spans="23:23">
      <c r="W33936" s="503"/>
    </row>
    <row r="33937" spans="23:23">
      <c r="W33937" s="503"/>
    </row>
    <row r="33938" spans="23:23">
      <c r="W33938" s="503"/>
    </row>
    <row r="33939" spans="23:23">
      <c r="W33939" s="503"/>
    </row>
    <row r="33940" spans="23:23">
      <c r="W33940" s="503"/>
    </row>
    <row r="33941" spans="23:23">
      <c r="W33941" s="503"/>
    </row>
    <row r="33942" spans="23:23">
      <c r="W33942" s="503"/>
    </row>
    <row r="33943" spans="23:23">
      <c r="W33943" s="503"/>
    </row>
    <row r="33944" spans="23:23">
      <c r="W33944" s="503"/>
    </row>
    <row r="33945" spans="23:23">
      <c r="W33945" s="503"/>
    </row>
    <row r="33946" spans="23:23">
      <c r="W33946" s="503"/>
    </row>
    <row r="33947" spans="23:23">
      <c r="W33947" s="503"/>
    </row>
    <row r="33948" spans="23:23">
      <c r="W33948" s="503"/>
    </row>
    <row r="33949" spans="23:23">
      <c r="W33949" s="503"/>
    </row>
    <row r="33950" spans="23:23">
      <c r="W33950" s="503"/>
    </row>
    <row r="33951" spans="23:23">
      <c r="W33951" s="503"/>
    </row>
    <row r="33952" spans="23:23">
      <c r="W33952" s="503"/>
    </row>
    <row r="33953" spans="23:23">
      <c r="W33953" s="503"/>
    </row>
    <row r="33954" spans="23:23">
      <c r="W33954" s="503"/>
    </row>
    <row r="33955" spans="23:23">
      <c r="W33955" s="503"/>
    </row>
    <row r="33956" spans="23:23">
      <c r="W33956" s="503"/>
    </row>
    <row r="33957" spans="23:23">
      <c r="W33957" s="503"/>
    </row>
    <row r="33958" spans="23:23">
      <c r="W33958" s="503"/>
    </row>
    <row r="33959" spans="23:23">
      <c r="W33959" s="503"/>
    </row>
    <row r="33960" spans="23:23">
      <c r="W33960" s="503"/>
    </row>
    <row r="33961" spans="23:23">
      <c r="W33961" s="503"/>
    </row>
    <row r="33962" spans="23:23">
      <c r="W33962" s="503"/>
    </row>
    <row r="33963" spans="23:23">
      <c r="W33963" s="503"/>
    </row>
    <row r="33964" spans="23:23">
      <c r="W33964" s="503"/>
    </row>
    <row r="33965" spans="23:23">
      <c r="W33965" s="503"/>
    </row>
    <row r="33966" spans="23:23">
      <c r="W33966" s="503"/>
    </row>
    <row r="33967" spans="23:23">
      <c r="W33967" s="503"/>
    </row>
    <row r="33968" spans="23:23">
      <c r="W33968" s="503"/>
    </row>
    <row r="33969" spans="23:23">
      <c r="W33969" s="503"/>
    </row>
    <row r="33970" spans="23:23">
      <c r="W33970" s="503"/>
    </row>
    <row r="33971" spans="23:23">
      <c r="W33971" s="503"/>
    </row>
    <row r="33972" spans="23:23">
      <c r="W33972" s="503"/>
    </row>
    <row r="33973" spans="23:23">
      <c r="W33973" s="503"/>
    </row>
    <row r="33974" spans="23:23">
      <c r="W33974" s="503"/>
    </row>
    <row r="33975" spans="23:23">
      <c r="W33975" s="503"/>
    </row>
    <row r="33976" spans="23:23">
      <c r="W33976" s="503"/>
    </row>
    <row r="33977" spans="23:23">
      <c r="W33977" s="503"/>
    </row>
    <row r="33978" spans="23:23">
      <c r="W33978" s="503"/>
    </row>
    <row r="33979" spans="23:23">
      <c r="W33979" s="503"/>
    </row>
    <row r="33980" spans="23:23">
      <c r="W33980" s="503"/>
    </row>
    <row r="33981" spans="23:23">
      <c r="W33981" s="503"/>
    </row>
    <row r="33982" spans="23:23">
      <c r="W33982" s="503"/>
    </row>
    <row r="33983" spans="23:23">
      <c r="W33983" s="503"/>
    </row>
    <row r="33984" spans="23:23">
      <c r="W33984" s="503"/>
    </row>
    <row r="33985" spans="23:23">
      <c r="W33985" s="503"/>
    </row>
    <row r="33986" spans="23:23">
      <c r="W33986" s="503"/>
    </row>
    <row r="33987" spans="23:23">
      <c r="W33987" s="503"/>
    </row>
    <row r="33988" spans="23:23">
      <c r="W33988" s="503"/>
    </row>
    <row r="33989" spans="23:23">
      <c r="W33989" s="503"/>
    </row>
    <row r="33990" spans="23:23">
      <c r="W33990" s="503"/>
    </row>
    <row r="33991" spans="23:23">
      <c r="W33991" s="503"/>
    </row>
    <row r="33992" spans="23:23">
      <c r="W33992" s="503"/>
    </row>
    <row r="33993" spans="23:23">
      <c r="W33993" s="503"/>
    </row>
    <row r="33994" spans="23:23">
      <c r="W33994" s="503"/>
    </row>
    <row r="33995" spans="23:23">
      <c r="W33995" s="503"/>
    </row>
    <row r="33996" spans="23:23">
      <c r="W33996" s="503"/>
    </row>
    <row r="33997" spans="23:23">
      <c r="W33997" s="503"/>
    </row>
    <row r="33998" spans="23:23">
      <c r="W33998" s="503"/>
    </row>
    <row r="33999" spans="23:23">
      <c r="W33999" s="503"/>
    </row>
    <row r="34000" spans="23:23">
      <c r="W34000" s="503"/>
    </row>
    <row r="34001" spans="23:23">
      <c r="W34001" s="503"/>
    </row>
    <row r="34002" spans="23:23">
      <c r="W34002" s="503"/>
    </row>
    <row r="34003" spans="23:23">
      <c r="W34003" s="503"/>
    </row>
    <row r="34004" spans="23:23">
      <c r="W34004" s="503"/>
    </row>
    <row r="34005" spans="23:23">
      <c r="W34005" s="503"/>
    </row>
    <row r="34006" spans="23:23">
      <c r="W34006" s="503"/>
    </row>
    <row r="34007" spans="23:23">
      <c r="W34007" s="503"/>
    </row>
    <row r="34008" spans="23:23">
      <c r="W34008" s="503"/>
    </row>
    <row r="34009" spans="23:23">
      <c r="W34009" s="503"/>
    </row>
    <row r="34010" spans="23:23">
      <c r="W34010" s="503"/>
    </row>
    <row r="34011" spans="23:23">
      <c r="W34011" s="503"/>
    </row>
    <row r="34012" spans="23:23">
      <c r="W34012" s="503"/>
    </row>
    <row r="34013" spans="23:23">
      <c r="W34013" s="503"/>
    </row>
    <row r="34014" spans="23:23">
      <c r="W34014" s="503"/>
    </row>
    <row r="34015" spans="23:23">
      <c r="W34015" s="503"/>
    </row>
    <row r="34016" spans="23:23">
      <c r="W34016" s="503"/>
    </row>
    <row r="34017" spans="23:23">
      <c r="W34017" s="503"/>
    </row>
    <row r="34018" spans="23:23">
      <c r="W34018" s="503"/>
    </row>
    <row r="34019" spans="23:23">
      <c r="W34019" s="503"/>
    </row>
    <row r="34020" spans="23:23">
      <c r="W34020" s="503"/>
    </row>
    <row r="34021" spans="23:23">
      <c r="W34021" s="503"/>
    </row>
    <row r="34022" spans="23:23">
      <c r="W34022" s="503"/>
    </row>
    <row r="34023" spans="23:23">
      <c r="W34023" s="503"/>
    </row>
    <row r="34024" spans="23:23">
      <c r="W34024" s="503"/>
    </row>
    <row r="34025" spans="23:23">
      <c r="W34025" s="503"/>
    </row>
    <row r="34026" spans="23:23">
      <c r="W34026" s="503"/>
    </row>
    <row r="34027" spans="23:23">
      <c r="W34027" s="503"/>
    </row>
    <row r="34028" spans="23:23">
      <c r="W34028" s="503"/>
    </row>
    <row r="34029" spans="23:23">
      <c r="W34029" s="503"/>
    </row>
    <row r="34030" spans="23:23">
      <c r="W34030" s="503"/>
    </row>
    <row r="34031" spans="23:23">
      <c r="W34031" s="503"/>
    </row>
    <row r="34032" spans="23:23">
      <c r="W34032" s="503"/>
    </row>
    <row r="34033" spans="23:23">
      <c r="W34033" s="503"/>
    </row>
    <row r="34034" spans="23:23">
      <c r="W34034" s="503"/>
    </row>
    <row r="34035" spans="23:23">
      <c r="W34035" s="503"/>
    </row>
    <row r="34036" spans="23:23">
      <c r="W34036" s="503"/>
    </row>
    <row r="34037" spans="23:23">
      <c r="W34037" s="503"/>
    </row>
    <row r="34038" spans="23:23">
      <c r="W34038" s="503"/>
    </row>
    <row r="34039" spans="23:23">
      <c r="W34039" s="503"/>
    </row>
    <row r="34040" spans="23:23">
      <c r="W34040" s="503"/>
    </row>
    <row r="34041" spans="23:23">
      <c r="W34041" s="503"/>
    </row>
    <row r="34042" spans="23:23">
      <c r="W34042" s="503"/>
    </row>
    <row r="34043" spans="23:23">
      <c r="W34043" s="503"/>
    </row>
    <row r="34044" spans="23:23">
      <c r="W34044" s="503"/>
    </row>
    <row r="34045" spans="23:23">
      <c r="W34045" s="503"/>
    </row>
    <row r="34046" spans="23:23">
      <c r="W34046" s="503"/>
    </row>
    <row r="34047" spans="23:23">
      <c r="W34047" s="503"/>
    </row>
    <row r="34048" spans="23:23">
      <c r="W34048" s="503"/>
    </row>
    <row r="34049" spans="23:23">
      <c r="W34049" s="503"/>
    </row>
    <row r="34050" spans="23:23">
      <c r="W34050" s="503"/>
    </row>
    <row r="34051" spans="23:23">
      <c r="W34051" s="503"/>
    </row>
    <row r="34052" spans="23:23">
      <c r="W34052" s="503"/>
    </row>
    <row r="34053" spans="23:23">
      <c r="W34053" s="503"/>
    </row>
    <row r="34054" spans="23:23">
      <c r="W34054" s="503"/>
    </row>
    <row r="34055" spans="23:23">
      <c r="W34055" s="503"/>
    </row>
    <row r="34056" spans="23:23">
      <c r="W34056" s="503"/>
    </row>
    <row r="34057" spans="23:23">
      <c r="W34057" s="503"/>
    </row>
    <row r="34058" spans="23:23">
      <c r="W34058" s="503"/>
    </row>
    <row r="34059" spans="23:23">
      <c r="W34059" s="503"/>
    </row>
    <row r="34060" spans="23:23">
      <c r="W34060" s="503"/>
    </row>
    <row r="34061" spans="23:23">
      <c r="W34061" s="503"/>
    </row>
    <row r="34062" spans="23:23">
      <c r="W34062" s="503"/>
    </row>
    <row r="34063" spans="23:23">
      <c r="W34063" s="503"/>
    </row>
    <row r="34064" spans="23:23">
      <c r="W34064" s="503"/>
    </row>
    <row r="34065" spans="23:23">
      <c r="W34065" s="503"/>
    </row>
    <row r="34066" spans="23:23">
      <c r="W34066" s="503"/>
    </row>
    <row r="34067" spans="23:23">
      <c r="W34067" s="503"/>
    </row>
    <row r="34068" spans="23:23">
      <c r="W34068" s="503"/>
    </row>
    <row r="34069" spans="23:23">
      <c r="W34069" s="503"/>
    </row>
    <row r="34070" spans="23:23">
      <c r="W34070" s="503"/>
    </row>
    <row r="34071" spans="23:23">
      <c r="W34071" s="503"/>
    </row>
    <row r="34072" spans="23:23">
      <c r="W34072" s="503"/>
    </row>
    <row r="34073" spans="23:23">
      <c r="W34073" s="503"/>
    </row>
    <row r="34074" spans="23:23">
      <c r="W34074" s="503"/>
    </row>
    <row r="34075" spans="23:23">
      <c r="W34075" s="503"/>
    </row>
    <row r="34076" spans="23:23">
      <c r="W34076" s="503"/>
    </row>
    <row r="34077" spans="23:23">
      <c r="W34077" s="503"/>
    </row>
    <row r="34078" spans="23:23">
      <c r="W34078" s="503"/>
    </row>
    <row r="34079" spans="23:23">
      <c r="W34079" s="503"/>
    </row>
    <row r="34080" spans="23:23">
      <c r="W34080" s="503"/>
    </row>
    <row r="34081" spans="23:23">
      <c r="W34081" s="503"/>
    </row>
    <row r="34082" spans="23:23">
      <c r="W34082" s="503"/>
    </row>
    <row r="34083" spans="23:23">
      <c r="W34083" s="503"/>
    </row>
    <row r="34084" spans="23:23">
      <c r="W34084" s="503"/>
    </row>
    <row r="34085" spans="23:23">
      <c r="W34085" s="503"/>
    </row>
    <row r="34086" spans="23:23">
      <c r="W34086" s="503"/>
    </row>
    <row r="34087" spans="23:23">
      <c r="W34087" s="503"/>
    </row>
    <row r="34088" spans="23:23">
      <c r="W34088" s="503"/>
    </row>
    <row r="34089" spans="23:23">
      <c r="W34089" s="503"/>
    </row>
    <row r="34090" spans="23:23">
      <c r="W34090" s="503"/>
    </row>
    <row r="34091" spans="23:23">
      <c r="W34091" s="503"/>
    </row>
    <row r="34092" spans="23:23">
      <c r="W34092" s="503"/>
    </row>
    <row r="34093" spans="23:23">
      <c r="W34093" s="503"/>
    </row>
    <row r="34094" spans="23:23">
      <c r="W34094" s="503"/>
    </row>
    <row r="34095" spans="23:23">
      <c r="W34095" s="503"/>
    </row>
    <row r="34096" spans="23:23">
      <c r="W34096" s="503"/>
    </row>
    <row r="34097" spans="23:23">
      <c r="W34097" s="503"/>
    </row>
    <row r="34098" spans="23:23">
      <c r="W34098" s="503"/>
    </row>
    <row r="34099" spans="23:23">
      <c r="W34099" s="503"/>
    </row>
    <row r="34100" spans="23:23">
      <c r="W34100" s="503"/>
    </row>
    <row r="34101" spans="23:23">
      <c r="W34101" s="503"/>
    </row>
    <row r="34102" spans="23:23">
      <c r="W34102" s="503"/>
    </row>
    <row r="34103" spans="23:23">
      <c r="W34103" s="503"/>
    </row>
    <row r="34104" spans="23:23">
      <c r="W34104" s="503"/>
    </row>
    <row r="34105" spans="23:23">
      <c r="W34105" s="503"/>
    </row>
    <row r="34106" spans="23:23">
      <c r="W34106" s="503"/>
    </row>
    <row r="34107" spans="23:23">
      <c r="W34107" s="503"/>
    </row>
    <row r="34108" spans="23:23">
      <c r="W34108" s="503"/>
    </row>
    <row r="34109" spans="23:23">
      <c r="W34109" s="503"/>
    </row>
    <row r="34110" spans="23:23">
      <c r="W34110" s="503"/>
    </row>
    <row r="34111" spans="23:23">
      <c r="W34111" s="503"/>
    </row>
    <row r="34112" spans="23:23">
      <c r="W34112" s="503"/>
    </row>
    <row r="34113" spans="23:23">
      <c r="W34113" s="503"/>
    </row>
    <row r="34114" spans="23:23">
      <c r="W34114" s="503"/>
    </row>
    <row r="34115" spans="23:23">
      <c r="W34115" s="503"/>
    </row>
    <row r="34116" spans="23:23">
      <c r="W34116" s="503"/>
    </row>
    <row r="34117" spans="23:23">
      <c r="W34117" s="503"/>
    </row>
    <row r="34118" spans="23:23">
      <c r="W34118" s="503"/>
    </row>
    <row r="34119" spans="23:23">
      <c r="W34119" s="503"/>
    </row>
    <row r="34120" spans="23:23">
      <c r="W34120" s="503"/>
    </row>
    <row r="34121" spans="23:23">
      <c r="W34121" s="503"/>
    </row>
    <row r="34122" spans="23:23">
      <c r="W34122" s="503"/>
    </row>
    <row r="34123" spans="23:23">
      <c r="W34123" s="503"/>
    </row>
    <row r="34124" spans="23:23">
      <c r="W34124" s="503"/>
    </row>
    <row r="34125" spans="23:23">
      <c r="W34125" s="503"/>
    </row>
    <row r="34126" spans="23:23">
      <c r="W34126" s="503"/>
    </row>
    <row r="34127" spans="23:23">
      <c r="W34127" s="503"/>
    </row>
    <row r="34128" spans="23:23">
      <c r="W34128" s="503"/>
    </row>
    <row r="34129" spans="23:23">
      <c r="W34129" s="503"/>
    </row>
    <row r="34130" spans="23:23">
      <c r="W34130" s="503"/>
    </row>
    <row r="34131" spans="23:23">
      <c r="W34131" s="503"/>
    </row>
    <row r="34132" spans="23:23">
      <c r="W34132" s="503"/>
    </row>
    <row r="34133" spans="23:23">
      <c r="W34133" s="503"/>
    </row>
    <row r="34134" spans="23:23">
      <c r="W34134" s="503"/>
    </row>
    <row r="34135" spans="23:23">
      <c r="W34135" s="503"/>
    </row>
    <row r="34136" spans="23:23">
      <c r="W34136" s="503"/>
    </row>
    <row r="34137" spans="23:23">
      <c r="W34137" s="503"/>
    </row>
    <row r="34138" spans="23:23">
      <c r="W34138" s="503"/>
    </row>
    <row r="34139" spans="23:23">
      <c r="W34139" s="503"/>
    </row>
    <row r="34140" spans="23:23">
      <c r="W34140" s="503"/>
    </row>
    <row r="34141" spans="23:23">
      <c r="W34141" s="503"/>
    </row>
    <row r="34142" spans="23:23">
      <c r="W34142" s="503"/>
    </row>
    <row r="34143" spans="23:23">
      <c r="W34143" s="503"/>
    </row>
    <row r="34144" spans="23:23">
      <c r="W34144" s="503"/>
    </row>
    <row r="34145" spans="23:23">
      <c r="W34145" s="503"/>
    </row>
    <row r="34146" spans="23:23">
      <c r="W34146" s="503"/>
    </row>
    <row r="34147" spans="23:23">
      <c r="W34147" s="503"/>
    </row>
    <row r="34148" spans="23:23">
      <c r="W34148" s="503"/>
    </row>
    <row r="34149" spans="23:23">
      <c r="W34149" s="503"/>
    </row>
    <row r="34150" spans="23:23">
      <c r="W34150" s="503"/>
    </row>
    <row r="34151" spans="23:23">
      <c r="W34151" s="503"/>
    </row>
    <row r="34152" spans="23:23">
      <c r="W34152" s="503"/>
    </row>
    <row r="34153" spans="23:23">
      <c r="W34153" s="503"/>
    </row>
    <row r="34154" spans="23:23">
      <c r="W34154" s="503"/>
    </row>
    <row r="34155" spans="23:23">
      <c r="W34155" s="503"/>
    </row>
    <row r="34156" spans="23:23">
      <c r="W34156" s="503"/>
    </row>
    <row r="34157" spans="23:23">
      <c r="W34157" s="503"/>
    </row>
    <row r="34158" spans="23:23">
      <c r="W34158" s="503"/>
    </row>
    <row r="34159" spans="23:23">
      <c r="W34159" s="503"/>
    </row>
    <row r="34160" spans="23:23">
      <c r="W34160" s="503"/>
    </row>
    <row r="34161" spans="23:23">
      <c r="W34161" s="503"/>
    </row>
    <row r="34162" spans="23:23">
      <c r="W34162" s="503"/>
    </row>
    <row r="34163" spans="23:23">
      <c r="W34163" s="503"/>
    </row>
    <row r="34164" spans="23:23">
      <c r="W34164" s="503"/>
    </row>
    <row r="34165" spans="23:23">
      <c r="W34165" s="503"/>
    </row>
    <row r="34166" spans="23:23">
      <c r="W34166" s="503"/>
    </row>
    <row r="34167" spans="23:23">
      <c r="W34167" s="503"/>
    </row>
    <row r="34168" spans="23:23">
      <c r="W34168" s="503"/>
    </row>
    <row r="34169" spans="23:23">
      <c r="W34169" s="503"/>
    </row>
    <row r="34170" spans="23:23">
      <c r="W34170" s="503"/>
    </row>
    <row r="34171" spans="23:23">
      <c r="W34171" s="503"/>
    </row>
    <row r="34172" spans="23:23">
      <c r="W34172" s="503"/>
    </row>
    <row r="34173" spans="23:23">
      <c r="W34173" s="503"/>
    </row>
    <row r="34174" spans="23:23">
      <c r="W34174" s="503"/>
    </row>
    <row r="34175" spans="23:23">
      <c r="W34175" s="503"/>
    </row>
    <row r="34176" spans="23:23">
      <c r="W34176" s="503"/>
    </row>
    <row r="34177" spans="23:23">
      <c r="W34177" s="503"/>
    </row>
    <row r="34178" spans="23:23">
      <c r="W34178" s="503"/>
    </row>
    <row r="34179" spans="23:23">
      <c r="W34179" s="503"/>
    </row>
    <row r="34180" spans="23:23">
      <c r="W34180" s="503"/>
    </row>
    <row r="34181" spans="23:23">
      <c r="W34181" s="503"/>
    </row>
    <row r="34182" spans="23:23">
      <c r="W34182" s="503"/>
    </row>
    <row r="34183" spans="23:23">
      <c r="W34183" s="503"/>
    </row>
    <row r="34184" spans="23:23">
      <c r="W34184" s="503"/>
    </row>
    <row r="34185" spans="23:23">
      <c r="W34185" s="503"/>
    </row>
    <row r="34186" spans="23:23">
      <c r="W34186" s="503"/>
    </row>
    <row r="34187" spans="23:23">
      <c r="W34187" s="503"/>
    </row>
    <row r="34188" spans="23:23">
      <c r="W34188" s="503"/>
    </row>
    <row r="34189" spans="23:23">
      <c r="W34189" s="503"/>
    </row>
    <row r="34190" spans="23:23">
      <c r="W34190" s="503"/>
    </row>
    <row r="34191" spans="23:23">
      <c r="W34191" s="503"/>
    </row>
    <row r="34192" spans="23:23">
      <c r="W34192" s="503"/>
    </row>
    <row r="34193" spans="23:23">
      <c r="W34193" s="503"/>
    </row>
    <row r="34194" spans="23:23">
      <c r="W34194" s="503"/>
    </row>
    <row r="34195" spans="23:23">
      <c r="W34195" s="503"/>
    </row>
    <row r="34196" spans="23:23">
      <c r="W34196" s="503"/>
    </row>
    <row r="34197" spans="23:23">
      <c r="W34197" s="503"/>
    </row>
    <row r="34198" spans="23:23">
      <c r="W34198" s="503"/>
    </row>
    <row r="34199" spans="23:23">
      <c r="W34199" s="503"/>
    </row>
    <row r="34200" spans="23:23">
      <c r="W34200" s="503"/>
    </row>
    <row r="34201" spans="23:23">
      <c r="W34201" s="503"/>
    </row>
    <row r="34202" spans="23:23">
      <c r="W34202" s="503"/>
    </row>
    <row r="34203" spans="23:23">
      <c r="W34203" s="503"/>
    </row>
    <row r="34204" spans="23:23">
      <c r="W34204" s="503"/>
    </row>
    <row r="34205" spans="23:23">
      <c r="W34205" s="503"/>
    </row>
    <row r="34206" spans="23:23">
      <c r="W34206" s="503"/>
    </row>
    <row r="34207" spans="23:23">
      <c r="W34207" s="503"/>
    </row>
    <row r="34208" spans="23:23">
      <c r="W34208" s="503"/>
    </row>
    <row r="34209" spans="23:23">
      <c r="W34209" s="503"/>
    </row>
    <row r="34210" spans="23:23">
      <c r="W34210" s="503"/>
    </row>
    <row r="34211" spans="23:23">
      <c r="W34211" s="503"/>
    </row>
    <row r="34212" spans="23:23">
      <c r="W34212" s="503"/>
    </row>
    <row r="34213" spans="23:23">
      <c r="W34213" s="503"/>
    </row>
    <row r="34214" spans="23:23">
      <c r="W34214" s="503"/>
    </row>
    <row r="34215" spans="23:23">
      <c r="W34215" s="503"/>
    </row>
    <row r="34216" spans="23:23">
      <c r="W34216" s="503"/>
    </row>
    <row r="34217" spans="23:23">
      <c r="W34217" s="503"/>
    </row>
    <row r="34218" spans="23:23">
      <c r="W34218" s="503"/>
    </row>
    <row r="34219" spans="23:23">
      <c r="W34219" s="503"/>
    </row>
    <row r="34220" spans="23:23">
      <c r="W34220" s="503"/>
    </row>
    <row r="34221" spans="23:23">
      <c r="W34221" s="503"/>
    </row>
    <row r="34222" spans="23:23">
      <c r="W34222" s="503"/>
    </row>
    <row r="34223" spans="23:23">
      <c r="W34223" s="503"/>
    </row>
    <row r="34224" spans="23:23">
      <c r="W34224" s="503"/>
    </row>
    <row r="34225" spans="23:23">
      <c r="W34225" s="503"/>
    </row>
    <row r="34226" spans="23:23">
      <c r="W34226" s="503"/>
    </row>
    <row r="34227" spans="23:23">
      <c r="W34227" s="503"/>
    </row>
    <row r="34228" spans="23:23">
      <c r="W34228" s="503"/>
    </row>
    <row r="34229" spans="23:23">
      <c r="W34229" s="503"/>
    </row>
    <row r="34230" spans="23:23">
      <c r="W34230" s="503"/>
    </row>
    <row r="34231" spans="23:23">
      <c r="W34231" s="503"/>
    </row>
    <row r="34232" spans="23:23">
      <c r="W34232" s="503"/>
    </row>
    <row r="34233" spans="23:23">
      <c r="W34233" s="503"/>
    </row>
    <row r="34234" spans="23:23">
      <c r="W34234" s="503"/>
    </row>
    <row r="34235" spans="23:23">
      <c r="W34235" s="503"/>
    </row>
    <row r="34236" spans="23:23">
      <c r="W34236" s="503"/>
    </row>
    <row r="34237" spans="23:23">
      <c r="W34237" s="503"/>
    </row>
    <row r="34238" spans="23:23">
      <c r="W34238" s="503"/>
    </row>
    <row r="34239" spans="23:23">
      <c r="W34239" s="503"/>
    </row>
    <row r="34240" spans="23:23">
      <c r="W34240" s="503"/>
    </row>
    <row r="34241" spans="23:23">
      <c r="W34241" s="503"/>
    </row>
    <row r="34242" spans="23:23">
      <c r="W34242" s="503"/>
    </row>
    <row r="34243" spans="23:23">
      <c r="W34243" s="503"/>
    </row>
    <row r="34244" spans="23:23">
      <c r="W34244" s="503"/>
    </row>
    <row r="34245" spans="23:23">
      <c r="W34245" s="503"/>
    </row>
    <row r="34246" spans="23:23">
      <c r="W34246" s="503"/>
    </row>
    <row r="34247" spans="23:23">
      <c r="W34247" s="503"/>
    </row>
    <row r="34248" spans="23:23">
      <c r="W34248" s="503"/>
    </row>
    <row r="34249" spans="23:23">
      <c r="W34249" s="503"/>
    </row>
    <row r="34250" spans="23:23">
      <c r="W34250" s="503"/>
    </row>
    <row r="34251" spans="23:23">
      <c r="W34251" s="503"/>
    </row>
    <row r="34252" spans="23:23">
      <c r="W34252" s="503"/>
    </row>
    <row r="34253" spans="23:23">
      <c r="W34253" s="503"/>
    </row>
    <row r="34254" spans="23:23">
      <c r="W34254" s="503"/>
    </row>
    <row r="34255" spans="23:23">
      <c r="W34255" s="503"/>
    </row>
    <row r="34256" spans="23:23">
      <c r="W34256" s="503"/>
    </row>
    <row r="34257" spans="23:23">
      <c r="W34257" s="503"/>
    </row>
    <row r="34258" spans="23:23">
      <c r="W34258" s="503"/>
    </row>
    <row r="34259" spans="23:23">
      <c r="W34259" s="503"/>
    </row>
    <row r="34260" spans="23:23">
      <c r="W34260" s="503"/>
    </row>
    <row r="34261" spans="23:23">
      <c r="W34261" s="503"/>
    </row>
    <row r="34262" spans="23:23">
      <c r="W34262" s="503"/>
    </row>
    <row r="34263" spans="23:23">
      <c r="W34263" s="503"/>
    </row>
    <row r="34264" spans="23:23">
      <c r="W34264" s="503"/>
    </row>
    <row r="34265" spans="23:23">
      <c r="W34265" s="503"/>
    </row>
    <row r="34266" spans="23:23">
      <c r="W34266" s="503"/>
    </row>
    <row r="34267" spans="23:23">
      <c r="W34267" s="503"/>
    </row>
    <row r="34268" spans="23:23">
      <c r="W34268" s="503"/>
    </row>
    <row r="34269" spans="23:23">
      <c r="W34269" s="503"/>
    </row>
    <row r="34270" spans="23:23">
      <c r="W34270" s="503"/>
    </row>
    <row r="34271" spans="23:23">
      <c r="W34271" s="503"/>
    </row>
    <row r="34272" spans="23:23">
      <c r="W34272" s="503"/>
    </row>
    <row r="34273" spans="23:23">
      <c r="W34273" s="503"/>
    </row>
    <row r="34274" spans="23:23">
      <c r="W34274" s="503"/>
    </row>
    <row r="34275" spans="23:23">
      <c r="W34275" s="503"/>
    </row>
    <row r="34276" spans="23:23">
      <c r="W34276" s="503"/>
    </row>
    <row r="34277" spans="23:23">
      <c r="W34277" s="503"/>
    </row>
    <row r="34278" spans="23:23">
      <c r="W34278" s="503"/>
    </row>
    <row r="34279" spans="23:23">
      <c r="W34279" s="503"/>
    </row>
    <row r="34280" spans="23:23">
      <c r="W34280" s="503"/>
    </row>
    <row r="34281" spans="23:23">
      <c r="W34281" s="503"/>
    </row>
    <row r="34282" spans="23:23">
      <c r="W34282" s="503"/>
    </row>
    <row r="34283" spans="23:23">
      <c r="W34283" s="503"/>
    </row>
    <row r="34284" spans="23:23">
      <c r="W34284" s="503"/>
    </row>
    <row r="34285" spans="23:23">
      <c r="W34285" s="503"/>
    </row>
    <row r="34286" spans="23:23">
      <c r="W34286" s="503"/>
    </row>
    <row r="34287" spans="23:23">
      <c r="W34287" s="503"/>
    </row>
    <row r="34288" spans="23:23">
      <c r="W34288" s="503"/>
    </row>
    <row r="34289" spans="23:23">
      <c r="W34289" s="503"/>
    </row>
    <row r="34290" spans="23:23">
      <c r="W34290" s="503"/>
    </row>
    <row r="34291" spans="23:23">
      <c r="W34291" s="503"/>
    </row>
    <row r="34292" spans="23:23">
      <c r="W34292" s="503"/>
    </row>
    <row r="34293" spans="23:23">
      <c r="W34293" s="503"/>
    </row>
    <row r="34294" spans="23:23">
      <c r="W34294" s="503"/>
    </row>
    <row r="34295" spans="23:23">
      <c r="W34295" s="503"/>
    </row>
    <row r="34296" spans="23:23">
      <c r="W34296" s="503"/>
    </row>
    <row r="34297" spans="23:23">
      <c r="W34297" s="503"/>
    </row>
    <row r="34298" spans="23:23">
      <c r="W34298" s="503"/>
    </row>
    <row r="34299" spans="23:23">
      <c r="W34299" s="503"/>
    </row>
    <row r="34300" spans="23:23">
      <c r="W34300" s="503"/>
    </row>
    <row r="34301" spans="23:23">
      <c r="W34301" s="503"/>
    </row>
    <row r="34302" spans="23:23">
      <c r="W34302" s="503"/>
    </row>
    <row r="34303" spans="23:23">
      <c r="W34303" s="503"/>
    </row>
    <row r="34304" spans="23:23">
      <c r="W34304" s="503"/>
    </row>
    <row r="34305" spans="23:23">
      <c r="W34305" s="503"/>
    </row>
    <row r="34306" spans="23:23">
      <c r="W34306" s="503"/>
    </row>
    <row r="34307" spans="23:23">
      <c r="W34307" s="503"/>
    </row>
    <row r="34308" spans="23:23">
      <c r="W34308" s="503"/>
    </row>
    <row r="34309" spans="23:23">
      <c r="W34309" s="503"/>
    </row>
    <row r="34310" spans="23:23">
      <c r="W34310" s="503"/>
    </row>
    <row r="34311" spans="23:23">
      <c r="W34311" s="503"/>
    </row>
    <row r="34312" spans="23:23">
      <c r="W34312" s="503"/>
    </row>
    <row r="34313" spans="23:23">
      <c r="W34313" s="503"/>
    </row>
    <row r="34314" spans="23:23">
      <c r="W34314" s="503"/>
    </row>
    <row r="34315" spans="23:23">
      <c r="W34315" s="503"/>
    </row>
    <row r="34316" spans="23:23">
      <c r="W34316" s="503"/>
    </row>
    <row r="34317" spans="23:23">
      <c r="W34317" s="503"/>
    </row>
    <row r="34318" spans="23:23">
      <c r="W34318" s="503"/>
    </row>
    <row r="34319" spans="23:23">
      <c r="W34319" s="503"/>
    </row>
    <row r="34320" spans="23:23">
      <c r="W34320" s="503"/>
    </row>
    <row r="34321" spans="23:23">
      <c r="W34321" s="503"/>
    </row>
    <row r="34322" spans="23:23">
      <c r="W34322" s="503"/>
    </row>
    <row r="34323" spans="23:23">
      <c r="W34323" s="503"/>
    </row>
    <row r="34324" spans="23:23">
      <c r="W34324" s="503"/>
    </row>
    <row r="34325" spans="23:23">
      <c r="W34325" s="503"/>
    </row>
    <row r="34326" spans="23:23">
      <c r="W34326" s="503"/>
    </row>
    <row r="34327" spans="23:23">
      <c r="W34327" s="503"/>
    </row>
    <row r="34328" spans="23:23">
      <c r="W34328" s="503"/>
    </row>
    <row r="34329" spans="23:23">
      <c r="W34329" s="503"/>
    </row>
    <row r="34330" spans="23:23">
      <c r="W34330" s="503"/>
    </row>
    <row r="34331" spans="23:23">
      <c r="W34331" s="503"/>
    </row>
    <row r="34332" spans="23:23">
      <c r="W34332" s="503"/>
    </row>
    <row r="34333" spans="23:23">
      <c r="W34333" s="503"/>
    </row>
    <row r="34334" spans="23:23">
      <c r="W34334" s="503"/>
    </row>
    <row r="34335" spans="23:23">
      <c r="W34335" s="503"/>
    </row>
    <row r="34336" spans="23:23">
      <c r="W34336" s="503"/>
    </row>
    <row r="34337" spans="23:23">
      <c r="W34337" s="503"/>
    </row>
    <row r="34338" spans="23:23">
      <c r="W34338" s="503"/>
    </row>
    <row r="34339" spans="23:23">
      <c r="W34339" s="503"/>
    </row>
    <row r="34340" spans="23:23">
      <c r="W34340" s="503"/>
    </row>
    <row r="34341" spans="23:23">
      <c r="W34341" s="503"/>
    </row>
    <row r="34342" spans="23:23">
      <c r="W34342" s="503"/>
    </row>
    <row r="34343" spans="23:23">
      <c r="W34343" s="503"/>
    </row>
    <row r="34344" spans="23:23">
      <c r="W34344" s="503"/>
    </row>
    <row r="34345" spans="23:23">
      <c r="W34345" s="503"/>
    </row>
    <row r="34346" spans="23:23">
      <c r="W34346" s="503"/>
    </row>
    <row r="34347" spans="23:23">
      <c r="W34347" s="503"/>
    </row>
    <row r="34348" spans="23:23">
      <c r="W34348" s="503"/>
    </row>
    <row r="34349" spans="23:23">
      <c r="W34349" s="503"/>
    </row>
    <row r="34350" spans="23:23">
      <c r="W34350" s="503"/>
    </row>
    <row r="34351" spans="23:23">
      <c r="W34351" s="503"/>
    </row>
    <row r="34352" spans="23:23">
      <c r="W34352" s="503"/>
    </row>
    <row r="34353" spans="23:23">
      <c r="W34353" s="503"/>
    </row>
    <row r="34354" spans="23:23">
      <c r="W34354" s="503"/>
    </row>
    <row r="34355" spans="23:23">
      <c r="W34355" s="503"/>
    </row>
    <row r="34356" spans="23:23">
      <c r="W34356" s="503"/>
    </row>
    <row r="34357" spans="23:23">
      <c r="W34357" s="503"/>
    </row>
    <row r="34358" spans="23:23">
      <c r="W34358" s="503"/>
    </row>
    <row r="34359" spans="23:23">
      <c r="W34359" s="503"/>
    </row>
    <row r="34360" spans="23:23">
      <c r="W34360" s="503"/>
    </row>
    <row r="34361" spans="23:23">
      <c r="W34361" s="503"/>
    </row>
    <row r="34362" spans="23:23">
      <c r="W34362" s="503"/>
    </row>
    <row r="34363" spans="23:23">
      <c r="W34363" s="503"/>
    </row>
    <row r="34364" spans="23:23">
      <c r="W34364" s="503"/>
    </row>
    <row r="34365" spans="23:23">
      <c r="W34365" s="503"/>
    </row>
    <row r="34366" spans="23:23">
      <c r="W34366" s="503"/>
    </row>
    <row r="34367" spans="23:23">
      <c r="W34367" s="503"/>
    </row>
    <row r="34368" spans="23:23">
      <c r="W34368" s="503"/>
    </row>
    <row r="34369" spans="23:23">
      <c r="W34369" s="503"/>
    </row>
    <row r="34370" spans="23:23">
      <c r="W34370" s="503"/>
    </row>
    <row r="34371" spans="23:23">
      <c r="W34371" s="503"/>
    </row>
    <row r="34372" spans="23:23">
      <c r="W34372" s="503"/>
    </row>
    <row r="34373" spans="23:23">
      <c r="W34373" s="503"/>
    </row>
    <row r="34374" spans="23:23">
      <c r="W34374" s="503"/>
    </row>
    <row r="34375" spans="23:23">
      <c r="W34375" s="503"/>
    </row>
    <row r="34376" spans="23:23">
      <c r="W34376" s="503"/>
    </row>
    <row r="34377" spans="23:23">
      <c r="W34377" s="503"/>
    </row>
    <row r="34378" spans="23:23">
      <c r="W34378" s="503"/>
    </row>
    <row r="34379" spans="23:23">
      <c r="W34379" s="503"/>
    </row>
    <row r="34380" spans="23:23">
      <c r="W34380" s="503"/>
    </row>
    <row r="34381" spans="23:23">
      <c r="W34381" s="503"/>
    </row>
    <row r="34382" spans="23:23">
      <c r="W34382" s="503"/>
    </row>
    <row r="34383" spans="23:23">
      <c r="W34383" s="503"/>
    </row>
    <row r="34384" spans="23:23">
      <c r="W34384" s="503"/>
    </row>
    <row r="34385" spans="23:23">
      <c r="W34385" s="503"/>
    </row>
    <row r="34386" spans="23:23">
      <c r="W34386" s="503"/>
    </row>
    <row r="34387" spans="23:23">
      <c r="W34387" s="503"/>
    </row>
    <row r="34388" spans="23:23">
      <c r="W34388" s="503"/>
    </row>
    <row r="34389" spans="23:23">
      <c r="W34389" s="503"/>
    </row>
    <row r="34390" spans="23:23">
      <c r="W34390" s="503"/>
    </row>
    <row r="34391" spans="23:23">
      <c r="W34391" s="503"/>
    </row>
    <row r="34392" spans="23:23">
      <c r="W34392" s="503"/>
    </row>
    <row r="34393" spans="23:23">
      <c r="W34393" s="503"/>
    </row>
    <row r="34394" spans="23:23">
      <c r="W34394" s="503"/>
    </row>
    <row r="34395" spans="23:23">
      <c r="W34395" s="503"/>
    </row>
    <row r="34396" spans="23:23">
      <c r="W34396" s="503"/>
    </row>
    <row r="34397" spans="23:23">
      <c r="W34397" s="503"/>
    </row>
    <row r="34398" spans="23:23">
      <c r="W34398" s="503"/>
    </row>
    <row r="34399" spans="23:23">
      <c r="W34399" s="503"/>
    </row>
    <row r="34400" spans="23:23">
      <c r="W34400" s="503"/>
    </row>
    <row r="34401" spans="23:23">
      <c r="W34401" s="503"/>
    </row>
    <row r="34402" spans="23:23">
      <c r="W34402" s="503"/>
    </row>
    <row r="34403" spans="23:23">
      <c r="W34403" s="503"/>
    </row>
    <row r="34404" spans="23:23">
      <c r="W34404" s="503"/>
    </row>
    <row r="34405" spans="23:23">
      <c r="W34405" s="503"/>
    </row>
    <row r="34406" spans="23:23">
      <c r="W34406" s="503"/>
    </row>
    <row r="34407" spans="23:23">
      <c r="W34407" s="503"/>
    </row>
    <row r="34408" spans="23:23">
      <c r="W34408" s="503"/>
    </row>
    <row r="34409" spans="23:23">
      <c r="W34409" s="503"/>
    </row>
    <row r="34410" spans="23:23">
      <c r="W34410" s="503"/>
    </row>
    <row r="34411" spans="23:23">
      <c r="W34411" s="503"/>
    </row>
    <row r="34412" spans="23:23">
      <c r="W34412" s="503"/>
    </row>
    <row r="34413" spans="23:23">
      <c r="W34413" s="503"/>
    </row>
    <row r="34414" spans="23:23">
      <c r="W34414" s="503"/>
    </row>
    <row r="34415" spans="23:23">
      <c r="W34415" s="503"/>
    </row>
    <row r="34416" spans="23:23">
      <c r="W34416" s="503"/>
    </row>
    <row r="34417" spans="23:23">
      <c r="W34417" s="503"/>
    </row>
    <row r="34418" spans="23:23">
      <c r="W34418" s="503"/>
    </row>
    <row r="34419" spans="23:23">
      <c r="W34419" s="503"/>
    </row>
    <row r="34420" spans="23:23">
      <c r="W34420" s="503"/>
    </row>
    <row r="34421" spans="23:23">
      <c r="W34421" s="503"/>
    </row>
    <row r="34422" spans="23:23">
      <c r="W34422" s="503"/>
    </row>
    <row r="34423" spans="23:23">
      <c r="W34423" s="503"/>
    </row>
    <row r="34424" spans="23:23">
      <c r="W34424" s="503"/>
    </row>
    <row r="34425" spans="23:23">
      <c r="W34425" s="503"/>
    </row>
    <row r="34426" spans="23:23">
      <c r="W34426" s="503"/>
    </row>
    <row r="34427" spans="23:23">
      <c r="W34427" s="503"/>
    </row>
    <row r="34428" spans="23:23">
      <c r="W34428" s="503"/>
    </row>
    <row r="34429" spans="23:23">
      <c r="W34429" s="503"/>
    </row>
    <row r="34430" spans="23:23">
      <c r="W34430" s="503"/>
    </row>
    <row r="34431" spans="23:23">
      <c r="W34431" s="503"/>
    </row>
    <row r="34432" spans="23:23">
      <c r="W34432" s="503"/>
    </row>
    <row r="34433" spans="23:23">
      <c r="W34433" s="503"/>
    </row>
    <row r="34434" spans="23:23">
      <c r="W34434" s="503"/>
    </row>
    <row r="34435" spans="23:23">
      <c r="W34435" s="503"/>
    </row>
    <row r="34436" spans="23:23">
      <c r="W34436" s="503"/>
    </row>
    <row r="34437" spans="23:23">
      <c r="W34437" s="503"/>
    </row>
    <row r="34438" spans="23:23">
      <c r="W34438" s="503"/>
    </row>
    <row r="34439" spans="23:23">
      <c r="W34439" s="503"/>
    </row>
    <row r="34440" spans="23:23">
      <c r="W34440" s="503"/>
    </row>
    <row r="34441" spans="23:23">
      <c r="W34441" s="503"/>
    </row>
    <row r="34442" spans="23:23">
      <c r="W34442" s="503"/>
    </row>
    <row r="34443" spans="23:23">
      <c r="W34443" s="503"/>
    </row>
    <row r="34444" spans="23:23">
      <c r="W34444" s="503"/>
    </row>
    <row r="34445" spans="23:23">
      <c r="W34445" s="503"/>
    </row>
    <row r="34446" spans="23:23">
      <c r="W34446" s="503"/>
    </row>
    <row r="34447" spans="23:23">
      <c r="W34447" s="503"/>
    </row>
    <row r="34448" spans="23:23">
      <c r="W34448" s="503"/>
    </row>
    <row r="34449" spans="23:23">
      <c r="W34449" s="503"/>
    </row>
    <row r="34450" spans="23:23">
      <c r="W34450" s="503"/>
    </row>
    <row r="34451" spans="23:23">
      <c r="W34451" s="503"/>
    </row>
    <row r="34452" spans="23:23">
      <c r="W34452" s="503"/>
    </row>
    <row r="34453" spans="23:23">
      <c r="W34453" s="503"/>
    </row>
    <row r="34454" spans="23:23">
      <c r="W34454" s="503"/>
    </row>
    <row r="34455" spans="23:23">
      <c r="W34455" s="503"/>
    </row>
    <row r="34456" spans="23:23">
      <c r="W34456" s="503"/>
    </row>
    <row r="34457" spans="23:23">
      <c r="W34457" s="503"/>
    </row>
    <row r="34458" spans="23:23">
      <c r="W34458" s="503"/>
    </row>
    <row r="34459" spans="23:23">
      <c r="W34459" s="503"/>
    </row>
    <row r="34460" spans="23:23">
      <c r="W34460" s="503"/>
    </row>
    <row r="34461" spans="23:23">
      <c r="W34461" s="503"/>
    </row>
    <row r="34462" spans="23:23">
      <c r="W34462" s="503"/>
    </row>
    <row r="34463" spans="23:23">
      <c r="W34463" s="503"/>
    </row>
    <row r="34464" spans="23:23">
      <c r="W34464" s="503"/>
    </row>
    <row r="34465" spans="23:23">
      <c r="W34465" s="503"/>
    </row>
    <row r="34466" spans="23:23">
      <c r="W34466" s="503"/>
    </row>
    <row r="34467" spans="23:23">
      <c r="W34467" s="503"/>
    </row>
    <row r="34468" spans="23:23">
      <c r="W34468" s="503"/>
    </row>
    <row r="34469" spans="23:23">
      <c r="W34469" s="503"/>
    </row>
    <row r="34470" spans="23:23">
      <c r="W34470" s="503"/>
    </row>
    <row r="34471" spans="23:23">
      <c r="W34471" s="503"/>
    </row>
    <row r="34472" spans="23:23">
      <c r="W34472" s="503"/>
    </row>
    <row r="34473" spans="23:23">
      <c r="W34473" s="503"/>
    </row>
    <row r="34474" spans="23:23">
      <c r="W34474" s="503"/>
    </row>
    <row r="34475" spans="23:23">
      <c r="W34475" s="503"/>
    </row>
    <row r="34476" spans="23:23">
      <c r="W34476" s="503"/>
    </row>
    <row r="34477" spans="23:23">
      <c r="W34477" s="503"/>
    </row>
    <row r="34478" spans="23:23">
      <c r="W34478" s="503"/>
    </row>
    <row r="34479" spans="23:23">
      <c r="W34479" s="503"/>
    </row>
    <row r="34480" spans="23:23">
      <c r="W34480" s="503"/>
    </row>
    <row r="34481" spans="23:23">
      <c r="W34481" s="503"/>
    </row>
    <row r="34482" spans="23:23">
      <c r="W34482" s="503"/>
    </row>
    <row r="34483" spans="23:23">
      <c r="W34483" s="503"/>
    </row>
    <row r="34484" spans="23:23">
      <c r="W34484" s="503"/>
    </row>
    <row r="34485" spans="23:23">
      <c r="W34485" s="503"/>
    </row>
    <row r="34486" spans="23:23">
      <c r="W34486" s="503"/>
    </row>
    <row r="34487" spans="23:23">
      <c r="W34487" s="503"/>
    </row>
    <row r="34488" spans="23:23">
      <c r="W34488" s="503"/>
    </row>
    <row r="34489" spans="23:23">
      <c r="W34489" s="503"/>
    </row>
    <row r="34490" spans="23:23">
      <c r="W34490" s="503"/>
    </row>
    <row r="34491" spans="23:23">
      <c r="W34491" s="503"/>
    </row>
    <row r="34492" spans="23:23">
      <c r="W34492" s="503"/>
    </row>
    <row r="34493" spans="23:23">
      <c r="W34493" s="503"/>
    </row>
    <row r="34494" spans="23:23">
      <c r="W34494" s="503"/>
    </row>
    <row r="34495" spans="23:23">
      <c r="W34495" s="503"/>
    </row>
    <row r="34496" spans="23:23">
      <c r="W34496" s="503"/>
    </row>
    <row r="34497" spans="23:23">
      <c r="W34497" s="503"/>
    </row>
    <row r="34498" spans="23:23">
      <c r="W34498" s="503"/>
    </row>
    <row r="34499" spans="23:23">
      <c r="W34499" s="503"/>
    </row>
    <row r="34500" spans="23:23">
      <c r="W34500" s="503"/>
    </row>
    <row r="34501" spans="23:23">
      <c r="W34501" s="503"/>
    </row>
    <row r="34502" spans="23:23">
      <c r="W34502" s="503"/>
    </row>
    <row r="34503" spans="23:23">
      <c r="W34503" s="503"/>
    </row>
    <row r="34504" spans="23:23">
      <c r="W34504" s="503"/>
    </row>
    <row r="34505" spans="23:23">
      <c r="W34505" s="503"/>
    </row>
    <row r="34506" spans="23:23">
      <c r="W34506" s="503"/>
    </row>
    <row r="34507" spans="23:23">
      <c r="W34507" s="503"/>
    </row>
    <row r="34508" spans="23:23">
      <c r="W34508" s="503"/>
    </row>
    <row r="34509" spans="23:23">
      <c r="W34509" s="503"/>
    </row>
    <row r="34510" spans="23:23">
      <c r="W34510" s="503"/>
    </row>
    <row r="34511" spans="23:23">
      <c r="W34511" s="503"/>
    </row>
    <row r="34512" spans="23:23">
      <c r="W34512" s="503"/>
    </row>
    <row r="34513" spans="23:23">
      <c r="W34513" s="503"/>
    </row>
    <row r="34514" spans="23:23">
      <c r="W34514" s="503"/>
    </row>
    <row r="34515" spans="23:23">
      <c r="W34515" s="503"/>
    </row>
    <row r="34516" spans="23:23">
      <c r="W34516" s="503"/>
    </row>
    <row r="34517" spans="23:23">
      <c r="W34517" s="503"/>
    </row>
    <row r="34518" spans="23:23">
      <c r="W34518" s="503"/>
    </row>
    <row r="34519" spans="23:23">
      <c r="W34519" s="503"/>
    </row>
    <row r="34520" spans="23:23">
      <c r="W34520" s="503"/>
    </row>
    <row r="34521" spans="23:23">
      <c r="W34521" s="503"/>
    </row>
    <row r="34522" spans="23:23">
      <c r="W34522" s="503"/>
    </row>
    <row r="34523" spans="23:23">
      <c r="W34523" s="503"/>
    </row>
    <row r="34524" spans="23:23">
      <c r="W34524" s="503"/>
    </row>
    <row r="34525" spans="23:23">
      <c r="W34525" s="503"/>
    </row>
    <row r="34526" spans="23:23">
      <c r="W34526" s="503"/>
    </row>
    <row r="34527" spans="23:23">
      <c r="W34527" s="503"/>
    </row>
    <row r="34528" spans="23:23">
      <c r="W34528" s="503"/>
    </row>
    <row r="34529" spans="23:23">
      <c r="W34529" s="503"/>
    </row>
    <row r="34530" spans="23:23">
      <c r="W34530" s="503"/>
    </row>
    <row r="34531" spans="23:23">
      <c r="W34531" s="503"/>
    </row>
    <row r="34532" spans="23:23">
      <c r="W34532" s="503"/>
    </row>
    <row r="34533" spans="23:23">
      <c r="W34533" s="503"/>
    </row>
    <row r="34534" spans="23:23">
      <c r="W34534" s="503"/>
    </row>
    <row r="34535" spans="23:23">
      <c r="W34535" s="503"/>
    </row>
    <row r="34536" spans="23:23">
      <c r="W34536" s="503"/>
    </row>
    <row r="34537" spans="23:23">
      <c r="W34537" s="503"/>
    </row>
    <row r="34538" spans="23:23">
      <c r="W34538" s="503"/>
    </row>
    <row r="34539" spans="23:23">
      <c r="W34539" s="503"/>
    </row>
    <row r="34540" spans="23:23">
      <c r="W34540" s="503"/>
    </row>
    <row r="34541" spans="23:23">
      <c r="W34541" s="503"/>
    </row>
    <row r="34542" spans="23:23">
      <c r="W34542" s="503"/>
    </row>
    <row r="34543" spans="23:23">
      <c r="W34543" s="503"/>
    </row>
    <row r="34544" spans="23:23">
      <c r="W34544" s="503"/>
    </row>
    <row r="34545" spans="23:23">
      <c r="W34545" s="503"/>
    </row>
    <row r="34546" spans="23:23">
      <c r="W34546" s="503"/>
    </row>
    <row r="34547" spans="23:23">
      <c r="W34547" s="503"/>
    </row>
    <row r="34548" spans="23:23">
      <c r="W34548" s="503"/>
    </row>
    <row r="34549" spans="23:23">
      <c r="W34549" s="503"/>
    </row>
    <row r="34550" spans="23:23">
      <c r="W34550" s="503"/>
    </row>
    <row r="34551" spans="23:23">
      <c r="W34551" s="503"/>
    </row>
    <row r="34552" spans="23:23">
      <c r="W34552" s="503"/>
    </row>
    <row r="34553" spans="23:23">
      <c r="W34553" s="503"/>
    </row>
    <row r="34554" spans="23:23">
      <c r="W34554" s="503"/>
    </row>
    <row r="34555" spans="23:23">
      <c r="W34555" s="503"/>
    </row>
    <row r="34556" spans="23:23">
      <c r="W34556" s="503"/>
    </row>
    <row r="34557" spans="23:23">
      <c r="W34557" s="503"/>
    </row>
    <row r="34558" spans="23:23">
      <c r="W34558" s="503"/>
    </row>
    <row r="34559" spans="23:23">
      <c r="W34559" s="503"/>
    </row>
    <row r="34560" spans="23:23">
      <c r="W34560" s="503"/>
    </row>
    <row r="34561" spans="23:23">
      <c r="W34561" s="503"/>
    </row>
    <row r="34562" spans="23:23">
      <c r="W34562" s="503"/>
    </row>
    <row r="34563" spans="23:23">
      <c r="W34563" s="503"/>
    </row>
    <row r="34564" spans="23:23">
      <c r="W34564" s="503"/>
    </row>
    <row r="34565" spans="23:23">
      <c r="W34565" s="503"/>
    </row>
    <row r="34566" spans="23:23">
      <c r="W34566" s="503"/>
    </row>
    <row r="34567" spans="23:23">
      <c r="W34567" s="503"/>
    </row>
    <row r="34568" spans="23:23">
      <c r="W34568" s="503"/>
    </row>
    <row r="34569" spans="23:23">
      <c r="W34569" s="503"/>
    </row>
    <row r="34570" spans="23:23">
      <c r="W34570" s="503"/>
    </row>
    <row r="34571" spans="23:23">
      <c r="W34571" s="503"/>
    </row>
    <row r="34572" spans="23:23">
      <c r="W34572" s="503"/>
    </row>
    <row r="34573" spans="23:23">
      <c r="W34573" s="503"/>
    </row>
    <row r="34574" spans="23:23">
      <c r="W34574" s="503"/>
    </row>
    <row r="34575" spans="23:23">
      <c r="W34575" s="503"/>
    </row>
    <row r="34576" spans="23:23">
      <c r="W34576" s="503"/>
    </row>
    <row r="34577" spans="23:23">
      <c r="W34577" s="503"/>
    </row>
    <row r="34578" spans="23:23">
      <c r="W34578" s="503"/>
    </row>
    <row r="34579" spans="23:23">
      <c r="W34579" s="503"/>
    </row>
    <row r="34580" spans="23:23">
      <c r="W34580" s="503"/>
    </row>
    <row r="34581" spans="23:23">
      <c r="W34581" s="503"/>
    </row>
    <row r="34582" spans="23:23">
      <c r="W34582" s="503"/>
    </row>
    <row r="34583" spans="23:23">
      <c r="W34583" s="503"/>
    </row>
    <row r="34584" spans="23:23">
      <c r="W34584" s="503"/>
    </row>
    <row r="34585" spans="23:23">
      <c r="W34585" s="503"/>
    </row>
    <row r="34586" spans="23:23">
      <c r="W34586" s="503"/>
    </row>
    <row r="34587" spans="23:23">
      <c r="W34587" s="503"/>
    </row>
    <row r="34588" spans="23:23">
      <c r="W34588" s="503"/>
    </row>
    <row r="34589" spans="23:23">
      <c r="W34589" s="503"/>
    </row>
    <row r="34590" spans="23:23">
      <c r="W34590" s="503"/>
    </row>
    <row r="34591" spans="23:23">
      <c r="W34591" s="503"/>
    </row>
    <row r="34592" spans="23:23">
      <c r="W34592" s="503"/>
    </row>
    <row r="34593" spans="23:23">
      <c r="W34593" s="503"/>
    </row>
    <row r="34594" spans="23:23">
      <c r="W34594" s="503"/>
    </row>
    <row r="34595" spans="23:23">
      <c r="W34595" s="503"/>
    </row>
    <row r="34596" spans="23:23">
      <c r="W34596" s="503"/>
    </row>
    <row r="34597" spans="23:23">
      <c r="W34597" s="503"/>
    </row>
    <row r="34598" spans="23:23">
      <c r="W34598" s="503"/>
    </row>
    <row r="34599" spans="23:23">
      <c r="W34599" s="503"/>
    </row>
    <row r="34600" spans="23:23">
      <c r="W34600" s="503"/>
    </row>
    <row r="34601" spans="23:23">
      <c r="W34601" s="503"/>
    </row>
    <row r="34602" spans="23:23">
      <c r="W34602" s="503"/>
    </row>
    <row r="34603" spans="23:23">
      <c r="W34603" s="503"/>
    </row>
    <row r="34604" spans="23:23">
      <c r="W34604" s="503"/>
    </row>
    <row r="34605" spans="23:23">
      <c r="W34605" s="503"/>
    </row>
    <row r="34606" spans="23:23">
      <c r="W34606" s="503"/>
    </row>
    <row r="34607" spans="23:23">
      <c r="W34607" s="503"/>
    </row>
    <row r="34608" spans="23:23">
      <c r="W34608" s="503"/>
    </row>
    <row r="34609" spans="23:23">
      <c r="W34609" s="503"/>
    </row>
    <row r="34610" spans="23:23">
      <c r="W34610" s="503"/>
    </row>
    <row r="34611" spans="23:23">
      <c r="W34611" s="503"/>
    </row>
    <row r="34612" spans="23:23">
      <c r="W34612" s="503"/>
    </row>
    <row r="34613" spans="23:23">
      <c r="W34613" s="503"/>
    </row>
    <row r="34614" spans="23:23">
      <c r="W34614" s="503"/>
    </row>
    <row r="34615" spans="23:23">
      <c r="W34615" s="503"/>
    </row>
    <row r="34616" spans="23:23">
      <c r="W34616" s="503"/>
    </row>
    <row r="34617" spans="23:23">
      <c r="W34617" s="503"/>
    </row>
    <row r="34618" spans="23:23">
      <c r="W34618" s="503"/>
    </row>
    <row r="34619" spans="23:23">
      <c r="W34619" s="503"/>
    </row>
    <row r="34620" spans="23:23">
      <c r="W34620" s="503"/>
    </row>
    <row r="34621" spans="23:23">
      <c r="W34621" s="503"/>
    </row>
    <row r="34622" spans="23:23">
      <c r="W34622" s="503"/>
    </row>
    <row r="34623" spans="23:23">
      <c r="W34623" s="503"/>
    </row>
    <row r="34624" spans="23:23">
      <c r="W34624" s="503"/>
    </row>
    <row r="34625" spans="23:23">
      <c r="W34625" s="503"/>
    </row>
    <row r="34626" spans="23:23">
      <c r="W34626" s="503"/>
    </row>
    <row r="34627" spans="23:23">
      <c r="W34627" s="503"/>
    </row>
    <row r="34628" spans="23:23">
      <c r="W34628" s="503"/>
    </row>
    <row r="34629" spans="23:23">
      <c r="W34629" s="503"/>
    </row>
    <row r="34630" spans="23:23">
      <c r="W34630" s="503"/>
    </row>
    <row r="34631" spans="23:23">
      <c r="W34631" s="503"/>
    </row>
    <row r="34632" spans="23:23">
      <c r="W34632" s="503"/>
    </row>
    <row r="34633" spans="23:23">
      <c r="W34633" s="503"/>
    </row>
    <row r="34634" spans="23:23">
      <c r="W34634" s="503"/>
    </row>
    <row r="34635" spans="23:23">
      <c r="W34635" s="503"/>
    </row>
    <row r="34636" spans="23:23">
      <c r="W34636" s="503"/>
    </row>
    <row r="34637" spans="23:23">
      <c r="W34637" s="503"/>
    </row>
    <row r="34638" spans="23:23">
      <c r="W34638" s="503"/>
    </row>
    <row r="34639" spans="23:23">
      <c r="W34639" s="503"/>
    </row>
    <row r="34640" spans="23:23">
      <c r="W34640" s="503"/>
    </row>
    <row r="34641" spans="23:23">
      <c r="W34641" s="503"/>
    </row>
    <row r="34642" spans="23:23">
      <c r="W34642" s="503"/>
    </row>
    <row r="34643" spans="23:23">
      <c r="W34643" s="503"/>
    </row>
    <row r="34644" spans="23:23">
      <c r="W34644" s="503"/>
    </row>
    <row r="34645" spans="23:23">
      <c r="W34645" s="503"/>
    </row>
    <row r="34646" spans="23:23">
      <c r="W34646" s="503"/>
    </row>
    <row r="34647" spans="23:23">
      <c r="W34647" s="503"/>
    </row>
    <row r="34648" spans="23:23">
      <c r="W34648" s="503"/>
    </row>
    <row r="34649" spans="23:23">
      <c r="W34649" s="503"/>
    </row>
    <row r="34650" spans="23:23">
      <c r="W34650" s="503"/>
    </row>
    <row r="34651" spans="23:23">
      <c r="W34651" s="503"/>
    </row>
    <row r="34652" spans="23:23">
      <c r="W34652" s="503"/>
    </row>
    <row r="34653" spans="23:23">
      <c r="W34653" s="503"/>
    </row>
    <row r="34654" spans="23:23">
      <c r="W34654" s="503"/>
    </row>
    <row r="34655" spans="23:23">
      <c r="W34655" s="503"/>
    </row>
    <row r="34656" spans="23:23">
      <c r="W34656" s="503"/>
    </row>
    <row r="34657" spans="23:23">
      <c r="W34657" s="503"/>
    </row>
    <row r="34658" spans="23:23">
      <c r="W34658" s="503"/>
    </row>
    <row r="34659" spans="23:23">
      <c r="W34659" s="503"/>
    </row>
    <row r="34660" spans="23:23">
      <c r="W34660" s="503"/>
    </row>
    <row r="34661" spans="23:23">
      <c r="W34661" s="503"/>
    </row>
    <row r="34662" spans="23:23">
      <c r="W34662" s="503"/>
    </row>
    <row r="34663" spans="23:23">
      <c r="W34663" s="503"/>
    </row>
    <row r="34664" spans="23:23">
      <c r="W34664" s="503"/>
    </row>
    <row r="34665" spans="23:23">
      <c r="W34665" s="503"/>
    </row>
    <row r="34666" spans="23:23">
      <c r="W34666" s="503"/>
    </row>
    <row r="34667" spans="23:23">
      <c r="W34667" s="503"/>
    </row>
    <row r="34668" spans="23:23">
      <c r="W34668" s="503"/>
    </row>
    <row r="34669" spans="23:23">
      <c r="W34669" s="503"/>
    </row>
    <row r="34670" spans="23:23">
      <c r="W34670" s="503"/>
    </row>
    <row r="34671" spans="23:23">
      <c r="W34671" s="503"/>
    </row>
    <row r="34672" spans="23:23">
      <c r="W34672" s="503"/>
    </row>
    <row r="34673" spans="23:23">
      <c r="W34673" s="503"/>
    </row>
    <row r="34674" spans="23:23">
      <c r="W34674" s="503"/>
    </row>
    <row r="34675" spans="23:23">
      <c r="W34675" s="503"/>
    </row>
    <row r="34676" spans="23:23">
      <c r="W34676" s="503"/>
    </row>
    <row r="34677" spans="23:23">
      <c r="W34677" s="503"/>
    </row>
    <row r="34678" spans="23:23">
      <c r="W34678" s="503"/>
    </row>
    <row r="34679" spans="23:23">
      <c r="W34679" s="503"/>
    </row>
    <row r="34680" spans="23:23">
      <c r="W34680" s="503"/>
    </row>
    <row r="34681" spans="23:23">
      <c r="W34681" s="503"/>
    </row>
    <row r="34682" spans="23:23">
      <c r="W34682" s="503"/>
    </row>
    <row r="34683" spans="23:23">
      <c r="W34683" s="503"/>
    </row>
    <row r="34684" spans="23:23">
      <c r="W34684" s="503"/>
    </row>
    <row r="34685" spans="23:23">
      <c r="W34685" s="503"/>
    </row>
    <row r="34686" spans="23:23">
      <c r="W34686" s="503"/>
    </row>
    <row r="34687" spans="23:23">
      <c r="W34687" s="503"/>
    </row>
    <row r="34688" spans="23:23">
      <c r="W34688" s="503"/>
    </row>
    <row r="34689" spans="23:23">
      <c r="W34689" s="503"/>
    </row>
    <row r="34690" spans="23:23">
      <c r="W34690" s="503"/>
    </row>
    <row r="34691" spans="23:23">
      <c r="W34691" s="503"/>
    </row>
    <row r="34692" spans="23:23">
      <c r="W34692" s="503"/>
    </row>
    <row r="34693" spans="23:23">
      <c r="W34693" s="503"/>
    </row>
    <row r="34694" spans="23:23">
      <c r="W34694" s="503"/>
    </row>
    <row r="34695" spans="23:23">
      <c r="W34695" s="503"/>
    </row>
    <row r="34696" spans="23:23">
      <c r="W34696" s="503"/>
    </row>
    <row r="34697" spans="23:23">
      <c r="W34697" s="503"/>
    </row>
    <row r="34698" spans="23:23">
      <c r="W34698" s="503"/>
    </row>
    <row r="34699" spans="23:23">
      <c r="W34699" s="503"/>
    </row>
    <row r="34700" spans="23:23">
      <c r="W34700" s="503"/>
    </row>
    <row r="34701" spans="23:23">
      <c r="W34701" s="503"/>
    </row>
    <row r="34702" spans="23:23">
      <c r="W34702" s="503"/>
    </row>
    <row r="34703" spans="23:23">
      <c r="W34703" s="503"/>
    </row>
    <row r="34704" spans="23:23">
      <c r="W34704" s="503"/>
    </row>
    <row r="34705" spans="23:23">
      <c r="W34705" s="503"/>
    </row>
    <row r="34706" spans="23:23">
      <c r="W34706" s="503"/>
    </row>
    <row r="34707" spans="23:23">
      <c r="W34707" s="503"/>
    </row>
    <row r="34708" spans="23:23">
      <c r="W34708" s="503"/>
    </row>
    <row r="34709" spans="23:23">
      <c r="W34709" s="503"/>
    </row>
    <row r="34710" spans="23:23">
      <c r="W34710" s="503"/>
    </row>
    <row r="34711" spans="23:23">
      <c r="W34711" s="503"/>
    </row>
    <row r="34712" spans="23:23">
      <c r="W34712" s="503"/>
    </row>
    <row r="34713" spans="23:23">
      <c r="W34713" s="503"/>
    </row>
    <row r="34714" spans="23:23">
      <c r="W34714" s="503"/>
    </row>
    <row r="34715" spans="23:23">
      <c r="W34715" s="503"/>
    </row>
    <row r="34716" spans="23:23">
      <c r="W34716" s="503"/>
    </row>
    <row r="34717" spans="23:23">
      <c r="W34717" s="503"/>
    </row>
    <row r="34718" spans="23:23">
      <c r="W34718" s="503"/>
    </row>
    <row r="34719" spans="23:23">
      <c r="W34719" s="503"/>
    </row>
    <row r="34720" spans="23:23">
      <c r="W34720" s="503"/>
    </row>
    <row r="34721" spans="23:23">
      <c r="W34721" s="503"/>
    </row>
    <row r="34722" spans="23:23">
      <c r="W34722" s="503"/>
    </row>
    <row r="34723" spans="23:23">
      <c r="W34723" s="503"/>
    </row>
    <row r="34724" spans="23:23">
      <c r="W34724" s="503"/>
    </row>
    <row r="34725" spans="23:23">
      <c r="W34725" s="503"/>
    </row>
    <row r="34726" spans="23:23">
      <c r="W34726" s="503"/>
    </row>
    <row r="34727" spans="23:23">
      <c r="W34727" s="503"/>
    </row>
    <row r="34728" spans="23:23">
      <c r="W34728" s="503"/>
    </row>
    <row r="34729" spans="23:23">
      <c r="W34729" s="503"/>
    </row>
    <row r="34730" spans="23:23">
      <c r="W34730" s="503"/>
    </row>
    <row r="34731" spans="23:23">
      <c r="W34731" s="503"/>
    </row>
    <row r="34732" spans="23:23">
      <c r="W34732" s="503"/>
    </row>
    <row r="34733" spans="23:23">
      <c r="W34733" s="503"/>
    </row>
    <row r="34734" spans="23:23">
      <c r="W34734" s="503"/>
    </row>
    <row r="34735" spans="23:23">
      <c r="W34735" s="503"/>
    </row>
    <row r="34736" spans="23:23">
      <c r="W34736" s="503"/>
    </row>
    <row r="34737" spans="23:23">
      <c r="W34737" s="503"/>
    </row>
    <row r="34738" spans="23:23">
      <c r="W34738" s="503"/>
    </row>
    <row r="34739" spans="23:23">
      <c r="W34739" s="503"/>
    </row>
    <row r="34740" spans="23:23">
      <c r="W34740" s="503"/>
    </row>
    <row r="34741" spans="23:23">
      <c r="W34741" s="503"/>
    </row>
    <row r="34742" spans="23:23">
      <c r="W34742" s="503"/>
    </row>
    <row r="34743" spans="23:23">
      <c r="W34743" s="503"/>
    </row>
    <row r="34744" spans="23:23">
      <c r="W34744" s="503"/>
    </row>
    <row r="34745" spans="23:23">
      <c r="W34745" s="503"/>
    </row>
    <row r="34746" spans="23:23">
      <c r="W34746" s="503"/>
    </row>
    <row r="34747" spans="23:23">
      <c r="W34747" s="503"/>
    </row>
    <row r="34748" spans="23:23">
      <c r="W34748" s="503"/>
    </row>
    <row r="34749" spans="23:23">
      <c r="W34749" s="503"/>
    </row>
    <row r="34750" spans="23:23">
      <c r="W34750" s="503"/>
    </row>
    <row r="34751" spans="23:23">
      <c r="W34751" s="503"/>
    </row>
    <row r="34752" spans="23:23">
      <c r="W34752" s="503"/>
    </row>
    <row r="34753" spans="23:23">
      <c r="W34753" s="503"/>
    </row>
    <row r="34754" spans="23:23">
      <c r="W34754" s="503"/>
    </row>
    <row r="34755" spans="23:23">
      <c r="W34755" s="503"/>
    </row>
    <row r="34756" spans="23:23">
      <c r="W34756" s="503"/>
    </row>
    <row r="34757" spans="23:23">
      <c r="W34757" s="503"/>
    </row>
    <row r="34758" spans="23:23">
      <c r="W34758" s="503"/>
    </row>
    <row r="34759" spans="23:23">
      <c r="W34759" s="503"/>
    </row>
    <row r="34760" spans="23:23">
      <c r="W34760" s="503"/>
    </row>
    <row r="34761" spans="23:23">
      <c r="W34761" s="503"/>
    </row>
    <row r="34762" spans="23:23">
      <c r="W34762" s="503"/>
    </row>
    <row r="34763" spans="23:23">
      <c r="W34763" s="503"/>
    </row>
    <row r="34764" spans="23:23">
      <c r="W34764" s="503"/>
    </row>
    <row r="34765" spans="23:23">
      <c r="W34765" s="503"/>
    </row>
    <row r="34766" spans="23:23">
      <c r="W34766" s="503"/>
    </row>
    <row r="34767" spans="23:23">
      <c r="W34767" s="503"/>
    </row>
    <row r="34768" spans="23:23">
      <c r="W34768" s="503"/>
    </row>
    <row r="34769" spans="23:23">
      <c r="W34769" s="503"/>
    </row>
    <row r="34770" spans="23:23">
      <c r="W34770" s="503"/>
    </row>
    <row r="34771" spans="23:23">
      <c r="W34771" s="503"/>
    </row>
    <row r="34772" spans="23:23">
      <c r="W34772" s="503"/>
    </row>
    <row r="34773" spans="23:23">
      <c r="W34773" s="503"/>
    </row>
    <row r="34774" spans="23:23">
      <c r="W34774" s="503"/>
    </row>
    <row r="34775" spans="23:23">
      <c r="W34775" s="503"/>
    </row>
    <row r="34776" spans="23:23">
      <c r="W34776" s="503"/>
    </row>
    <row r="34777" spans="23:23">
      <c r="W34777" s="503"/>
    </row>
    <row r="34778" spans="23:23">
      <c r="W34778" s="503"/>
    </row>
    <row r="34779" spans="23:23">
      <c r="W34779" s="503"/>
    </row>
    <row r="34780" spans="23:23">
      <c r="W34780" s="503"/>
    </row>
    <row r="34781" spans="23:23">
      <c r="W34781" s="503"/>
    </row>
    <row r="34782" spans="23:23">
      <c r="W34782" s="503"/>
    </row>
    <row r="34783" spans="23:23">
      <c r="W34783" s="503"/>
    </row>
    <row r="34784" spans="23:23">
      <c r="W34784" s="503"/>
    </row>
    <row r="34785" spans="23:23">
      <c r="W34785" s="503"/>
    </row>
    <row r="34786" spans="23:23">
      <c r="W34786" s="503"/>
    </row>
    <row r="34787" spans="23:23">
      <c r="W34787" s="503"/>
    </row>
    <row r="34788" spans="23:23">
      <c r="W34788" s="503"/>
    </row>
    <row r="34789" spans="23:23">
      <c r="W34789" s="503"/>
    </row>
    <row r="34790" spans="23:23">
      <c r="W34790" s="503"/>
    </row>
    <row r="34791" spans="23:23">
      <c r="W34791" s="503"/>
    </row>
    <row r="34792" spans="23:23">
      <c r="W34792" s="503"/>
    </row>
    <row r="34793" spans="23:23">
      <c r="W34793" s="503"/>
    </row>
    <row r="34794" spans="23:23">
      <c r="W34794" s="503"/>
    </row>
    <row r="34795" spans="23:23">
      <c r="W34795" s="503"/>
    </row>
    <row r="34796" spans="23:23">
      <c r="W34796" s="503"/>
    </row>
    <row r="34797" spans="23:23">
      <c r="W34797" s="503"/>
    </row>
    <row r="34798" spans="23:23">
      <c r="W34798" s="503"/>
    </row>
    <row r="34799" spans="23:23">
      <c r="W34799" s="503"/>
    </row>
    <row r="34800" spans="23:23">
      <c r="W34800" s="503"/>
    </row>
    <row r="34801" spans="23:23">
      <c r="W34801" s="503"/>
    </row>
    <row r="34802" spans="23:23">
      <c r="W34802" s="503"/>
    </row>
    <row r="34803" spans="23:23">
      <c r="W34803" s="503"/>
    </row>
    <row r="34804" spans="23:23">
      <c r="W34804" s="503"/>
    </row>
    <row r="34805" spans="23:23">
      <c r="W34805" s="503"/>
    </row>
    <row r="34806" spans="23:23">
      <c r="W34806" s="503"/>
    </row>
    <row r="34807" spans="23:23">
      <c r="W34807" s="503"/>
    </row>
    <row r="34808" spans="23:23">
      <c r="W34808" s="503"/>
    </row>
    <row r="34809" spans="23:23">
      <c r="W34809" s="503"/>
    </row>
    <row r="34810" spans="23:23">
      <c r="W34810" s="503"/>
    </row>
    <row r="34811" spans="23:23">
      <c r="W34811" s="503"/>
    </row>
    <row r="34812" spans="23:23">
      <c r="W34812" s="503"/>
    </row>
    <row r="34813" spans="23:23">
      <c r="W34813" s="503"/>
    </row>
    <row r="34814" spans="23:23">
      <c r="W34814" s="503"/>
    </row>
    <row r="34815" spans="23:23">
      <c r="W34815" s="503"/>
    </row>
    <row r="34816" spans="23:23">
      <c r="W34816" s="503"/>
    </row>
    <row r="34817" spans="23:23">
      <c r="W34817" s="503"/>
    </row>
    <row r="34818" spans="23:23">
      <c r="W34818" s="503"/>
    </row>
    <row r="34819" spans="23:23">
      <c r="W34819" s="503"/>
    </row>
    <row r="34820" spans="23:23">
      <c r="W34820" s="503"/>
    </row>
    <row r="34821" spans="23:23">
      <c r="W34821" s="503"/>
    </row>
    <row r="34822" spans="23:23">
      <c r="W34822" s="503"/>
    </row>
    <row r="34823" spans="23:23">
      <c r="W34823" s="503"/>
    </row>
    <row r="34824" spans="23:23">
      <c r="W34824" s="503"/>
    </row>
    <row r="34825" spans="23:23">
      <c r="W34825" s="503"/>
    </row>
    <row r="34826" spans="23:23">
      <c r="W34826" s="503"/>
    </row>
    <row r="34827" spans="23:23">
      <c r="W34827" s="503"/>
    </row>
    <row r="34828" spans="23:23">
      <c r="W34828" s="503"/>
    </row>
    <row r="34829" spans="23:23">
      <c r="W34829" s="503"/>
    </row>
    <row r="34830" spans="23:23">
      <c r="W34830" s="503"/>
    </row>
    <row r="34831" spans="23:23">
      <c r="W34831" s="503"/>
    </row>
    <row r="34832" spans="23:23">
      <c r="W34832" s="503"/>
    </row>
    <row r="34833" spans="23:23">
      <c r="W34833" s="503"/>
    </row>
    <row r="34834" spans="23:23">
      <c r="W34834" s="503"/>
    </row>
    <row r="34835" spans="23:23">
      <c r="W34835" s="503"/>
    </row>
    <row r="34836" spans="23:23">
      <c r="W34836" s="503"/>
    </row>
    <row r="34837" spans="23:23">
      <c r="W34837" s="503"/>
    </row>
    <row r="34838" spans="23:23">
      <c r="W34838" s="503"/>
    </row>
    <row r="34839" spans="23:23">
      <c r="W34839" s="503"/>
    </row>
    <row r="34840" spans="23:23">
      <c r="W34840" s="503"/>
    </row>
    <row r="34841" spans="23:23">
      <c r="W34841" s="503"/>
    </row>
    <row r="34842" spans="23:23">
      <c r="W34842" s="503"/>
    </row>
    <row r="34843" spans="23:23">
      <c r="W34843" s="503"/>
    </row>
    <row r="34844" spans="23:23">
      <c r="W34844" s="503"/>
    </row>
    <row r="34845" spans="23:23">
      <c r="W34845" s="503"/>
    </row>
    <row r="34846" spans="23:23">
      <c r="W34846" s="503"/>
    </row>
    <row r="34847" spans="23:23">
      <c r="W34847" s="503"/>
    </row>
    <row r="34848" spans="23:23">
      <c r="W34848" s="503"/>
    </row>
    <row r="34849" spans="23:23">
      <c r="W34849" s="503"/>
    </row>
    <row r="34850" spans="23:23">
      <c r="W34850" s="503"/>
    </row>
    <row r="34851" spans="23:23">
      <c r="W34851" s="503"/>
    </row>
    <row r="34852" spans="23:23">
      <c r="W34852" s="503"/>
    </row>
    <row r="34853" spans="23:23">
      <c r="W34853" s="503"/>
    </row>
    <row r="34854" spans="23:23">
      <c r="W34854" s="503"/>
    </row>
    <row r="34855" spans="23:23">
      <c r="W34855" s="503"/>
    </row>
    <row r="34856" spans="23:23">
      <c r="W34856" s="503"/>
    </row>
    <row r="34857" spans="23:23">
      <c r="W34857" s="503"/>
    </row>
    <row r="34858" spans="23:23">
      <c r="W34858" s="503"/>
    </row>
    <row r="34859" spans="23:23">
      <c r="W34859" s="503"/>
    </row>
    <row r="34860" spans="23:23">
      <c r="W34860" s="503"/>
    </row>
    <row r="34861" spans="23:23">
      <c r="W34861" s="503"/>
    </row>
    <row r="34862" spans="23:23">
      <c r="W34862" s="503"/>
    </row>
    <row r="34863" spans="23:23">
      <c r="W34863" s="503"/>
    </row>
    <row r="34864" spans="23:23">
      <c r="W34864" s="503"/>
    </row>
    <row r="34865" spans="23:23">
      <c r="W34865" s="503"/>
    </row>
    <row r="34866" spans="23:23">
      <c r="W34866" s="503"/>
    </row>
    <row r="34867" spans="23:23">
      <c r="W34867" s="503"/>
    </row>
    <row r="34868" spans="23:23">
      <c r="W34868" s="503"/>
    </row>
    <row r="34869" spans="23:23">
      <c r="W34869" s="503"/>
    </row>
    <row r="34870" spans="23:23">
      <c r="W34870" s="503"/>
    </row>
    <row r="34871" spans="23:23">
      <c r="W34871" s="503"/>
    </row>
    <row r="34872" spans="23:23">
      <c r="W34872" s="503"/>
    </row>
    <row r="34873" spans="23:23">
      <c r="W34873" s="503"/>
    </row>
    <row r="34874" spans="23:23">
      <c r="W34874" s="503"/>
    </row>
    <row r="34875" spans="23:23">
      <c r="W34875" s="503"/>
    </row>
    <row r="34876" spans="23:23">
      <c r="W34876" s="503"/>
    </row>
    <row r="34877" spans="23:23">
      <c r="W34877" s="503"/>
    </row>
    <row r="34878" spans="23:23">
      <c r="W34878" s="503"/>
    </row>
    <row r="34879" spans="23:23">
      <c r="W34879" s="503"/>
    </row>
    <row r="34880" spans="23:23">
      <c r="W34880" s="503"/>
    </row>
    <row r="34881" spans="23:23">
      <c r="W34881" s="503"/>
    </row>
    <row r="34882" spans="23:23">
      <c r="W34882" s="503"/>
    </row>
    <row r="34883" spans="23:23">
      <c r="W34883" s="503"/>
    </row>
    <row r="34884" spans="23:23">
      <c r="W34884" s="503"/>
    </row>
    <row r="34885" spans="23:23">
      <c r="W34885" s="503"/>
    </row>
    <row r="34886" spans="23:23">
      <c r="W34886" s="503"/>
    </row>
    <row r="34887" spans="23:23">
      <c r="W34887" s="503"/>
    </row>
    <row r="34888" spans="23:23">
      <c r="W34888" s="503"/>
    </row>
    <row r="34889" spans="23:23">
      <c r="W34889" s="503"/>
    </row>
    <row r="34890" spans="23:23">
      <c r="W34890" s="503"/>
    </row>
    <row r="34891" spans="23:23">
      <c r="W34891" s="503"/>
    </row>
    <row r="34892" spans="23:23">
      <c r="W34892" s="503"/>
    </row>
    <row r="34893" spans="23:23">
      <c r="W34893" s="503"/>
    </row>
    <row r="34894" spans="23:23">
      <c r="W34894" s="503"/>
    </row>
    <row r="34895" spans="23:23">
      <c r="W34895" s="503"/>
    </row>
    <row r="34896" spans="23:23">
      <c r="W34896" s="503"/>
    </row>
    <row r="34897" spans="23:23">
      <c r="W34897" s="503"/>
    </row>
    <row r="34898" spans="23:23">
      <c r="W34898" s="503"/>
    </row>
    <row r="34899" spans="23:23">
      <c r="W34899" s="503"/>
    </row>
    <row r="34900" spans="23:23">
      <c r="W34900" s="503"/>
    </row>
    <row r="34901" spans="23:23">
      <c r="W34901" s="503"/>
    </row>
    <row r="34902" spans="23:23">
      <c r="W34902" s="503"/>
    </row>
    <row r="34903" spans="23:23">
      <c r="W34903" s="503"/>
    </row>
    <row r="34904" spans="23:23">
      <c r="W34904" s="503"/>
    </row>
    <row r="34905" spans="23:23">
      <c r="W34905" s="503"/>
    </row>
    <row r="34906" spans="23:23">
      <c r="W34906" s="503"/>
    </row>
    <row r="34907" spans="23:23">
      <c r="W34907" s="503"/>
    </row>
    <row r="34908" spans="23:23">
      <c r="W34908" s="503"/>
    </row>
    <row r="34909" spans="23:23">
      <c r="W34909" s="503"/>
    </row>
    <row r="34910" spans="23:23">
      <c r="W34910" s="503"/>
    </row>
    <row r="34911" spans="23:23">
      <c r="W34911" s="503"/>
    </row>
    <row r="34912" spans="23:23">
      <c r="W34912" s="503"/>
    </row>
    <row r="34913" spans="23:23">
      <c r="W34913" s="503"/>
    </row>
    <row r="34914" spans="23:23">
      <c r="W34914" s="503"/>
    </row>
    <row r="34915" spans="23:23">
      <c r="W34915" s="503"/>
    </row>
    <row r="34916" spans="23:23">
      <c r="W34916" s="503"/>
    </row>
    <row r="34917" spans="23:23">
      <c r="W34917" s="503"/>
    </row>
    <row r="34918" spans="23:23">
      <c r="W34918" s="503"/>
    </row>
    <row r="34919" spans="23:23">
      <c r="W34919" s="503"/>
    </row>
    <row r="34920" spans="23:23">
      <c r="W34920" s="503"/>
    </row>
    <row r="34921" spans="23:23">
      <c r="W34921" s="503"/>
    </row>
    <row r="34922" spans="23:23">
      <c r="W34922" s="503"/>
    </row>
    <row r="34923" spans="23:23">
      <c r="W34923" s="503"/>
    </row>
    <row r="34924" spans="23:23">
      <c r="W34924" s="503"/>
    </row>
    <row r="34925" spans="23:23">
      <c r="W34925" s="503"/>
    </row>
    <row r="34926" spans="23:23">
      <c r="W34926" s="503"/>
    </row>
    <row r="34927" spans="23:23">
      <c r="W34927" s="503"/>
    </row>
    <row r="34928" spans="23:23">
      <c r="W34928" s="503"/>
    </row>
    <row r="34929" spans="23:23">
      <c r="W34929" s="503"/>
    </row>
    <row r="34930" spans="23:23">
      <c r="W34930" s="503"/>
    </row>
    <row r="34931" spans="23:23">
      <c r="W34931" s="503"/>
    </row>
    <row r="34932" spans="23:23">
      <c r="W34932" s="503"/>
    </row>
    <row r="34933" spans="23:23">
      <c r="W34933" s="503"/>
    </row>
    <row r="34934" spans="23:23">
      <c r="W34934" s="503"/>
    </row>
    <row r="34935" spans="23:23">
      <c r="W34935" s="503"/>
    </row>
    <row r="34936" spans="23:23">
      <c r="W34936" s="503"/>
    </row>
    <row r="34937" spans="23:23">
      <c r="W34937" s="503"/>
    </row>
    <row r="34938" spans="23:23">
      <c r="W34938" s="503"/>
    </row>
    <row r="34939" spans="23:23">
      <c r="W34939" s="503"/>
    </row>
    <row r="34940" spans="23:23">
      <c r="W34940" s="503"/>
    </row>
    <row r="34941" spans="23:23">
      <c r="W34941" s="503"/>
    </row>
    <row r="34942" spans="23:23">
      <c r="W34942" s="503"/>
    </row>
    <row r="34943" spans="23:23">
      <c r="W34943" s="503"/>
    </row>
    <row r="34944" spans="23:23">
      <c r="W34944" s="503"/>
    </row>
    <row r="34945" spans="23:23">
      <c r="W34945" s="503"/>
    </row>
    <row r="34946" spans="23:23">
      <c r="W34946" s="503"/>
    </row>
    <row r="34947" spans="23:23">
      <c r="W34947" s="503"/>
    </row>
    <row r="34948" spans="23:23">
      <c r="W34948" s="503"/>
    </row>
    <row r="34949" spans="23:23">
      <c r="W34949" s="503"/>
    </row>
    <row r="34950" spans="23:23">
      <c r="W34950" s="503"/>
    </row>
    <row r="34951" spans="23:23">
      <c r="W34951" s="503"/>
    </row>
    <row r="34952" spans="23:23">
      <c r="W34952" s="503"/>
    </row>
    <row r="34953" spans="23:23">
      <c r="W34953" s="503"/>
    </row>
    <row r="34954" spans="23:23">
      <c r="W34954" s="503"/>
    </row>
    <row r="34955" spans="23:23">
      <c r="W34955" s="503"/>
    </row>
    <row r="34956" spans="23:23">
      <c r="W34956" s="503"/>
    </row>
    <row r="34957" spans="23:23">
      <c r="W34957" s="503"/>
    </row>
    <row r="34958" spans="23:23">
      <c r="W34958" s="503"/>
    </row>
    <row r="34959" spans="23:23">
      <c r="W34959" s="503"/>
    </row>
    <row r="34960" spans="23:23">
      <c r="W34960" s="503"/>
    </row>
    <row r="34961" spans="23:23">
      <c r="W34961" s="503"/>
    </row>
    <row r="34962" spans="23:23">
      <c r="W34962" s="503"/>
    </row>
    <row r="34963" spans="23:23">
      <c r="W34963" s="503"/>
    </row>
    <row r="34964" spans="23:23">
      <c r="W34964" s="503"/>
    </row>
    <row r="34965" spans="23:23">
      <c r="W34965" s="503"/>
    </row>
    <row r="34966" spans="23:23">
      <c r="W34966" s="503"/>
    </row>
    <row r="34967" spans="23:23">
      <c r="W34967" s="503"/>
    </row>
    <row r="34968" spans="23:23">
      <c r="W34968" s="503"/>
    </row>
    <row r="34969" spans="23:23">
      <c r="W34969" s="503"/>
    </row>
    <row r="34970" spans="23:23">
      <c r="W34970" s="503"/>
    </row>
    <row r="34971" spans="23:23">
      <c r="W34971" s="503"/>
    </row>
    <row r="34972" spans="23:23">
      <c r="W34972" s="503"/>
    </row>
    <row r="34973" spans="23:23">
      <c r="W34973" s="503"/>
    </row>
    <row r="34974" spans="23:23">
      <c r="W34974" s="503"/>
    </row>
    <row r="34975" spans="23:23">
      <c r="W34975" s="503"/>
    </row>
    <row r="34976" spans="23:23">
      <c r="W34976" s="503"/>
    </row>
    <row r="34977" spans="23:23">
      <c r="W34977" s="503"/>
    </row>
    <row r="34978" spans="23:23">
      <c r="W34978" s="503"/>
    </row>
    <row r="34979" spans="23:23">
      <c r="W34979" s="503"/>
    </row>
    <row r="34980" spans="23:23">
      <c r="W34980" s="503"/>
    </row>
    <row r="34981" spans="23:23">
      <c r="W34981" s="503"/>
    </row>
    <row r="34982" spans="23:23">
      <c r="W34982" s="503"/>
    </row>
    <row r="34983" spans="23:23">
      <c r="W34983" s="503"/>
    </row>
    <row r="34984" spans="23:23">
      <c r="W34984" s="503"/>
    </row>
    <row r="34985" spans="23:23">
      <c r="W34985" s="503"/>
    </row>
    <row r="34986" spans="23:23">
      <c r="W34986" s="503"/>
    </row>
    <row r="34987" spans="23:23">
      <c r="W34987" s="503"/>
    </row>
    <row r="34988" spans="23:23">
      <c r="W34988" s="503"/>
    </row>
    <row r="34989" spans="23:23">
      <c r="W34989" s="503"/>
    </row>
    <row r="34990" spans="23:23">
      <c r="W34990" s="503"/>
    </row>
    <row r="34991" spans="23:23">
      <c r="W34991" s="503"/>
    </row>
    <row r="34992" spans="23:23">
      <c r="W34992" s="503"/>
    </row>
    <row r="34993" spans="23:23">
      <c r="W34993" s="503"/>
    </row>
    <row r="34994" spans="23:23">
      <c r="W34994" s="503"/>
    </row>
    <row r="34995" spans="23:23">
      <c r="W34995" s="503"/>
    </row>
    <row r="34996" spans="23:23">
      <c r="W34996" s="503"/>
    </row>
    <row r="34997" spans="23:23">
      <c r="W34997" s="503"/>
    </row>
    <row r="34998" spans="23:23">
      <c r="W34998" s="503"/>
    </row>
    <row r="34999" spans="23:23">
      <c r="W34999" s="503"/>
    </row>
    <row r="35000" spans="23:23">
      <c r="W35000" s="503"/>
    </row>
    <row r="35001" spans="23:23">
      <c r="W35001" s="503"/>
    </row>
    <row r="35002" spans="23:23">
      <c r="W35002" s="503"/>
    </row>
    <row r="35003" spans="23:23">
      <c r="W35003" s="503"/>
    </row>
    <row r="35004" spans="23:23">
      <c r="W35004" s="503"/>
    </row>
    <row r="35005" spans="23:23">
      <c r="W35005" s="503"/>
    </row>
    <row r="35006" spans="23:23">
      <c r="W35006" s="503"/>
    </row>
    <row r="35007" spans="23:23">
      <c r="W35007" s="503"/>
    </row>
    <row r="35008" spans="23:23">
      <c r="W35008" s="503"/>
    </row>
    <row r="35009" spans="23:23">
      <c r="W35009" s="503"/>
    </row>
    <row r="35010" spans="23:23">
      <c r="W35010" s="503"/>
    </row>
    <row r="35011" spans="23:23">
      <c r="W35011" s="503"/>
    </row>
    <row r="35012" spans="23:23">
      <c r="W35012" s="503"/>
    </row>
    <row r="35013" spans="23:23">
      <c r="W35013" s="503"/>
    </row>
    <row r="35014" spans="23:23">
      <c r="W35014" s="503"/>
    </row>
    <row r="35015" spans="23:23">
      <c r="W35015" s="503"/>
    </row>
    <row r="35016" spans="23:23">
      <c r="W35016" s="503"/>
    </row>
    <row r="35017" spans="23:23">
      <c r="W35017" s="503"/>
    </row>
    <row r="35018" spans="23:23">
      <c r="W35018" s="503"/>
    </row>
    <row r="35019" spans="23:23">
      <c r="W35019" s="503"/>
    </row>
    <row r="35020" spans="23:23">
      <c r="W35020" s="503"/>
    </row>
    <row r="35021" spans="23:23">
      <c r="W35021" s="503"/>
    </row>
    <row r="35022" spans="23:23">
      <c r="W35022" s="503"/>
    </row>
    <row r="35023" spans="23:23">
      <c r="W35023" s="503"/>
    </row>
    <row r="35024" spans="23:23">
      <c r="W35024" s="503"/>
    </row>
    <row r="35025" spans="23:23">
      <c r="W35025" s="503"/>
    </row>
    <row r="35026" spans="23:23">
      <c r="W35026" s="503"/>
    </row>
    <row r="35027" spans="23:23">
      <c r="W35027" s="503"/>
    </row>
    <row r="35028" spans="23:23">
      <c r="W35028" s="503"/>
    </row>
    <row r="35029" spans="23:23">
      <c r="W35029" s="503"/>
    </row>
    <row r="35030" spans="23:23">
      <c r="W35030" s="503"/>
    </row>
    <row r="35031" spans="23:23">
      <c r="W35031" s="503"/>
    </row>
    <row r="35032" spans="23:23">
      <c r="W35032" s="503"/>
    </row>
    <row r="35033" spans="23:23">
      <c r="W35033" s="503"/>
    </row>
    <row r="35034" spans="23:23">
      <c r="W35034" s="503"/>
    </row>
    <row r="35035" spans="23:23">
      <c r="W35035" s="503"/>
    </row>
    <row r="35036" spans="23:23">
      <c r="W35036" s="503"/>
    </row>
    <row r="35037" spans="23:23">
      <c r="W35037" s="503"/>
    </row>
    <row r="35038" spans="23:23">
      <c r="W35038" s="503"/>
    </row>
    <row r="35039" spans="23:23">
      <c r="W35039" s="503"/>
    </row>
    <row r="35040" spans="23:23">
      <c r="W35040" s="503"/>
    </row>
    <row r="35041" spans="23:23">
      <c r="W35041" s="503"/>
    </row>
    <row r="35042" spans="23:23">
      <c r="W35042" s="503"/>
    </row>
    <row r="35043" spans="23:23">
      <c r="W35043" s="503"/>
    </row>
    <row r="35044" spans="23:23">
      <c r="W35044" s="503"/>
    </row>
    <row r="35045" spans="23:23">
      <c r="W35045" s="503"/>
    </row>
    <row r="35046" spans="23:23">
      <c r="W35046" s="503"/>
    </row>
    <row r="35047" spans="23:23">
      <c r="W35047" s="503"/>
    </row>
    <row r="35048" spans="23:23">
      <c r="W35048" s="503"/>
    </row>
    <row r="35049" spans="23:23">
      <c r="W35049" s="503"/>
    </row>
    <row r="35050" spans="23:23">
      <c r="W35050" s="503"/>
    </row>
    <row r="35051" spans="23:23">
      <c r="W35051" s="503"/>
    </row>
    <row r="35052" spans="23:23">
      <c r="W35052" s="503"/>
    </row>
    <row r="35053" spans="23:23">
      <c r="W35053" s="503"/>
    </row>
    <row r="35054" spans="23:23">
      <c r="W35054" s="503"/>
    </row>
    <row r="35055" spans="23:23">
      <c r="W35055" s="503"/>
    </row>
    <row r="35056" spans="23:23">
      <c r="W35056" s="503"/>
    </row>
    <row r="35057" spans="23:23">
      <c r="W35057" s="503"/>
    </row>
    <row r="35058" spans="23:23">
      <c r="W35058" s="503"/>
    </row>
    <row r="35059" spans="23:23">
      <c r="W35059" s="503"/>
    </row>
    <row r="35060" spans="23:23">
      <c r="W35060" s="503"/>
    </row>
    <row r="35061" spans="23:23">
      <c r="W35061" s="503"/>
    </row>
    <row r="35062" spans="23:23">
      <c r="W35062" s="503"/>
    </row>
    <row r="35063" spans="23:23">
      <c r="W35063" s="503"/>
    </row>
    <row r="35064" spans="23:23">
      <c r="W35064" s="503"/>
    </row>
    <row r="35065" spans="23:23">
      <c r="W35065" s="503"/>
    </row>
    <row r="35066" spans="23:23">
      <c r="W35066" s="503"/>
    </row>
    <row r="35067" spans="23:23">
      <c r="W35067" s="503"/>
    </row>
    <row r="35068" spans="23:23">
      <c r="W35068" s="503"/>
    </row>
    <row r="35069" spans="23:23">
      <c r="W35069" s="503"/>
    </row>
    <row r="35070" spans="23:23">
      <c r="W35070" s="503"/>
    </row>
    <row r="35071" spans="23:23">
      <c r="W35071" s="503"/>
    </row>
    <row r="35072" spans="23:23">
      <c r="W35072" s="503"/>
    </row>
    <row r="35073" spans="23:23">
      <c r="W35073" s="503"/>
    </row>
    <row r="35074" spans="23:23">
      <c r="W35074" s="503"/>
    </row>
    <row r="35075" spans="23:23">
      <c r="W35075" s="503"/>
    </row>
    <row r="35076" spans="23:23">
      <c r="W35076" s="503"/>
    </row>
    <row r="35077" spans="23:23">
      <c r="W35077" s="503"/>
    </row>
    <row r="35078" spans="23:23">
      <c r="W35078" s="503"/>
    </row>
    <row r="35079" spans="23:23">
      <c r="W35079" s="503"/>
    </row>
    <row r="35080" spans="23:23">
      <c r="W35080" s="503"/>
    </row>
    <row r="35081" spans="23:23">
      <c r="W35081" s="503"/>
    </row>
    <row r="35082" spans="23:23">
      <c r="W35082" s="503"/>
    </row>
    <row r="35083" spans="23:23">
      <c r="W35083" s="503"/>
    </row>
    <row r="35084" spans="23:23">
      <c r="W35084" s="503"/>
    </row>
    <row r="35085" spans="23:23">
      <c r="W35085" s="503"/>
    </row>
    <row r="35086" spans="23:23">
      <c r="W35086" s="503"/>
    </row>
    <row r="35087" spans="23:23">
      <c r="W35087" s="503"/>
    </row>
    <row r="35088" spans="23:23">
      <c r="W35088" s="503"/>
    </row>
    <row r="35089" spans="23:23">
      <c r="W35089" s="503"/>
    </row>
    <row r="35090" spans="23:23">
      <c r="W35090" s="503"/>
    </row>
    <row r="35091" spans="23:23">
      <c r="W35091" s="503"/>
    </row>
    <row r="35092" spans="23:23">
      <c r="W35092" s="503"/>
    </row>
    <row r="35093" spans="23:23">
      <c r="W35093" s="503"/>
    </row>
    <row r="35094" spans="23:23">
      <c r="W35094" s="503"/>
    </row>
    <row r="35095" spans="23:23">
      <c r="W35095" s="503"/>
    </row>
    <row r="35096" spans="23:23">
      <c r="W35096" s="503"/>
    </row>
    <row r="35097" spans="23:23">
      <c r="W35097" s="503"/>
    </row>
    <row r="35098" spans="23:23">
      <c r="W35098" s="503"/>
    </row>
    <row r="35099" spans="23:23">
      <c r="W35099" s="503"/>
    </row>
    <row r="35100" spans="23:23">
      <c r="W35100" s="503"/>
    </row>
    <row r="35101" spans="23:23">
      <c r="W35101" s="503"/>
    </row>
    <row r="35102" spans="23:23">
      <c r="W35102" s="503"/>
    </row>
    <row r="35103" spans="23:23">
      <c r="W35103" s="503"/>
    </row>
    <row r="35104" spans="23:23">
      <c r="W35104" s="503"/>
    </row>
    <row r="35105" spans="23:23">
      <c r="W35105" s="503"/>
    </row>
    <row r="35106" spans="23:23">
      <c r="W35106" s="503"/>
    </row>
    <row r="35107" spans="23:23">
      <c r="W35107" s="503"/>
    </row>
    <row r="35108" spans="23:23">
      <c r="W35108" s="503"/>
    </row>
    <row r="35109" spans="23:23">
      <c r="W35109" s="503"/>
    </row>
    <row r="35110" spans="23:23">
      <c r="W35110" s="503"/>
    </row>
    <row r="35111" spans="23:23">
      <c r="W35111" s="503"/>
    </row>
    <row r="35112" spans="23:23">
      <c r="W35112" s="503"/>
    </row>
    <row r="35113" spans="23:23">
      <c r="W35113" s="503"/>
    </row>
    <row r="35114" spans="23:23">
      <c r="W35114" s="503"/>
    </row>
    <row r="35115" spans="23:23">
      <c r="W35115" s="503"/>
    </row>
    <row r="35116" spans="23:23">
      <c r="W35116" s="503"/>
    </row>
    <row r="35117" spans="23:23">
      <c r="W35117" s="503"/>
    </row>
    <row r="35118" spans="23:23">
      <c r="W35118" s="503"/>
    </row>
    <row r="35119" spans="23:23">
      <c r="W35119" s="503"/>
    </row>
    <row r="35120" spans="23:23">
      <c r="W35120" s="503"/>
    </row>
    <row r="35121" spans="23:23">
      <c r="W35121" s="503"/>
    </row>
    <row r="35122" spans="23:23">
      <c r="W35122" s="503"/>
    </row>
    <row r="35123" spans="23:23">
      <c r="W35123" s="503"/>
    </row>
    <row r="35124" spans="23:23">
      <c r="W35124" s="503"/>
    </row>
    <row r="35125" spans="23:23">
      <c r="W35125" s="503"/>
    </row>
    <row r="35126" spans="23:23">
      <c r="W35126" s="503"/>
    </row>
    <row r="35127" spans="23:23">
      <c r="W35127" s="503"/>
    </row>
    <row r="35128" spans="23:23">
      <c r="W35128" s="503"/>
    </row>
    <row r="35129" spans="23:23">
      <c r="W35129" s="503"/>
    </row>
    <row r="35130" spans="23:23">
      <c r="W35130" s="503"/>
    </row>
    <row r="35131" spans="23:23">
      <c r="W35131" s="503"/>
    </row>
    <row r="35132" spans="23:23">
      <c r="W35132" s="503"/>
    </row>
    <row r="35133" spans="23:23">
      <c r="W35133" s="503"/>
    </row>
    <row r="35134" spans="23:23">
      <c r="W35134" s="503"/>
    </row>
    <row r="35135" spans="23:23">
      <c r="W35135" s="503"/>
    </row>
    <row r="35136" spans="23:23">
      <c r="W35136" s="503"/>
    </row>
    <row r="35137" spans="23:23">
      <c r="W35137" s="503"/>
    </row>
    <row r="35138" spans="23:23">
      <c r="W35138" s="503"/>
    </row>
    <row r="35139" spans="23:23">
      <c r="W35139" s="503"/>
    </row>
    <row r="35140" spans="23:23">
      <c r="W35140" s="503"/>
    </row>
    <row r="35141" spans="23:23">
      <c r="W35141" s="503"/>
    </row>
    <row r="35142" spans="23:23">
      <c r="W35142" s="503"/>
    </row>
    <row r="35143" spans="23:23">
      <c r="W35143" s="503"/>
    </row>
    <row r="35144" spans="23:23">
      <c r="W35144" s="503"/>
    </row>
    <row r="35145" spans="23:23">
      <c r="W35145" s="503"/>
    </row>
    <row r="35146" spans="23:23">
      <c r="W35146" s="503"/>
    </row>
    <row r="35147" spans="23:23">
      <c r="W35147" s="503"/>
    </row>
    <row r="35148" spans="23:23">
      <c r="W35148" s="503"/>
    </row>
    <row r="35149" spans="23:23">
      <c r="W35149" s="503"/>
    </row>
    <row r="35150" spans="23:23">
      <c r="W35150" s="503"/>
    </row>
    <row r="35151" spans="23:23">
      <c r="W35151" s="503"/>
    </row>
    <row r="35152" spans="23:23">
      <c r="W35152" s="503"/>
    </row>
    <row r="35153" spans="23:23">
      <c r="W35153" s="503"/>
    </row>
    <row r="35154" spans="23:23">
      <c r="W35154" s="503"/>
    </row>
    <row r="35155" spans="23:23">
      <c r="W35155" s="503"/>
    </row>
    <row r="35156" spans="23:23">
      <c r="W35156" s="503"/>
    </row>
    <row r="35157" spans="23:23">
      <c r="W35157" s="503"/>
    </row>
    <row r="35158" spans="23:23">
      <c r="W35158" s="503"/>
    </row>
    <row r="35159" spans="23:23">
      <c r="W35159" s="503"/>
    </row>
    <row r="35160" spans="23:23">
      <c r="W35160" s="503"/>
    </row>
    <row r="35161" spans="23:23">
      <c r="W35161" s="503"/>
    </row>
    <row r="35162" spans="23:23">
      <c r="W35162" s="503"/>
    </row>
    <row r="35163" spans="23:23">
      <c r="W35163" s="503"/>
    </row>
    <row r="35164" spans="23:23">
      <c r="W35164" s="503"/>
    </row>
    <row r="35165" spans="23:23">
      <c r="W35165" s="503"/>
    </row>
    <row r="35166" spans="23:23">
      <c r="W35166" s="503"/>
    </row>
    <row r="35167" spans="23:23">
      <c r="W35167" s="503"/>
    </row>
    <row r="35168" spans="23:23">
      <c r="W35168" s="503"/>
    </row>
    <row r="35169" spans="23:23">
      <c r="W35169" s="503"/>
    </row>
    <row r="35170" spans="23:23">
      <c r="W35170" s="503"/>
    </row>
    <row r="35171" spans="23:23">
      <c r="W35171" s="503"/>
    </row>
    <row r="35172" spans="23:23">
      <c r="W35172" s="503"/>
    </row>
    <row r="35173" spans="23:23">
      <c r="W35173" s="503"/>
    </row>
    <row r="35174" spans="23:23">
      <c r="W35174" s="503"/>
    </row>
    <row r="35175" spans="23:23">
      <c r="W35175" s="503"/>
    </row>
    <row r="35176" spans="23:23">
      <c r="W35176" s="503"/>
    </row>
    <row r="35177" spans="23:23">
      <c r="W35177" s="503"/>
    </row>
    <row r="35178" spans="23:23">
      <c r="W35178" s="503"/>
    </row>
    <row r="35179" spans="23:23">
      <c r="W35179" s="503"/>
    </row>
    <row r="35180" spans="23:23">
      <c r="W35180" s="503"/>
    </row>
    <row r="35181" spans="23:23">
      <c r="W35181" s="503"/>
    </row>
    <row r="35182" spans="23:23">
      <c r="W35182" s="503"/>
    </row>
    <row r="35183" spans="23:23">
      <c r="W35183" s="503"/>
    </row>
    <row r="35184" spans="23:23">
      <c r="W35184" s="503"/>
    </row>
    <row r="35185" spans="23:23">
      <c r="W35185" s="503"/>
    </row>
    <row r="35186" spans="23:23">
      <c r="W35186" s="503"/>
    </row>
    <row r="35187" spans="23:23">
      <c r="W35187" s="503"/>
    </row>
    <row r="35188" spans="23:23">
      <c r="W35188" s="503"/>
    </row>
    <row r="35189" spans="23:23">
      <c r="W35189" s="503"/>
    </row>
    <row r="35190" spans="23:23">
      <c r="W35190" s="503"/>
    </row>
    <row r="35191" spans="23:23">
      <c r="W35191" s="503"/>
    </row>
    <row r="35192" spans="23:23">
      <c r="W35192" s="503"/>
    </row>
    <row r="35193" spans="23:23">
      <c r="W35193" s="503"/>
    </row>
    <row r="35194" spans="23:23">
      <c r="W35194" s="503"/>
    </row>
    <row r="35195" spans="23:23">
      <c r="W35195" s="503"/>
    </row>
    <row r="35196" spans="23:23">
      <c r="W35196" s="503"/>
    </row>
    <row r="35197" spans="23:23">
      <c r="W35197" s="503"/>
    </row>
    <row r="35198" spans="23:23">
      <c r="W35198" s="503"/>
    </row>
    <row r="35199" spans="23:23">
      <c r="W35199" s="503"/>
    </row>
    <row r="35200" spans="23:23">
      <c r="W35200" s="503"/>
    </row>
    <row r="35201" spans="23:23">
      <c r="W35201" s="503"/>
    </row>
    <row r="35202" spans="23:23">
      <c r="W35202" s="503"/>
    </row>
    <row r="35203" spans="23:23">
      <c r="W35203" s="503"/>
    </row>
    <row r="35204" spans="23:23">
      <c r="W35204" s="503"/>
    </row>
    <row r="35205" spans="23:23">
      <c r="W35205" s="503"/>
    </row>
    <row r="35206" spans="23:23">
      <c r="W35206" s="503"/>
    </row>
    <row r="35207" spans="23:23">
      <c r="W35207" s="503"/>
    </row>
    <row r="35208" spans="23:23">
      <c r="W35208" s="503"/>
    </row>
    <row r="35209" spans="23:23">
      <c r="W35209" s="503"/>
    </row>
    <row r="35210" spans="23:23">
      <c r="W35210" s="503"/>
    </row>
    <row r="35211" spans="23:23">
      <c r="W35211" s="503"/>
    </row>
    <row r="35212" spans="23:23">
      <c r="W35212" s="503"/>
    </row>
    <row r="35213" spans="23:23">
      <c r="W35213" s="503"/>
    </row>
    <row r="35214" spans="23:23">
      <c r="W35214" s="503"/>
    </row>
    <row r="35215" spans="23:23">
      <c r="W35215" s="503"/>
    </row>
    <row r="35216" spans="23:23">
      <c r="W35216" s="503"/>
    </row>
    <row r="35217" spans="23:23">
      <c r="W35217" s="503"/>
    </row>
    <row r="35218" spans="23:23">
      <c r="W35218" s="503"/>
    </row>
    <row r="35219" spans="23:23">
      <c r="W35219" s="503"/>
    </row>
    <row r="35220" spans="23:23">
      <c r="W35220" s="503"/>
    </row>
    <row r="35221" spans="23:23">
      <c r="W35221" s="503"/>
    </row>
    <row r="35222" spans="23:23">
      <c r="W35222" s="503"/>
    </row>
    <row r="35223" spans="23:23">
      <c r="W35223" s="503"/>
    </row>
    <row r="35224" spans="23:23">
      <c r="W35224" s="503"/>
    </row>
    <row r="35225" spans="23:23">
      <c r="W35225" s="503"/>
    </row>
    <row r="35226" spans="23:23">
      <c r="W35226" s="503"/>
    </row>
    <row r="35227" spans="23:23">
      <c r="W35227" s="503"/>
    </row>
    <row r="35228" spans="23:23">
      <c r="W35228" s="503"/>
    </row>
    <row r="35229" spans="23:23">
      <c r="W35229" s="503"/>
    </row>
    <row r="35230" spans="23:23">
      <c r="W35230" s="503"/>
    </row>
    <row r="35231" spans="23:23">
      <c r="W35231" s="503"/>
    </row>
    <row r="35232" spans="23:23">
      <c r="W35232" s="503"/>
    </row>
    <row r="35233" spans="23:23">
      <c r="W35233" s="503"/>
    </row>
    <row r="35234" spans="23:23">
      <c r="W35234" s="503"/>
    </row>
    <row r="35235" spans="23:23">
      <c r="W35235" s="503"/>
    </row>
    <row r="35236" spans="23:23">
      <c r="W35236" s="503"/>
    </row>
    <row r="35237" spans="23:23">
      <c r="W35237" s="503"/>
    </row>
    <row r="35238" spans="23:23">
      <c r="W35238" s="503"/>
    </row>
    <row r="35239" spans="23:23">
      <c r="W35239" s="503"/>
    </row>
    <row r="35240" spans="23:23">
      <c r="W35240" s="503"/>
    </row>
    <row r="35241" spans="23:23">
      <c r="W35241" s="503"/>
    </row>
    <row r="35242" spans="23:23">
      <c r="W35242" s="503"/>
    </row>
    <row r="35243" spans="23:23">
      <c r="W35243" s="503"/>
    </row>
    <row r="35244" spans="23:23">
      <c r="W35244" s="503"/>
    </row>
    <row r="35245" spans="23:23">
      <c r="W35245" s="503"/>
    </row>
    <row r="35246" spans="23:23">
      <c r="W35246" s="503"/>
    </row>
    <row r="35247" spans="23:23">
      <c r="W35247" s="503"/>
    </row>
    <row r="35248" spans="23:23">
      <c r="W35248" s="503"/>
    </row>
    <row r="35249" spans="23:23">
      <c r="W35249" s="503"/>
    </row>
    <row r="35250" spans="23:23">
      <c r="W35250" s="503"/>
    </row>
    <row r="35251" spans="23:23">
      <c r="W35251" s="503"/>
    </row>
    <row r="35252" spans="23:23">
      <c r="W35252" s="503"/>
    </row>
    <row r="35253" spans="23:23">
      <c r="W35253" s="503"/>
    </row>
    <row r="35254" spans="23:23">
      <c r="W35254" s="503"/>
    </row>
    <row r="35255" spans="23:23">
      <c r="W35255" s="503"/>
    </row>
    <row r="35256" spans="23:23">
      <c r="W35256" s="503"/>
    </row>
    <row r="35257" spans="23:23">
      <c r="W35257" s="503"/>
    </row>
    <row r="35258" spans="23:23">
      <c r="W35258" s="503"/>
    </row>
    <row r="35259" spans="23:23">
      <c r="W35259" s="503"/>
    </row>
    <row r="35260" spans="23:23">
      <c r="W35260" s="503"/>
    </row>
    <row r="35261" spans="23:23">
      <c r="W35261" s="503"/>
    </row>
    <row r="35262" spans="23:23">
      <c r="W35262" s="503"/>
    </row>
    <row r="35263" spans="23:23">
      <c r="W35263" s="503"/>
    </row>
    <row r="35264" spans="23:23">
      <c r="W35264" s="503"/>
    </row>
    <row r="35265" spans="23:23">
      <c r="W35265" s="503"/>
    </row>
    <row r="35266" spans="23:23">
      <c r="W35266" s="503"/>
    </row>
    <row r="35267" spans="23:23">
      <c r="W35267" s="503"/>
    </row>
    <row r="35268" spans="23:23">
      <c r="W35268" s="503"/>
    </row>
    <row r="35269" spans="23:23">
      <c r="W35269" s="503"/>
    </row>
    <row r="35270" spans="23:23">
      <c r="W35270" s="503"/>
    </row>
    <row r="35271" spans="23:23">
      <c r="W35271" s="503"/>
    </row>
    <row r="35272" spans="23:23">
      <c r="W35272" s="503"/>
    </row>
    <row r="35273" spans="23:23">
      <c r="W35273" s="503"/>
    </row>
    <row r="35274" spans="23:23">
      <c r="W35274" s="503"/>
    </row>
    <row r="35275" spans="23:23">
      <c r="W35275" s="503"/>
    </row>
    <row r="35276" spans="23:23">
      <c r="W35276" s="503"/>
    </row>
    <row r="35277" spans="23:23">
      <c r="W35277" s="503"/>
    </row>
    <row r="35278" spans="23:23">
      <c r="W35278" s="503"/>
    </row>
    <row r="35279" spans="23:23">
      <c r="W35279" s="503"/>
    </row>
    <row r="35280" spans="23:23">
      <c r="W35280" s="503"/>
    </row>
    <row r="35281" spans="23:23">
      <c r="W35281" s="503"/>
    </row>
    <row r="35282" spans="23:23">
      <c r="W35282" s="503"/>
    </row>
    <row r="35283" spans="23:23">
      <c r="W35283" s="503"/>
    </row>
    <row r="35284" spans="23:23">
      <c r="W35284" s="503"/>
    </row>
    <row r="35285" spans="23:23">
      <c r="W35285" s="503"/>
    </row>
    <row r="35286" spans="23:23">
      <c r="W35286" s="503"/>
    </row>
    <row r="35287" spans="23:23">
      <c r="W35287" s="503"/>
    </row>
    <row r="35288" spans="23:23">
      <c r="W35288" s="503"/>
    </row>
    <row r="35289" spans="23:23">
      <c r="W35289" s="503"/>
    </row>
    <row r="35290" spans="23:23">
      <c r="W35290" s="503"/>
    </row>
    <row r="35291" spans="23:23">
      <c r="W35291" s="503"/>
    </row>
    <row r="35292" spans="23:23">
      <c r="W35292" s="503"/>
    </row>
    <row r="35293" spans="23:23">
      <c r="W35293" s="503"/>
    </row>
    <row r="35294" spans="23:23">
      <c r="W35294" s="503"/>
    </row>
    <row r="35295" spans="23:23">
      <c r="W35295" s="503"/>
    </row>
    <row r="35296" spans="23:23">
      <c r="W35296" s="503"/>
    </row>
    <row r="35297" spans="23:23">
      <c r="W35297" s="503"/>
    </row>
    <row r="35298" spans="23:23">
      <c r="W35298" s="503"/>
    </row>
    <row r="35299" spans="23:23">
      <c r="W35299" s="503"/>
    </row>
    <row r="35300" spans="23:23">
      <c r="W35300" s="503"/>
    </row>
    <row r="35301" spans="23:23">
      <c r="W35301" s="503"/>
    </row>
    <row r="35302" spans="23:23">
      <c r="W35302" s="503"/>
    </row>
    <row r="35303" spans="23:23">
      <c r="W35303" s="503"/>
    </row>
    <row r="35304" spans="23:23">
      <c r="W35304" s="503"/>
    </row>
    <row r="35305" spans="23:23">
      <c r="W35305" s="503"/>
    </row>
    <row r="35306" spans="23:23">
      <c r="W35306" s="503"/>
    </row>
    <row r="35307" spans="23:23">
      <c r="W35307" s="503"/>
    </row>
    <row r="35308" spans="23:23">
      <c r="W35308" s="503"/>
    </row>
    <row r="35309" spans="23:23">
      <c r="W35309" s="503"/>
    </row>
    <row r="35310" spans="23:23">
      <c r="W35310" s="503"/>
    </row>
    <row r="35311" spans="23:23">
      <c r="W35311" s="503"/>
    </row>
    <row r="35312" spans="23:23">
      <c r="W35312" s="503"/>
    </row>
    <row r="35313" spans="23:23">
      <c r="W35313" s="503"/>
    </row>
    <row r="35314" spans="23:23">
      <c r="W35314" s="503"/>
    </row>
    <row r="35315" spans="23:23">
      <c r="W35315" s="503"/>
    </row>
    <row r="35316" spans="23:23">
      <c r="W35316" s="503"/>
    </row>
    <row r="35317" spans="23:23">
      <c r="W35317" s="503"/>
    </row>
    <row r="35318" spans="23:23">
      <c r="W35318" s="503"/>
    </row>
    <row r="35319" spans="23:23">
      <c r="W35319" s="503"/>
    </row>
    <row r="35320" spans="23:23">
      <c r="W35320" s="503"/>
    </row>
    <row r="35321" spans="23:23">
      <c r="W35321" s="503"/>
    </row>
    <row r="35322" spans="23:23">
      <c r="W35322" s="503"/>
    </row>
    <row r="35323" spans="23:23">
      <c r="W35323" s="503"/>
    </row>
    <row r="35324" spans="23:23">
      <c r="W35324" s="503"/>
    </row>
    <row r="35325" spans="23:23">
      <c r="W35325" s="503"/>
    </row>
    <row r="35326" spans="23:23">
      <c r="W35326" s="503"/>
    </row>
    <row r="35327" spans="23:23">
      <c r="W35327" s="503"/>
    </row>
    <row r="35328" spans="23:23">
      <c r="W35328" s="503"/>
    </row>
    <row r="35329" spans="23:23">
      <c r="W35329" s="503"/>
    </row>
    <row r="35330" spans="23:23">
      <c r="W35330" s="503"/>
    </row>
    <row r="35331" spans="23:23">
      <c r="W35331" s="503"/>
    </row>
    <row r="35332" spans="23:23">
      <c r="W35332" s="503"/>
    </row>
    <row r="35333" spans="23:23">
      <c r="W35333" s="503"/>
    </row>
    <row r="35334" spans="23:23">
      <c r="W35334" s="503"/>
    </row>
    <row r="35335" spans="23:23">
      <c r="W35335" s="503"/>
    </row>
    <row r="35336" spans="23:23">
      <c r="W35336" s="503"/>
    </row>
    <row r="35337" spans="23:23">
      <c r="W35337" s="503"/>
    </row>
    <row r="35338" spans="23:23">
      <c r="W35338" s="503"/>
    </row>
    <row r="35339" spans="23:23">
      <c r="W35339" s="503"/>
    </row>
    <row r="35340" spans="23:23">
      <c r="W35340" s="503"/>
    </row>
    <row r="35341" spans="23:23">
      <c r="W35341" s="503"/>
    </row>
    <row r="35342" spans="23:23">
      <c r="W35342" s="503"/>
    </row>
    <row r="35343" spans="23:23">
      <c r="W35343" s="503"/>
    </row>
    <row r="35344" spans="23:23">
      <c r="W35344" s="503"/>
    </row>
    <row r="35345" spans="23:23">
      <c r="W35345" s="503"/>
    </row>
    <row r="35346" spans="23:23">
      <c r="W35346" s="503"/>
    </row>
    <row r="35347" spans="23:23">
      <c r="W35347" s="503"/>
    </row>
    <row r="35348" spans="23:23">
      <c r="W35348" s="503"/>
    </row>
    <row r="35349" spans="23:23">
      <c r="W35349" s="503"/>
    </row>
    <row r="35350" spans="23:23">
      <c r="W35350" s="503"/>
    </row>
    <row r="35351" spans="23:23">
      <c r="W35351" s="503"/>
    </row>
    <row r="35352" spans="23:23">
      <c r="W35352" s="503"/>
    </row>
    <row r="35353" spans="23:23">
      <c r="W35353" s="503"/>
    </row>
    <row r="35354" spans="23:23">
      <c r="W35354" s="503"/>
    </row>
    <row r="35355" spans="23:23">
      <c r="W35355" s="503"/>
    </row>
    <row r="35356" spans="23:23">
      <c r="W35356" s="503"/>
    </row>
    <row r="35357" spans="23:23">
      <c r="W35357" s="503"/>
    </row>
    <row r="35358" spans="23:23">
      <c r="W35358" s="503"/>
    </row>
    <row r="35359" spans="23:23">
      <c r="W35359" s="503"/>
    </row>
    <row r="35360" spans="23:23">
      <c r="W35360" s="503"/>
    </row>
    <row r="35361" spans="23:23">
      <c r="W35361" s="503"/>
    </row>
    <row r="35362" spans="23:23">
      <c r="W35362" s="503"/>
    </row>
    <row r="35363" spans="23:23">
      <c r="W35363" s="503"/>
    </row>
    <row r="35364" spans="23:23">
      <c r="W35364" s="503"/>
    </row>
    <row r="35365" spans="23:23">
      <c r="W35365" s="503"/>
    </row>
    <row r="35366" spans="23:23">
      <c r="W35366" s="503"/>
    </row>
    <row r="35367" spans="23:23">
      <c r="W35367" s="503"/>
    </row>
    <row r="35368" spans="23:23">
      <c r="W35368" s="503"/>
    </row>
    <row r="35369" spans="23:23">
      <c r="W35369" s="503"/>
    </row>
    <row r="35370" spans="23:23">
      <c r="W35370" s="503"/>
    </row>
    <row r="35371" spans="23:23">
      <c r="W35371" s="503"/>
    </row>
    <row r="35372" spans="23:23">
      <c r="W35372" s="503"/>
    </row>
    <row r="35373" spans="23:23">
      <c r="W35373" s="503"/>
    </row>
    <row r="35374" spans="23:23">
      <c r="W35374" s="503"/>
    </row>
    <row r="35375" spans="23:23">
      <c r="W35375" s="503"/>
    </row>
    <row r="35376" spans="23:23">
      <c r="W35376" s="503"/>
    </row>
    <row r="35377" spans="23:23">
      <c r="W35377" s="503"/>
    </row>
    <row r="35378" spans="23:23">
      <c r="W35378" s="503"/>
    </row>
    <row r="35379" spans="23:23">
      <c r="W35379" s="503"/>
    </row>
    <row r="35380" spans="23:23">
      <c r="W35380" s="503"/>
    </row>
    <row r="35381" spans="23:23">
      <c r="W35381" s="503"/>
    </row>
    <row r="35382" spans="23:23">
      <c r="W35382" s="503"/>
    </row>
    <row r="35383" spans="23:23">
      <c r="W35383" s="503"/>
    </row>
    <row r="35384" spans="23:23">
      <c r="W35384" s="503"/>
    </row>
    <row r="35385" spans="23:23">
      <c r="W35385" s="503"/>
    </row>
    <row r="35386" spans="23:23">
      <c r="W35386" s="503"/>
    </row>
    <row r="35387" spans="23:23">
      <c r="W35387" s="503"/>
    </row>
    <row r="35388" spans="23:23">
      <c r="W35388" s="503"/>
    </row>
    <row r="35389" spans="23:23">
      <c r="W35389" s="503"/>
    </row>
    <row r="35390" spans="23:23">
      <c r="W35390" s="503"/>
    </row>
    <row r="35391" spans="23:23">
      <c r="W35391" s="503"/>
    </row>
    <row r="35392" spans="23:23">
      <c r="W35392" s="503"/>
    </row>
    <row r="35393" spans="23:23">
      <c r="W35393" s="503"/>
    </row>
    <row r="35394" spans="23:23">
      <c r="W35394" s="503"/>
    </row>
    <row r="35395" spans="23:23">
      <c r="W35395" s="503"/>
    </row>
    <row r="35396" spans="23:23">
      <c r="W35396" s="503"/>
    </row>
    <row r="35397" spans="23:23">
      <c r="W35397" s="503"/>
    </row>
    <row r="35398" spans="23:23">
      <c r="W35398" s="503"/>
    </row>
    <row r="35399" spans="23:23">
      <c r="W35399" s="503"/>
    </row>
    <row r="35400" spans="23:23">
      <c r="W35400" s="503"/>
    </row>
    <row r="35401" spans="23:23">
      <c r="W35401" s="503"/>
    </row>
    <row r="35402" spans="23:23">
      <c r="W35402" s="503"/>
    </row>
    <row r="35403" spans="23:23">
      <c r="W35403" s="503"/>
    </row>
    <row r="35404" spans="23:23">
      <c r="W35404" s="503"/>
    </row>
    <row r="35405" spans="23:23">
      <c r="W35405" s="503"/>
    </row>
    <row r="35406" spans="23:23">
      <c r="W35406" s="503"/>
    </row>
    <row r="35407" spans="23:23">
      <c r="W35407" s="503"/>
    </row>
    <row r="35408" spans="23:23">
      <c r="W35408" s="503"/>
    </row>
    <row r="35409" spans="23:23">
      <c r="W35409" s="503"/>
    </row>
    <row r="35410" spans="23:23">
      <c r="W35410" s="503"/>
    </row>
    <row r="35411" spans="23:23">
      <c r="W35411" s="503"/>
    </row>
    <row r="35412" spans="23:23">
      <c r="W35412" s="503"/>
    </row>
    <row r="35413" spans="23:23">
      <c r="W35413" s="503"/>
    </row>
    <row r="35414" spans="23:23">
      <c r="W35414" s="503"/>
    </row>
    <row r="35415" spans="23:23">
      <c r="W35415" s="503"/>
    </row>
    <row r="35416" spans="23:23">
      <c r="W35416" s="503"/>
    </row>
    <row r="35417" spans="23:23">
      <c r="W35417" s="503"/>
    </row>
    <row r="35418" spans="23:23">
      <c r="W35418" s="503"/>
    </row>
    <row r="35419" spans="23:23">
      <c r="W35419" s="503"/>
    </row>
    <row r="35420" spans="23:23">
      <c r="W35420" s="503"/>
    </row>
    <row r="35421" spans="23:23">
      <c r="W35421" s="503"/>
    </row>
    <row r="35422" spans="23:23">
      <c r="W35422" s="503"/>
    </row>
    <row r="35423" spans="23:23">
      <c r="W35423" s="503"/>
    </row>
    <row r="35424" spans="23:23">
      <c r="W35424" s="503"/>
    </row>
    <row r="35425" spans="23:23">
      <c r="W35425" s="503"/>
    </row>
    <row r="35426" spans="23:23">
      <c r="W35426" s="503"/>
    </row>
    <row r="35427" spans="23:23">
      <c r="W35427" s="503"/>
    </row>
    <row r="35428" spans="23:23">
      <c r="W35428" s="503"/>
    </row>
    <row r="35429" spans="23:23">
      <c r="W35429" s="503"/>
    </row>
    <row r="35430" spans="23:23">
      <c r="W35430" s="503"/>
    </row>
    <row r="35431" spans="23:23">
      <c r="W35431" s="503"/>
    </row>
    <row r="35432" spans="23:23">
      <c r="W35432" s="503"/>
    </row>
    <row r="35433" spans="23:23">
      <c r="W35433" s="503"/>
    </row>
    <row r="35434" spans="23:23">
      <c r="W35434" s="503"/>
    </row>
    <row r="35435" spans="23:23">
      <c r="W35435" s="503"/>
    </row>
    <row r="35436" spans="23:23">
      <c r="W35436" s="503"/>
    </row>
    <row r="35437" spans="23:23">
      <c r="W35437" s="503"/>
    </row>
    <row r="35438" spans="23:23">
      <c r="W35438" s="503"/>
    </row>
    <row r="35439" spans="23:23">
      <c r="W35439" s="503"/>
    </row>
    <row r="35440" spans="23:23">
      <c r="W35440" s="503"/>
    </row>
    <row r="35441" spans="23:23">
      <c r="W35441" s="503"/>
    </row>
    <row r="35442" spans="23:23">
      <c r="W35442" s="503"/>
    </row>
    <row r="35443" spans="23:23">
      <c r="W35443" s="503"/>
    </row>
    <row r="35444" spans="23:23">
      <c r="W35444" s="503"/>
    </row>
    <row r="35445" spans="23:23">
      <c r="W35445" s="503"/>
    </row>
    <row r="35446" spans="23:23">
      <c r="W35446" s="503"/>
    </row>
    <row r="35447" spans="23:23">
      <c r="W35447" s="503"/>
    </row>
    <row r="35448" spans="23:23">
      <c r="W35448" s="503"/>
    </row>
    <row r="35449" spans="23:23">
      <c r="W35449" s="503"/>
    </row>
    <row r="35450" spans="23:23">
      <c r="W35450" s="503"/>
    </row>
    <row r="35451" spans="23:23">
      <c r="W35451" s="503"/>
    </row>
    <row r="35452" spans="23:23">
      <c r="W35452" s="503"/>
    </row>
    <row r="35453" spans="23:23">
      <c r="W35453" s="503"/>
    </row>
    <row r="35454" spans="23:23">
      <c r="W35454" s="503"/>
    </row>
    <row r="35455" spans="23:23">
      <c r="W35455" s="503"/>
    </row>
    <row r="35456" spans="23:23">
      <c r="W35456" s="503"/>
    </row>
    <row r="35457" spans="23:23">
      <c r="W35457" s="503"/>
    </row>
    <row r="35458" spans="23:23">
      <c r="W35458" s="503"/>
    </row>
    <row r="35459" spans="23:23">
      <c r="W35459" s="503"/>
    </row>
    <row r="35460" spans="23:23">
      <c r="W35460" s="503"/>
    </row>
    <row r="35461" spans="23:23">
      <c r="W35461" s="503"/>
    </row>
    <row r="35462" spans="23:23">
      <c r="W35462" s="503"/>
    </row>
    <row r="35463" spans="23:23">
      <c r="W35463" s="503"/>
    </row>
    <row r="35464" spans="23:23">
      <c r="W35464" s="503"/>
    </row>
    <row r="35465" spans="23:23">
      <c r="W35465" s="503"/>
    </row>
    <row r="35466" spans="23:23">
      <c r="W35466" s="503"/>
    </row>
    <row r="35467" spans="23:23">
      <c r="W35467" s="503"/>
    </row>
    <row r="35468" spans="23:23">
      <c r="W35468" s="503"/>
    </row>
    <row r="35469" spans="23:23">
      <c r="W35469" s="503"/>
    </row>
    <row r="35470" spans="23:23">
      <c r="W35470" s="503"/>
    </row>
    <row r="35471" spans="23:23">
      <c r="W35471" s="503"/>
    </row>
    <row r="35472" spans="23:23">
      <c r="W35472" s="503"/>
    </row>
    <row r="35473" spans="23:23">
      <c r="W35473" s="503"/>
    </row>
    <row r="35474" spans="23:23">
      <c r="W35474" s="503"/>
    </row>
    <row r="35475" spans="23:23">
      <c r="W35475" s="503"/>
    </row>
    <row r="35476" spans="23:23">
      <c r="W35476" s="503"/>
    </row>
    <row r="35477" spans="23:23">
      <c r="W35477" s="503"/>
    </row>
    <row r="35478" spans="23:23">
      <c r="W35478" s="503"/>
    </row>
    <row r="35479" spans="23:23">
      <c r="W35479" s="503"/>
    </row>
    <row r="35480" spans="23:23">
      <c r="W35480" s="503"/>
    </row>
    <row r="35481" spans="23:23">
      <c r="W35481" s="503"/>
    </row>
    <row r="35482" spans="23:23">
      <c r="W35482" s="503"/>
    </row>
    <row r="35483" spans="23:23">
      <c r="W35483" s="503"/>
    </row>
    <row r="35484" spans="23:23">
      <c r="W35484" s="503"/>
    </row>
    <row r="35485" spans="23:23">
      <c r="W35485" s="503"/>
    </row>
    <row r="35486" spans="23:23">
      <c r="W35486" s="503"/>
    </row>
    <row r="35487" spans="23:23">
      <c r="W35487" s="503"/>
    </row>
    <row r="35488" spans="23:23">
      <c r="W35488" s="503"/>
    </row>
    <row r="35489" spans="23:23">
      <c r="W35489" s="503"/>
    </row>
    <row r="35490" spans="23:23">
      <c r="W35490" s="503"/>
    </row>
    <row r="35491" spans="23:23">
      <c r="W35491" s="503"/>
    </row>
    <row r="35492" spans="23:23">
      <c r="W35492" s="503"/>
    </row>
    <row r="35493" spans="23:23">
      <c r="W35493" s="503"/>
    </row>
    <row r="35494" spans="23:23">
      <c r="W35494" s="503"/>
    </row>
    <row r="35495" spans="23:23">
      <c r="W35495" s="503"/>
    </row>
    <row r="35496" spans="23:23">
      <c r="W35496" s="503"/>
    </row>
    <row r="35497" spans="23:23">
      <c r="W35497" s="503"/>
    </row>
    <row r="35498" spans="23:23">
      <c r="W35498" s="503"/>
    </row>
    <row r="35499" spans="23:23">
      <c r="W35499" s="503"/>
    </row>
    <row r="35500" spans="23:23">
      <c r="W35500" s="503"/>
    </row>
    <row r="35501" spans="23:23">
      <c r="W35501" s="503"/>
    </row>
    <row r="35502" spans="23:23">
      <c r="W35502" s="503"/>
    </row>
    <row r="35503" spans="23:23">
      <c r="W35503" s="503"/>
    </row>
    <row r="35504" spans="23:23">
      <c r="W35504" s="503"/>
    </row>
    <row r="35505" spans="23:23">
      <c r="W35505" s="503"/>
    </row>
    <row r="35506" spans="23:23">
      <c r="W35506" s="503"/>
    </row>
    <row r="35507" spans="23:23">
      <c r="W35507" s="503"/>
    </row>
    <row r="35508" spans="23:23">
      <c r="W35508" s="503"/>
    </row>
    <row r="35509" spans="23:23">
      <c r="W35509" s="503"/>
    </row>
    <row r="35510" spans="23:23">
      <c r="W35510" s="503"/>
    </row>
    <row r="35511" spans="23:23">
      <c r="W35511" s="503"/>
    </row>
    <row r="35512" spans="23:23">
      <c r="W35512" s="503"/>
    </row>
    <row r="35513" spans="23:23">
      <c r="W35513" s="503"/>
    </row>
    <row r="35514" spans="23:23">
      <c r="W35514" s="503"/>
    </row>
    <row r="35515" spans="23:23">
      <c r="W35515" s="503"/>
    </row>
    <row r="35516" spans="23:23">
      <c r="W35516" s="503"/>
    </row>
    <row r="35517" spans="23:23">
      <c r="W35517" s="503"/>
    </row>
    <row r="35518" spans="23:23">
      <c r="W35518" s="503"/>
    </row>
    <row r="35519" spans="23:23">
      <c r="W35519" s="503"/>
    </row>
    <row r="35520" spans="23:23">
      <c r="W35520" s="503"/>
    </row>
    <row r="35521" spans="23:23">
      <c r="W35521" s="503"/>
    </row>
    <row r="35522" spans="23:23">
      <c r="W35522" s="503"/>
    </row>
    <row r="35523" spans="23:23">
      <c r="W35523" s="503"/>
    </row>
    <row r="35524" spans="23:23">
      <c r="W35524" s="503"/>
    </row>
    <row r="35525" spans="23:23">
      <c r="W35525" s="503"/>
    </row>
    <row r="35526" spans="23:23">
      <c r="W35526" s="503"/>
    </row>
    <row r="35527" spans="23:23">
      <c r="W35527" s="503"/>
    </row>
    <row r="35528" spans="23:23">
      <c r="W35528" s="503"/>
    </row>
    <row r="35529" spans="23:23">
      <c r="W35529" s="503"/>
    </row>
    <row r="35530" spans="23:23">
      <c r="W35530" s="503"/>
    </row>
    <row r="35531" spans="23:23">
      <c r="W35531" s="503"/>
    </row>
    <row r="35532" spans="23:23">
      <c r="W35532" s="503"/>
    </row>
    <row r="35533" spans="23:23">
      <c r="W35533" s="503"/>
    </row>
    <row r="35534" spans="23:23">
      <c r="W35534" s="503"/>
    </row>
    <row r="35535" spans="23:23">
      <c r="W35535" s="503"/>
    </row>
    <row r="35536" spans="23:23">
      <c r="W35536" s="503"/>
    </row>
    <row r="35537" spans="23:23">
      <c r="W35537" s="503"/>
    </row>
    <row r="35538" spans="23:23">
      <c r="W35538" s="503"/>
    </row>
    <row r="35539" spans="23:23">
      <c r="W35539" s="503"/>
    </row>
    <row r="35540" spans="23:23">
      <c r="W35540" s="503"/>
    </row>
    <row r="35541" spans="23:23">
      <c r="W35541" s="503"/>
    </row>
    <row r="35542" spans="23:23">
      <c r="W35542" s="503"/>
    </row>
    <row r="35543" spans="23:23">
      <c r="W35543" s="503"/>
    </row>
    <row r="35544" spans="23:23">
      <c r="W35544" s="503"/>
    </row>
    <row r="35545" spans="23:23">
      <c r="W35545" s="503"/>
    </row>
    <row r="35546" spans="23:23">
      <c r="W35546" s="503"/>
    </row>
    <row r="35547" spans="23:23">
      <c r="W35547" s="503"/>
    </row>
    <row r="35548" spans="23:23">
      <c r="W35548" s="503"/>
    </row>
    <row r="35549" spans="23:23">
      <c r="W35549" s="503"/>
    </row>
    <row r="35550" spans="23:23">
      <c r="W35550" s="503"/>
    </row>
    <row r="35551" spans="23:23">
      <c r="W35551" s="503"/>
    </row>
    <row r="35552" spans="23:23">
      <c r="W35552" s="503"/>
    </row>
    <row r="35553" spans="23:23">
      <c r="W35553" s="503"/>
    </row>
    <row r="35554" spans="23:23">
      <c r="W35554" s="503"/>
    </row>
    <row r="35555" spans="23:23">
      <c r="W35555" s="503"/>
    </row>
    <row r="35556" spans="23:23">
      <c r="W35556" s="503"/>
    </row>
    <row r="35557" spans="23:23">
      <c r="W35557" s="503"/>
    </row>
    <row r="35558" spans="23:23">
      <c r="W35558" s="503"/>
    </row>
    <row r="35559" spans="23:23">
      <c r="W35559" s="503"/>
    </row>
    <row r="35560" spans="23:23">
      <c r="W35560" s="503"/>
    </row>
    <row r="35561" spans="23:23">
      <c r="W35561" s="503"/>
    </row>
    <row r="35562" spans="23:23">
      <c r="W35562" s="503"/>
    </row>
    <row r="35563" spans="23:23">
      <c r="W35563" s="503"/>
    </row>
    <row r="35564" spans="23:23">
      <c r="W35564" s="503"/>
    </row>
    <row r="35565" spans="23:23">
      <c r="W35565" s="503"/>
    </row>
    <row r="35566" spans="23:23">
      <c r="W35566" s="503"/>
    </row>
    <row r="35567" spans="23:23">
      <c r="W35567" s="503"/>
    </row>
    <row r="35568" spans="23:23">
      <c r="W35568" s="503"/>
    </row>
    <row r="35569" spans="23:23">
      <c r="W35569" s="503"/>
    </row>
    <row r="35570" spans="23:23">
      <c r="W35570" s="503"/>
    </row>
    <row r="35571" spans="23:23">
      <c r="W35571" s="503"/>
    </row>
    <row r="35572" spans="23:23">
      <c r="W35572" s="503"/>
    </row>
    <row r="35573" spans="23:23">
      <c r="W35573" s="503"/>
    </row>
    <row r="35574" spans="23:23">
      <c r="W35574" s="503"/>
    </row>
    <row r="35575" spans="23:23">
      <c r="W35575" s="503"/>
    </row>
    <row r="35576" spans="23:23">
      <c r="W35576" s="503"/>
    </row>
    <row r="35577" spans="23:23">
      <c r="W35577" s="503"/>
    </row>
    <row r="35578" spans="23:23">
      <c r="W35578" s="503"/>
    </row>
    <row r="35579" spans="23:23">
      <c r="W35579" s="503"/>
    </row>
    <row r="35580" spans="23:23">
      <c r="W35580" s="503"/>
    </row>
    <row r="35581" spans="23:23">
      <c r="W35581" s="503"/>
    </row>
    <row r="35582" spans="23:23">
      <c r="W35582" s="503"/>
    </row>
    <row r="35583" spans="23:23">
      <c r="W35583" s="503"/>
    </row>
    <row r="35584" spans="23:23">
      <c r="W35584" s="503"/>
    </row>
    <row r="35585" spans="23:23">
      <c r="W35585" s="503"/>
    </row>
    <row r="35586" spans="23:23">
      <c r="W35586" s="503"/>
    </row>
    <row r="35587" spans="23:23">
      <c r="W35587" s="503"/>
    </row>
    <row r="35588" spans="23:23">
      <c r="W35588" s="503"/>
    </row>
    <row r="35589" spans="23:23">
      <c r="W35589" s="503"/>
    </row>
    <row r="35590" spans="23:23">
      <c r="W35590" s="503"/>
    </row>
    <row r="35591" spans="23:23">
      <c r="W35591" s="503"/>
    </row>
    <row r="35592" spans="23:23">
      <c r="W35592" s="503"/>
    </row>
    <row r="35593" spans="23:23">
      <c r="W35593" s="503"/>
    </row>
    <row r="35594" spans="23:23">
      <c r="W35594" s="503"/>
    </row>
    <row r="35595" spans="23:23">
      <c r="W35595" s="503"/>
    </row>
    <row r="35596" spans="23:23">
      <c r="W35596" s="503"/>
    </row>
    <row r="35597" spans="23:23">
      <c r="W35597" s="503"/>
    </row>
    <row r="35598" spans="23:23">
      <c r="W35598" s="503"/>
    </row>
    <row r="35599" spans="23:23">
      <c r="W35599" s="503"/>
    </row>
    <row r="35600" spans="23:23">
      <c r="W35600" s="503"/>
    </row>
    <row r="35601" spans="23:23">
      <c r="W35601" s="503"/>
    </row>
    <row r="35602" spans="23:23">
      <c r="W35602" s="503"/>
    </row>
    <row r="35603" spans="23:23">
      <c r="W35603" s="503"/>
    </row>
    <row r="35604" spans="23:23">
      <c r="W35604" s="503"/>
    </row>
    <row r="35605" spans="23:23">
      <c r="W35605" s="503"/>
    </row>
    <row r="35606" spans="23:23">
      <c r="W35606" s="503"/>
    </row>
    <row r="35607" spans="23:23">
      <c r="W35607" s="503"/>
    </row>
    <row r="35608" spans="23:23">
      <c r="W35608" s="503"/>
    </row>
    <row r="35609" spans="23:23">
      <c r="W35609" s="503"/>
    </row>
    <row r="35610" spans="23:23">
      <c r="W35610" s="503"/>
    </row>
    <row r="35611" spans="23:23">
      <c r="W35611" s="503"/>
    </row>
    <row r="35612" spans="23:23">
      <c r="W35612" s="503"/>
    </row>
    <row r="35613" spans="23:23">
      <c r="W35613" s="503"/>
    </row>
    <row r="35614" spans="23:23">
      <c r="W35614" s="503"/>
    </row>
    <row r="35615" spans="23:23">
      <c r="W35615" s="503"/>
    </row>
    <row r="35616" spans="23:23">
      <c r="W35616" s="503"/>
    </row>
    <row r="35617" spans="23:23">
      <c r="W35617" s="503"/>
    </row>
    <row r="35618" spans="23:23">
      <c r="W35618" s="503"/>
    </row>
    <row r="35619" spans="23:23">
      <c r="W35619" s="503"/>
    </row>
    <row r="35620" spans="23:23">
      <c r="W35620" s="503"/>
    </row>
    <row r="35621" spans="23:23">
      <c r="W35621" s="503"/>
    </row>
    <row r="35622" spans="23:23">
      <c r="W35622" s="503"/>
    </row>
    <row r="35623" spans="23:23">
      <c r="W35623" s="503"/>
    </row>
    <row r="35624" spans="23:23">
      <c r="W35624" s="503"/>
    </row>
    <row r="35625" spans="23:23">
      <c r="W35625" s="503"/>
    </row>
    <row r="35626" spans="23:23">
      <c r="W35626" s="503"/>
    </row>
    <row r="35627" spans="23:23">
      <c r="W35627" s="503"/>
    </row>
    <row r="35628" spans="23:23">
      <c r="W35628" s="503"/>
    </row>
    <row r="35629" spans="23:23">
      <c r="W35629" s="503"/>
    </row>
    <row r="35630" spans="23:23">
      <c r="W35630" s="503"/>
    </row>
    <row r="35631" spans="23:23">
      <c r="W35631" s="503"/>
    </row>
    <row r="35632" spans="23:23">
      <c r="W35632" s="503"/>
    </row>
    <row r="35633" spans="23:23">
      <c r="W35633" s="503"/>
    </row>
    <row r="35634" spans="23:23">
      <c r="W35634" s="503"/>
    </row>
    <row r="35635" spans="23:23">
      <c r="W35635" s="503"/>
    </row>
    <row r="35636" spans="23:23">
      <c r="W35636" s="503"/>
    </row>
    <row r="35637" spans="23:23">
      <c r="W35637" s="503"/>
    </row>
    <row r="35638" spans="23:23">
      <c r="W35638" s="503"/>
    </row>
    <row r="35639" spans="23:23">
      <c r="W35639" s="503"/>
    </row>
    <row r="35640" spans="23:23">
      <c r="W35640" s="503"/>
    </row>
    <row r="35641" spans="23:23">
      <c r="W35641" s="503"/>
    </row>
    <row r="35642" spans="23:23">
      <c r="W35642" s="503"/>
    </row>
    <row r="35643" spans="23:23">
      <c r="W35643" s="503"/>
    </row>
    <row r="35644" spans="23:23">
      <c r="W35644" s="503"/>
    </row>
    <row r="35645" spans="23:23">
      <c r="W35645" s="503"/>
    </row>
    <row r="35646" spans="23:23">
      <c r="W35646" s="503"/>
    </row>
    <row r="35647" spans="23:23">
      <c r="W35647" s="503"/>
    </row>
    <row r="35648" spans="23:23">
      <c r="W35648" s="503"/>
    </row>
    <row r="35649" spans="23:23">
      <c r="W35649" s="503"/>
    </row>
    <row r="35650" spans="23:23">
      <c r="W35650" s="503"/>
    </row>
    <row r="35651" spans="23:23">
      <c r="W35651" s="503"/>
    </row>
    <row r="35652" spans="23:23">
      <c r="W35652" s="503"/>
    </row>
    <row r="35653" spans="23:23">
      <c r="W35653" s="503"/>
    </row>
    <row r="35654" spans="23:23">
      <c r="W35654" s="503"/>
    </row>
    <row r="35655" spans="23:23">
      <c r="W35655" s="503"/>
    </row>
    <row r="35656" spans="23:23">
      <c r="W35656" s="503"/>
    </row>
    <row r="35657" spans="23:23">
      <c r="W35657" s="503"/>
    </row>
    <row r="35658" spans="23:23">
      <c r="W35658" s="503"/>
    </row>
    <row r="35659" spans="23:23">
      <c r="W35659" s="503"/>
    </row>
    <row r="35660" spans="23:23">
      <c r="W35660" s="503"/>
    </row>
    <row r="35661" spans="23:23">
      <c r="W35661" s="503"/>
    </row>
    <row r="35662" spans="23:23">
      <c r="W35662" s="503"/>
    </row>
    <row r="35663" spans="23:23">
      <c r="W35663" s="503"/>
    </row>
    <row r="35664" spans="23:23">
      <c r="W35664" s="503"/>
    </row>
    <row r="35665" spans="23:23">
      <c r="W35665" s="503"/>
    </row>
    <row r="35666" spans="23:23">
      <c r="W35666" s="503"/>
    </row>
    <row r="35667" spans="23:23">
      <c r="W35667" s="503"/>
    </row>
    <row r="35668" spans="23:23">
      <c r="W35668" s="503"/>
    </row>
    <row r="35669" spans="23:23">
      <c r="W35669" s="503"/>
    </row>
    <row r="35670" spans="23:23">
      <c r="W35670" s="503"/>
    </row>
    <row r="35671" spans="23:23">
      <c r="W35671" s="503"/>
    </row>
    <row r="35672" spans="23:23">
      <c r="W35672" s="503"/>
    </row>
    <row r="35673" spans="23:23">
      <c r="W35673" s="503"/>
    </row>
    <row r="35674" spans="23:23">
      <c r="W35674" s="503"/>
    </row>
    <row r="35675" spans="23:23">
      <c r="W35675" s="503"/>
    </row>
    <row r="35676" spans="23:23">
      <c r="W35676" s="503"/>
    </row>
    <row r="35677" spans="23:23">
      <c r="W35677" s="503"/>
    </row>
    <row r="35678" spans="23:23">
      <c r="W35678" s="503"/>
    </row>
    <row r="35679" spans="23:23">
      <c r="W35679" s="503"/>
    </row>
    <row r="35680" spans="23:23">
      <c r="W35680" s="503"/>
    </row>
    <row r="35681" spans="23:23">
      <c r="W35681" s="503"/>
    </row>
    <row r="35682" spans="23:23">
      <c r="W35682" s="503"/>
    </row>
    <row r="35683" spans="23:23">
      <c r="W35683" s="503"/>
    </row>
    <row r="35684" spans="23:23">
      <c r="W35684" s="503"/>
    </row>
    <row r="35685" spans="23:23">
      <c r="W35685" s="503"/>
    </row>
    <row r="35686" spans="23:23">
      <c r="W35686" s="503"/>
    </row>
    <row r="35687" spans="23:23">
      <c r="W35687" s="503"/>
    </row>
    <row r="35688" spans="23:23">
      <c r="W35688" s="503"/>
    </row>
    <row r="35689" spans="23:23">
      <c r="W35689" s="503"/>
    </row>
    <row r="35690" spans="23:23">
      <c r="W35690" s="503"/>
    </row>
    <row r="35691" spans="23:23">
      <c r="W35691" s="503"/>
    </row>
    <row r="35692" spans="23:23">
      <c r="W35692" s="503"/>
    </row>
    <row r="35693" spans="23:23">
      <c r="W35693" s="503"/>
    </row>
    <row r="35694" spans="23:23">
      <c r="W35694" s="503"/>
    </row>
    <row r="35695" spans="23:23">
      <c r="W35695" s="503"/>
    </row>
    <row r="35696" spans="23:23">
      <c r="W35696" s="503"/>
    </row>
    <row r="35697" spans="23:23">
      <c r="W35697" s="503"/>
    </row>
    <row r="35698" spans="23:23">
      <c r="W35698" s="503"/>
    </row>
    <row r="35699" spans="23:23">
      <c r="W35699" s="503"/>
    </row>
    <row r="35700" spans="23:23">
      <c r="W35700" s="503"/>
    </row>
    <row r="35701" spans="23:23">
      <c r="W35701" s="503"/>
    </row>
    <row r="35702" spans="23:23">
      <c r="W35702" s="503"/>
    </row>
    <row r="35703" spans="23:23">
      <c r="W35703" s="503"/>
    </row>
    <row r="35704" spans="23:23">
      <c r="W35704" s="503"/>
    </row>
    <row r="35705" spans="23:23">
      <c r="W35705" s="503"/>
    </row>
    <row r="35706" spans="23:23">
      <c r="W35706" s="503"/>
    </row>
    <row r="35707" spans="23:23">
      <c r="W35707" s="503"/>
    </row>
    <row r="35708" spans="23:23">
      <c r="W35708" s="503"/>
    </row>
    <row r="35709" spans="23:23">
      <c r="W35709" s="503"/>
    </row>
    <row r="35710" spans="23:23">
      <c r="W35710" s="503"/>
    </row>
    <row r="35711" spans="23:23">
      <c r="W35711" s="503"/>
    </row>
    <row r="35712" spans="23:23">
      <c r="W35712" s="503"/>
    </row>
    <row r="35713" spans="23:23">
      <c r="W35713" s="503"/>
    </row>
    <row r="35714" spans="23:23">
      <c r="W35714" s="503"/>
    </row>
    <row r="35715" spans="23:23">
      <c r="W35715" s="503"/>
    </row>
    <row r="35716" spans="23:23">
      <c r="W35716" s="503"/>
    </row>
    <row r="35717" spans="23:23">
      <c r="W35717" s="503"/>
    </row>
    <row r="35718" spans="23:23">
      <c r="W35718" s="503"/>
    </row>
    <row r="35719" spans="23:23">
      <c r="W35719" s="503"/>
    </row>
    <row r="35720" spans="23:23">
      <c r="W35720" s="503"/>
    </row>
    <row r="35721" spans="23:23">
      <c r="W35721" s="503"/>
    </row>
    <row r="35722" spans="23:23">
      <c r="W35722" s="503"/>
    </row>
    <row r="35723" spans="23:23">
      <c r="W35723" s="503"/>
    </row>
    <row r="35724" spans="23:23">
      <c r="W35724" s="503"/>
    </row>
    <row r="35725" spans="23:23">
      <c r="W35725" s="503"/>
    </row>
    <row r="35726" spans="23:23">
      <c r="W35726" s="503"/>
    </row>
    <row r="35727" spans="23:23">
      <c r="W35727" s="503"/>
    </row>
    <row r="35728" spans="23:23">
      <c r="W35728" s="503"/>
    </row>
    <row r="35729" spans="23:23">
      <c r="W35729" s="503"/>
    </row>
    <row r="35730" spans="23:23">
      <c r="W35730" s="503"/>
    </row>
    <row r="35731" spans="23:23">
      <c r="W35731" s="503"/>
    </row>
    <row r="35732" spans="23:23">
      <c r="W35732" s="503"/>
    </row>
    <row r="35733" spans="23:23">
      <c r="W35733" s="503"/>
    </row>
    <row r="35734" spans="23:23">
      <c r="W35734" s="503"/>
    </row>
    <row r="35735" spans="23:23">
      <c r="W35735" s="503"/>
    </row>
    <row r="35736" spans="23:23">
      <c r="W35736" s="503"/>
    </row>
    <row r="35737" spans="23:23">
      <c r="W35737" s="503"/>
    </row>
    <row r="35738" spans="23:23">
      <c r="W35738" s="503"/>
    </row>
    <row r="35739" spans="23:23">
      <c r="W35739" s="503"/>
    </row>
    <row r="35740" spans="23:23">
      <c r="W35740" s="503"/>
    </row>
    <row r="35741" spans="23:23">
      <c r="W35741" s="503"/>
    </row>
    <row r="35742" spans="23:23">
      <c r="W35742" s="503"/>
    </row>
    <row r="35743" spans="23:23">
      <c r="W35743" s="503"/>
    </row>
    <row r="35744" spans="23:23">
      <c r="W35744" s="503"/>
    </row>
    <row r="35745" spans="23:23">
      <c r="W35745" s="503"/>
    </row>
    <row r="35746" spans="23:23">
      <c r="W35746" s="503"/>
    </row>
    <row r="35747" spans="23:23">
      <c r="W35747" s="503"/>
    </row>
    <row r="35748" spans="23:23">
      <c r="W35748" s="503"/>
    </row>
    <row r="35749" spans="23:23">
      <c r="W35749" s="503"/>
    </row>
    <row r="35750" spans="23:23">
      <c r="W35750" s="503"/>
    </row>
    <row r="35751" spans="23:23">
      <c r="W35751" s="503"/>
    </row>
    <row r="35752" spans="23:23">
      <c r="W35752" s="503"/>
    </row>
    <row r="35753" spans="23:23">
      <c r="W35753" s="503"/>
    </row>
    <row r="35754" spans="23:23">
      <c r="W35754" s="503"/>
    </row>
    <row r="35755" spans="23:23">
      <c r="W35755" s="503"/>
    </row>
    <row r="35756" spans="23:23">
      <c r="W35756" s="503"/>
    </row>
    <row r="35757" spans="23:23">
      <c r="W35757" s="503"/>
    </row>
    <row r="35758" spans="23:23">
      <c r="W35758" s="503"/>
    </row>
    <row r="35759" spans="23:23">
      <c r="W35759" s="503"/>
    </row>
    <row r="35760" spans="23:23">
      <c r="W35760" s="503"/>
    </row>
    <row r="35761" spans="23:23">
      <c r="W35761" s="503"/>
    </row>
    <row r="35762" spans="23:23">
      <c r="W35762" s="503"/>
    </row>
    <row r="35763" spans="23:23">
      <c r="W35763" s="503"/>
    </row>
    <row r="35764" spans="23:23">
      <c r="W35764" s="503"/>
    </row>
    <row r="35765" spans="23:23">
      <c r="W35765" s="503"/>
    </row>
    <row r="35766" spans="23:23">
      <c r="W35766" s="503"/>
    </row>
    <row r="35767" spans="23:23">
      <c r="W35767" s="503"/>
    </row>
    <row r="35768" spans="23:23">
      <c r="W35768" s="503"/>
    </row>
    <row r="35769" spans="23:23">
      <c r="W35769" s="503"/>
    </row>
    <row r="35770" spans="23:23">
      <c r="W35770" s="503"/>
    </row>
    <row r="35771" spans="23:23">
      <c r="W35771" s="503"/>
    </row>
    <row r="35772" spans="23:23">
      <c r="W35772" s="503"/>
    </row>
    <row r="35773" spans="23:23">
      <c r="W35773" s="503"/>
    </row>
    <row r="35774" spans="23:23">
      <c r="W35774" s="503"/>
    </row>
    <row r="35775" spans="23:23">
      <c r="W35775" s="503"/>
    </row>
    <row r="35776" spans="23:23">
      <c r="W35776" s="503"/>
    </row>
    <row r="35777" spans="23:23">
      <c r="W35777" s="503"/>
    </row>
    <row r="35778" spans="23:23">
      <c r="W35778" s="503"/>
    </row>
    <row r="35779" spans="23:23">
      <c r="W35779" s="503"/>
    </row>
    <row r="35780" spans="23:23">
      <c r="W35780" s="503"/>
    </row>
    <row r="35781" spans="23:23">
      <c r="W35781" s="503"/>
    </row>
    <row r="35782" spans="23:23">
      <c r="W35782" s="503"/>
    </row>
    <row r="35783" spans="23:23">
      <c r="W35783" s="503"/>
    </row>
    <row r="35784" spans="23:23">
      <c r="W35784" s="503"/>
    </row>
    <row r="35785" spans="23:23">
      <c r="W35785" s="503"/>
    </row>
    <row r="35786" spans="23:23">
      <c r="W35786" s="503"/>
    </row>
    <row r="35787" spans="23:23">
      <c r="W35787" s="503"/>
    </row>
    <row r="35788" spans="23:23">
      <c r="W35788" s="503"/>
    </row>
    <row r="35789" spans="23:23">
      <c r="W35789" s="503"/>
    </row>
    <row r="35790" spans="23:23">
      <c r="W35790" s="503"/>
    </row>
    <row r="35791" spans="23:23">
      <c r="W35791" s="503"/>
    </row>
    <row r="35792" spans="23:23">
      <c r="W35792" s="503"/>
    </row>
    <row r="35793" spans="23:23">
      <c r="W35793" s="503"/>
    </row>
    <row r="35794" spans="23:23">
      <c r="W35794" s="503"/>
    </row>
    <row r="35795" spans="23:23">
      <c r="W35795" s="503"/>
    </row>
    <row r="35796" spans="23:23">
      <c r="W35796" s="503"/>
    </row>
    <row r="35797" spans="23:23">
      <c r="W35797" s="503"/>
    </row>
    <row r="35798" spans="23:23">
      <c r="W35798" s="503"/>
    </row>
    <row r="35799" spans="23:23">
      <c r="W35799" s="503"/>
    </row>
    <row r="35800" spans="23:23">
      <c r="W35800" s="503"/>
    </row>
    <row r="35801" spans="23:23">
      <c r="W35801" s="503"/>
    </row>
    <row r="35802" spans="23:23">
      <c r="W35802" s="503"/>
    </row>
    <row r="35803" spans="23:23">
      <c r="W35803" s="503"/>
    </row>
    <row r="35804" spans="23:23">
      <c r="W35804" s="503"/>
    </row>
    <row r="35805" spans="23:23">
      <c r="W35805" s="503"/>
    </row>
    <row r="35806" spans="23:23">
      <c r="W35806" s="503"/>
    </row>
    <row r="35807" spans="23:23">
      <c r="W35807" s="503"/>
    </row>
    <row r="35808" spans="23:23">
      <c r="W35808" s="503"/>
    </row>
    <row r="35809" spans="23:23">
      <c r="W35809" s="503"/>
    </row>
    <row r="35810" spans="23:23">
      <c r="W35810" s="503"/>
    </row>
    <row r="35811" spans="23:23">
      <c r="W35811" s="503"/>
    </row>
    <row r="35812" spans="23:23">
      <c r="W35812" s="503"/>
    </row>
    <row r="35813" spans="23:23">
      <c r="W35813" s="503"/>
    </row>
    <row r="35814" spans="23:23">
      <c r="W35814" s="503"/>
    </row>
    <row r="35815" spans="23:23">
      <c r="W35815" s="503"/>
    </row>
    <row r="35816" spans="23:23">
      <c r="W35816" s="503"/>
    </row>
    <row r="35817" spans="23:23">
      <c r="W35817" s="503"/>
    </row>
    <row r="35818" spans="23:23">
      <c r="W35818" s="503"/>
    </row>
    <row r="35819" spans="23:23">
      <c r="W35819" s="503"/>
    </row>
    <row r="35820" spans="23:23">
      <c r="W35820" s="503"/>
    </row>
    <row r="35821" spans="23:23">
      <c r="W35821" s="503"/>
    </row>
    <row r="35822" spans="23:23">
      <c r="W35822" s="503"/>
    </row>
    <row r="35823" spans="23:23">
      <c r="W35823" s="503"/>
    </row>
    <row r="35824" spans="23:23">
      <c r="W35824" s="503"/>
    </row>
    <row r="35825" spans="23:23">
      <c r="W35825" s="503"/>
    </row>
    <row r="35826" spans="23:23">
      <c r="W35826" s="503"/>
    </row>
    <row r="35827" spans="23:23">
      <c r="W35827" s="503"/>
    </row>
    <row r="35828" spans="23:23">
      <c r="W35828" s="503"/>
    </row>
    <row r="35829" spans="23:23">
      <c r="W35829" s="503"/>
    </row>
    <row r="35830" spans="23:23">
      <c r="W35830" s="503"/>
    </row>
    <row r="35831" spans="23:23">
      <c r="W35831" s="503"/>
    </row>
    <row r="35832" spans="23:23">
      <c r="W35832" s="503"/>
    </row>
    <row r="35833" spans="23:23">
      <c r="W35833" s="503"/>
    </row>
    <row r="35834" spans="23:23">
      <c r="W35834" s="503"/>
    </row>
    <row r="35835" spans="23:23">
      <c r="W35835" s="503"/>
    </row>
    <row r="35836" spans="23:23">
      <c r="W35836" s="503"/>
    </row>
    <row r="35837" spans="23:23">
      <c r="W35837" s="503"/>
    </row>
    <row r="35838" spans="23:23">
      <c r="W35838" s="503"/>
    </row>
    <row r="35839" spans="23:23">
      <c r="W35839" s="503"/>
    </row>
    <row r="35840" spans="23:23">
      <c r="W35840" s="503"/>
    </row>
    <row r="35841" spans="23:23">
      <c r="W35841" s="503"/>
    </row>
    <row r="35842" spans="23:23">
      <c r="W35842" s="503"/>
    </row>
    <row r="35843" spans="23:23">
      <c r="W35843" s="503"/>
    </row>
    <row r="35844" spans="23:23">
      <c r="W35844" s="503"/>
    </row>
    <row r="35845" spans="23:23">
      <c r="W35845" s="503"/>
    </row>
    <row r="35846" spans="23:23">
      <c r="W35846" s="503"/>
    </row>
    <row r="35847" spans="23:23">
      <c r="W35847" s="503"/>
    </row>
    <row r="35848" spans="23:23">
      <c r="W35848" s="503"/>
    </row>
    <row r="35849" spans="23:23">
      <c r="W35849" s="503"/>
    </row>
    <row r="35850" spans="23:23">
      <c r="W35850" s="503"/>
    </row>
    <row r="35851" spans="23:23">
      <c r="W35851" s="503"/>
    </row>
    <row r="35852" spans="23:23">
      <c r="W35852" s="503"/>
    </row>
    <row r="35853" spans="23:23">
      <c r="W35853" s="503"/>
    </row>
    <row r="35854" spans="23:23">
      <c r="W35854" s="503"/>
    </row>
    <row r="35855" spans="23:23">
      <c r="W35855" s="503"/>
    </row>
    <row r="35856" spans="23:23">
      <c r="W35856" s="503"/>
    </row>
    <row r="35857" spans="23:23">
      <c r="W35857" s="503"/>
    </row>
    <row r="35858" spans="23:23">
      <c r="W35858" s="503"/>
    </row>
    <row r="35859" spans="23:23">
      <c r="W35859" s="503"/>
    </row>
    <row r="35860" spans="23:23">
      <c r="W35860" s="503"/>
    </row>
    <row r="35861" spans="23:23">
      <c r="W35861" s="503"/>
    </row>
    <row r="35862" spans="23:23">
      <c r="W35862" s="503"/>
    </row>
    <row r="35863" spans="23:23">
      <c r="W35863" s="503"/>
    </row>
    <row r="35864" spans="23:23">
      <c r="W35864" s="503"/>
    </row>
    <row r="35865" spans="23:23">
      <c r="W35865" s="503"/>
    </row>
    <row r="35866" spans="23:23">
      <c r="W35866" s="503"/>
    </row>
    <row r="35867" spans="23:23">
      <c r="W35867" s="503"/>
    </row>
    <row r="35868" spans="23:23">
      <c r="W35868" s="503"/>
    </row>
    <row r="35869" spans="23:23">
      <c r="W35869" s="503"/>
    </row>
    <row r="35870" spans="23:23">
      <c r="W35870" s="503"/>
    </row>
    <row r="35871" spans="23:23">
      <c r="W35871" s="503"/>
    </row>
    <row r="35872" spans="23:23">
      <c r="W35872" s="503"/>
    </row>
    <row r="35873" spans="23:23">
      <c r="W35873" s="503"/>
    </row>
    <row r="35874" spans="23:23">
      <c r="W35874" s="503"/>
    </row>
    <row r="35875" spans="23:23">
      <c r="W35875" s="503"/>
    </row>
    <row r="35876" spans="23:23">
      <c r="W35876" s="503"/>
    </row>
    <row r="35877" spans="23:23">
      <c r="W35877" s="503"/>
    </row>
    <row r="35878" spans="23:23">
      <c r="W35878" s="503"/>
    </row>
    <row r="35879" spans="23:23">
      <c r="W35879" s="503"/>
    </row>
    <row r="35880" spans="23:23">
      <c r="W35880" s="503"/>
    </row>
    <row r="35881" spans="23:23">
      <c r="W35881" s="503"/>
    </row>
    <row r="35882" spans="23:23">
      <c r="W35882" s="503"/>
    </row>
    <row r="35883" spans="23:23">
      <c r="W35883" s="503"/>
    </row>
    <row r="35884" spans="23:23">
      <c r="W35884" s="503"/>
    </row>
    <row r="35885" spans="23:23">
      <c r="W35885" s="503"/>
    </row>
    <row r="35886" spans="23:23">
      <c r="W35886" s="503"/>
    </row>
    <row r="35887" spans="23:23">
      <c r="W35887" s="503"/>
    </row>
    <row r="35888" spans="23:23">
      <c r="W35888" s="503"/>
    </row>
    <row r="35889" spans="23:23">
      <c r="W35889" s="503"/>
    </row>
    <row r="35890" spans="23:23">
      <c r="W35890" s="503"/>
    </row>
    <row r="35891" spans="23:23">
      <c r="W35891" s="503"/>
    </row>
    <row r="35892" spans="23:23">
      <c r="W35892" s="503"/>
    </row>
    <row r="35893" spans="23:23">
      <c r="W35893" s="503"/>
    </row>
    <row r="35894" spans="23:23">
      <c r="W35894" s="503"/>
    </row>
    <row r="35895" spans="23:23">
      <c r="W35895" s="503"/>
    </row>
    <row r="35896" spans="23:23">
      <c r="W35896" s="503"/>
    </row>
    <row r="35897" spans="23:23">
      <c r="W35897" s="503"/>
    </row>
    <row r="35898" spans="23:23">
      <c r="W35898" s="503"/>
    </row>
    <row r="35899" spans="23:23">
      <c r="W35899" s="503"/>
    </row>
    <row r="35900" spans="23:23">
      <c r="W35900" s="503"/>
    </row>
    <row r="35901" spans="23:23">
      <c r="W35901" s="503"/>
    </row>
    <row r="35902" spans="23:23">
      <c r="W35902" s="503"/>
    </row>
    <row r="35903" spans="23:23">
      <c r="W35903" s="503"/>
    </row>
    <row r="35904" spans="23:23">
      <c r="W35904" s="503"/>
    </row>
    <row r="35905" spans="23:23">
      <c r="W35905" s="503"/>
    </row>
    <row r="35906" spans="23:23">
      <c r="W35906" s="503"/>
    </row>
    <row r="35907" spans="23:23">
      <c r="W35907" s="503"/>
    </row>
    <row r="35908" spans="23:23">
      <c r="W35908" s="503"/>
    </row>
    <row r="35909" spans="23:23">
      <c r="W35909" s="503"/>
    </row>
    <row r="35910" spans="23:23">
      <c r="W35910" s="503"/>
    </row>
    <row r="35911" spans="23:23">
      <c r="W35911" s="503"/>
    </row>
    <row r="35912" spans="23:23">
      <c r="W35912" s="503"/>
    </row>
    <row r="35913" spans="23:23">
      <c r="W35913" s="503"/>
    </row>
    <row r="35914" spans="23:23">
      <c r="W35914" s="503"/>
    </row>
    <row r="35915" spans="23:23">
      <c r="W35915" s="503"/>
    </row>
    <row r="35916" spans="23:23">
      <c r="W35916" s="503"/>
    </row>
    <row r="35917" spans="23:23">
      <c r="W35917" s="503"/>
    </row>
    <row r="35918" spans="23:23">
      <c r="W35918" s="503"/>
    </row>
    <row r="35919" spans="23:23">
      <c r="W35919" s="503"/>
    </row>
    <row r="35920" spans="23:23">
      <c r="W35920" s="503"/>
    </row>
    <row r="35921" spans="23:23">
      <c r="W35921" s="503"/>
    </row>
    <row r="35922" spans="23:23">
      <c r="W35922" s="503"/>
    </row>
    <row r="35923" spans="23:23">
      <c r="W35923" s="503"/>
    </row>
    <row r="35924" spans="23:23">
      <c r="W35924" s="503"/>
    </row>
    <row r="35925" spans="23:23">
      <c r="W35925" s="503"/>
    </row>
    <row r="35926" spans="23:23">
      <c r="W35926" s="503"/>
    </row>
    <row r="35927" spans="23:23">
      <c r="W35927" s="503"/>
    </row>
    <row r="35928" spans="23:23">
      <c r="W35928" s="503"/>
    </row>
    <row r="35929" spans="23:23">
      <c r="W35929" s="503"/>
    </row>
    <row r="35930" spans="23:23">
      <c r="W35930" s="503"/>
    </row>
    <row r="35931" spans="23:23">
      <c r="W35931" s="503"/>
    </row>
    <row r="35932" spans="23:23">
      <c r="W35932" s="503"/>
    </row>
    <row r="35933" spans="23:23">
      <c r="W35933" s="503"/>
    </row>
    <row r="35934" spans="23:23">
      <c r="W35934" s="503"/>
    </row>
    <row r="35935" spans="23:23">
      <c r="W35935" s="503"/>
    </row>
    <row r="35936" spans="23:23">
      <c r="W35936" s="503"/>
    </row>
    <row r="35937" spans="23:23">
      <c r="W35937" s="503"/>
    </row>
    <row r="35938" spans="23:23">
      <c r="W35938" s="503"/>
    </row>
    <row r="35939" spans="23:23">
      <c r="W35939" s="503"/>
    </row>
    <row r="35940" spans="23:23">
      <c r="W35940" s="503"/>
    </row>
    <row r="35941" spans="23:23">
      <c r="W35941" s="503"/>
    </row>
    <row r="35942" spans="23:23">
      <c r="W35942" s="503"/>
    </row>
    <row r="35943" spans="23:23">
      <c r="W35943" s="503"/>
    </row>
    <row r="35944" spans="23:23">
      <c r="W35944" s="503"/>
    </row>
    <row r="35945" spans="23:23">
      <c r="W35945" s="503"/>
    </row>
    <row r="35946" spans="23:23">
      <c r="W35946" s="503"/>
    </row>
    <row r="35947" spans="23:23">
      <c r="W35947" s="503"/>
    </row>
    <row r="35948" spans="23:23">
      <c r="W35948" s="503"/>
    </row>
    <row r="35949" spans="23:23">
      <c r="W35949" s="503"/>
    </row>
    <row r="35950" spans="23:23">
      <c r="W35950" s="503"/>
    </row>
    <row r="35951" spans="23:23">
      <c r="W35951" s="503"/>
    </row>
    <row r="35952" spans="23:23">
      <c r="W35952" s="503"/>
    </row>
    <row r="35953" spans="23:23">
      <c r="W35953" s="503"/>
    </row>
    <row r="35954" spans="23:23">
      <c r="W35954" s="503"/>
    </row>
    <row r="35955" spans="23:23">
      <c r="W35955" s="503"/>
    </row>
    <row r="35956" spans="23:23">
      <c r="W35956" s="503"/>
    </row>
    <row r="35957" spans="23:23">
      <c r="W35957" s="503"/>
    </row>
    <row r="35958" spans="23:23">
      <c r="W35958" s="503"/>
    </row>
    <row r="35959" spans="23:23">
      <c r="W35959" s="503"/>
    </row>
    <row r="35960" spans="23:23">
      <c r="W35960" s="503"/>
    </row>
    <row r="35961" spans="23:23">
      <c r="W35961" s="503"/>
    </row>
    <row r="35962" spans="23:23">
      <c r="W35962" s="503"/>
    </row>
    <row r="35963" spans="23:23">
      <c r="W35963" s="503"/>
    </row>
    <row r="35964" spans="23:23">
      <c r="W35964" s="503"/>
    </row>
    <row r="35965" spans="23:23">
      <c r="W35965" s="503"/>
    </row>
    <row r="35966" spans="23:23">
      <c r="W35966" s="503"/>
    </row>
    <row r="35967" spans="23:23">
      <c r="W35967" s="503"/>
    </row>
    <row r="35968" spans="23:23">
      <c r="W35968" s="503"/>
    </row>
    <row r="35969" spans="23:23">
      <c r="W35969" s="503"/>
    </row>
    <row r="35970" spans="23:23">
      <c r="W35970" s="503"/>
    </row>
    <row r="35971" spans="23:23">
      <c r="W35971" s="503"/>
    </row>
    <row r="35972" spans="23:23">
      <c r="W35972" s="503"/>
    </row>
    <row r="35973" spans="23:23">
      <c r="W35973" s="503"/>
    </row>
    <row r="35974" spans="23:23">
      <c r="W35974" s="503"/>
    </row>
    <row r="35975" spans="23:23">
      <c r="W35975" s="503"/>
    </row>
    <row r="35976" spans="23:23">
      <c r="W35976" s="503"/>
    </row>
    <row r="35977" spans="23:23">
      <c r="W35977" s="503"/>
    </row>
    <row r="35978" spans="23:23">
      <c r="W35978" s="503"/>
    </row>
    <row r="35979" spans="23:23">
      <c r="W35979" s="503"/>
    </row>
    <row r="35980" spans="23:23">
      <c r="W35980" s="503"/>
    </row>
    <row r="35981" spans="23:23">
      <c r="W35981" s="503"/>
    </row>
    <row r="35982" spans="23:23">
      <c r="W35982" s="503"/>
    </row>
    <row r="35983" spans="23:23">
      <c r="W35983" s="503"/>
    </row>
    <row r="35984" spans="23:23">
      <c r="W35984" s="503"/>
    </row>
    <row r="35985" spans="23:23">
      <c r="W35985" s="503"/>
    </row>
    <row r="35986" spans="23:23">
      <c r="W35986" s="503"/>
    </row>
    <row r="35987" spans="23:23">
      <c r="W35987" s="503"/>
    </row>
    <row r="35988" spans="23:23">
      <c r="W35988" s="503"/>
    </row>
    <row r="35989" spans="23:23">
      <c r="W35989" s="503"/>
    </row>
    <row r="35990" spans="23:23">
      <c r="W35990" s="503"/>
    </row>
    <row r="35991" spans="23:23">
      <c r="W35991" s="503"/>
    </row>
    <row r="35992" spans="23:23">
      <c r="W35992" s="503"/>
    </row>
    <row r="35993" spans="23:23">
      <c r="W35993" s="503"/>
    </row>
    <row r="35994" spans="23:23">
      <c r="W35994" s="503"/>
    </row>
    <row r="35995" spans="23:23">
      <c r="W35995" s="503"/>
    </row>
    <row r="35996" spans="23:23">
      <c r="W35996" s="503"/>
    </row>
    <row r="35997" spans="23:23">
      <c r="W35997" s="503"/>
    </row>
    <row r="35998" spans="23:23">
      <c r="W35998" s="503"/>
    </row>
    <row r="35999" spans="23:23">
      <c r="W35999" s="503"/>
    </row>
    <row r="36000" spans="23:23">
      <c r="W36000" s="503"/>
    </row>
    <row r="36001" spans="23:23">
      <c r="W36001" s="503"/>
    </row>
    <row r="36002" spans="23:23">
      <c r="W36002" s="503"/>
    </row>
    <row r="36003" spans="23:23">
      <c r="W36003" s="503"/>
    </row>
    <row r="36004" spans="23:23">
      <c r="W36004" s="503"/>
    </row>
    <row r="36005" spans="23:23">
      <c r="W36005" s="503"/>
    </row>
    <row r="36006" spans="23:23">
      <c r="W36006" s="503"/>
    </row>
    <row r="36007" spans="23:23">
      <c r="W36007" s="503"/>
    </row>
    <row r="36008" spans="23:23">
      <c r="W36008" s="503"/>
    </row>
    <row r="36009" spans="23:23">
      <c r="W36009" s="503"/>
    </row>
    <row r="36010" spans="23:23">
      <c r="W36010" s="503"/>
    </row>
    <row r="36011" spans="23:23">
      <c r="W36011" s="503"/>
    </row>
    <row r="36012" spans="23:23">
      <c r="W36012" s="503"/>
    </row>
    <row r="36013" spans="23:23">
      <c r="W36013" s="503"/>
    </row>
    <row r="36014" spans="23:23">
      <c r="W36014" s="503"/>
    </row>
    <row r="36015" spans="23:23">
      <c r="W36015" s="503"/>
    </row>
    <row r="36016" spans="23:23">
      <c r="W36016" s="503"/>
    </row>
    <row r="36017" spans="23:23">
      <c r="W36017" s="503"/>
    </row>
    <row r="36018" spans="23:23">
      <c r="W36018" s="503"/>
    </row>
    <row r="36019" spans="23:23">
      <c r="W36019" s="503"/>
    </row>
    <row r="36020" spans="23:23">
      <c r="W36020" s="503"/>
    </row>
    <row r="36021" spans="23:23">
      <c r="W36021" s="503"/>
    </row>
    <row r="36022" spans="23:23">
      <c r="W36022" s="503"/>
    </row>
    <row r="36023" spans="23:23">
      <c r="W36023" s="503"/>
    </row>
    <row r="36024" spans="23:23">
      <c r="W36024" s="503"/>
    </row>
    <row r="36025" spans="23:23">
      <c r="W36025" s="503"/>
    </row>
    <row r="36026" spans="23:23">
      <c r="W36026" s="503"/>
    </row>
    <row r="36027" spans="23:23">
      <c r="W36027" s="503"/>
    </row>
    <row r="36028" spans="23:23">
      <c r="W36028" s="503"/>
    </row>
    <row r="36029" spans="23:23">
      <c r="W36029" s="503"/>
    </row>
    <row r="36030" spans="23:23">
      <c r="W36030" s="503"/>
    </row>
    <row r="36031" spans="23:23">
      <c r="W36031" s="503"/>
    </row>
    <row r="36032" spans="23:23">
      <c r="W36032" s="503"/>
    </row>
    <row r="36033" spans="23:23">
      <c r="W36033" s="503"/>
    </row>
    <row r="36034" spans="23:23">
      <c r="W36034" s="503"/>
    </row>
    <row r="36035" spans="23:23">
      <c r="W36035" s="503"/>
    </row>
    <row r="36036" spans="23:23">
      <c r="W36036" s="503"/>
    </row>
    <row r="36037" spans="23:23">
      <c r="W36037" s="503"/>
    </row>
    <row r="36038" spans="23:23">
      <c r="W36038" s="503"/>
    </row>
    <row r="36039" spans="23:23">
      <c r="W36039" s="503"/>
    </row>
    <row r="36040" spans="23:23">
      <c r="W36040" s="503"/>
    </row>
    <row r="36041" spans="23:23">
      <c r="W36041" s="503"/>
    </row>
    <row r="36042" spans="23:23">
      <c r="W36042" s="503"/>
    </row>
    <row r="36043" spans="23:23">
      <c r="W36043" s="503"/>
    </row>
    <row r="36044" spans="23:23">
      <c r="W36044" s="503"/>
    </row>
    <row r="36045" spans="23:23">
      <c r="W36045" s="503"/>
    </row>
    <row r="36046" spans="23:23">
      <c r="W36046" s="503"/>
    </row>
    <row r="36047" spans="23:23">
      <c r="W36047" s="503"/>
    </row>
    <row r="36048" spans="23:23">
      <c r="W36048" s="503"/>
    </row>
    <row r="36049" spans="23:23">
      <c r="W36049" s="503"/>
    </row>
    <row r="36050" spans="23:23">
      <c r="W36050" s="503"/>
    </row>
    <row r="36051" spans="23:23">
      <c r="W36051" s="503"/>
    </row>
    <row r="36052" spans="23:23">
      <c r="W36052" s="503"/>
    </row>
    <row r="36053" spans="23:23">
      <c r="W36053" s="503"/>
    </row>
    <row r="36054" spans="23:23">
      <c r="W36054" s="503"/>
    </row>
    <row r="36055" spans="23:23">
      <c r="W36055" s="503"/>
    </row>
    <row r="36056" spans="23:23">
      <c r="W36056" s="503"/>
    </row>
    <row r="36057" spans="23:23">
      <c r="W36057" s="503"/>
    </row>
    <row r="36058" spans="23:23">
      <c r="W36058" s="503"/>
    </row>
    <row r="36059" spans="23:23">
      <c r="W36059" s="503"/>
    </row>
    <row r="36060" spans="23:23">
      <c r="W36060" s="503"/>
    </row>
    <row r="36061" spans="23:23">
      <c r="W36061" s="503"/>
    </row>
    <row r="36062" spans="23:23">
      <c r="W36062" s="503"/>
    </row>
    <row r="36063" spans="23:23">
      <c r="W36063" s="503"/>
    </row>
    <row r="36064" spans="23:23">
      <c r="W36064" s="503"/>
    </row>
    <row r="36065" spans="23:23">
      <c r="W36065" s="503"/>
    </row>
    <row r="36066" spans="23:23">
      <c r="W36066" s="503"/>
    </row>
    <row r="36067" spans="23:23">
      <c r="W36067" s="503"/>
    </row>
    <row r="36068" spans="23:23">
      <c r="W36068" s="503"/>
    </row>
    <row r="36069" spans="23:23">
      <c r="W36069" s="503"/>
    </row>
    <row r="36070" spans="23:23">
      <c r="W36070" s="503"/>
    </row>
    <row r="36071" spans="23:23">
      <c r="W36071" s="503"/>
    </row>
    <row r="36072" spans="23:23">
      <c r="W36072" s="503"/>
    </row>
    <row r="36073" spans="23:23">
      <c r="W36073" s="503"/>
    </row>
    <row r="36074" spans="23:23">
      <c r="W36074" s="503"/>
    </row>
    <row r="36075" spans="23:23">
      <c r="W36075" s="503"/>
    </row>
    <row r="36076" spans="23:23">
      <c r="W36076" s="503"/>
    </row>
    <row r="36077" spans="23:23">
      <c r="W36077" s="503"/>
    </row>
    <row r="36078" spans="23:23">
      <c r="W36078" s="503"/>
    </row>
    <row r="36079" spans="23:23">
      <c r="W36079" s="503"/>
    </row>
    <row r="36080" spans="23:23">
      <c r="W36080" s="503"/>
    </row>
    <row r="36081" spans="23:23">
      <c r="W36081" s="503"/>
    </row>
    <row r="36082" spans="23:23">
      <c r="W36082" s="503"/>
    </row>
    <row r="36083" spans="23:23">
      <c r="W36083" s="503"/>
    </row>
    <row r="36084" spans="23:23">
      <c r="W36084" s="503"/>
    </row>
    <row r="36085" spans="23:23">
      <c r="W36085" s="503"/>
    </row>
    <row r="36086" spans="23:23">
      <c r="W36086" s="503"/>
    </row>
    <row r="36087" spans="23:23">
      <c r="W36087" s="503"/>
    </row>
    <row r="36088" spans="23:23">
      <c r="W36088" s="503"/>
    </row>
    <row r="36089" spans="23:23">
      <c r="W36089" s="503"/>
    </row>
    <row r="36090" spans="23:23">
      <c r="W36090" s="503"/>
    </row>
    <row r="36091" spans="23:23">
      <c r="W36091" s="503"/>
    </row>
    <row r="36092" spans="23:23">
      <c r="W36092" s="503"/>
    </row>
    <row r="36093" spans="23:23">
      <c r="W36093" s="503"/>
    </row>
    <row r="36094" spans="23:23">
      <c r="W36094" s="503"/>
    </row>
    <row r="36095" spans="23:23">
      <c r="W36095" s="503"/>
    </row>
    <row r="36096" spans="23:23">
      <c r="W36096" s="503"/>
    </row>
    <row r="36097" spans="23:23">
      <c r="W36097" s="503"/>
    </row>
    <row r="36098" spans="23:23">
      <c r="W36098" s="503"/>
    </row>
    <row r="36099" spans="23:23">
      <c r="W36099" s="503"/>
    </row>
    <row r="36100" spans="23:23">
      <c r="W36100" s="503"/>
    </row>
    <row r="36101" spans="23:23">
      <c r="W36101" s="503"/>
    </row>
    <row r="36102" spans="23:23">
      <c r="W36102" s="503"/>
    </row>
    <row r="36103" spans="23:23">
      <c r="W36103" s="503"/>
    </row>
    <row r="36104" spans="23:23">
      <c r="W36104" s="503"/>
    </row>
    <row r="36105" spans="23:23">
      <c r="W36105" s="503"/>
    </row>
    <row r="36106" spans="23:23">
      <c r="W36106" s="503"/>
    </row>
    <row r="36107" spans="23:23">
      <c r="W36107" s="503"/>
    </row>
    <row r="36108" spans="23:23">
      <c r="W36108" s="503"/>
    </row>
    <row r="36109" spans="23:23">
      <c r="W36109" s="503"/>
    </row>
    <row r="36110" spans="23:23">
      <c r="W36110" s="503"/>
    </row>
    <row r="36111" spans="23:23">
      <c r="W36111" s="503"/>
    </row>
    <row r="36112" spans="23:23">
      <c r="W36112" s="503"/>
    </row>
    <row r="36113" spans="23:23">
      <c r="W36113" s="503"/>
    </row>
    <row r="36114" spans="23:23">
      <c r="W36114" s="503"/>
    </row>
    <row r="36115" spans="23:23">
      <c r="W36115" s="503"/>
    </row>
    <row r="36116" spans="23:23">
      <c r="W36116" s="503"/>
    </row>
    <row r="36117" spans="23:23">
      <c r="W36117" s="503"/>
    </row>
    <row r="36118" spans="23:23">
      <c r="W36118" s="503"/>
    </row>
    <row r="36119" spans="23:23">
      <c r="W36119" s="503"/>
    </row>
    <row r="36120" spans="23:23">
      <c r="W36120" s="503"/>
    </row>
    <row r="36121" spans="23:23">
      <c r="W36121" s="503"/>
    </row>
    <row r="36122" spans="23:23">
      <c r="W36122" s="503"/>
    </row>
    <row r="36123" spans="23:23">
      <c r="W36123" s="503"/>
    </row>
    <row r="36124" spans="23:23">
      <c r="W36124" s="503"/>
    </row>
    <row r="36125" spans="23:23">
      <c r="W36125" s="503"/>
    </row>
    <row r="36126" spans="23:23">
      <c r="W36126" s="503"/>
    </row>
    <row r="36127" spans="23:23">
      <c r="W36127" s="503"/>
    </row>
    <row r="36128" spans="23:23">
      <c r="W36128" s="503"/>
    </row>
    <row r="36129" spans="23:23">
      <c r="W36129" s="503"/>
    </row>
    <row r="36130" spans="23:23">
      <c r="W36130" s="503"/>
    </row>
    <row r="36131" spans="23:23">
      <c r="W36131" s="503"/>
    </row>
    <row r="36132" spans="23:23">
      <c r="W36132" s="503"/>
    </row>
    <row r="36133" spans="23:23">
      <c r="W36133" s="503"/>
    </row>
    <row r="36134" spans="23:23">
      <c r="W36134" s="503"/>
    </row>
    <row r="36135" spans="23:23">
      <c r="W36135" s="503"/>
    </row>
    <row r="36136" spans="23:23">
      <c r="W36136" s="503"/>
    </row>
    <row r="36137" spans="23:23">
      <c r="W36137" s="503"/>
    </row>
    <row r="36138" spans="23:23">
      <c r="W36138" s="503"/>
    </row>
    <row r="36139" spans="23:23">
      <c r="W36139" s="503"/>
    </row>
    <row r="36140" spans="23:23">
      <c r="W36140" s="503"/>
    </row>
    <row r="36141" spans="23:23">
      <c r="W36141" s="503"/>
    </row>
    <row r="36142" spans="23:23">
      <c r="W36142" s="503"/>
    </row>
    <row r="36143" spans="23:23">
      <c r="W36143" s="503"/>
    </row>
    <row r="36144" spans="23:23">
      <c r="W36144" s="503"/>
    </row>
    <row r="36145" spans="23:23">
      <c r="W36145" s="503"/>
    </row>
    <row r="36146" spans="23:23">
      <c r="W36146" s="503"/>
    </row>
    <row r="36147" spans="23:23">
      <c r="W36147" s="503"/>
    </row>
    <row r="36148" spans="23:23">
      <c r="W36148" s="503"/>
    </row>
    <row r="36149" spans="23:23">
      <c r="W36149" s="503"/>
    </row>
    <row r="36150" spans="23:23">
      <c r="W36150" s="503"/>
    </row>
    <row r="36151" spans="23:23">
      <c r="W36151" s="503"/>
    </row>
    <row r="36152" spans="23:23">
      <c r="W36152" s="503"/>
    </row>
    <row r="36153" spans="23:23">
      <c r="W36153" s="503"/>
    </row>
    <row r="36154" spans="23:23">
      <c r="W36154" s="503"/>
    </row>
    <row r="36155" spans="23:23">
      <c r="W36155" s="503"/>
    </row>
    <row r="36156" spans="23:23">
      <c r="W36156" s="503"/>
    </row>
    <row r="36157" spans="23:23">
      <c r="W36157" s="503"/>
    </row>
    <row r="36158" spans="23:23">
      <c r="W36158" s="503"/>
    </row>
    <row r="36159" spans="23:23">
      <c r="W36159" s="503"/>
    </row>
    <row r="36160" spans="23:23">
      <c r="W36160" s="503"/>
    </row>
    <row r="36161" spans="23:23">
      <c r="W36161" s="503"/>
    </row>
    <row r="36162" spans="23:23">
      <c r="W36162" s="503"/>
    </row>
    <row r="36163" spans="23:23">
      <c r="W36163" s="503"/>
    </row>
    <row r="36164" spans="23:23">
      <c r="W36164" s="503"/>
    </row>
    <row r="36165" spans="23:23">
      <c r="W36165" s="503"/>
    </row>
    <row r="36166" spans="23:23">
      <c r="W36166" s="503"/>
    </row>
    <row r="36167" spans="23:23">
      <c r="W36167" s="503"/>
    </row>
    <row r="36168" spans="23:23">
      <c r="W36168" s="503"/>
    </row>
    <row r="36169" spans="23:23">
      <c r="W36169" s="503"/>
    </row>
    <row r="36170" spans="23:23">
      <c r="W36170" s="503"/>
    </row>
    <row r="36171" spans="23:23">
      <c r="W36171" s="503"/>
    </row>
    <row r="36172" spans="23:23">
      <c r="W36172" s="503"/>
    </row>
    <row r="36173" spans="23:23">
      <c r="W36173" s="503"/>
    </row>
    <row r="36174" spans="23:23">
      <c r="W36174" s="503"/>
    </row>
    <row r="36175" spans="23:23">
      <c r="W36175" s="503"/>
    </row>
    <row r="36176" spans="23:23">
      <c r="W36176" s="503"/>
    </row>
    <row r="36177" spans="23:23">
      <c r="W36177" s="503"/>
    </row>
    <row r="36178" spans="23:23">
      <c r="W36178" s="503"/>
    </row>
    <row r="36179" spans="23:23">
      <c r="W36179" s="503"/>
    </row>
    <row r="36180" spans="23:23">
      <c r="W36180" s="503"/>
    </row>
    <row r="36181" spans="23:23">
      <c r="W36181" s="503"/>
    </row>
    <row r="36182" spans="23:23">
      <c r="W36182" s="503"/>
    </row>
    <row r="36183" spans="23:23">
      <c r="W36183" s="503"/>
    </row>
    <row r="36184" spans="23:23">
      <c r="W36184" s="503"/>
    </row>
    <row r="36185" spans="23:23">
      <c r="W36185" s="503"/>
    </row>
    <row r="36186" spans="23:23">
      <c r="W36186" s="503"/>
    </row>
    <row r="36187" spans="23:23">
      <c r="W36187" s="503"/>
    </row>
    <row r="36188" spans="23:23">
      <c r="W36188" s="503"/>
    </row>
    <row r="36189" spans="23:23">
      <c r="W36189" s="503"/>
    </row>
    <row r="36190" spans="23:23">
      <c r="W36190" s="503"/>
    </row>
    <row r="36191" spans="23:23">
      <c r="W36191" s="503"/>
    </row>
    <row r="36192" spans="23:23">
      <c r="W36192" s="503"/>
    </row>
    <row r="36193" spans="23:23">
      <c r="W36193" s="503"/>
    </row>
    <row r="36194" spans="23:23">
      <c r="W36194" s="503"/>
    </row>
    <row r="36195" spans="23:23">
      <c r="W36195" s="503"/>
    </row>
    <row r="36196" spans="23:23">
      <c r="W36196" s="503"/>
    </row>
    <row r="36197" spans="23:23">
      <c r="W36197" s="503"/>
    </row>
    <row r="36198" spans="23:23">
      <c r="W36198" s="503"/>
    </row>
    <row r="36199" spans="23:23">
      <c r="W36199" s="503"/>
    </row>
    <row r="36200" spans="23:23">
      <c r="W36200" s="503"/>
    </row>
    <row r="36201" spans="23:23">
      <c r="W36201" s="503"/>
    </row>
    <row r="36202" spans="23:23">
      <c r="W36202" s="503"/>
    </row>
    <row r="36203" spans="23:23">
      <c r="W36203" s="503"/>
    </row>
    <row r="36204" spans="23:23">
      <c r="W36204" s="503"/>
    </row>
    <row r="36205" spans="23:23">
      <c r="W36205" s="503"/>
    </row>
    <row r="36206" spans="23:23">
      <c r="W36206" s="503"/>
    </row>
    <row r="36207" spans="23:23">
      <c r="W36207" s="503"/>
    </row>
    <row r="36208" spans="23:23">
      <c r="W36208" s="503"/>
    </row>
    <row r="36209" spans="23:23">
      <c r="W36209" s="503"/>
    </row>
    <row r="36210" spans="23:23">
      <c r="W36210" s="503"/>
    </row>
    <row r="36211" spans="23:23">
      <c r="W36211" s="503"/>
    </row>
    <row r="36212" spans="23:23">
      <c r="W36212" s="503"/>
    </row>
    <row r="36213" spans="23:23">
      <c r="W36213" s="503"/>
    </row>
    <row r="36214" spans="23:23">
      <c r="W36214" s="503"/>
    </row>
    <row r="36215" spans="23:23">
      <c r="W36215" s="503"/>
    </row>
    <row r="36216" spans="23:23">
      <c r="W36216" s="503"/>
    </row>
    <row r="36217" spans="23:23">
      <c r="W36217" s="503"/>
    </row>
    <row r="36218" spans="23:23">
      <c r="W36218" s="503"/>
    </row>
    <row r="36219" spans="23:23">
      <c r="W36219" s="503"/>
    </row>
    <row r="36220" spans="23:23">
      <c r="W36220" s="503"/>
    </row>
    <row r="36221" spans="23:23">
      <c r="W36221" s="503"/>
    </row>
    <row r="36222" spans="23:23">
      <c r="W36222" s="503"/>
    </row>
    <row r="36223" spans="23:23">
      <c r="W36223" s="503"/>
    </row>
    <row r="36224" spans="23:23">
      <c r="W36224" s="503"/>
    </row>
    <row r="36225" spans="23:23">
      <c r="W36225" s="503"/>
    </row>
    <row r="36226" spans="23:23">
      <c r="W36226" s="503"/>
    </row>
    <row r="36227" spans="23:23">
      <c r="W36227" s="503"/>
    </row>
    <row r="36228" spans="23:23">
      <c r="W36228" s="503"/>
    </row>
    <row r="36229" spans="23:23">
      <c r="W36229" s="503"/>
    </row>
    <row r="36230" spans="23:23">
      <c r="W36230" s="503"/>
    </row>
    <row r="36231" spans="23:23">
      <c r="W36231" s="503"/>
    </row>
    <row r="36232" spans="23:23">
      <c r="W36232" s="503"/>
    </row>
    <row r="36233" spans="23:23">
      <c r="W36233" s="503"/>
    </row>
    <row r="36234" spans="23:23">
      <c r="W36234" s="503"/>
    </row>
    <row r="36235" spans="23:23">
      <c r="W36235" s="503"/>
    </row>
    <row r="36236" spans="23:23">
      <c r="W36236" s="503"/>
    </row>
    <row r="36237" spans="23:23">
      <c r="W36237" s="503"/>
    </row>
    <row r="36238" spans="23:23">
      <c r="W36238" s="503"/>
    </row>
    <row r="36239" spans="23:23">
      <c r="W36239" s="503"/>
    </row>
    <row r="36240" spans="23:23">
      <c r="W36240" s="503"/>
    </row>
    <row r="36241" spans="23:23">
      <c r="W36241" s="503"/>
    </row>
    <row r="36242" spans="23:23">
      <c r="W36242" s="503"/>
    </row>
    <row r="36243" spans="23:23">
      <c r="W36243" s="503"/>
    </row>
    <row r="36244" spans="23:23">
      <c r="W36244" s="503"/>
    </row>
    <row r="36245" spans="23:23">
      <c r="W36245" s="503"/>
    </row>
    <row r="36246" spans="23:23">
      <c r="W36246" s="503"/>
    </row>
    <row r="36247" spans="23:23">
      <c r="W36247" s="503"/>
    </row>
    <row r="36248" spans="23:23">
      <c r="W36248" s="503"/>
    </row>
    <row r="36249" spans="23:23">
      <c r="W36249" s="503"/>
    </row>
    <row r="36250" spans="23:23">
      <c r="W36250" s="503"/>
    </row>
    <row r="36251" spans="23:23">
      <c r="W36251" s="503"/>
    </row>
    <row r="36252" spans="23:23">
      <c r="W36252" s="503"/>
    </row>
    <row r="36253" spans="23:23">
      <c r="W36253" s="503"/>
    </row>
    <row r="36254" spans="23:23">
      <c r="W36254" s="503"/>
    </row>
    <row r="36255" spans="23:23">
      <c r="W36255" s="503"/>
    </row>
    <row r="36256" spans="23:23">
      <c r="W36256" s="503"/>
    </row>
    <row r="36257" spans="23:23">
      <c r="W36257" s="503"/>
    </row>
    <row r="36258" spans="23:23">
      <c r="W36258" s="503"/>
    </row>
    <row r="36259" spans="23:23">
      <c r="W36259" s="503"/>
    </row>
    <row r="36260" spans="23:23">
      <c r="W36260" s="503"/>
    </row>
    <row r="36261" spans="23:23">
      <c r="W36261" s="503"/>
    </row>
    <row r="36262" spans="23:23">
      <c r="W36262" s="503"/>
    </row>
    <row r="36263" spans="23:23">
      <c r="W36263" s="503"/>
    </row>
    <row r="36264" spans="23:23">
      <c r="W36264" s="503"/>
    </row>
    <row r="36265" spans="23:23">
      <c r="W36265" s="503"/>
    </row>
    <row r="36266" spans="23:23">
      <c r="W36266" s="503"/>
    </row>
    <row r="36267" spans="23:23">
      <c r="W36267" s="503"/>
    </row>
    <row r="36268" spans="23:23">
      <c r="W36268" s="503"/>
    </row>
    <row r="36269" spans="23:23">
      <c r="W36269" s="503"/>
    </row>
    <row r="36270" spans="23:23">
      <c r="W36270" s="503"/>
    </row>
    <row r="36271" spans="23:23">
      <c r="W36271" s="503"/>
    </row>
    <row r="36272" spans="23:23">
      <c r="W36272" s="503"/>
    </row>
    <row r="36273" spans="23:23">
      <c r="W36273" s="503"/>
    </row>
    <row r="36274" spans="23:23">
      <c r="W36274" s="503"/>
    </row>
    <row r="36275" spans="23:23">
      <c r="W36275" s="503"/>
    </row>
    <row r="36276" spans="23:23">
      <c r="W36276" s="503"/>
    </row>
    <row r="36277" spans="23:23">
      <c r="W36277" s="503"/>
    </row>
    <row r="36278" spans="23:23">
      <c r="W36278" s="503"/>
    </row>
    <row r="36279" spans="23:23">
      <c r="W36279" s="503"/>
    </row>
    <row r="36280" spans="23:23">
      <c r="W36280" s="503"/>
    </row>
    <row r="36281" spans="23:23">
      <c r="W36281" s="503"/>
    </row>
    <row r="36282" spans="23:23">
      <c r="W36282" s="503"/>
    </row>
    <row r="36283" spans="23:23">
      <c r="W36283" s="503"/>
    </row>
    <row r="36284" spans="23:23">
      <c r="W36284" s="503"/>
    </row>
    <row r="36285" spans="23:23">
      <c r="W36285" s="503"/>
    </row>
    <row r="36286" spans="23:23">
      <c r="W36286" s="503"/>
    </row>
    <row r="36287" spans="23:23">
      <c r="W36287" s="503"/>
    </row>
    <row r="36288" spans="23:23">
      <c r="W36288" s="503"/>
    </row>
    <row r="36289" spans="23:23">
      <c r="W36289" s="503"/>
    </row>
    <row r="36290" spans="23:23">
      <c r="W36290" s="503"/>
    </row>
    <row r="36291" spans="23:23">
      <c r="W36291" s="503"/>
    </row>
    <row r="36292" spans="23:23">
      <c r="W36292" s="503"/>
    </row>
    <row r="36293" spans="23:23">
      <c r="W36293" s="503"/>
    </row>
    <row r="36294" spans="23:23">
      <c r="W36294" s="503"/>
    </row>
    <row r="36295" spans="23:23">
      <c r="W36295" s="503"/>
    </row>
    <row r="36296" spans="23:23">
      <c r="W36296" s="503"/>
    </row>
    <row r="36297" spans="23:23">
      <c r="W36297" s="503"/>
    </row>
    <row r="36298" spans="23:23">
      <c r="W36298" s="503"/>
    </row>
    <row r="36299" spans="23:23">
      <c r="W36299" s="503"/>
    </row>
    <row r="36300" spans="23:23">
      <c r="W36300" s="503"/>
    </row>
    <row r="36301" spans="23:23">
      <c r="W36301" s="503"/>
    </row>
    <row r="36302" spans="23:23">
      <c r="W36302" s="503"/>
    </row>
    <row r="36303" spans="23:23">
      <c r="W36303" s="503"/>
    </row>
    <row r="36304" spans="23:23">
      <c r="W36304" s="503"/>
    </row>
    <row r="36305" spans="23:23">
      <c r="W36305" s="503"/>
    </row>
    <row r="36306" spans="23:23">
      <c r="W36306" s="503"/>
    </row>
    <row r="36307" spans="23:23">
      <c r="W36307" s="503"/>
    </row>
    <row r="36308" spans="23:23">
      <c r="W36308" s="503"/>
    </row>
    <row r="36309" spans="23:23">
      <c r="W36309" s="503"/>
    </row>
    <row r="36310" spans="23:23">
      <c r="W36310" s="503"/>
    </row>
    <row r="36311" spans="23:23">
      <c r="W36311" s="503"/>
    </row>
    <row r="36312" spans="23:23">
      <c r="W36312" s="503"/>
    </row>
    <row r="36313" spans="23:23">
      <c r="W36313" s="503"/>
    </row>
    <row r="36314" spans="23:23">
      <c r="W36314" s="503"/>
    </row>
    <row r="36315" spans="23:23">
      <c r="W36315" s="503"/>
    </row>
    <row r="36316" spans="23:23">
      <c r="W36316" s="503"/>
    </row>
    <row r="36317" spans="23:23">
      <c r="W36317" s="503"/>
    </row>
    <row r="36318" spans="23:23">
      <c r="W36318" s="503"/>
    </row>
    <row r="36319" spans="23:23">
      <c r="W36319" s="503"/>
    </row>
    <row r="36320" spans="23:23">
      <c r="W36320" s="503"/>
    </row>
    <row r="36321" spans="23:23">
      <c r="W36321" s="503"/>
    </row>
    <row r="36322" spans="23:23">
      <c r="W36322" s="503"/>
    </row>
    <row r="36323" spans="23:23">
      <c r="W36323" s="503"/>
    </row>
    <row r="36324" spans="23:23">
      <c r="W36324" s="503"/>
    </row>
    <row r="36325" spans="23:23">
      <c r="W36325" s="503"/>
    </row>
    <row r="36326" spans="23:23">
      <c r="W36326" s="503"/>
    </row>
    <row r="36327" spans="23:23">
      <c r="W36327" s="503"/>
    </row>
    <row r="36328" spans="23:23">
      <c r="W36328" s="503"/>
    </row>
    <row r="36329" spans="23:23">
      <c r="W36329" s="503"/>
    </row>
    <row r="36330" spans="23:23">
      <c r="W36330" s="503"/>
    </row>
    <row r="36331" spans="23:23">
      <c r="W36331" s="503"/>
    </row>
    <row r="36332" spans="23:23">
      <c r="W36332" s="503"/>
    </row>
    <row r="36333" spans="23:23">
      <c r="W36333" s="503"/>
    </row>
    <row r="36334" spans="23:23">
      <c r="W36334" s="503"/>
    </row>
    <row r="36335" spans="23:23">
      <c r="W36335" s="503"/>
    </row>
    <row r="36336" spans="23:23">
      <c r="W36336" s="503"/>
    </row>
    <row r="36337" spans="23:23">
      <c r="W36337" s="503"/>
    </row>
    <row r="36338" spans="23:23">
      <c r="W36338" s="503"/>
    </row>
    <row r="36339" spans="23:23">
      <c r="W36339" s="503"/>
    </row>
    <row r="36340" spans="23:23">
      <c r="W36340" s="503"/>
    </row>
    <row r="36341" spans="23:23">
      <c r="W36341" s="503"/>
    </row>
    <row r="36342" spans="23:23">
      <c r="W36342" s="503"/>
    </row>
    <row r="36343" spans="23:23">
      <c r="W36343" s="503"/>
    </row>
    <row r="36344" spans="23:23">
      <c r="W36344" s="503"/>
    </row>
    <row r="36345" spans="23:23">
      <c r="W36345" s="503"/>
    </row>
    <row r="36346" spans="23:23">
      <c r="W36346" s="503"/>
    </row>
    <row r="36347" spans="23:23">
      <c r="W36347" s="503"/>
    </row>
    <row r="36348" spans="23:23">
      <c r="W36348" s="503"/>
    </row>
    <row r="36349" spans="23:23">
      <c r="W36349" s="503"/>
    </row>
    <row r="36350" spans="23:23">
      <c r="W36350" s="503"/>
    </row>
    <row r="36351" spans="23:23">
      <c r="W36351" s="503"/>
    </row>
    <row r="36352" spans="23:23">
      <c r="W36352" s="503"/>
    </row>
    <row r="36353" spans="23:23">
      <c r="W36353" s="503"/>
    </row>
    <row r="36354" spans="23:23">
      <c r="W36354" s="503"/>
    </row>
    <row r="36355" spans="23:23">
      <c r="W36355" s="503"/>
    </row>
    <row r="36356" spans="23:23">
      <c r="W36356" s="503"/>
    </row>
    <row r="36357" spans="23:23">
      <c r="W36357" s="503"/>
    </row>
    <row r="36358" spans="23:23">
      <c r="W36358" s="503"/>
    </row>
    <row r="36359" spans="23:23">
      <c r="W36359" s="503"/>
    </row>
    <row r="36360" spans="23:23">
      <c r="W36360" s="503"/>
    </row>
    <row r="36361" spans="23:23">
      <c r="W36361" s="503"/>
    </row>
    <row r="36362" spans="23:23">
      <c r="W36362" s="503"/>
    </row>
    <row r="36363" spans="23:23">
      <c r="W36363" s="503"/>
    </row>
    <row r="36364" spans="23:23">
      <c r="W36364" s="503"/>
    </row>
    <row r="36365" spans="23:23">
      <c r="W36365" s="503"/>
    </row>
    <row r="36366" spans="23:23">
      <c r="W36366" s="503"/>
    </row>
    <row r="36367" spans="23:23">
      <c r="W36367" s="503"/>
    </row>
    <row r="36368" spans="23:23">
      <c r="W36368" s="503"/>
    </row>
    <row r="36369" spans="23:23">
      <c r="W36369" s="503"/>
    </row>
    <row r="36370" spans="23:23">
      <c r="W36370" s="503"/>
    </row>
    <row r="36371" spans="23:23">
      <c r="W36371" s="503"/>
    </row>
    <row r="36372" spans="23:23">
      <c r="W36372" s="503"/>
    </row>
    <row r="36373" spans="23:23">
      <c r="W36373" s="503"/>
    </row>
    <row r="36374" spans="23:23">
      <c r="W36374" s="503"/>
    </row>
    <row r="36375" spans="23:23">
      <c r="W36375" s="503"/>
    </row>
    <row r="36376" spans="23:23">
      <c r="W36376" s="503"/>
    </row>
    <row r="36377" spans="23:23">
      <c r="W36377" s="503"/>
    </row>
    <row r="36378" spans="23:23">
      <c r="W36378" s="503"/>
    </row>
    <row r="36379" spans="23:23">
      <c r="W36379" s="503"/>
    </row>
    <row r="36380" spans="23:23">
      <c r="W36380" s="503"/>
    </row>
    <row r="36381" spans="23:23">
      <c r="W36381" s="503"/>
    </row>
    <row r="36382" spans="23:23">
      <c r="W36382" s="503"/>
    </row>
    <row r="36383" spans="23:23">
      <c r="W36383" s="503"/>
    </row>
    <row r="36384" spans="23:23">
      <c r="W36384" s="503"/>
    </row>
    <row r="36385" spans="23:23">
      <c r="W36385" s="503"/>
    </row>
    <row r="36386" spans="23:23">
      <c r="W36386" s="503"/>
    </row>
    <row r="36387" spans="23:23">
      <c r="W36387" s="503"/>
    </row>
    <row r="36388" spans="23:23">
      <c r="W36388" s="503"/>
    </row>
    <row r="36389" spans="23:23">
      <c r="W36389" s="503"/>
    </row>
    <row r="36390" spans="23:23">
      <c r="W36390" s="503"/>
    </row>
    <row r="36391" spans="23:23">
      <c r="W36391" s="503"/>
    </row>
    <row r="36392" spans="23:23">
      <c r="W36392" s="503"/>
    </row>
    <row r="36393" spans="23:23">
      <c r="W36393" s="503"/>
    </row>
    <row r="36394" spans="23:23">
      <c r="W36394" s="503"/>
    </row>
    <row r="36395" spans="23:23">
      <c r="W36395" s="503"/>
    </row>
    <row r="36396" spans="23:23">
      <c r="W36396" s="503"/>
    </row>
    <row r="36397" spans="23:23">
      <c r="W36397" s="503"/>
    </row>
    <row r="36398" spans="23:23">
      <c r="W36398" s="503"/>
    </row>
    <row r="36399" spans="23:23">
      <c r="W36399" s="503"/>
    </row>
    <row r="36400" spans="23:23">
      <c r="W36400" s="503"/>
    </row>
    <row r="36401" spans="23:23">
      <c r="W36401" s="503"/>
    </row>
    <row r="36402" spans="23:23">
      <c r="W36402" s="503"/>
    </row>
    <row r="36403" spans="23:23">
      <c r="W36403" s="503"/>
    </row>
    <row r="36404" spans="23:23">
      <c r="W36404" s="503"/>
    </row>
    <row r="36405" spans="23:23">
      <c r="W36405" s="503"/>
    </row>
    <row r="36406" spans="23:23">
      <c r="W36406" s="503"/>
    </row>
    <row r="36407" spans="23:23">
      <c r="W36407" s="503"/>
    </row>
    <row r="36408" spans="23:23">
      <c r="W36408" s="503"/>
    </row>
    <row r="36409" spans="23:23">
      <c r="W36409" s="503"/>
    </row>
    <row r="36410" spans="23:23">
      <c r="W36410" s="503"/>
    </row>
    <row r="36411" spans="23:23">
      <c r="W36411" s="503"/>
    </row>
    <row r="36412" spans="23:23">
      <c r="W36412" s="503"/>
    </row>
    <row r="36413" spans="23:23">
      <c r="W36413" s="503"/>
    </row>
    <row r="36414" spans="23:23">
      <c r="W36414" s="503"/>
    </row>
    <row r="36415" spans="23:23">
      <c r="W36415" s="503"/>
    </row>
    <row r="36416" spans="23:23">
      <c r="W36416" s="503"/>
    </row>
    <row r="36417" spans="23:23">
      <c r="W36417" s="503"/>
    </row>
    <row r="36418" spans="23:23">
      <c r="W36418" s="503"/>
    </row>
    <row r="36419" spans="23:23">
      <c r="W36419" s="503"/>
    </row>
    <row r="36420" spans="23:23">
      <c r="W36420" s="503"/>
    </row>
    <row r="36421" spans="23:23">
      <c r="W36421" s="503"/>
    </row>
    <row r="36422" spans="23:23">
      <c r="W36422" s="503"/>
    </row>
    <row r="36423" spans="23:23">
      <c r="W36423" s="503"/>
    </row>
    <row r="36424" spans="23:23">
      <c r="W36424" s="503"/>
    </row>
    <row r="36425" spans="23:23">
      <c r="W36425" s="503"/>
    </row>
    <row r="36426" spans="23:23">
      <c r="W36426" s="503"/>
    </row>
    <row r="36427" spans="23:23">
      <c r="W36427" s="503"/>
    </row>
    <row r="36428" spans="23:23">
      <c r="W36428" s="503"/>
    </row>
    <row r="36429" spans="23:23">
      <c r="W36429" s="503"/>
    </row>
    <row r="36430" spans="23:23">
      <c r="W36430" s="503"/>
    </row>
    <row r="36431" spans="23:23">
      <c r="W36431" s="503"/>
    </row>
    <row r="36432" spans="23:23">
      <c r="W36432" s="503"/>
    </row>
    <row r="36433" spans="23:23">
      <c r="W36433" s="503"/>
    </row>
    <row r="36434" spans="23:23">
      <c r="W36434" s="503"/>
    </row>
    <row r="36435" spans="23:23">
      <c r="W36435" s="503"/>
    </row>
    <row r="36436" spans="23:23">
      <c r="W36436" s="503"/>
    </row>
    <row r="36437" spans="23:23">
      <c r="W36437" s="503"/>
    </row>
    <row r="36438" spans="23:23">
      <c r="W36438" s="503"/>
    </row>
    <row r="36439" spans="23:23">
      <c r="W36439" s="503"/>
    </row>
    <row r="36440" spans="23:23">
      <c r="W36440" s="503"/>
    </row>
    <row r="36441" spans="23:23">
      <c r="W36441" s="503"/>
    </row>
    <row r="36442" spans="23:23">
      <c r="W36442" s="503"/>
    </row>
    <row r="36443" spans="23:23">
      <c r="W36443" s="503"/>
    </row>
    <row r="36444" spans="23:23">
      <c r="W36444" s="503"/>
    </row>
    <row r="36445" spans="23:23">
      <c r="W36445" s="503"/>
    </row>
    <row r="36446" spans="23:23">
      <c r="W36446" s="503"/>
    </row>
    <row r="36447" spans="23:23">
      <c r="W36447" s="503"/>
    </row>
    <row r="36448" spans="23:23">
      <c r="W36448" s="503"/>
    </row>
    <row r="36449" spans="23:23">
      <c r="W36449" s="503"/>
    </row>
    <row r="36450" spans="23:23">
      <c r="W36450" s="503"/>
    </row>
    <row r="36451" spans="23:23">
      <c r="W36451" s="503"/>
    </row>
    <row r="36452" spans="23:23">
      <c r="W36452" s="503"/>
    </row>
    <row r="36453" spans="23:23">
      <c r="W36453" s="503"/>
    </row>
    <row r="36454" spans="23:23">
      <c r="W36454" s="503"/>
    </row>
    <row r="36455" spans="23:23">
      <c r="W36455" s="503"/>
    </row>
    <row r="36456" spans="23:23">
      <c r="W36456" s="503"/>
    </row>
    <row r="36457" spans="23:23">
      <c r="W36457" s="503"/>
    </row>
    <row r="36458" spans="23:23">
      <c r="W36458" s="503"/>
    </row>
    <row r="36459" spans="23:23">
      <c r="W36459" s="503"/>
    </row>
    <row r="36460" spans="23:23">
      <c r="W36460" s="503"/>
    </row>
    <row r="36461" spans="23:23">
      <c r="W36461" s="503"/>
    </row>
    <row r="36462" spans="23:23">
      <c r="W36462" s="503"/>
    </row>
    <row r="36463" spans="23:23">
      <c r="W36463" s="503"/>
    </row>
    <row r="36464" spans="23:23">
      <c r="W36464" s="503"/>
    </row>
    <row r="36465" spans="23:23">
      <c r="W36465" s="503"/>
    </row>
    <row r="36466" spans="23:23">
      <c r="W36466" s="503"/>
    </row>
    <row r="36467" spans="23:23">
      <c r="W36467" s="503"/>
    </row>
    <row r="36468" spans="23:23">
      <c r="W36468" s="503"/>
    </row>
    <row r="36469" spans="23:23">
      <c r="W36469" s="503"/>
    </row>
    <row r="36470" spans="23:23">
      <c r="W36470" s="503"/>
    </row>
    <row r="36471" spans="23:23">
      <c r="W36471" s="503"/>
    </row>
    <row r="36472" spans="23:23">
      <c r="W36472" s="503"/>
    </row>
    <row r="36473" spans="23:23">
      <c r="W36473" s="503"/>
    </row>
    <row r="36474" spans="23:23">
      <c r="W36474" s="503"/>
    </row>
    <row r="36475" spans="23:23">
      <c r="W36475" s="503"/>
    </row>
    <row r="36476" spans="23:23">
      <c r="W36476" s="503"/>
    </row>
    <row r="36477" spans="23:23">
      <c r="W36477" s="503"/>
    </row>
    <row r="36478" spans="23:23">
      <c r="W36478" s="503"/>
    </row>
    <row r="36479" spans="23:23">
      <c r="W36479" s="503"/>
    </row>
    <row r="36480" spans="23:23">
      <c r="W36480" s="503"/>
    </row>
    <row r="36481" spans="23:23">
      <c r="W36481" s="503"/>
    </row>
    <row r="36482" spans="23:23">
      <c r="W36482" s="503"/>
    </row>
    <row r="36483" spans="23:23">
      <c r="W36483" s="503"/>
    </row>
    <row r="36484" spans="23:23">
      <c r="W36484" s="503"/>
    </row>
    <row r="36485" spans="23:23">
      <c r="W36485" s="503"/>
    </row>
    <row r="36486" spans="23:23">
      <c r="W36486" s="503"/>
    </row>
    <row r="36487" spans="23:23">
      <c r="W36487" s="503"/>
    </row>
    <row r="36488" spans="23:23">
      <c r="W36488" s="503"/>
    </row>
    <row r="36489" spans="23:23">
      <c r="W36489" s="503"/>
    </row>
    <row r="36490" spans="23:23">
      <c r="W36490" s="503"/>
    </row>
    <row r="36491" spans="23:23">
      <c r="W36491" s="503"/>
    </row>
    <row r="36492" spans="23:23">
      <c r="W36492" s="503"/>
    </row>
    <row r="36493" spans="23:23">
      <c r="W36493" s="503"/>
    </row>
    <row r="36494" spans="23:23">
      <c r="W36494" s="503"/>
    </row>
    <row r="36495" spans="23:23">
      <c r="W36495" s="503"/>
    </row>
    <row r="36496" spans="23:23">
      <c r="W36496" s="503"/>
    </row>
    <row r="36497" spans="23:23">
      <c r="W36497" s="503"/>
    </row>
    <row r="36498" spans="23:23">
      <c r="W36498" s="503"/>
    </row>
    <row r="36499" spans="23:23">
      <c r="W36499" s="503"/>
    </row>
    <row r="36500" spans="23:23">
      <c r="W36500" s="503"/>
    </row>
    <row r="36501" spans="23:23">
      <c r="W36501" s="503"/>
    </row>
    <row r="36502" spans="23:23">
      <c r="W36502" s="503"/>
    </row>
    <row r="36503" spans="23:23">
      <c r="W36503" s="503"/>
    </row>
    <row r="36504" spans="23:23">
      <c r="W36504" s="503"/>
    </row>
    <row r="36505" spans="23:23">
      <c r="W36505" s="503"/>
    </row>
    <row r="36506" spans="23:23">
      <c r="W36506" s="503"/>
    </row>
    <row r="36507" spans="23:23">
      <c r="W36507" s="503"/>
    </row>
    <row r="36508" spans="23:23">
      <c r="W36508" s="503"/>
    </row>
    <row r="36509" spans="23:23">
      <c r="W36509" s="503"/>
    </row>
    <row r="36510" spans="23:23">
      <c r="W36510" s="503"/>
    </row>
    <row r="36511" spans="23:23">
      <c r="W36511" s="503"/>
    </row>
    <row r="36512" spans="23:23">
      <c r="W36512" s="503"/>
    </row>
    <row r="36513" spans="23:23">
      <c r="W36513" s="503"/>
    </row>
    <row r="36514" spans="23:23">
      <c r="W36514" s="503"/>
    </row>
    <row r="36515" spans="23:23">
      <c r="W36515" s="503"/>
    </row>
    <row r="36516" spans="23:23">
      <c r="W36516" s="503"/>
    </row>
    <row r="36517" spans="23:23">
      <c r="W36517" s="503"/>
    </row>
    <row r="36518" spans="23:23">
      <c r="W36518" s="503"/>
    </row>
    <row r="36519" spans="23:23">
      <c r="W36519" s="503"/>
    </row>
    <row r="36520" spans="23:23">
      <c r="W36520" s="503"/>
    </row>
    <row r="36521" spans="23:23">
      <c r="W36521" s="503"/>
    </row>
    <row r="36522" spans="23:23">
      <c r="W36522" s="503"/>
    </row>
    <row r="36523" spans="23:23">
      <c r="W36523" s="503"/>
    </row>
    <row r="36524" spans="23:23">
      <c r="W36524" s="503"/>
    </row>
    <row r="36525" spans="23:23">
      <c r="W36525" s="503"/>
    </row>
    <row r="36526" spans="23:23">
      <c r="W36526" s="503"/>
    </row>
    <row r="36527" spans="23:23">
      <c r="W36527" s="503"/>
    </row>
    <row r="36528" spans="23:23">
      <c r="W36528" s="503"/>
    </row>
    <row r="36529" spans="23:23">
      <c r="W36529" s="503"/>
    </row>
    <row r="36530" spans="23:23">
      <c r="W36530" s="503"/>
    </row>
    <row r="36531" spans="23:23">
      <c r="W36531" s="503"/>
    </row>
    <row r="36532" spans="23:23">
      <c r="W36532" s="503"/>
    </row>
    <row r="36533" spans="23:23">
      <c r="W36533" s="503"/>
    </row>
    <row r="36534" spans="23:23">
      <c r="W36534" s="503"/>
    </row>
    <row r="36535" spans="23:23">
      <c r="W36535" s="503"/>
    </row>
    <row r="36536" spans="23:23">
      <c r="W36536" s="503"/>
    </row>
    <row r="36537" spans="23:23">
      <c r="W36537" s="503"/>
    </row>
    <row r="36538" spans="23:23">
      <c r="W36538" s="503"/>
    </row>
    <row r="36539" spans="23:23">
      <c r="W36539" s="503"/>
    </row>
    <row r="36540" spans="23:23">
      <c r="W36540" s="503"/>
    </row>
    <row r="36541" spans="23:23">
      <c r="W36541" s="503"/>
    </row>
    <row r="36542" spans="23:23">
      <c r="W36542" s="503"/>
    </row>
    <row r="36543" spans="23:23">
      <c r="W36543" s="503"/>
    </row>
    <row r="36544" spans="23:23">
      <c r="W36544" s="503"/>
    </row>
    <row r="36545" spans="23:23">
      <c r="W36545" s="503"/>
    </row>
    <row r="36546" spans="23:23">
      <c r="W36546" s="503"/>
    </row>
    <row r="36547" spans="23:23">
      <c r="W36547" s="503"/>
    </row>
    <row r="36548" spans="23:23">
      <c r="W36548" s="503"/>
    </row>
    <row r="36549" spans="23:23">
      <c r="W36549" s="503"/>
    </row>
    <row r="36550" spans="23:23">
      <c r="W36550" s="503"/>
    </row>
    <row r="36551" spans="23:23">
      <c r="W36551" s="503"/>
    </row>
    <row r="36552" spans="23:23">
      <c r="W36552" s="503"/>
    </row>
    <row r="36553" spans="23:23">
      <c r="W36553" s="503"/>
    </row>
    <row r="36554" spans="23:23">
      <c r="W36554" s="503"/>
    </row>
    <row r="36555" spans="23:23">
      <c r="W36555" s="503"/>
    </row>
    <row r="36556" spans="23:23">
      <c r="W36556" s="503"/>
    </row>
    <row r="36557" spans="23:23">
      <c r="W36557" s="503"/>
    </row>
    <row r="36558" spans="23:23">
      <c r="W36558" s="503"/>
    </row>
    <row r="36559" spans="23:23">
      <c r="W36559" s="503"/>
    </row>
    <row r="36560" spans="23:23">
      <c r="W36560" s="503"/>
    </row>
    <row r="36561" spans="23:23">
      <c r="W36561" s="503"/>
    </row>
    <row r="36562" spans="23:23">
      <c r="W36562" s="503"/>
    </row>
    <row r="36563" spans="23:23">
      <c r="W36563" s="503"/>
    </row>
    <row r="36564" spans="23:23">
      <c r="W36564" s="503"/>
    </row>
    <row r="36565" spans="23:23">
      <c r="W36565" s="503"/>
    </row>
    <row r="36566" spans="23:23">
      <c r="W36566" s="503"/>
    </row>
    <row r="36567" spans="23:23">
      <c r="W36567" s="503"/>
    </row>
    <row r="36568" spans="23:23">
      <c r="W36568" s="503"/>
    </row>
    <row r="36569" spans="23:23">
      <c r="W36569" s="503"/>
    </row>
    <row r="36570" spans="23:23">
      <c r="W36570" s="503"/>
    </row>
    <row r="36571" spans="23:23">
      <c r="W36571" s="503"/>
    </row>
    <row r="36572" spans="23:23">
      <c r="W36572" s="503"/>
    </row>
    <row r="36573" spans="23:23">
      <c r="W36573" s="503"/>
    </row>
    <row r="36574" spans="23:23">
      <c r="W36574" s="503"/>
    </row>
    <row r="36575" spans="23:23">
      <c r="W36575" s="503"/>
    </row>
    <row r="36576" spans="23:23">
      <c r="W36576" s="503"/>
    </row>
    <row r="36577" spans="23:23">
      <c r="W36577" s="503"/>
    </row>
    <row r="36578" spans="23:23">
      <c r="W36578" s="503"/>
    </row>
    <row r="36579" spans="23:23">
      <c r="W36579" s="503"/>
    </row>
    <row r="36580" spans="23:23">
      <c r="W36580" s="503"/>
    </row>
    <row r="36581" spans="23:23">
      <c r="W36581" s="503"/>
    </row>
    <row r="36582" spans="23:23">
      <c r="W36582" s="503"/>
    </row>
    <row r="36583" spans="23:23">
      <c r="W36583" s="503"/>
    </row>
    <row r="36584" spans="23:23">
      <c r="W36584" s="503"/>
    </row>
    <row r="36585" spans="23:23">
      <c r="W36585" s="503"/>
    </row>
    <row r="36586" spans="23:23">
      <c r="W36586" s="503"/>
    </row>
    <row r="36587" spans="23:23">
      <c r="W36587" s="503"/>
    </row>
    <row r="36588" spans="23:23">
      <c r="W36588" s="503"/>
    </row>
    <row r="36589" spans="23:23">
      <c r="W36589" s="503"/>
    </row>
    <row r="36590" spans="23:23">
      <c r="W36590" s="503"/>
    </row>
    <row r="36591" spans="23:23">
      <c r="W36591" s="503"/>
    </row>
    <row r="36592" spans="23:23">
      <c r="W36592" s="503"/>
    </row>
    <row r="36593" spans="23:23">
      <c r="W36593" s="503"/>
    </row>
    <row r="36594" spans="23:23">
      <c r="W36594" s="503"/>
    </row>
    <row r="36595" spans="23:23">
      <c r="W36595" s="503"/>
    </row>
    <row r="36596" spans="23:23">
      <c r="W36596" s="503"/>
    </row>
    <row r="36597" spans="23:23">
      <c r="W36597" s="503"/>
    </row>
    <row r="36598" spans="23:23">
      <c r="W36598" s="503"/>
    </row>
    <row r="36599" spans="23:23">
      <c r="W36599" s="503"/>
    </row>
    <row r="36600" spans="23:23">
      <c r="W36600" s="503"/>
    </row>
    <row r="36601" spans="23:23">
      <c r="W36601" s="503"/>
    </row>
    <row r="36602" spans="23:23">
      <c r="W36602" s="503"/>
    </row>
    <row r="36603" spans="23:23">
      <c r="W36603" s="503"/>
    </row>
    <row r="36604" spans="23:23">
      <c r="W36604" s="503"/>
    </row>
    <row r="36605" spans="23:23">
      <c r="W36605" s="503"/>
    </row>
    <row r="36606" spans="23:23">
      <c r="W36606" s="503"/>
    </row>
    <row r="36607" spans="23:23">
      <c r="W36607" s="503"/>
    </row>
    <row r="36608" spans="23:23">
      <c r="W36608" s="503"/>
    </row>
    <row r="36609" spans="23:23">
      <c r="W36609" s="503"/>
    </row>
    <row r="36610" spans="23:23">
      <c r="W36610" s="503"/>
    </row>
    <row r="36611" spans="23:23">
      <c r="W36611" s="503"/>
    </row>
    <row r="36612" spans="23:23">
      <c r="W36612" s="503"/>
    </row>
    <row r="36613" spans="23:23">
      <c r="W36613" s="503"/>
    </row>
    <row r="36614" spans="23:23">
      <c r="W36614" s="503"/>
    </row>
    <row r="36615" spans="23:23">
      <c r="W36615" s="503"/>
    </row>
    <row r="36616" spans="23:23">
      <c r="W36616" s="503"/>
    </row>
    <row r="36617" spans="23:23">
      <c r="W36617" s="503"/>
    </row>
    <row r="36618" spans="23:23">
      <c r="W36618" s="503"/>
    </row>
    <row r="36619" spans="23:23">
      <c r="W36619" s="503"/>
    </row>
    <row r="36620" spans="23:23">
      <c r="W36620" s="503"/>
    </row>
    <row r="36621" spans="23:23">
      <c r="W36621" s="503"/>
    </row>
    <row r="36622" spans="23:23">
      <c r="W36622" s="503"/>
    </row>
    <row r="36623" spans="23:23">
      <c r="W36623" s="503"/>
    </row>
    <row r="36624" spans="23:23">
      <c r="W36624" s="503"/>
    </row>
    <row r="36625" spans="23:23">
      <c r="W36625" s="503"/>
    </row>
    <row r="36626" spans="23:23">
      <c r="W36626" s="503"/>
    </row>
    <row r="36627" spans="23:23">
      <c r="W36627" s="503"/>
    </row>
    <row r="36628" spans="23:23">
      <c r="W36628" s="503"/>
    </row>
    <row r="36629" spans="23:23">
      <c r="W36629" s="503"/>
    </row>
    <row r="36630" spans="23:23">
      <c r="W36630" s="503"/>
    </row>
    <row r="36631" spans="23:23">
      <c r="W36631" s="503"/>
    </row>
    <row r="36632" spans="23:23">
      <c r="W36632" s="503"/>
    </row>
    <row r="36633" spans="23:23">
      <c r="W36633" s="503"/>
    </row>
    <row r="36634" spans="23:23">
      <c r="W36634" s="503"/>
    </row>
    <row r="36635" spans="23:23">
      <c r="W36635" s="503"/>
    </row>
    <row r="36636" spans="23:23">
      <c r="W36636" s="503"/>
    </row>
    <row r="36637" spans="23:23">
      <c r="W36637" s="503"/>
    </row>
    <row r="36638" spans="23:23">
      <c r="W36638" s="503"/>
    </row>
    <row r="36639" spans="23:23">
      <c r="W36639" s="503"/>
    </row>
    <row r="36640" spans="23:23">
      <c r="W36640" s="503"/>
    </row>
    <row r="36641" spans="23:23">
      <c r="W36641" s="503"/>
    </row>
    <row r="36642" spans="23:23">
      <c r="W36642" s="503"/>
    </row>
    <row r="36643" spans="23:23">
      <c r="W36643" s="503"/>
    </row>
    <row r="36644" spans="23:23">
      <c r="W36644" s="503"/>
    </row>
    <row r="36645" spans="23:23">
      <c r="W36645" s="503"/>
    </row>
    <row r="36646" spans="23:23">
      <c r="W36646" s="503"/>
    </row>
    <row r="36647" spans="23:23">
      <c r="W36647" s="503"/>
    </row>
    <row r="36648" spans="23:23">
      <c r="W36648" s="503"/>
    </row>
    <row r="36649" spans="23:23">
      <c r="W36649" s="503"/>
    </row>
    <row r="36650" spans="23:23">
      <c r="W36650" s="503"/>
    </row>
    <row r="36651" spans="23:23">
      <c r="W36651" s="503"/>
    </row>
    <row r="36652" spans="23:23">
      <c r="W36652" s="503"/>
    </row>
    <row r="36653" spans="23:23">
      <c r="W36653" s="503"/>
    </row>
    <row r="36654" spans="23:23">
      <c r="W36654" s="503"/>
    </row>
    <row r="36655" spans="23:23">
      <c r="W36655" s="503"/>
    </row>
    <row r="36656" spans="23:23">
      <c r="W36656" s="503"/>
    </row>
    <row r="36657" spans="23:23">
      <c r="W36657" s="503"/>
    </row>
    <row r="36658" spans="23:23">
      <c r="W36658" s="503"/>
    </row>
    <row r="36659" spans="23:23">
      <c r="W36659" s="503"/>
    </row>
    <row r="36660" spans="23:23">
      <c r="W36660" s="503"/>
    </row>
    <row r="36661" spans="23:23">
      <c r="W36661" s="503"/>
    </row>
    <row r="36662" spans="23:23">
      <c r="W36662" s="503"/>
    </row>
    <row r="36663" spans="23:23">
      <c r="W36663" s="503"/>
    </row>
    <row r="36664" spans="23:23">
      <c r="W36664" s="503"/>
    </row>
    <row r="36665" spans="23:23">
      <c r="W36665" s="503"/>
    </row>
    <row r="36666" spans="23:23">
      <c r="W36666" s="503"/>
    </row>
    <row r="36667" spans="23:23">
      <c r="W36667" s="503"/>
    </row>
    <row r="36668" spans="23:23">
      <c r="W36668" s="503"/>
    </row>
    <row r="36669" spans="23:23">
      <c r="W36669" s="503"/>
    </row>
    <row r="36670" spans="23:23">
      <c r="W36670" s="503"/>
    </row>
    <row r="36671" spans="23:23">
      <c r="W36671" s="503"/>
    </row>
    <row r="36672" spans="23:23">
      <c r="W36672" s="503"/>
    </row>
    <row r="36673" spans="23:23">
      <c r="W36673" s="503"/>
    </row>
    <row r="36674" spans="23:23">
      <c r="W36674" s="503"/>
    </row>
    <row r="36675" spans="23:23">
      <c r="W36675" s="503"/>
    </row>
    <row r="36676" spans="23:23">
      <c r="W36676" s="503"/>
    </row>
    <row r="36677" spans="23:23">
      <c r="W36677" s="503"/>
    </row>
    <row r="36678" spans="23:23">
      <c r="W36678" s="503"/>
    </row>
    <row r="36679" spans="23:23">
      <c r="W36679" s="503"/>
    </row>
    <row r="36680" spans="23:23">
      <c r="W36680" s="503"/>
    </row>
    <row r="36681" spans="23:23">
      <c r="W36681" s="503"/>
    </row>
    <row r="36682" spans="23:23">
      <c r="W36682" s="503"/>
    </row>
    <row r="36683" spans="23:23">
      <c r="W36683" s="503"/>
    </row>
    <row r="36684" spans="23:23">
      <c r="W36684" s="503"/>
    </row>
    <row r="36685" spans="23:23">
      <c r="W36685" s="503"/>
    </row>
    <row r="36686" spans="23:23">
      <c r="W36686" s="503"/>
    </row>
    <row r="36687" spans="23:23">
      <c r="W36687" s="503"/>
    </row>
    <row r="36688" spans="23:23">
      <c r="W36688" s="503"/>
    </row>
    <row r="36689" spans="23:23">
      <c r="W36689" s="503"/>
    </row>
    <row r="36690" spans="23:23">
      <c r="W36690" s="503"/>
    </row>
    <row r="36691" spans="23:23">
      <c r="W36691" s="503"/>
    </row>
    <row r="36692" spans="23:23">
      <c r="W36692" s="503"/>
    </row>
    <row r="36693" spans="23:23">
      <c r="W36693" s="503"/>
    </row>
    <row r="36694" spans="23:23">
      <c r="W36694" s="503"/>
    </row>
    <row r="36695" spans="23:23">
      <c r="W36695" s="503"/>
    </row>
    <row r="36696" spans="23:23">
      <c r="W36696" s="503"/>
    </row>
    <row r="36697" spans="23:23">
      <c r="W36697" s="503"/>
    </row>
    <row r="36698" spans="23:23">
      <c r="W36698" s="503"/>
    </row>
    <row r="36699" spans="23:23">
      <c r="W36699" s="503"/>
    </row>
    <row r="36700" spans="23:23">
      <c r="W36700" s="503"/>
    </row>
    <row r="36701" spans="23:23">
      <c r="W36701" s="503"/>
    </row>
    <row r="36702" spans="23:23">
      <c r="W36702" s="503"/>
    </row>
    <row r="36703" spans="23:23">
      <c r="W36703" s="503"/>
    </row>
    <row r="36704" spans="23:23">
      <c r="W36704" s="503"/>
    </row>
    <row r="36705" spans="23:23">
      <c r="W36705" s="503"/>
    </row>
    <row r="36706" spans="23:23">
      <c r="W36706" s="503"/>
    </row>
    <row r="36707" spans="23:23">
      <c r="W36707" s="503"/>
    </row>
    <row r="36708" spans="23:23">
      <c r="W36708" s="503"/>
    </row>
    <row r="36709" spans="23:23">
      <c r="W36709" s="503"/>
    </row>
    <row r="36710" spans="23:23">
      <c r="W36710" s="503"/>
    </row>
    <row r="36711" spans="23:23">
      <c r="W36711" s="503"/>
    </row>
    <row r="36712" spans="23:23">
      <c r="W36712" s="503"/>
    </row>
    <row r="36713" spans="23:23">
      <c r="W36713" s="503"/>
    </row>
    <row r="36714" spans="23:23">
      <c r="W36714" s="503"/>
    </row>
    <row r="36715" spans="23:23">
      <c r="W36715" s="503"/>
    </row>
    <row r="36716" spans="23:23">
      <c r="W36716" s="503"/>
    </row>
    <row r="36717" spans="23:23">
      <c r="W36717" s="503"/>
    </row>
    <row r="36718" spans="23:23">
      <c r="W36718" s="503"/>
    </row>
    <row r="36719" spans="23:23">
      <c r="W36719" s="503"/>
    </row>
    <row r="36720" spans="23:23">
      <c r="W36720" s="503"/>
    </row>
    <row r="36721" spans="23:23">
      <c r="W36721" s="503"/>
    </row>
    <row r="36722" spans="23:23">
      <c r="W36722" s="503"/>
    </row>
    <row r="36723" spans="23:23">
      <c r="W36723" s="503"/>
    </row>
    <row r="36724" spans="23:23">
      <c r="W36724" s="503"/>
    </row>
    <row r="36725" spans="23:23">
      <c r="W36725" s="503"/>
    </row>
    <row r="36726" spans="23:23">
      <c r="W36726" s="503"/>
    </row>
    <row r="36727" spans="23:23">
      <c r="W36727" s="503"/>
    </row>
    <row r="36728" spans="23:23">
      <c r="W36728" s="503"/>
    </row>
    <row r="36729" spans="23:23">
      <c r="W36729" s="503"/>
    </row>
    <row r="36730" spans="23:23">
      <c r="W36730" s="503"/>
    </row>
    <row r="36731" spans="23:23">
      <c r="W36731" s="503"/>
    </row>
    <row r="36732" spans="23:23">
      <c r="W36732" s="503"/>
    </row>
    <row r="36733" spans="23:23">
      <c r="W36733" s="503"/>
    </row>
    <row r="36734" spans="23:23">
      <c r="W36734" s="503"/>
    </row>
    <row r="36735" spans="23:23">
      <c r="W36735" s="503"/>
    </row>
    <row r="36736" spans="23:23">
      <c r="W36736" s="503"/>
    </row>
    <row r="36737" spans="23:23">
      <c r="W36737" s="503"/>
    </row>
    <row r="36738" spans="23:23">
      <c r="W36738" s="503"/>
    </row>
    <row r="36739" spans="23:23">
      <c r="W36739" s="503"/>
    </row>
    <row r="36740" spans="23:23">
      <c r="W36740" s="503"/>
    </row>
    <row r="36741" spans="23:23">
      <c r="W36741" s="503"/>
    </row>
    <row r="36742" spans="23:23">
      <c r="W36742" s="503"/>
    </row>
    <row r="36743" spans="23:23">
      <c r="W36743" s="503"/>
    </row>
    <row r="36744" spans="23:23">
      <c r="W36744" s="503"/>
    </row>
    <row r="36745" spans="23:23">
      <c r="W36745" s="503"/>
    </row>
    <row r="36746" spans="23:23">
      <c r="W36746" s="503"/>
    </row>
    <row r="36747" spans="23:23">
      <c r="W36747" s="503"/>
    </row>
    <row r="36748" spans="23:23">
      <c r="W36748" s="503"/>
    </row>
    <row r="36749" spans="23:23">
      <c r="W36749" s="503"/>
    </row>
    <row r="36750" spans="23:23">
      <c r="W36750" s="503"/>
    </row>
    <row r="36751" spans="23:23">
      <c r="W36751" s="503"/>
    </row>
    <row r="36752" spans="23:23">
      <c r="W36752" s="503"/>
    </row>
    <row r="36753" spans="23:23">
      <c r="W36753" s="503"/>
    </row>
    <row r="36754" spans="23:23">
      <c r="W36754" s="503"/>
    </row>
    <row r="36755" spans="23:23">
      <c r="W36755" s="503"/>
    </row>
    <row r="36756" spans="23:23">
      <c r="W36756" s="503"/>
    </row>
    <row r="36757" spans="23:23">
      <c r="W36757" s="503"/>
    </row>
    <row r="36758" spans="23:23">
      <c r="W36758" s="503"/>
    </row>
    <row r="36759" spans="23:23">
      <c r="W36759" s="503"/>
    </row>
    <row r="36760" spans="23:23">
      <c r="W36760" s="503"/>
    </row>
    <row r="36761" spans="23:23">
      <c r="W36761" s="503"/>
    </row>
    <row r="36762" spans="23:23">
      <c r="W36762" s="503"/>
    </row>
    <row r="36763" spans="23:23">
      <c r="W36763" s="503"/>
    </row>
    <row r="36764" spans="23:23">
      <c r="W36764" s="503"/>
    </row>
    <row r="36765" spans="23:23">
      <c r="W36765" s="503"/>
    </row>
    <row r="36766" spans="23:23">
      <c r="W36766" s="503"/>
    </row>
    <row r="36767" spans="23:23">
      <c r="W36767" s="503"/>
    </row>
    <row r="36768" spans="23:23">
      <c r="W36768" s="503"/>
    </row>
    <row r="36769" spans="23:23">
      <c r="W36769" s="503"/>
    </row>
    <row r="36770" spans="23:23">
      <c r="W36770" s="503"/>
    </row>
    <row r="36771" spans="23:23">
      <c r="W36771" s="503"/>
    </row>
    <row r="36772" spans="23:23">
      <c r="W36772" s="503"/>
    </row>
    <row r="36773" spans="23:23">
      <c r="W36773" s="503"/>
    </row>
    <row r="36774" spans="23:23">
      <c r="W36774" s="503"/>
    </row>
    <row r="36775" spans="23:23">
      <c r="W36775" s="503"/>
    </row>
    <row r="36776" spans="23:23">
      <c r="W36776" s="503"/>
    </row>
    <row r="36777" spans="23:23">
      <c r="W36777" s="503"/>
    </row>
    <row r="36778" spans="23:23">
      <c r="W36778" s="503"/>
    </row>
    <row r="36779" spans="23:23">
      <c r="W36779" s="503"/>
    </row>
    <row r="36780" spans="23:23">
      <c r="W36780" s="503"/>
    </row>
    <row r="36781" spans="23:23">
      <c r="W36781" s="503"/>
    </row>
    <row r="36782" spans="23:23">
      <c r="W36782" s="503"/>
    </row>
    <row r="36783" spans="23:23">
      <c r="W36783" s="503"/>
    </row>
    <row r="36784" spans="23:23">
      <c r="W36784" s="503"/>
    </row>
    <row r="36785" spans="23:23">
      <c r="W36785" s="503"/>
    </row>
    <row r="36786" spans="23:23">
      <c r="W36786" s="503"/>
    </row>
    <row r="36787" spans="23:23">
      <c r="W36787" s="503"/>
    </row>
    <row r="36788" spans="23:23">
      <c r="W36788" s="503"/>
    </row>
    <row r="36789" spans="23:23">
      <c r="W36789" s="503"/>
    </row>
    <row r="36790" spans="23:23">
      <c r="W36790" s="503"/>
    </row>
    <row r="36791" spans="23:23">
      <c r="W36791" s="503"/>
    </row>
    <row r="36792" spans="23:23">
      <c r="W36792" s="503"/>
    </row>
    <row r="36793" spans="23:23">
      <c r="W36793" s="503"/>
    </row>
    <row r="36794" spans="23:23">
      <c r="W36794" s="503"/>
    </row>
    <row r="36795" spans="23:23">
      <c r="W36795" s="503"/>
    </row>
    <row r="36796" spans="23:23">
      <c r="W36796" s="503"/>
    </row>
    <row r="36797" spans="23:23">
      <c r="W36797" s="503"/>
    </row>
    <row r="36798" spans="23:23">
      <c r="W36798" s="503"/>
    </row>
    <row r="36799" spans="23:23">
      <c r="W36799" s="503"/>
    </row>
    <row r="36800" spans="23:23">
      <c r="W36800" s="503"/>
    </row>
    <row r="36801" spans="23:23">
      <c r="W36801" s="503"/>
    </row>
    <row r="36802" spans="23:23">
      <c r="W36802" s="503"/>
    </row>
    <row r="36803" spans="23:23">
      <c r="W36803" s="503"/>
    </row>
    <row r="36804" spans="23:23">
      <c r="W36804" s="503"/>
    </row>
    <row r="36805" spans="23:23">
      <c r="W36805" s="503"/>
    </row>
    <row r="36806" spans="23:23">
      <c r="W36806" s="503"/>
    </row>
    <row r="36807" spans="23:23">
      <c r="W36807" s="503"/>
    </row>
    <row r="36808" spans="23:23">
      <c r="W36808" s="503"/>
    </row>
    <row r="36809" spans="23:23">
      <c r="W36809" s="503"/>
    </row>
    <row r="36810" spans="23:23">
      <c r="W36810" s="503"/>
    </row>
    <row r="36811" spans="23:23">
      <c r="W36811" s="503"/>
    </row>
    <row r="36812" spans="23:23">
      <c r="W36812" s="503"/>
    </row>
    <row r="36813" spans="23:23">
      <c r="W36813" s="503"/>
    </row>
    <row r="36814" spans="23:23">
      <c r="W36814" s="503"/>
    </row>
    <row r="36815" spans="23:23">
      <c r="W36815" s="503"/>
    </row>
    <row r="36816" spans="23:23">
      <c r="W36816" s="503"/>
    </row>
    <row r="36817" spans="23:23">
      <c r="W36817" s="503"/>
    </row>
    <row r="36818" spans="23:23">
      <c r="W36818" s="503"/>
    </row>
    <row r="36819" spans="23:23">
      <c r="W36819" s="503"/>
    </row>
    <row r="36820" spans="23:23">
      <c r="W36820" s="503"/>
    </row>
    <row r="36821" spans="23:23">
      <c r="W36821" s="503"/>
    </row>
    <row r="36822" spans="23:23">
      <c r="W36822" s="503"/>
    </row>
    <row r="36823" spans="23:23">
      <c r="W36823" s="503"/>
    </row>
    <row r="36824" spans="23:23">
      <c r="W36824" s="503"/>
    </row>
    <row r="36825" spans="23:23">
      <c r="W36825" s="503"/>
    </row>
    <row r="36826" spans="23:23">
      <c r="W36826" s="503"/>
    </row>
    <row r="36827" spans="23:23">
      <c r="W36827" s="503"/>
    </row>
    <row r="36828" spans="23:23">
      <c r="W36828" s="503"/>
    </row>
    <row r="36829" spans="23:23">
      <c r="W36829" s="503"/>
    </row>
    <row r="36830" spans="23:23">
      <c r="W36830" s="503"/>
    </row>
    <row r="36831" spans="23:23">
      <c r="W36831" s="503"/>
    </row>
    <row r="36832" spans="23:23">
      <c r="W36832" s="503"/>
    </row>
    <row r="36833" spans="23:23">
      <c r="W36833" s="503"/>
    </row>
    <row r="36834" spans="23:23">
      <c r="W36834" s="503"/>
    </row>
    <row r="36835" spans="23:23">
      <c r="W36835" s="503"/>
    </row>
    <row r="36836" spans="23:23">
      <c r="W36836" s="503"/>
    </row>
    <row r="36837" spans="23:23">
      <c r="W36837" s="503"/>
    </row>
    <row r="36838" spans="23:23">
      <c r="W36838" s="503"/>
    </row>
    <row r="36839" spans="23:23">
      <c r="W36839" s="503"/>
    </row>
    <row r="36840" spans="23:23">
      <c r="W36840" s="503"/>
    </row>
    <row r="36841" spans="23:23">
      <c r="W36841" s="503"/>
    </row>
    <row r="36842" spans="23:23">
      <c r="W36842" s="503"/>
    </row>
    <row r="36843" spans="23:23">
      <c r="W36843" s="503"/>
    </row>
    <row r="36844" spans="23:23">
      <c r="W36844" s="503"/>
    </row>
    <row r="36845" spans="23:23">
      <c r="W36845" s="503"/>
    </row>
    <row r="36846" spans="23:23">
      <c r="W36846" s="503"/>
    </row>
    <row r="36847" spans="23:23">
      <c r="W36847" s="503"/>
    </row>
    <row r="36848" spans="23:23">
      <c r="W36848" s="503"/>
    </row>
    <row r="36849" spans="23:23">
      <c r="W36849" s="503"/>
    </row>
    <row r="36850" spans="23:23">
      <c r="W36850" s="503"/>
    </row>
    <row r="36851" spans="23:23">
      <c r="W36851" s="503"/>
    </row>
    <row r="36852" spans="23:23">
      <c r="W36852" s="503"/>
    </row>
    <row r="36853" spans="23:23">
      <c r="W36853" s="503"/>
    </row>
    <row r="36854" spans="23:23">
      <c r="W36854" s="503"/>
    </row>
    <row r="36855" spans="23:23">
      <c r="W36855" s="503"/>
    </row>
    <row r="36856" spans="23:23">
      <c r="W36856" s="503"/>
    </row>
    <row r="36857" spans="23:23">
      <c r="W36857" s="503"/>
    </row>
    <row r="36858" spans="23:23">
      <c r="W36858" s="503"/>
    </row>
    <row r="36859" spans="23:23">
      <c r="W36859" s="503"/>
    </row>
    <row r="36860" spans="23:23">
      <c r="W36860" s="503"/>
    </row>
    <row r="36861" spans="23:23">
      <c r="W36861" s="503"/>
    </row>
    <row r="36862" spans="23:23">
      <c r="W36862" s="503"/>
    </row>
    <row r="36863" spans="23:23">
      <c r="W36863" s="503"/>
    </row>
    <row r="36864" spans="23:23">
      <c r="W36864" s="503"/>
    </row>
    <row r="36865" spans="23:23">
      <c r="W36865" s="503"/>
    </row>
    <row r="36866" spans="23:23">
      <c r="W36866" s="503"/>
    </row>
    <row r="36867" spans="23:23">
      <c r="W36867" s="503"/>
    </row>
    <row r="36868" spans="23:23">
      <c r="W36868" s="503"/>
    </row>
    <row r="36869" spans="23:23">
      <c r="W36869" s="503"/>
    </row>
    <row r="36870" spans="23:23">
      <c r="W36870" s="503"/>
    </row>
    <row r="36871" spans="23:23">
      <c r="W36871" s="503"/>
    </row>
    <row r="36872" spans="23:23">
      <c r="W36872" s="503"/>
    </row>
    <row r="36873" spans="23:23">
      <c r="W36873" s="503"/>
    </row>
    <row r="36874" spans="23:23">
      <c r="W36874" s="503"/>
    </row>
    <row r="36875" spans="23:23">
      <c r="W36875" s="503"/>
    </row>
    <row r="36876" spans="23:23">
      <c r="W36876" s="503"/>
    </row>
    <row r="36877" spans="23:23">
      <c r="W36877" s="503"/>
    </row>
    <row r="36878" spans="23:23">
      <c r="W36878" s="503"/>
    </row>
    <row r="36879" spans="23:23">
      <c r="W36879" s="503"/>
    </row>
    <row r="36880" spans="23:23">
      <c r="W36880" s="503"/>
    </row>
    <row r="36881" spans="23:23">
      <c r="W36881" s="503"/>
    </row>
    <row r="36882" spans="23:23">
      <c r="W36882" s="503"/>
    </row>
    <row r="36883" spans="23:23">
      <c r="W36883" s="503"/>
    </row>
    <row r="36884" spans="23:23">
      <c r="W36884" s="503"/>
    </row>
    <row r="36885" spans="23:23">
      <c r="W36885" s="503"/>
    </row>
    <row r="36886" spans="23:23">
      <c r="W36886" s="503"/>
    </row>
    <row r="36887" spans="23:23">
      <c r="W36887" s="503"/>
    </row>
    <row r="36888" spans="23:23">
      <c r="W36888" s="503"/>
    </row>
    <row r="36889" spans="23:23">
      <c r="W36889" s="503"/>
    </row>
    <row r="36890" spans="23:23">
      <c r="W36890" s="503"/>
    </row>
    <row r="36891" spans="23:23">
      <c r="W36891" s="503"/>
    </row>
    <row r="36892" spans="23:23">
      <c r="W36892" s="503"/>
    </row>
    <row r="36893" spans="23:23">
      <c r="W36893" s="503"/>
    </row>
    <row r="36894" spans="23:23">
      <c r="W36894" s="503"/>
    </row>
    <row r="36895" spans="23:23">
      <c r="W36895" s="503"/>
    </row>
    <row r="36896" spans="23:23">
      <c r="W36896" s="503"/>
    </row>
    <row r="36897" spans="23:23">
      <c r="W36897" s="503"/>
    </row>
    <row r="36898" spans="23:23">
      <c r="W36898" s="503"/>
    </row>
    <row r="36899" spans="23:23">
      <c r="W36899" s="503"/>
    </row>
    <row r="36900" spans="23:23">
      <c r="W36900" s="503"/>
    </row>
    <row r="36901" spans="23:23">
      <c r="W36901" s="503"/>
    </row>
    <row r="36902" spans="23:23">
      <c r="W36902" s="503"/>
    </row>
    <row r="36903" spans="23:23">
      <c r="W36903" s="503"/>
    </row>
    <row r="36904" spans="23:23">
      <c r="W36904" s="503"/>
    </row>
    <row r="36905" spans="23:23">
      <c r="W36905" s="503"/>
    </row>
    <row r="36906" spans="23:23">
      <c r="W36906" s="503"/>
    </row>
    <row r="36907" spans="23:23">
      <c r="W36907" s="503"/>
    </row>
    <row r="36908" spans="23:23">
      <c r="W36908" s="503"/>
    </row>
    <row r="36909" spans="23:23">
      <c r="W36909" s="503"/>
    </row>
    <row r="36910" spans="23:23">
      <c r="W36910" s="503"/>
    </row>
    <row r="36911" spans="23:23">
      <c r="W36911" s="503"/>
    </row>
    <row r="36912" spans="23:23">
      <c r="W36912" s="503"/>
    </row>
    <row r="36913" spans="23:23">
      <c r="W36913" s="503"/>
    </row>
    <row r="36914" spans="23:23">
      <c r="W36914" s="503"/>
    </row>
    <row r="36915" spans="23:23">
      <c r="W36915" s="503"/>
    </row>
    <row r="36916" spans="23:23">
      <c r="W36916" s="503"/>
    </row>
    <row r="36917" spans="23:23">
      <c r="W36917" s="503"/>
    </row>
    <row r="36918" spans="23:23">
      <c r="W36918" s="503"/>
    </row>
    <row r="36919" spans="23:23">
      <c r="W36919" s="503"/>
    </row>
    <row r="36920" spans="23:23">
      <c r="W36920" s="503"/>
    </row>
    <row r="36921" spans="23:23">
      <c r="W36921" s="503"/>
    </row>
    <row r="36922" spans="23:23">
      <c r="W36922" s="503"/>
    </row>
    <row r="36923" spans="23:23">
      <c r="W36923" s="503"/>
    </row>
    <row r="36924" spans="23:23">
      <c r="W36924" s="503"/>
    </row>
    <row r="36925" spans="23:23">
      <c r="W36925" s="503"/>
    </row>
    <row r="36926" spans="23:23">
      <c r="W36926" s="503"/>
    </row>
    <row r="36927" spans="23:23">
      <c r="W36927" s="503"/>
    </row>
    <row r="36928" spans="23:23">
      <c r="W36928" s="503"/>
    </row>
    <row r="36929" spans="23:23">
      <c r="W36929" s="503"/>
    </row>
    <row r="36930" spans="23:23">
      <c r="W36930" s="503"/>
    </row>
    <row r="36931" spans="23:23">
      <c r="W36931" s="503"/>
    </row>
    <row r="36932" spans="23:23">
      <c r="W36932" s="503"/>
    </row>
    <row r="36933" spans="23:23">
      <c r="W36933" s="503"/>
    </row>
    <row r="36934" spans="23:23">
      <c r="W36934" s="503"/>
    </row>
    <row r="36935" spans="23:23">
      <c r="W36935" s="503"/>
    </row>
    <row r="36936" spans="23:23">
      <c r="W36936" s="503"/>
    </row>
    <row r="36937" spans="23:23">
      <c r="W36937" s="503"/>
    </row>
    <row r="36938" spans="23:23">
      <c r="W36938" s="503"/>
    </row>
    <row r="36939" spans="23:23">
      <c r="W36939" s="503"/>
    </row>
    <row r="36940" spans="23:23">
      <c r="W36940" s="503"/>
    </row>
    <row r="36941" spans="23:23">
      <c r="W36941" s="503"/>
    </row>
    <row r="36942" spans="23:23">
      <c r="W36942" s="503"/>
    </row>
    <row r="36943" spans="23:23">
      <c r="W36943" s="503"/>
    </row>
    <row r="36944" spans="23:23">
      <c r="W36944" s="503"/>
    </row>
    <row r="36945" spans="23:23">
      <c r="W36945" s="503"/>
    </row>
    <row r="36946" spans="23:23">
      <c r="W36946" s="503"/>
    </row>
    <row r="36947" spans="23:23">
      <c r="W36947" s="503"/>
    </row>
    <row r="36948" spans="23:23">
      <c r="W36948" s="503"/>
    </row>
    <row r="36949" spans="23:23">
      <c r="W36949" s="503"/>
    </row>
    <row r="36950" spans="23:23">
      <c r="W36950" s="503"/>
    </row>
    <row r="36951" spans="23:23">
      <c r="W36951" s="503"/>
    </row>
    <row r="36952" spans="23:23">
      <c r="W36952" s="503"/>
    </row>
    <row r="36953" spans="23:23">
      <c r="W36953" s="503"/>
    </row>
    <row r="36954" spans="23:23">
      <c r="W36954" s="503"/>
    </row>
    <row r="36955" spans="23:23">
      <c r="W36955" s="503"/>
    </row>
    <row r="36956" spans="23:23">
      <c r="W36956" s="503"/>
    </row>
    <row r="36957" spans="23:23">
      <c r="W36957" s="503"/>
    </row>
    <row r="36958" spans="23:23">
      <c r="W36958" s="503"/>
    </row>
    <row r="36959" spans="23:23">
      <c r="W36959" s="503"/>
    </row>
    <row r="36960" spans="23:23">
      <c r="W36960" s="503"/>
    </row>
    <row r="36961" spans="23:23">
      <c r="W36961" s="503"/>
    </row>
    <row r="36962" spans="23:23">
      <c r="W36962" s="503"/>
    </row>
    <row r="36963" spans="23:23">
      <c r="W36963" s="503"/>
    </row>
    <row r="36964" spans="23:23">
      <c r="W36964" s="503"/>
    </row>
    <row r="36965" spans="23:23">
      <c r="W36965" s="503"/>
    </row>
    <row r="36966" spans="23:23">
      <c r="W36966" s="503"/>
    </row>
    <row r="36967" spans="23:23">
      <c r="W36967" s="503"/>
    </row>
    <row r="36968" spans="23:23">
      <c r="W36968" s="503"/>
    </row>
    <row r="36969" spans="23:23">
      <c r="W36969" s="503"/>
    </row>
    <row r="36970" spans="23:23">
      <c r="W36970" s="503"/>
    </row>
    <row r="36971" spans="23:23">
      <c r="W36971" s="503"/>
    </row>
    <row r="36972" spans="23:23">
      <c r="W36972" s="503"/>
    </row>
    <row r="36973" spans="23:23">
      <c r="W36973" s="503"/>
    </row>
    <row r="36974" spans="23:23">
      <c r="W36974" s="503"/>
    </row>
    <row r="36975" spans="23:23">
      <c r="W36975" s="503"/>
    </row>
    <row r="36976" spans="23:23">
      <c r="W36976" s="503"/>
    </row>
    <row r="36977" spans="23:23">
      <c r="W36977" s="503"/>
    </row>
    <row r="36978" spans="23:23">
      <c r="W36978" s="503"/>
    </row>
    <row r="36979" spans="23:23">
      <c r="W36979" s="503"/>
    </row>
    <row r="36980" spans="23:23">
      <c r="W36980" s="503"/>
    </row>
    <row r="36981" spans="23:23">
      <c r="W36981" s="503"/>
    </row>
    <row r="36982" spans="23:23">
      <c r="W36982" s="503"/>
    </row>
    <row r="36983" spans="23:23">
      <c r="W36983" s="503"/>
    </row>
    <row r="36984" spans="23:23">
      <c r="W36984" s="503"/>
    </row>
    <row r="36985" spans="23:23">
      <c r="W36985" s="503"/>
    </row>
    <row r="36986" spans="23:23">
      <c r="W36986" s="503"/>
    </row>
    <row r="36987" spans="23:23">
      <c r="W36987" s="503"/>
    </row>
    <row r="36988" spans="23:23">
      <c r="W36988" s="503"/>
    </row>
    <row r="36989" spans="23:23">
      <c r="W36989" s="503"/>
    </row>
    <row r="36990" spans="23:23">
      <c r="W36990" s="503"/>
    </row>
    <row r="36991" spans="23:23">
      <c r="W36991" s="503"/>
    </row>
    <row r="36992" spans="23:23">
      <c r="W36992" s="503"/>
    </row>
    <row r="36993" spans="23:23">
      <c r="W36993" s="503"/>
    </row>
    <row r="36994" spans="23:23">
      <c r="W36994" s="503"/>
    </row>
    <row r="36995" spans="23:23">
      <c r="W36995" s="503"/>
    </row>
    <row r="36996" spans="23:23">
      <c r="W36996" s="503"/>
    </row>
    <row r="36997" spans="23:23">
      <c r="W36997" s="503"/>
    </row>
    <row r="36998" spans="23:23">
      <c r="W36998" s="503"/>
    </row>
    <row r="36999" spans="23:23">
      <c r="W36999" s="503"/>
    </row>
    <row r="37000" spans="23:23">
      <c r="W37000" s="503"/>
    </row>
    <row r="37001" spans="23:23">
      <c r="W37001" s="503"/>
    </row>
    <row r="37002" spans="23:23">
      <c r="W37002" s="503"/>
    </row>
    <row r="37003" spans="23:23">
      <c r="W37003" s="503"/>
    </row>
    <row r="37004" spans="23:23">
      <c r="W37004" s="503"/>
    </row>
    <row r="37005" spans="23:23">
      <c r="W37005" s="503"/>
    </row>
    <row r="37006" spans="23:23">
      <c r="W37006" s="503"/>
    </row>
    <row r="37007" spans="23:23">
      <c r="W37007" s="503"/>
    </row>
    <row r="37008" spans="23:23">
      <c r="W37008" s="503"/>
    </row>
    <row r="37009" spans="23:23">
      <c r="W37009" s="503"/>
    </row>
    <row r="37010" spans="23:23">
      <c r="W37010" s="503"/>
    </row>
    <row r="37011" spans="23:23">
      <c r="W37011" s="503"/>
    </row>
    <row r="37012" spans="23:23">
      <c r="W37012" s="503"/>
    </row>
    <row r="37013" spans="23:23">
      <c r="W37013" s="503"/>
    </row>
    <row r="37014" spans="23:23">
      <c r="W37014" s="503"/>
    </row>
    <row r="37015" spans="23:23">
      <c r="W37015" s="503"/>
    </row>
    <row r="37016" spans="23:23">
      <c r="W37016" s="503"/>
    </row>
    <row r="37017" spans="23:23">
      <c r="W37017" s="503"/>
    </row>
    <row r="37018" spans="23:23">
      <c r="W37018" s="503"/>
    </row>
    <row r="37019" spans="23:23">
      <c r="W37019" s="503"/>
    </row>
    <row r="37020" spans="23:23">
      <c r="W37020" s="503"/>
    </row>
    <row r="37021" spans="23:23">
      <c r="W37021" s="503"/>
    </row>
    <row r="37022" spans="23:23">
      <c r="W37022" s="503"/>
    </row>
    <row r="37023" spans="23:23">
      <c r="W37023" s="503"/>
    </row>
    <row r="37024" spans="23:23">
      <c r="W37024" s="503"/>
    </row>
    <row r="37025" spans="23:23">
      <c r="W37025" s="503"/>
    </row>
    <row r="37026" spans="23:23">
      <c r="W37026" s="503"/>
    </row>
    <row r="37027" spans="23:23">
      <c r="W37027" s="503"/>
    </row>
    <row r="37028" spans="23:23">
      <c r="W37028" s="503"/>
    </row>
    <row r="37029" spans="23:23">
      <c r="W37029" s="503"/>
    </row>
    <row r="37030" spans="23:23">
      <c r="W37030" s="503"/>
    </row>
    <row r="37031" spans="23:23">
      <c r="W37031" s="503"/>
    </row>
    <row r="37032" spans="23:23">
      <c r="W37032" s="503"/>
    </row>
    <row r="37033" spans="23:23">
      <c r="W37033" s="503"/>
    </row>
    <row r="37034" spans="23:23">
      <c r="W37034" s="503"/>
    </row>
    <row r="37035" spans="23:23">
      <c r="W37035" s="503"/>
    </row>
    <row r="37036" spans="23:23">
      <c r="W37036" s="503"/>
    </row>
    <row r="37037" spans="23:23">
      <c r="W37037" s="503"/>
    </row>
    <row r="37038" spans="23:23">
      <c r="W37038" s="503"/>
    </row>
    <row r="37039" spans="23:23">
      <c r="W37039" s="503"/>
    </row>
    <row r="37040" spans="23:23">
      <c r="W37040" s="503"/>
    </row>
    <row r="37041" spans="23:23">
      <c r="W37041" s="503"/>
    </row>
    <row r="37042" spans="23:23">
      <c r="W37042" s="503"/>
    </row>
    <row r="37043" spans="23:23">
      <c r="W37043" s="503"/>
    </row>
    <row r="37044" spans="23:23">
      <c r="W37044" s="503"/>
    </row>
    <row r="37045" spans="23:23">
      <c r="W37045" s="503"/>
    </row>
    <row r="37046" spans="23:23">
      <c r="W37046" s="503"/>
    </row>
    <row r="37047" spans="23:23">
      <c r="W37047" s="503"/>
    </row>
    <row r="37048" spans="23:23">
      <c r="W37048" s="503"/>
    </row>
    <row r="37049" spans="23:23">
      <c r="W37049" s="503"/>
    </row>
    <row r="37050" spans="23:23">
      <c r="W37050" s="503"/>
    </row>
    <row r="37051" spans="23:23">
      <c r="W37051" s="503"/>
    </row>
    <row r="37052" spans="23:23">
      <c r="W37052" s="503"/>
    </row>
    <row r="37053" spans="23:23">
      <c r="W37053" s="503"/>
    </row>
    <row r="37054" spans="23:23">
      <c r="W37054" s="503"/>
    </row>
    <row r="37055" spans="23:23">
      <c r="W37055" s="503"/>
    </row>
    <row r="37056" spans="23:23">
      <c r="W37056" s="503"/>
    </row>
    <row r="37057" spans="23:23">
      <c r="W37057" s="503"/>
    </row>
    <row r="37058" spans="23:23">
      <c r="W37058" s="503"/>
    </row>
    <row r="37059" spans="23:23">
      <c r="W37059" s="503"/>
    </row>
    <row r="37060" spans="23:23">
      <c r="W37060" s="503"/>
    </row>
    <row r="37061" spans="23:23">
      <c r="W37061" s="503"/>
    </row>
    <row r="37062" spans="23:23">
      <c r="W37062" s="503"/>
    </row>
    <row r="37063" spans="23:23">
      <c r="W37063" s="503"/>
    </row>
    <row r="37064" spans="23:23">
      <c r="W37064" s="503"/>
    </row>
    <row r="37065" spans="23:23">
      <c r="W37065" s="503"/>
    </row>
    <row r="37066" spans="23:23">
      <c r="W37066" s="503"/>
    </row>
    <row r="37067" spans="23:23">
      <c r="W37067" s="503"/>
    </row>
    <row r="37068" spans="23:23">
      <c r="W37068" s="503"/>
    </row>
    <row r="37069" spans="23:23">
      <c r="W37069" s="503"/>
    </row>
    <row r="37070" spans="23:23">
      <c r="W37070" s="503"/>
    </row>
    <row r="37071" spans="23:23">
      <c r="W37071" s="503"/>
    </row>
    <row r="37072" spans="23:23">
      <c r="W37072" s="503"/>
    </row>
    <row r="37073" spans="23:23">
      <c r="W37073" s="503"/>
    </row>
    <row r="37074" spans="23:23">
      <c r="W37074" s="503"/>
    </row>
    <row r="37075" spans="23:23">
      <c r="W37075" s="503"/>
    </row>
    <row r="37076" spans="23:23">
      <c r="W37076" s="503"/>
    </row>
    <row r="37077" spans="23:23">
      <c r="W37077" s="503"/>
    </row>
    <row r="37078" spans="23:23">
      <c r="W37078" s="503"/>
    </row>
    <row r="37079" spans="23:23">
      <c r="W37079" s="503"/>
    </row>
    <row r="37080" spans="23:23">
      <c r="W37080" s="503"/>
    </row>
    <row r="37081" spans="23:23">
      <c r="W37081" s="503"/>
    </row>
    <row r="37082" spans="23:23">
      <c r="W37082" s="503"/>
    </row>
    <row r="37083" spans="23:23">
      <c r="W37083" s="503"/>
    </row>
    <row r="37084" spans="23:23">
      <c r="W37084" s="503"/>
    </row>
    <row r="37085" spans="23:23">
      <c r="W37085" s="503"/>
    </row>
    <row r="37086" spans="23:23">
      <c r="W37086" s="503"/>
    </row>
    <row r="37087" spans="23:23">
      <c r="W37087" s="503"/>
    </row>
    <row r="37088" spans="23:23">
      <c r="W37088" s="503"/>
    </row>
    <row r="37089" spans="23:23">
      <c r="W37089" s="503"/>
    </row>
    <row r="37090" spans="23:23">
      <c r="W37090" s="503"/>
    </row>
    <row r="37091" spans="23:23">
      <c r="W37091" s="503"/>
    </row>
    <row r="37092" spans="23:23">
      <c r="W37092" s="503"/>
    </row>
    <row r="37093" spans="23:23">
      <c r="W37093" s="503"/>
    </row>
    <row r="37094" spans="23:23">
      <c r="W37094" s="503"/>
    </row>
    <row r="37095" spans="23:23">
      <c r="W37095" s="503"/>
    </row>
    <row r="37096" spans="23:23">
      <c r="W37096" s="503"/>
    </row>
    <row r="37097" spans="23:23">
      <c r="W37097" s="503"/>
    </row>
    <row r="37098" spans="23:23">
      <c r="W37098" s="503"/>
    </row>
    <row r="37099" spans="23:23">
      <c r="W37099" s="503"/>
    </row>
    <row r="37100" spans="23:23">
      <c r="W37100" s="503"/>
    </row>
    <row r="37101" spans="23:23">
      <c r="W37101" s="503"/>
    </row>
    <row r="37102" spans="23:23">
      <c r="W37102" s="503"/>
    </row>
    <row r="37103" spans="23:23">
      <c r="W37103" s="503"/>
    </row>
    <row r="37104" spans="23:23">
      <c r="W37104" s="503"/>
    </row>
    <row r="37105" spans="23:23">
      <c r="W37105" s="503"/>
    </row>
    <row r="37106" spans="23:23">
      <c r="W37106" s="503"/>
    </row>
    <row r="37107" spans="23:23">
      <c r="W37107" s="503"/>
    </row>
    <row r="37108" spans="23:23">
      <c r="W37108" s="503"/>
    </row>
    <row r="37109" spans="23:23">
      <c r="W37109" s="503"/>
    </row>
    <row r="37110" spans="23:23">
      <c r="W37110" s="503"/>
    </row>
    <row r="37111" spans="23:23">
      <c r="W37111" s="503"/>
    </row>
    <row r="37112" spans="23:23">
      <c r="W37112" s="503"/>
    </row>
    <row r="37113" spans="23:23">
      <c r="W37113" s="503"/>
    </row>
    <row r="37114" spans="23:23">
      <c r="W37114" s="503"/>
    </row>
    <row r="37115" spans="23:23">
      <c r="W37115" s="503"/>
    </row>
    <row r="37116" spans="23:23">
      <c r="W37116" s="503"/>
    </row>
    <row r="37117" spans="23:23">
      <c r="W37117" s="503"/>
    </row>
    <row r="37118" spans="23:23">
      <c r="W37118" s="503"/>
    </row>
    <row r="37119" spans="23:23">
      <c r="W37119" s="503"/>
    </row>
    <row r="37120" spans="23:23">
      <c r="W37120" s="503"/>
    </row>
    <row r="37121" spans="23:23">
      <c r="W37121" s="503"/>
    </row>
    <row r="37122" spans="23:23">
      <c r="W37122" s="503"/>
    </row>
    <row r="37123" spans="23:23">
      <c r="W37123" s="503"/>
    </row>
    <row r="37124" spans="23:23">
      <c r="W37124" s="503"/>
    </row>
    <row r="37125" spans="23:23">
      <c r="W37125" s="503"/>
    </row>
    <row r="37126" spans="23:23">
      <c r="W37126" s="503"/>
    </row>
    <row r="37127" spans="23:23">
      <c r="W37127" s="503"/>
    </row>
    <row r="37128" spans="23:23">
      <c r="W37128" s="503"/>
    </row>
    <row r="37129" spans="23:23">
      <c r="W37129" s="503"/>
    </row>
    <row r="37130" spans="23:23">
      <c r="W37130" s="503"/>
    </row>
    <row r="37131" spans="23:23">
      <c r="W37131" s="503"/>
    </row>
    <row r="37132" spans="23:23">
      <c r="W37132" s="503"/>
    </row>
    <row r="37133" spans="23:23">
      <c r="W37133" s="503"/>
    </row>
    <row r="37134" spans="23:23">
      <c r="W37134" s="503"/>
    </row>
    <row r="37135" spans="23:23">
      <c r="W37135" s="503"/>
    </row>
    <row r="37136" spans="23:23">
      <c r="W37136" s="503"/>
    </row>
    <row r="37137" spans="23:23">
      <c r="W37137" s="503"/>
    </row>
    <row r="37138" spans="23:23">
      <c r="W37138" s="503"/>
    </row>
    <row r="37139" spans="23:23">
      <c r="W37139" s="503"/>
    </row>
    <row r="37140" spans="23:23">
      <c r="W37140" s="503"/>
    </row>
    <row r="37141" spans="23:23">
      <c r="W37141" s="503"/>
    </row>
    <row r="37142" spans="23:23">
      <c r="W37142" s="503"/>
    </row>
    <row r="37143" spans="23:23">
      <c r="W37143" s="503"/>
    </row>
    <row r="37144" spans="23:23">
      <c r="W37144" s="503"/>
    </row>
    <row r="37145" spans="23:23">
      <c r="W37145" s="503"/>
    </row>
    <row r="37146" spans="23:23">
      <c r="W37146" s="503"/>
    </row>
    <row r="37147" spans="23:23">
      <c r="W37147" s="503"/>
    </row>
    <row r="37148" spans="23:23">
      <c r="W37148" s="503"/>
    </row>
    <row r="37149" spans="23:23">
      <c r="W37149" s="503"/>
    </row>
    <row r="37150" spans="23:23">
      <c r="W37150" s="503"/>
    </row>
    <row r="37151" spans="23:23">
      <c r="W37151" s="503"/>
    </row>
    <row r="37152" spans="23:23">
      <c r="W37152" s="503"/>
    </row>
    <row r="37153" spans="23:23">
      <c r="W37153" s="503"/>
    </row>
    <row r="37154" spans="23:23">
      <c r="W37154" s="503"/>
    </row>
    <row r="37155" spans="23:23">
      <c r="W37155" s="503"/>
    </row>
    <row r="37156" spans="23:23">
      <c r="W37156" s="503"/>
    </row>
    <row r="37157" spans="23:23">
      <c r="W37157" s="503"/>
    </row>
    <row r="37158" spans="23:23">
      <c r="W37158" s="503"/>
    </row>
    <row r="37159" spans="23:23">
      <c r="W37159" s="503"/>
    </row>
    <row r="37160" spans="23:23">
      <c r="W37160" s="503"/>
    </row>
    <row r="37161" spans="23:23">
      <c r="W37161" s="503"/>
    </row>
    <row r="37162" spans="23:23">
      <c r="W37162" s="503"/>
    </row>
    <row r="37163" spans="23:23">
      <c r="W37163" s="503"/>
    </row>
    <row r="37164" spans="23:23">
      <c r="W37164" s="503"/>
    </row>
    <row r="37165" spans="23:23">
      <c r="W37165" s="503"/>
    </row>
    <row r="37166" spans="23:23">
      <c r="W37166" s="503"/>
    </row>
    <row r="37167" spans="23:23">
      <c r="W37167" s="503"/>
    </row>
    <row r="37168" spans="23:23">
      <c r="W37168" s="503"/>
    </row>
    <row r="37169" spans="23:23">
      <c r="W37169" s="503"/>
    </row>
    <row r="37170" spans="23:23">
      <c r="W37170" s="503"/>
    </row>
    <row r="37171" spans="23:23">
      <c r="W37171" s="503"/>
    </row>
    <row r="37172" spans="23:23">
      <c r="W37172" s="503"/>
    </row>
    <row r="37173" spans="23:23">
      <c r="W37173" s="503"/>
    </row>
    <row r="37174" spans="23:23">
      <c r="W37174" s="503"/>
    </row>
    <row r="37175" spans="23:23">
      <c r="W37175" s="503"/>
    </row>
    <row r="37176" spans="23:23">
      <c r="W37176" s="503"/>
    </row>
    <row r="37177" spans="23:23">
      <c r="W37177" s="503"/>
    </row>
    <row r="37178" spans="23:23">
      <c r="W37178" s="503"/>
    </row>
    <row r="37179" spans="23:23">
      <c r="W37179" s="503"/>
    </row>
    <row r="37180" spans="23:23">
      <c r="W37180" s="503"/>
    </row>
    <row r="37181" spans="23:23">
      <c r="W37181" s="503"/>
    </row>
    <row r="37182" spans="23:23">
      <c r="W37182" s="503"/>
    </row>
    <row r="37183" spans="23:23">
      <c r="W37183" s="503"/>
    </row>
    <row r="37184" spans="23:23">
      <c r="W37184" s="503"/>
    </row>
    <row r="37185" spans="23:23">
      <c r="W37185" s="503"/>
    </row>
    <row r="37186" spans="23:23">
      <c r="W37186" s="503"/>
    </row>
    <row r="37187" spans="23:23">
      <c r="W37187" s="503"/>
    </row>
    <row r="37188" spans="23:23">
      <c r="W37188" s="503"/>
    </row>
    <row r="37189" spans="23:23">
      <c r="W37189" s="503"/>
    </row>
    <row r="37190" spans="23:23">
      <c r="W37190" s="503"/>
    </row>
    <row r="37191" spans="23:23">
      <c r="W37191" s="503"/>
    </row>
    <row r="37192" spans="23:23">
      <c r="W37192" s="503"/>
    </row>
    <row r="37193" spans="23:23">
      <c r="W37193" s="503"/>
    </row>
    <row r="37194" spans="23:23">
      <c r="W37194" s="503"/>
    </row>
    <row r="37195" spans="23:23">
      <c r="W37195" s="503"/>
    </row>
    <row r="37196" spans="23:23">
      <c r="W37196" s="503"/>
    </row>
    <row r="37197" spans="23:23">
      <c r="W37197" s="503"/>
    </row>
    <row r="37198" spans="23:23">
      <c r="W37198" s="503"/>
    </row>
    <row r="37199" spans="23:23">
      <c r="W37199" s="503"/>
    </row>
    <row r="37200" spans="23:23">
      <c r="W37200" s="503"/>
    </row>
    <row r="37201" spans="23:23">
      <c r="W37201" s="503"/>
    </row>
    <row r="37202" spans="23:23">
      <c r="W37202" s="503"/>
    </row>
    <row r="37203" spans="23:23">
      <c r="W37203" s="503"/>
    </row>
    <row r="37204" spans="23:23">
      <c r="W37204" s="503"/>
    </row>
    <row r="37205" spans="23:23">
      <c r="W37205" s="503"/>
    </row>
    <row r="37206" spans="23:23">
      <c r="W37206" s="503"/>
    </row>
    <row r="37207" spans="23:23">
      <c r="W37207" s="503"/>
    </row>
    <row r="37208" spans="23:23">
      <c r="W37208" s="503"/>
    </row>
    <row r="37209" spans="23:23">
      <c r="W37209" s="503"/>
    </row>
    <row r="37210" spans="23:23">
      <c r="W37210" s="503"/>
    </row>
    <row r="37211" spans="23:23">
      <c r="W37211" s="503"/>
    </row>
    <row r="37212" spans="23:23">
      <c r="W37212" s="503"/>
    </row>
    <row r="37213" spans="23:23">
      <c r="W37213" s="503"/>
    </row>
    <row r="37214" spans="23:23">
      <c r="W37214" s="503"/>
    </row>
    <row r="37215" spans="23:23">
      <c r="W37215" s="503"/>
    </row>
    <row r="37216" spans="23:23">
      <c r="W37216" s="503"/>
    </row>
    <row r="37217" spans="23:23">
      <c r="W37217" s="503"/>
    </row>
    <row r="37218" spans="23:23">
      <c r="W37218" s="503"/>
    </row>
    <row r="37219" spans="23:23">
      <c r="W37219" s="503"/>
    </row>
    <row r="37220" spans="23:23">
      <c r="W37220" s="503"/>
    </row>
    <row r="37221" spans="23:23">
      <c r="W37221" s="503"/>
    </row>
    <row r="37222" spans="23:23">
      <c r="W37222" s="503"/>
    </row>
    <row r="37223" spans="23:23">
      <c r="W37223" s="503"/>
    </row>
    <row r="37224" spans="23:23">
      <c r="W37224" s="503"/>
    </row>
    <row r="37225" spans="23:23">
      <c r="W37225" s="503"/>
    </row>
    <row r="37226" spans="23:23">
      <c r="W37226" s="503"/>
    </row>
    <row r="37227" spans="23:23">
      <c r="W37227" s="503"/>
    </row>
    <row r="37228" spans="23:23">
      <c r="W37228" s="503"/>
    </row>
    <row r="37229" spans="23:23">
      <c r="W37229" s="503"/>
    </row>
    <row r="37230" spans="23:23">
      <c r="W37230" s="503"/>
    </row>
    <row r="37231" spans="23:23">
      <c r="W37231" s="503"/>
    </row>
    <row r="37232" spans="23:23">
      <c r="W37232" s="503"/>
    </row>
    <row r="37233" spans="23:23">
      <c r="W37233" s="503"/>
    </row>
    <row r="37234" spans="23:23">
      <c r="W37234" s="503"/>
    </row>
    <row r="37235" spans="23:23">
      <c r="W37235" s="503"/>
    </row>
    <row r="37236" spans="23:23">
      <c r="W37236" s="503"/>
    </row>
    <row r="37237" spans="23:23">
      <c r="W37237" s="503"/>
    </row>
    <row r="37238" spans="23:23">
      <c r="W37238" s="503"/>
    </row>
    <row r="37239" spans="23:23">
      <c r="W37239" s="503"/>
    </row>
    <row r="37240" spans="23:23">
      <c r="W37240" s="503"/>
    </row>
    <row r="37241" spans="23:23">
      <c r="W37241" s="503"/>
    </row>
    <row r="37242" spans="23:23">
      <c r="W37242" s="503"/>
    </row>
    <row r="37243" spans="23:23">
      <c r="W37243" s="503"/>
    </row>
    <row r="37244" spans="23:23">
      <c r="W37244" s="503"/>
    </row>
    <row r="37245" spans="23:23">
      <c r="W37245" s="503"/>
    </row>
    <row r="37246" spans="23:23">
      <c r="W37246" s="503"/>
    </row>
    <row r="37247" spans="23:23">
      <c r="W37247" s="503"/>
    </row>
    <row r="37248" spans="23:23">
      <c r="W37248" s="503"/>
    </row>
    <row r="37249" spans="23:23">
      <c r="W37249" s="503"/>
    </row>
    <row r="37250" spans="23:23">
      <c r="W37250" s="503"/>
    </row>
    <row r="37251" spans="23:23">
      <c r="W37251" s="503"/>
    </row>
    <row r="37252" spans="23:23">
      <c r="W37252" s="503"/>
    </row>
    <row r="37253" spans="23:23">
      <c r="W37253" s="503"/>
    </row>
    <row r="37254" spans="23:23">
      <c r="W37254" s="503"/>
    </row>
    <row r="37255" spans="23:23">
      <c r="W37255" s="503"/>
    </row>
    <row r="37256" spans="23:23">
      <c r="W37256" s="503"/>
    </row>
    <row r="37257" spans="23:23">
      <c r="W37257" s="503"/>
    </row>
    <row r="37258" spans="23:23">
      <c r="W37258" s="503"/>
    </row>
    <row r="37259" spans="23:23">
      <c r="W37259" s="503"/>
    </row>
    <row r="37260" spans="23:23">
      <c r="W37260" s="503"/>
    </row>
    <row r="37261" spans="23:23">
      <c r="W37261" s="503"/>
    </row>
    <row r="37262" spans="23:23">
      <c r="W37262" s="503"/>
    </row>
    <row r="37263" spans="23:23">
      <c r="W37263" s="503"/>
    </row>
    <row r="37264" spans="23:23">
      <c r="W37264" s="503"/>
    </row>
    <row r="37265" spans="23:23">
      <c r="W37265" s="503"/>
    </row>
    <row r="37266" spans="23:23">
      <c r="W37266" s="503"/>
    </row>
    <row r="37267" spans="23:23">
      <c r="W37267" s="503"/>
    </row>
    <row r="37268" spans="23:23">
      <c r="W37268" s="503"/>
    </row>
    <row r="37269" spans="23:23">
      <c r="W37269" s="503"/>
    </row>
    <row r="37270" spans="23:23">
      <c r="W37270" s="503"/>
    </row>
    <row r="37271" spans="23:23">
      <c r="W37271" s="503"/>
    </row>
    <row r="37272" spans="23:23">
      <c r="W37272" s="503"/>
    </row>
    <row r="37273" spans="23:23">
      <c r="W37273" s="503"/>
    </row>
    <row r="37274" spans="23:23">
      <c r="W37274" s="503"/>
    </row>
    <row r="37275" spans="23:23">
      <c r="W37275" s="503"/>
    </row>
    <row r="37276" spans="23:23">
      <c r="W37276" s="503"/>
    </row>
    <row r="37277" spans="23:23">
      <c r="W37277" s="503"/>
    </row>
    <row r="37278" spans="23:23">
      <c r="W37278" s="503"/>
    </row>
    <row r="37279" spans="23:23">
      <c r="W37279" s="503"/>
    </row>
    <row r="37280" spans="23:23">
      <c r="W37280" s="503"/>
    </row>
    <row r="37281" spans="23:23">
      <c r="W37281" s="503"/>
    </row>
    <row r="37282" spans="23:23">
      <c r="W37282" s="503"/>
    </row>
    <row r="37283" spans="23:23">
      <c r="W37283" s="503"/>
    </row>
    <row r="37284" spans="23:23">
      <c r="W37284" s="503"/>
    </row>
    <row r="37285" spans="23:23">
      <c r="W37285" s="503"/>
    </row>
    <row r="37286" spans="23:23">
      <c r="W37286" s="503"/>
    </row>
    <row r="37287" spans="23:23">
      <c r="W37287" s="503"/>
    </row>
    <row r="37288" spans="23:23">
      <c r="W37288" s="503"/>
    </row>
    <row r="37289" spans="23:23">
      <c r="W37289" s="503"/>
    </row>
    <row r="37290" spans="23:23">
      <c r="W37290" s="503"/>
    </row>
    <row r="37291" spans="23:23">
      <c r="W37291" s="503"/>
    </row>
    <row r="37292" spans="23:23">
      <c r="W37292" s="503"/>
    </row>
    <row r="37293" spans="23:23">
      <c r="W37293" s="503"/>
    </row>
    <row r="37294" spans="23:23">
      <c r="W37294" s="503"/>
    </row>
    <row r="37295" spans="23:23">
      <c r="W37295" s="503"/>
    </row>
    <row r="37296" spans="23:23">
      <c r="W37296" s="503"/>
    </row>
    <row r="37297" spans="23:23">
      <c r="W37297" s="503"/>
    </row>
    <row r="37298" spans="23:23">
      <c r="W37298" s="503"/>
    </row>
    <row r="37299" spans="23:23">
      <c r="W37299" s="503"/>
    </row>
    <row r="37300" spans="23:23">
      <c r="W37300" s="503"/>
    </row>
    <row r="37301" spans="23:23">
      <c r="W37301" s="503"/>
    </row>
    <row r="37302" spans="23:23">
      <c r="W37302" s="503"/>
    </row>
    <row r="37303" spans="23:23">
      <c r="W37303" s="503"/>
    </row>
    <row r="37304" spans="23:23">
      <c r="W37304" s="503"/>
    </row>
    <row r="37305" spans="23:23">
      <c r="W37305" s="503"/>
    </row>
    <row r="37306" spans="23:23">
      <c r="W37306" s="503"/>
    </row>
    <row r="37307" spans="23:23">
      <c r="W37307" s="503"/>
    </row>
    <row r="37308" spans="23:23">
      <c r="W37308" s="503"/>
    </row>
    <row r="37309" spans="23:23">
      <c r="W37309" s="503"/>
    </row>
    <row r="37310" spans="23:23">
      <c r="W37310" s="503"/>
    </row>
    <row r="37311" spans="23:23">
      <c r="W37311" s="503"/>
    </row>
    <row r="37312" spans="23:23">
      <c r="W37312" s="503"/>
    </row>
    <row r="37313" spans="23:23">
      <c r="W37313" s="503"/>
    </row>
    <row r="37314" spans="23:23">
      <c r="W37314" s="503"/>
    </row>
    <row r="37315" spans="23:23">
      <c r="W37315" s="503"/>
    </row>
    <row r="37316" spans="23:23">
      <c r="W37316" s="503"/>
    </row>
    <row r="37317" spans="23:23">
      <c r="W37317" s="503"/>
    </row>
    <row r="37318" spans="23:23">
      <c r="W37318" s="503"/>
    </row>
    <row r="37319" spans="23:23">
      <c r="W37319" s="503"/>
    </row>
    <row r="37320" spans="23:23">
      <c r="W37320" s="503"/>
    </row>
    <row r="37321" spans="23:23">
      <c r="W37321" s="503"/>
    </row>
    <row r="37322" spans="23:23">
      <c r="W37322" s="503"/>
    </row>
    <row r="37323" spans="23:23">
      <c r="W37323" s="503"/>
    </row>
    <row r="37324" spans="23:23">
      <c r="W37324" s="503"/>
    </row>
    <row r="37325" spans="23:23">
      <c r="W37325" s="503"/>
    </row>
    <row r="37326" spans="23:23">
      <c r="W37326" s="503"/>
    </row>
    <row r="37327" spans="23:23">
      <c r="W37327" s="503"/>
    </row>
    <row r="37328" spans="23:23">
      <c r="W37328" s="503"/>
    </row>
    <row r="37329" spans="23:23">
      <c r="W37329" s="503"/>
    </row>
    <row r="37330" spans="23:23">
      <c r="W37330" s="503"/>
    </row>
    <row r="37331" spans="23:23">
      <c r="W37331" s="503"/>
    </row>
    <row r="37332" spans="23:23">
      <c r="W37332" s="503"/>
    </row>
    <row r="37333" spans="23:23">
      <c r="W37333" s="503"/>
    </row>
    <row r="37334" spans="23:23">
      <c r="W37334" s="503"/>
    </row>
    <row r="37335" spans="23:23">
      <c r="W37335" s="503"/>
    </row>
    <row r="37336" spans="23:23">
      <c r="W37336" s="503"/>
    </row>
    <row r="37337" spans="23:23">
      <c r="W37337" s="503"/>
    </row>
    <row r="37338" spans="23:23">
      <c r="W37338" s="503"/>
    </row>
    <row r="37339" spans="23:23">
      <c r="W37339" s="503"/>
    </row>
    <row r="37340" spans="23:23">
      <c r="W37340" s="503"/>
    </row>
    <row r="37341" spans="23:23">
      <c r="W37341" s="503"/>
    </row>
    <row r="37342" spans="23:23">
      <c r="W37342" s="503"/>
    </row>
    <row r="37343" spans="23:23">
      <c r="W37343" s="503"/>
    </row>
    <row r="37344" spans="23:23">
      <c r="W37344" s="503"/>
    </row>
    <row r="37345" spans="23:23">
      <c r="W37345" s="503"/>
    </row>
    <row r="37346" spans="23:23">
      <c r="W37346" s="503"/>
    </row>
    <row r="37347" spans="23:23">
      <c r="W37347" s="503"/>
    </row>
    <row r="37348" spans="23:23">
      <c r="W37348" s="503"/>
    </row>
    <row r="37349" spans="23:23">
      <c r="W37349" s="503"/>
    </row>
    <row r="37350" spans="23:23">
      <c r="W37350" s="503"/>
    </row>
    <row r="37351" spans="23:23">
      <c r="W37351" s="503"/>
    </row>
    <row r="37352" spans="23:23">
      <c r="W37352" s="503"/>
    </row>
    <row r="37353" spans="23:23">
      <c r="W37353" s="503"/>
    </row>
    <row r="37354" spans="23:23">
      <c r="W37354" s="503"/>
    </row>
    <row r="37355" spans="23:23">
      <c r="W37355" s="503"/>
    </row>
    <row r="37356" spans="23:23">
      <c r="W37356" s="503"/>
    </row>
    <row r="37357" spans="23:23">
      <c r="W37357" s="503"/>
    </row>
    <row r="37358" spans="23:23">
      <c r="W37358" s="503"/>
    </row>
    <row r="37359" spans="23:23">
      <c r="W37359" s="503"/>
    </row>
    <row r="37360" spans="23:23">
      <c r="W37360" s="503"/>
    </row>
    <row r="37361" spans="23:23">
      <c r="W37361" s="503"/>
    </row>
    <row r="37362" spans="23:23">
      <c r="W37362" s="503"/>
    </row>
    <row r="37363" spans="23:23">
      <c r="W37363" s="503"/>
    </row>
    <row r="37364" spans="23:23">
      <c r="W37364" s="503"/>
    </row>
    <row r="37365" spans="23:23">
      <c r="W37365" s="503"/>
    </row>
    <row r="37366" spans="23:23">
      <c r="W37366" s="503"/>
    </row>
    <row r="37367" spans="23:23">
      <c r="W37367" s="503"/>
    </row>
    <row r="37368" spans="23:23">
      <c r="W37368" s="503"/>
    </row>
    <row r="37369" spans="23:23">
      <c r="W37369" s="503"/>
    </row>
    <row r="37370" spans="23:23">
      <c r="W37370" s="503"/>
    </row>
    <row r="37371" spans="23:23">
      <c r="W37371" s="503"/>
    </row>
    <row r="37372" spans="23:23">
      <c r="W37372" s="503"/>
    </row>
    <row r="37373" spans="23:23">
      <c r="W37373" s="503"/>
    </row>
    <row r="37374" spans="23:23">
      <c r="W37374" s="503"/>
    </row>
    <row r="37375" spans="23:23">
      <c r="W37375" s="503"/>
    </row>
    <row r="37376" spans="23:23">
      <c r="W37376" s="503"/>
    </row>
    <row r="37377" spans="23:23">
      <c r="W37377" s="503"/>
    </row>
    <row r="37378" spans="23:23">
      <c r="W37378" s="503"/>
    </row>
    <row r="37379" spans="23:23">
      <c r="W37379" s="503"/>
    </row>
    <row r="37380" spans="23:23">
      <c r="W37380" s="503"/>
    </row>
    <row r="37381" spans="23:23">
      <c r="W37381" s="503"/>
    </row>
    <row r="37382" spans="23:23">
      <c r="W37382" s="503"/>
    </row>
    <row r="37383" spans="23:23">
      <c r="W37383" s="503"/>
    </row>
    <row r="37384" spans="23:23">
      <c r="W37384" s="503"/>
    </row>
    <row r="37385" spans="23:23">
      <c r="W37385" s="503"/>
    </row>
    <row r="37386" spans="23:23">
      <c r="W37386" s="503"/>
    </row>
    <row r="37387" spans="23:23">
      <c r="W37387" s="503"/>
    </row>
    <row r="37388" spans="23:23">
      <c r="W37388" s="503"/>
    </row>
    <row r="37389" spans="23:23">
      <c r="W37389" s="503"/>
    </row>
    <row r="37390" spans="23:23">
      <c r="W37390" s="503"/>
    </row>
    <row r="37391" spans="23:23">
      <c r="W37391" s="503"/>
    </row>
    <row r="37392" spans="23:23">
      <c r="W37392" s="503"/>
    </row>
    <row r="37393" spans="23:23">
      <c r="W37393" s="503"/>
    </row>
    <row r="37394" spans="23:23">
      <c r="W37394" s="503"/>
    </row>
    <row r="37395" spans="23:23">
      <c r="W37395" s="503"/>
    </row>
    <row r="37396" spans="23:23">
      <c r="W37396" s="503"/>
    </row>
    <row r="37397" spans="23:23">
      <c r="W37397" s="503"/>
    </row>
    <row r="37398" spans="23:23">
      <c r="W37398" s="503"/>
    </row>
    <row r="37399" spans="23:23">
      <c r="W37399" s="503"/>
    </row>
    <row r="37400" spans="23:23">
      <c r="W37400" s="503"/>
    </row>
    <row r="37401" spans="23:23">
      <c r="W37401" s="503"/>
    </row>
    <row r="37402" spans="23:23">
      <c r="W37402" s="503"/>
    </row>
    <row r="37403" spans="23:23">
      <c r="W37403" s="503"/>
    </row>
    <row r="37404" spans="23:23">
      <c r="W37404" s="503"/>
    </row>
    <row r="37405" spans="23:23">
      <c r="W37405" s="503"/>
    </row>
    <row r="37406" spans="23:23">
      <c r="W37406" s="503"/>
    </row>
    <row r="37407" spans="23:23">
      <c r="W37407" s="503"/>
    </row>
    <row r="37408" spans="23:23">
      <c r="W37408" s="503"/>
    </row>
    <row r="37409" spans="23:23">
      <c r="W37409" s="503"/>
    </row>
    <row r="37410" spans="23:23">
      <c r="W37410" s="503"/>
    </row>
    <row r="37411" spans="23:23">
      <c r="W37411" s="503"/>
    </row>
    <row r="37412" spans="23:23">
      <c r="W37412" s="503"/>
    </row>
    <row r="37413" spans="23:23">
      <c r="W37413" s="503"/>
    </row>
    <row r="37414" spans="23:23">
      <c r="W37414" s="503"/>
    </row>
    <row r="37415" spans="23:23">
      <c r="W37415" s="503"/>
    </row>
    <row r="37416" spans="23:23">
      <c r="W37416" s="503"/>
    </row>
    <row r="37417" spans="23:23">
      <c r="W37417" s="503"/>
    </row>
    <row r="37418" spans="23:23">
      <c r="W37418" s="503"/>
    </row>
    <row r="37419" spans="23:23">
      <c r="W37419" s="503"/>
    </row>
    <row r="37420" spans="23:23">
      <c r="W37420" s="503"/>
    </row>
    <row r="37421" spans="23:23">
      <c r="W37421" s="503"/>
    </row>
    <row r="37422" spans="23:23">
      <c r="W37422" s="503"/>
    </row>
    <row r="37423" spans="23:23">
      <c r="W37423" s="503"/>
    </row>
    <row r="37424" spans="23:23">
      <c r="W37424" s="503"/>
    </row>
    <row r="37425" spans="23:23">
      <c r="W37425" s="503"/>
    </row>
    <row r="37426" spans="23:23">
      <c r="W37426" s="503"/>
    </row>
    <row r="37427" spans="23:23">
      <c r="W37427" s="503"/>
    </row>
    <row r="37428" spans="23:23">
      <c r="W37428" s="503"/>
    </row>
    <row r="37429" spans="23:23">
      <c r="W37429" s="503"/>
    </row>
    <row r="37430" spans="23:23">
      <c r="W37430" s="503"/>
    </row>
    <row r="37431" spans="23:23">
      <c r="W37431" s="503"/>
    </row>
    <row r="37432" spans="23:23">
      <c r="W37432" s="503"/>
    </row>
    <row r="37433" spans="23:23">
      <c r="W37433" s="503"/>
    </row>
    <row r="37434" spans="23:23">
      <c r="W37434" s="503"/>
    </row>
    <row r="37435" spans="23:23">
      <c r="W37435" s="503"/>
    </row>
    <row r="37436" spans="23:23">
      <c r="W37436" s="503"/>
    </row>
    <row r="37437" spans="23:23">
      <c r="W37437" s="503"/>
    </row>
    <row r="37438" spans="23:23">
      <c r="W37438" s="503"/>
    </row>
    <row r="37439" spans="23:23">
      <c r="W37439" s="503"/>
    </row>
    <row r="37440" spans="23:23">
      <c r="W37440" s="503"/>
    </row>
    <row r="37441" spans="23:23">
      <c r="W37441" s="503"/>
    </row>
    <row r="37442" spans="23:23">
      <c r="W37442" s="503"/>
    </row>
    <row r="37443" spans="23:23">
      <c r="W37443" s="503"/>
    </row>
    <row r="37444" spans="23:23">
      <c r="W37444" s="503"/>
    </row>
    <row r="37445" spans="23:23">
      <c r="W37445" s="503"/>
    </row>
    <row r="37446" spans="23:23">
      <c r="W37446" s="503"/>
    </row>
    <row r="37447" spans="23:23">
      <c r="W37447" s="503"/>
    </row>
    <row r="37448" spans="23:23">
      <c r="W37448" s="503"/>
    </row>
    <row r="37449" spans="23:23">
      <c r="W37449" s="503"/>
    </row>
    <row r="37450" spans="23:23">
      <c r="W37450" s="503"/>
    </row>
    <row r="37451" spans="23:23">
      <c r="W37451" s="503"/>
    </row>
    <row r="37452" spans="23:23">
      <c r="W37452" s="503"/>
    </row>
    <row r="37453" spans="23:23">
      <c r="W37453" s="503"/>
    </row>
    <row r="37454" spans="23:23">
      <c r="W37454" s="503"/>
    </row>
    <row r="37455" spans="23:23">
      <c r="W37455" s="503"/>
    </row>
    <row r="37456" spans="23:23">
      <c r="W37456" s="503"/>
    </row>
    <row r="37457" spans="23:23">
      <c r="W37457" s="503"/>
    </row>
    <row r="37458" spans="23:23">
      <c r="W37458" s="503"/>
    </row>
    <row r="37459" spans="23:23">
      <c r="W37459" s="503"/>
    </row>
    <row r="37460" spans="23:23">
      <c r="W37460" s="503"/>
    </row>
    <row r="37461" spans="23:23">
      <c r="W37461" s="503"/>
    </row>
    <row r="37462" spans="23:23">
      <c r="W37462" s="503"/>
    </row>
    <row r="37463" spans="23:23">
      <c r="W37463" s="503"/>
    </row>
    <row r="37464" spans="23:23">
      <c r="W37464" s="503"/>
    </row>
    <row r="37465" spans="23:23">
      <c r="W37465" s="503"/>
    </row>
    <row r="37466" spans="23:23">
      <c r="W37466" s="503"/>
    </row>
    <row r="37467" spans="23:23">
      <c r="W37467" s="503"/>
    </row>
    <row r="37468" spans="23:23">
      <c r="W37468" s="503"/>
    </row>
    <row r="37469" spans="23:23">
      <c r="W37469" s="503"/>
    </row>
    <row r="37470" spans="23:23">
      <c r="W37470" s="503"/>
    </row>
    <row r="37471" spans="23:23">
      <c r="W37471" s="503"/>
    </row>
    <row r="37472" spans="23:23">
      <c r="W37472" s="503"/>
    </row>
    <row r="37473" spans="23:23">
      <c r="W37473" s="503"/>
    </row>
    <row r="37474" spans="23:23">
      <c r="W37474" s="503"/>
    </row>
    <row r="37475" spans="23:23">
      <c r="W37475" s="503"/>
    </row>
    <row r="37476" spans="23:23">
      <c r="W37476" s="503"/>
    </row>
    <row r="37477" spans="23:23">
      <c r="W37477" s="503"/>
    </row>
    <row r="37478" spans="23:23">
      <c r="W37478" s="503"/>
    </row>
    <row r="37479" spans="23:23">
      <c r="W37479" s="503"/>
    </row>
    <row r="37480" spans="23:23">
      <c r="W37480" s="503"/>
    </row>
    <row r="37481" spans="23:23">
      <c r="W37481" s="503"/>
    </row>
    <row r="37482" spans="23:23">
      <c r="W37482" s="503"/>
    </row>
    <row r="37483" spans="23:23">
      <c r="W37483" s="503"/>
    </row>
    <row r="37484" spans="23:23">
      <c r="W37484" s="503"/>
    </row>
    <row r="37485" spans="23:23">
      <c r="W37485" s="503"/>
    </row>
    <row r="37486" spans="23:23">
      <c r="W37486" s="503"/>
    </row>
    <row r="37487" spans="23:23">
      <c r="W37487" s="503"/>
    </row>
    <row r="37488" spans="23:23">
      <c r="W37488" s="503"/>
    </row>
    <row r="37489" spans="23:23">
      <c r="W37489" s="503"/>
    </row>
    <row r="37490" spans="23:23">
      <c r="W37490" s="503"/>
    </row>
    <row r="37491" spans="23:23">
      <c r="W37491" s="503"/>
    </row>
    <row r="37492" spans="23:23">
      <c r="W37492" s="503"/>
    </row>
    <row r="37493" spans="23:23">
      <c r="W37493" s="503"/>
    </row>
    <row r="37494" spans="23:23">
      <c r="W37494" s="503"/>
    </row>
    <row r="37495" spans="23:23">
      <c r="W37495" s="503"/>
    </row>
    <row r="37496" spans="23:23">
      <c r="W37496" s="503"/>
    </row>
    <row r="37497" spans="23:23">
      <c r="W37497" s="503"/>
    </row>
    <row r="37498" spans="23:23">
      <c r="W37498" s="503"/>
    </row>
    <row r="37499" spans="23:23">
      <c r="W37499" s="503"/>
    </row>
    <row r="37500" spans="23:23">
      <c r="W37500" s="503"/>
    </row>
    <row r="37501" spans="23:23">
      <c r="W37501" s="503"/>
    </row>
    <row r="37502" spans="23:23">
      <c r="W37502" s="503"/>
    </row>
    <row r="37503" spans="23:23">
      <c r="W37503" s="503"/>
    </row>
    <row r="37504" spans="23:23">
      <c r="W37504" s="503"/>
    </row>
    <row r="37505" spans="23:23">
      <c r="W37505" s="503"/>
    </row>
    <row r="37506" spans="23:23">
      <c r="W37506" s="503"/>
    </row>
    <row r="37507" spans="23:23">
      <c r="W37507" s="503"/>
    </row>
    <row r="37508" spans="23:23">
      <c r="W37508" s="503"/>
    </row>
    <row r="37509" spans="23:23">
      <c r="W37509" s="503"/>
    </row>
    <row r="37510" spans="23:23">
      <c r="W37510" s="503"/>
    </row>
    <row r="37511" spans="23:23">
      <c r="W37511" s="503"/>
    </row>
    <row r="37512" spans="23:23">
      <c r="W37512" s="503"/>
    </row>
    <row r="37513" spans="23:23">
      <c r="W37513" s="503"/>
    </row>
    <row r="37514" spans="23:23">
      <c r="W37514" s="503"/>
    </row>
    <row r="37515" spans="23:23">
      <c r="W37515" s="503"/>
    </row>
    <row r="37516" spans="23:23">
      <c r="W37516" s="503"/>
    </row>
    <row r="37517" spans="23:23">
      <c r="W37517" s="503"/>
    </row>
    <row r="37518" spans="23:23">
      <c r="W37518" s="503"/>
    </row>
    <row r="37519" spans="23:23">
      <c r="W37519" s="503"/>
    </row>
    <row r="37520" spans="23:23">
      <c r="W37520" s="503"/>
    </row>
    <row r="37521" spans="23:23">
      <c r="W37521" s="503"/>
    </row>
    <row r="37522" spans="23:23">
      <c r="W37522" s="503"/>
    </row>
    <row r="37523" spans="23:23">
      <c r="W37523" s="503"/>
    </row>
    <row r="37524" spans="23:23">
      <c r="W37524" s="503"/>
    </row>
    <row r="37525" spans="23:23">
      <c r="W37525" s="503"/>
    </row>
    <row r="37526" spans="23:23">
      <c r="W37526" s="503"/>
    </row>
    <row r="37527" spans="23:23">
      <c r="W37527" s="503"/>
    </row>
    <row r="37528" spans="23:23">
      <c r="W37528" s="503"/>
    </row>
    <row r="37529" spans="23:23">
      <c r="W37529" s="503"/>
    </row>
    <row r="37530" spans="23:23">
      <c r="W37530" s="503"/>
    </row>
    <row r="37531" spans="23:23">
      <c r="W37531" s="503"/>
    </row>
    <row r="37532" spans="23:23">
      <c r="W37532" s="503"/>
    </row>
    <row r="37533" spans="23:23">
      <c r="W37533" s="503"/>
    </row>
    <row r="37534" spans="23:23">
      <c r="W37534" s="503"/>
    </row>
    <row r="37535" spans="23:23">
      <c r="W37535" s="503"/>
    </row>
    <row r="37536" spans="23:23">
      <c r="W37536" s="503"/>
    </row>
    <row r="37537" spans="23:23">
      <c r="W37537" s="503"/>
    </row>
    <row r="37538" spans="23:23">
      <c r="W37538" s="503"/>
    </row>
    <row r="37539" spans="23:23">
      <c r="W37539" s="503"/>
    </row>
    <row r="37540" spans="23:23">
      <c r="W37540" s="503"/>
    </row>
    <row r="37541" spans="23:23">
      <c r="W37541" s="503"/>
    </row>
    <row r="37542" spans="23:23">
      <c r="W37542" s="503"/>
    </row>
    <row r="37543" spans="23:23">
      <c r="W37543" s="503"/>
    </row>
    <row r="37544" spans="23:23">
      <c r="W37544" s="503"/>
    </row>
    <row r="37545" spans="23:23">
      <c r="W37545" s="503"/>
    </row>
    <row r="37546" spans="23:23">
      <c r="W37546" s="503"/>
    </row>
    <row r="37547" spans="23:23">
      <c r="W37547" s="503"/>
    </row>
    <row r="37548" spans="23:23">
      <c r="W37548" s="503"/>
    </row>
    <row r="37549" spans="23:23">
      <c r="W37549" s="503"/>
    </row>
    <row r="37550" spans="23:23">
      <c r="W37550" s="503"/>
    </row>
    <row r="37551" spans="23:23">
      <c r="W37551" s="503"/>
    </row>
    <row r="37552" spans="23:23">
      <c r="W37552" s="503"/>
    </row>
    <row r="37553" spans="23:23">
      <c r="W37553" s="503"/>
    </row>
    <row r="37554" spans="23:23">
      <c r="W37554" s="503"/>
    </row>
    <row r="37555" spans="23:23">
      <c r="W37555" s="503"/>
    </row>
    <row r="37556" spans="23:23">
      <c r="W37556" s="503"/>
    </row>
    <row r="37557" spans="23:23">
      <c r="W37557" s="503"/>
    </row>
    <row r="37558" spans="23:23">
      <c r="W37558" s="503"/>
    </row>
    <row r="37559" spans="23:23">
      <c r="W37559" s="503"/>
    </row>
    <row r="37560" spans="23:23">
      <c r="W37560" s="503"/>
    </row>
    <row r="37561" spans="23:23">
      <c r="W37561" s="503"/>
    </row>
    <row r="37562" spans="23:23">
      <c r="W37562" s="503"/>
    </row>
    <row r="37563" spans="23:23">
      <c r="W37563" s="503"/>
    </row>
    <row r="37564" spans="23:23">
      <c r="W37564" s="503"/>
    </row>
    <row r="37565" spans="23:23">
      <c r="W37565" s="503"/>
    </row>
    <row r="37566" spans="23:23">
      <c r="W37566" s="503"/>
    </row>
    <row r="37567" spans="23:23">
      <c r="W37567" s="503"/>
    </row>
    <row r="37568" spans="23:23">
      <c r="W37568" s="503"/>
    </row>
    <row r="37569" spans="23:23">
      <c r="W37569" s="503"/>
    </row>
    <row r="37570" spans="23:23">
      <c r="W37570" s="503"/>
    </row>
    <row r="37571" spans="23:23">
      <c r="W37571" s="503"/>
    </row>
    <row r="37572" spans="23:23">
      <c r="W37572" s="503"/>
    </row>
    <row r="37573" spans="23:23">
      <c r="W37573" s="503"/>
    </row>
    <row r="37574" spans="23:23">
      <c r="W37574" s="503"/>
    </row>
    <row r="37575" spans="23:23">
      <c r="W37575" s="503"/>
    </row>
    <row r="37576" spans="23:23">
      <c r="W37576" s="503"/>
    </row>
    <row r="37577" spans="23:23">
      <c r="W37577" s="503"/>
    </row>
    <row r="37578" spans="23:23">
      <c r="W37578" s="503"/>
    </row>
    <row r="37579" spans="23:23">
      <c r="W37579" s="503"/>
    </row>
    <row r="37580" spans="23:23">
      <c r="W37580" s="503"/>
    </row>
    <row r="37581" spans="23:23">
      <c r="W37581" s="503"/>
    </row>
    <row r="37582" spans="23:23">
      <c r="W37582" s="503"/>
    </row>
    <row r="37583" spans="23:23">
      <c r="W37583" s="503"/>
    </row>
    <row r="37584" spans="23:23">
      <c r="W37584" s="503"/>
    </row>
    <row r="37585" spans="23:23">
      <c r="W37585" s="503"/>
    </row>
    <row r="37586" spans="23:23">
      <c r="W37586" s="503"/>
    </row>
    <row r="37587" spans="23:23">
      <c r="W37587" s="503"/>
    </row>
    <row r="37588" spans="23:23">
      <c r="W37588" s="503"/>
    </row>
    <row r="37589" spans="23:23">
      <c r="W37589" s="503"/>
    </row>
    <row r="37590" spans="23:23">
      <c r="W37590" s="503"/>
    </row>
    <row r="37591" spans="23:23">
      <c r="W37591" s="503"/>
    </row>
    <row r="37592" spans="23:23">
      <c r="W37592" s="503"/>
    </row>
    <row r="37593" spans="23:23">
      <c r="W37593" s="503"/>
    </row>
    <row r="37594" spans="23:23">
      <c r="W37594" s="503"/>
    </row>
    <row r="37595" spans="23:23">
      <c r="W37595" s="503"/>
    </row>
    <row r="37596" spans="23:23">
      <c r="W37596" s="503"/>
    </row>
    <row r="37597" spans="23:23">
      <c r="W37597" s="503"/>
    </row>
    <row r="37598" spans="23:23">
      <c r="W37598" s="503"/>
    </row>
    <row r="37599" spans="23:23">
      <c r="W37599" s="503"/>
    </row>
    <row r="37600" spans="23:23">
      <c r="W37600" s="503"/>
    </row>
    <row r="37601" spans="23:23">
      <c r="W37601" s="503"/>
    </row>
    <row r="37602" spans="23:23">
      <c r="W37602" s="503"/>
    </row>
    <row r="37603" spans="23:23">
      <c r="W37603" s="503"/>
    </row>
    <row r="37604" spans="23:23">
      <c r="W37604" s="503"/>
    </row>
    <row r="37605" spans="23:23">
      <c r="W37605" s="503"/>
    </row>
    <row r="37606" spans="23:23">
      <c r="W37606" s="503"/>
    </row>
    <row r="37607" spans="23:23">
      <c r="W37607" s="503"/>
    </row>
    <row r="37608" spans="23:23">
      <c r="W37608" s="503"/>
    </row>
    <row r="37609" spans="23:23">
      <c r="W37609" s="503"/>
    </row>
    <row r="37610" spans="23:23">
      <c r="W37610" s="503"/>
    </row>
    <row r="37611" spans="23:23">
      <c r="W37611" s="503"/>
    </row>
    <row r="37612" spans="23:23">
      <c r="W37612" s="503"/>
    </row>
    <row r="37613" spans="23:23">
      <c r="W37613" s="503"/>
    </row>
    <row r="37614" spans="23:23">
      <c r="W37614" s="503"/>
    </row>
    <row r="37615" spans="23:23">
      <c r="W37615" s="503"/>
    </row>
    <row r="37616" spans="23:23">
      <c r="W37616" s="503"/>
    </row>
    <row r="37617" spans="23:23">
      <c r="W37617" s="503"/>
    </row>
    <row r="37618" spans="23:23">
      <c r="W37618" s="503"/>
    </row>
    <row r="37619" spans="23:23">
      <c r="W37619" s="503"/>
    </row>
    <row r="37620" spans="23:23">
      <c r="W37620" s="503"/>
    </row>
    <row r="37621" spans="23:23">
      <c r="W37621" s="503"/>
    </row>
    <row r="37622" spans="23:23">
      <c r="W37622" s="503"/>
    </row>
    <row r="37623" spans="23:23">
      <c r="W37623" s="503"/>
    </row>
    <row r="37624" spans="23:23">
      <c r="W37624" s="503"/>
    </row>
    <row r="37625" spans="23:23">
      <c r="W37625" s="503"/>
    </row>
    <row r="37626" spans="23:23">
      <c r="W37626" s="503"/>
    </row>
    <row r="37627" spans="23:23">
      <c r="W37627" s="503"/>
    </row>
    <row r="37628" spans="23:23">
      <c r="W37628" s="503"/>
    </row>
    <row r="37629" spans="23:23">
      <c r="W37629" s="503"/>
    </row>
    <row r="37630" spans="23:23">
      <c r="W37630" s="503"/>
    </row>
    <row r="37631" spans="23:23">
      <c r="W37631" s="503"/>
    </row>
    <row r="37632" spans="23:23">
      <c r="W37632" s="503"/>
    </row>
    <row r="37633" spans="23:23">
      <c r="W37633" s="503"/>
    </row>
    <row r="37634" spans="23:23">
      <c r="W37634" s="503"/>
    </row>
    <row r="37635" spans="23:23">
      <c r="W37635" s="503"/>
    </row>
    <row r="37636" spans="23:23">
      <c r="W37636" s="503"/>
    </row>
    <row r="37637" spans="23:23">
      <c r="W37637" s="503"/>
    </row>
    <row r="37638" spans="23:23">
      <c r="W37638" s="503"/>
    </row>
    <row r="37639" spans="23:23">
      <c r="W37639" s="503"/>
    </row>
    <row r="37640" spans="23:23">
      <c r="W37640" s="503"/>
    </row>
    <row r="37641" spans="23:23">
      <c r="W37641" s="503"/>
    </row>
    <row r="37642" spans="23:23">
      <c r="W37642" s="503"/>
    </row>
    <row r="37643" spans="23:23">
      <c r="W37643" s="503"/>
    </row>
    <row r="37644" spans="23:23">
      <c r="W37644" s="503"/>
    </row>
    <row r="37645" spans="23:23">
      <c r="W37645" s="503"/>
    </row>
    <row r="37646" spans="23:23">
      <c r="W37646" s="503"/>
    </row>
    <row r="37647" spans="23:23">
      <c r="W37647" s="503"/>
    </row>
    <row r="37648" spans="23:23">
      <c r="W37648" s="503"/>
    </row>
    <row r="37649" spans="23:23">
      <c r="W37649" s="503"/>
    </row>
    <row r="37650" spans="23:23">
      <c r="W37650" s="503"/>
    </row>
    <row r="37651" spans="23:23">
      <c r="W37651" s="503"/>
    </row>
    <row r="37652" spans="23:23">
      <c r="W37652" s="503"/>
    </row>
    <row r="37653" spans="23:23">
      <c r="W37653" s="503"/>
    </row>
    <row r="37654" spans="23:23">
      <c r="W37654" s="503"/>
    </row>
    <row r="37655" spans="23:23">
      <c r="W37655" s="503"/>
    </row>
    <row r="37656" spans="23:23">
      <c r="W37656" s="503"/>
    </row>
    <row r="37657" spans="23:23">
      <c r="W37657" s="503"/>
    </row>
    <row r="37658" spans="23:23">
      <c r="W37658" s="503"/>
    </row>
    <row r="37659" spans="23:23">
      <c r="W37659" s="503"/>
    </row>
    <row r="37660" spans="23:23">
      <c r="W37660" s="503"/>
    </row>
    <row r="37661" spans="23:23">
      <c r="W37661" s="503"/>
    </row>
    <row r="37662" spans="23:23">
      <c r="W37662" s="503"/>
    </row>
    <row r="37663" spans="23:23">
      <c r="W37663" s="503"/>
    </row>
    <row r="37664" spans="23:23">
      <c r="W37664" s="503"/>
    </row>
    <row r="37665" spans="23:23">
      <c r="W37665" s="503"/>
    </row>
    <row r="37666" spans="23:23">
      <c r="W37666" s="503"/>
    </row>
    <row r="37667" spans="23:23">
      <c r="W37667" s="503"/>
    </row>
    <row r="37668" spans="23:23">
      <c r="W37668" s="503"/>
    </row>
    <row r="37669" spans="23:23">
      <c r="W37669" s="503"/>
    </row>
    <row r="37670" spans="23:23">
      <c r="W37670" s="503"/>
    </row>
    <row r="37671" spans="23:23">
      <c r="W37671" s="503"/>
    </row>
    <row r="37672" spans="23:23">
      <c r="W37672" s="503"/>
    </row>
    <row r="37673" spans="23:23">
      <c r="W37673" s="503"/>
    </row>
    <row r="37674" spans="23:23">
      <c r="W37674" s="503"/>
    </row>
    <row r="37675" spans="23:23">
      <c r="W37675" s="503"/>
    </row>
    <row r="37676" spans="23:23">
      <c r="W37676" s="503"/>
    </row>
    <row r="37677" spans="23:23">
      <c r="W37677" s="503"/>
    </row>
    <row r="37678" spans="23:23">
      <c r="W37678" s="503"/>
    </row>
    <row r="37679" spans="23:23">
      <c r="W37679" s="503"/>
    </row>
    <row r="37680" spans="23:23">
      <c r="W37680" s="503"/>
    </row>
    <row r="37681" spans="23:23">
      <c r="W37681" s="503"/>
    </row>
    <row r="37682" spans="23:23">
      <c r="W37682" s="503"/>
    </row>
    <row r="37683" spans="23:23">
      <c r="W37683" s="503"/>
    </row>
    <row r="37684" spans="23:23">
      <c r="W37684" s="503"/>
    </row>
    <row r="37685" spans="23:23">
      <c r="W37685" s="503"/>
    </row>
    <row r="37686" spans="23:23">
      <c r="W37686" s="503"/>
    </row>
    <row r="37687" spans="23:23">
      <c r="W37687" s="503"/>
    </row>
    <row r="37688" spans="23:23">
      <c r="W37688" s="503"/>
    </row>
    <row r="37689" spans="23:23">
      <c r="W37689" s="503"/>
    </row>
    <row r="37690" spans="23:23">
      <c r="W37690" s="503"/>
    </row>
    <row r="37691" spans="23:23">
      <c r="W37691" s="503"/>
    </row>
    <row r="37692" spans="23:23">
      <c r="W37692" s="503"/>
    </row>
    <row r="37693" spans="23:23">
      <c r="W37693" s="503"/>
    </row>
    <row r="37694" spans="23:23">
      <c r="W37694" s="503"/>
    </row>
    <row r="37695" spans="23:23">
      <c r="W37695" s="503"/>
    </row>
    <row r="37696" spans="23:23">
      <c r="W37696" s="503"/>
    </row>
    <row r="37697" spans="23:23">
      <c r="W37697" s="503"/>
    </row>
    <row r="37698" spans="23:23">
      <c r="W37698" s="503"/>
    </row>
    <row r="37699" spans="23:23">
      <c r="W37699" s="503"/>
    </row>
    <row r="37700" spans="23:23">
      <c r="W37700" s="503"/>
    </row>
    <row r="37701" spans="23:23">
      <c r="W37701" s="503"/>
    </row>
    <row r="37702" spans="23:23">
      <c r="W37702" s="503"/>
    </row>
    <row r="37703" spans="23:23">
      <c r="W37703" s="503"/>
    </row>
    <row r="37704" spans="23:23">
      <c r="W37704" s="503"/>
    </row>
    <row r="37705" spans="23:23">
      <c r="W37705" s="503"/>
    </row>
    <row r="37706" spans="23:23">
      <c r="W37706" s="503"/>
    </row>
    <row r="37707" spans="23:23">
      <c r="W37707" s="503"/>
    </row>
    <row r="37708" spans="23:23">
      <c r="W37708" s="503"/>
    </row>
    <row r="37709" spans="23:23">
      <c r="W37709" s="503"/>
    </row>
    <row r="37710" spans="23:23">
      <c r="W37710" s="503"/>
    </row>
    <row r="37711" spans="23:23">
      <c r="W37711" s="503"/>
    </row>
    <row r="37712" spans="23:23">
      <c r="W37712" s="503"/>
    </row>
    <row r="37713" spans="23:23">
      <c r="W37713" s="503"/>
    </row>
    <row r="37714" spans="23:23">
      <c r="W37714" s="503"/>
    </row>
    <row r="37715" spans="23:23">
      <c r="W37715" s="503"/>
    </row>
    <row r="37716" spans="23:23">
      <c r="W37716" s="503"/>
    </row>
    <row r="37717" spans="23:23">
      <c r="W37717" s="503"/>
    </row>
    <row r="37718" spans="23:23">
      <c r="W37718" s="503"/>
    </row>
    <row r="37719" spans="23:23">
      <c r="W37719" s="503"/>
    </row>
    <row r="37720" spans="23:23">
      <c r="W37720" s="503"/>
    </row>
    <row r="37721" spans="23:23">
      <c r="W37721" s="503"/>
    </row>
    <row r="37722" spans="23:23">
      <c r="W37722" s="503"/>
    </row>
    <row r="37723" spans="23:23">
      <c r="W37723" s="503"/>
    </row>
    <row r="37724" spans="23:23">
      <c r="W37724" s="503"/>
    </row>
    <row r="37725" spans="23:23">
      <c r="W37725" s="503"/>
    </row>
    <row r="37726" spans="23:23">
      <c r="W37726" s="503"/>
    </row>
    <row r="37727" spans="23:23">
      <c r="W37727" s="503"/>
    </row>
    <row r="37728" spans="23:23">
      <c r="W37728" s="503"/>
    </row>
    <row r="37729" spans="23:23">
      <c r="W37729" s="503"/>
    </row>
    <row r="37730" spans="23:23">
      <c r="W37730" s="503"/>
    </row>
    <row r="37731" spans="23:23">
      <c r="W37731" s="503"/>
    </row>
    <row r="37732" spans="23:23">
      <c r="W37732" s="503"/>
    </row>
    <row r="37733" spans="23:23">
      <c r="W37733" s="503"/>
    </row>
    <row r="37734" spans="23:23">
      <c r="W37734" s="503"/>
    </row>
    <row r="37735" spans="23:23">
      <c r="W37735" s="503"/>
    </row>
    <row r="37736" spans="23:23">
      <c r="W37736" s="503"/>
    </row>
    <row r="37737" spans="23:23">
      <c r="W37737" s="503"/>
    </row>
    <row r="37738" spans="23:23">
      <c r="W37738" s="503"/>
    </row>
    <row r="37739" spans="23:23">
      <c r="W37739" s="503"/>
    </row>
    <row r="37740" spans="23:23">
      <c r="W37740" s="503"/>
    </row>
    <row r="37741" spans="23:23">
      <c r="W37741" s="503"/>
    </row>
    <row r="37742" spans="23:23">
      <c r="W37742" s="503"/>
    </row>
    <row r="37743" spans="23:23">
      <c r="W37743" s="503"/>
    </row>
    <row r="37744" spans="23:23">
      <c r="W37744" s="503"/>
    </row>
    <row r="37745" spans="23:23">
      <c r="W37745" s="503"/>
    </row>
    <row r="37746" spans="23:23">
      <c r="W37746" s="503"/>
    </row>
    <row r="37747" spans="23:23">
      <c r="W37747" s="503"/>
    </row>
    <row r="37748" spans="23:23">
      <c r="W37748" s="503"/>
    </row>
    <row r="37749" spans="23:23">
      <c r="W37749" s="503"/>
    </row>
    <row r="37750" spans="23:23">
      <c r="W37750" s="503"/>
    </row>
    <row r="37751" spans="23:23">
      <c r="W37751" s="503"/>
    </row>
    <row r="37752" spans="23:23">
      <c r="W37752" s="503"/>
    </row>
    <row r="37753" spans="23:23">
      <c r="W37753" s="503"/>
    </row>
    <row r="37754" spans="23:23">
      <c r="W37754" s="503"/>
    </row>
    <row r="37755" spans="23:23">
      <c r="W37755" s="503"/>
    </row>
    <row r="37756" spans="23:23">
      <c r="W37756" s="503"/>
    </row>
    <row r="37757" spans="23:23">
      <c r="W37757" s="503"/>
    </row>
    <row r="37758" spans="23:23">
      <c r="W37758" s="503"/>
    </row>
    <row r="37759" spans="23:23">
      <c r="W37759" s="503"/>
    </row>
    <row r="37760" spans="23:23">
      <c r="W37760" s="503"/>
    </row>
    <row r="37761" spans="23:23">
      <c r="W37761" s="503"/>
    </row>
    <row r="37762" spans="23:23">
      <c r="W37762" s="503"/>
    </row>
    <row r="37763" spans="23:23">
      <c r="W37763" s="503"/>
    </row>
    <row r="37764" spans="23:23">
      <c r="W37764" s="503"/>
    </row>
    <row r="37765" spans="23:23">
      <c r="W37765" s="503"/>
    </row>
    <row r="37766" spans="23:23">
      <c r="W37766" s="503"/>
    </row>
    <row r="37767" spans="23:23">
      <c r="W37767" s="503"/>
    </row>
    <row r="37768" spans="23:23">
      <c r="W37768" s="503"/>
    </row>
    <row r="37769" spans="23:23">
      <c r="W37769" s="503"/>
    </row>
    <row r="37770" spans="23:23">
      <c r="W37770" s="503"/>
    </row>
    <row r="37771" spans="23:23">
      <c r="W37771" s="503"/>
    </row>
    <row r="37772" spans="23:23">
      <c r="W37772" s="503"/>
    </row>
    <row r="37773" spans="23:23">
      <c r="W37773" s="503"/>
    </row>
    <row r="37774" spans="23:23">
      <c r="W37774" s="503"/>
    </row>
    <row r="37775" spans="23:23">
      <c r="W37775" s="503"/>
    </row>
    <row r="37776" spans="23:23">
      <c r="W37776" s="503"/>
    </row>
    <row r="37777" spans="23:23">
      <c r="W37777" s="503"/>
    </row>
    <row r="37778" spans="23:23">
      <c r="W37778" s="503"/>
    </row>
    <row r="37779" spans="23:23">
      <c r="W37779" s="503"/>
    </row>
    <row r="37780" spans="23:23">
      <c r="W37780" s="503"/>
    </row>
    <row r="37781" spans="23:23">
      <c r="W37781" s="503"/>
    </row>
    <row r="37782" spans="23:23">
      <c r="W37782" s="503"/>
    </row>
    <row r="37783" spans="23:23">
      <c r="W37783" s="503"/>
    </row>
    <row r="37784" spans="23:23">
      <c r="W37784" s="503"/>
    </row>
    <row r="37785" spans="23:23">
      <c r="W37785" s="503"/>
    </row>
    <row r="37786" spans="23:23">
      <c r="W37786" s="503"/>
    </row>
    <row r="37787" spans="23:23">
      <c r="W37787" s="503"/>
    </row>
    <row r="37788" spans="23:23">
      <c r="W37788" s="503"/>
    </row>
    <row r="37789" spans="23:23">
      <c r="W37789" s="503"/>
    </row>
    <row r="37790" spans="23:23">
      <c r="W37790" s="503"/>
    </row>
    <row r="37791" spans="23:23">
      <c r="W37791" s="503"/>
    </row>
    <row r="37792" spans="23:23">
      <c r="W37792" s="503"/>
    </row>
    <row r="37793" spans="23:23">
      <c r="W37793" s="503"/>
    </row>
    <row r="37794" spans="23:23">
      <c r="W37794" s="503"/>
    </row>
    <row r="37795" spans="23:23">
      <c r="W37795" s="503"/>
    </row>
    <row r="37796" spans="23:23">
      <c r="W37796" s="503"/>
    </row>
    <row r="37797" spans="23:23">
      <c r="W37797" s="503"/>
    </row>
    <row r="37798" spans="23:23">
      <c r="W37798" s="503"/>
    </row>
    <row r="37799" spans="23:23">
      <c r="W37799" s="503"/>
    </row>
    <row r="37800" spans="23:23">
      <c r="W37800" s="503"/>
    </row>
    <row r="37801" spans="23:23">
      <c r="W37801" s="503"/>
    </row>
    <row r="37802" spans="23:23">
      <c r="W37802" s="503"/>
    </row>
    <row r="37803" spans="23:23">
      <c r="W37803" s="503"/>
    </row>
    <row r="37804" spans="23:23">
      <c r="W37804" s="503"/>
    </row>
    <row r="37805" spans="23:23">
      <c r="W37805" s="503"/>
    </row>
    <row r="37806" spans="23:23">
      <c r="W37806" s="503"/>
    </row>
    <row r="37807" spans="23:23">
      <c r="W37807" s="503"/>
    </row>
    <row r="37808" spans="23:23">
      <c r="W37808" s="503"/>
    </row>
    <row r="37809" spans="23:23">
      <c r="W37809" s="503"/>
    </row>
    <row r="37810" spans="23:23">
      <c r="W37810" s="503"/>
    </row>
    <row r="37811" spans="23:23">
      <c r="W37811" s="503"/>
    </row>
    <row r="37812" spans="23:23">
      <c r="W37812" s="503"/>
    </row>
    <row r="37813" spans="23:23">
      <c r="W37813" s="503"/>
    </row>
    <row r="37814" spans="23:23">
      <c r="W37814" s="503"/>
    </row>
    <row r="37815" spans="23:23">
      <c r="W37815" s="503"/>
    </row>
    <row r="37816" spans="23:23">
      <c r="W37816" s="503"/>
    </row>
    <row r="37817" spans="23:23">
      <c r="W37817" s="503"/>
    </row>
    <row r="37818" spans="23:23">
      <c r="W37818" s="503"/>
    </row>
    <row r="37819" spans="23:23">
      <c r="W37819" s="503"/>
    </row>
    <row r="37820" spans="23:23">
      <c r="W37820" s="503"/>
    </row>
    <row r="37821" spans="23:23">
      <c r="W37821" s="503"/>
    </row>
    <row r="37822" spans="23:23">
      <c r="W37822" s="503"/>
    </row>
    <row r="37823" spans="23:23">
      <c r="W37823" s="503"/>
    </row>
    <row r="37824" spans="23:23">
      <c r="W37824" s="503"/>
    </row>
    <row r="37825" spans="23:23">
      <c r="W37825" s="503"/>
    </row>
    <row r="37826" spans="23:23">
      <c r="W37826" s="503"/>
    </row>
    <row r="37827" spans="23:23">
      <c r="W37827" s="503"/>
    </row>
    <row r="37828" spans="23:23">
      <c r="W37828" s="503"/>
    </row>
    <row r="37829" spans="23:23">
      <c r="W37829" s="503"/>
    </row>
    <row r="37830" spans="23:23">
      <c r="W37830" s="503"/>
    </row>
    <row r="37831" spans="23:23">
      <c r="W37831" s="503"/>
    </row>
    <row r="37832" spans="23:23">
      <c r="W37832" s="503"/>
    </row>
    <row r="37833" spans="23:23">
      <c r="W37833" s="503"/>
    </row>
    <row r="37834" spans="23:23">
      <c r="W37834" s="503"/>
    </row>
    <row r="37835" spans="23:23">
      <c r="W37835" s="503"/>
    </row>
    <row r="37836" spans="23:23">
      <c r="W37836" s="503"/>
    </row>
    <row r="37837" spans="23:23">
      <c r="W37837" s="503"/>
    </row>
    <row r="37838" spans="23:23">
      <c r="W37838" s="503"/>
    </row>
    <row r="37839" spans="23:23">
      <c r="W37839" s="503"/>
    </row>
    <row r="37840" spans="23:23">
      <c r="W37840" s="503"/>
    </row>
    <row r="37841" spans="23:23">
      <c r="W37841" s="503"/>
    </row>
    <row r="37842" spans="23:23">
      <c r="W37842" s="503"/>
    </row>
    <row r="37843" spans="23:23">
      <c r="W37843" s="503"/>
    </row>
    <row r="37844" spans="23:23">
      <c r="W37844" s="503"/>
    </row>
    <row r="37845" spans="23:23">
      <c r="W37845" s="503"/>
    </row>
    <row r="37846" spans="23:23">
      <c r="W37846" s="503"/>
    </row>
    <row r="37847" spans="23:23">
      <c r="W37847" s="503"/>
    </row>
    <row r="37848" spans="23:23">
      <c r="W37848" s="503"/>
    </row>
    <row r="37849" spans="23:23">
      <c r="W37849" s="503"/>
    </row>
    <row r="37850" spans="23:23">
      <c r="W37850" s="503"/>
    </row>
    <row r="37851" spans="23:23">
      <c r="W37851" s="503"/>
    </row>
    <row r="37852" spans="23:23">
      <c r="W37852" s="503"/>
    </row>
    <row r="37853" spans="23:23">
      <c r="W37853" s="503"/>
    </row>
    <row r="37854" spans="23:23">
      <c r="W37854" s="503"/>
    </row>
    <row r="37855" spans="23:23">
      <c r="W37855" s="503"/>
    </row>
    <row r="37856" spans="23:23">
      <c r="W37856" s="503"/>
    </row>
    <row r="37857" spans="23:23">
      <c r="W37857" s="503"/>
    </row>
    <row r="37858" spans="23:23">
      <c r="W37858" s="503"/>
    </row>
    <row r="37859" spans="23:23">
      <c r="W37859" s="503"/>
    </row>
    <row r="37860" spans="23:23">
      <c r="W37860" s="503"/>
    </row>
    <row r="37861" spans="23:23">
      <c r="W37861" s="503"/>
    </row>
    <row r="37862" spans="23:23">
      <c r="W37862" s="503"/>
    </row>
    <row r="37863" spans="23:23">
      <c r="W37863" s="503"/>
    </row>
    <row r="37864" spans="23:23">
      <c r="W37864" s="503"/>
    </row>
    <row r="37865" spans="23:23">
      <c r="W37865" s="503"/>
    </row>
    <row r="37866" spans="23:23">
      <c r="W37866" s="503"/>
    </row>
    <row r="37867" spans="23:23">
      <c r="W37867" s="503"/>
    </row>
    <row r="37868" spans="23:23">
      <c r="W37868" s="503"/>
    </row>
    <row r="37869" spans="23:23">
      <c r="W37869" s="503"/>
    </row>
    <row r="37870" spans="23:23">
      <c r="W37870" s="503"/>
    </row>
    <row r="37871" spans="23:23">
      <c r="W37871" s="503"/>
    </row>
    <row r="37872" spans="23:23">
      <c r="W37872" s="503"/>
    </row>
    <row r="37873" spans="23:23">
      <c r="W37873" s="503"/>
    </row>
    <row r="37874" spans="23:23">
      <c r="W37874" s="503"/>
    </row>
    <row r="37875" spans="23:23">
      <c r="W37875" s="503"/>
    </row>
    <row r="37876" spans="23:23">
      <c r="W37876" s="503"/>
    </row>
    <row r="37877" spans="23:23">
      <c r="W37877" s="503"/>
    </row>
    <row r="37878" spans="23:23">
      <c r="W37878" s="503"/>
    </row>
    <row r="37879" spans="23:23">
      <c r="W37879" s="503"/>
    </row>
    <row r="37880" spans="23:23">
      <c r="W37880" s="503"/>
    </row>
    <row r="37881" spans="23:23">
      <c r="W37881" s="503"/>
    </row>
    <row r="37882" spans="23:23">
      <c r="W37882" s="503"/>
    </row>
    <row r="37883" spans="23:23">
      <c r="W37883" s="503"/>
    </row>
    <row r="37884" spans="23:23">
      <c r="W37884" s="503"/>
    </row>
    <row r="37885" spans="23:23">
      <c r="W37885" s="503"/>
    </row>
    <row r="37886" spans="23:23">
      <c r="W37886" s="503"/>
    </row>
    <row r="37887" spans="23:23">
      <c r="W37887" s="503"/>
    </row>
    <row r="37888" spans="23:23">
      <c r="W37888" s="503"/>
    </row>
    <row r="37889" spans="23:23">
      <c r="W37889" s="503"/>
    </row>
    <row r="37890" spans="23:23">
      <c r="W37890" s="503"/>
    </row>
    <row r="37891" spans="23:23">
      <c r="W37891" s="503"/>
    </row>
    <row r="37892" spans="23:23">
      <c r="W37892" s="503"/>
    </row>
    <row r="37893" spans="23:23">
      <c r="W37893" s="503"/>
    </row>
    <row r="37894" spans="23:23">
      <c r="W37894" s="503"/>
    </row>
    <row r="37895" spans="23:23">
      <c r="W37895" s="503"/>
    </row>
    <row r="37896" spans="23:23">
      <c r="W37896" s="503"/>
    </row>
    <row r="37897" spans="23:23">
      <c r="W37897" s="503"/>
    </row>
    <row r="37898" spans="23:23">
      <c r="W37898" s="503"/>
    </row>
    <row r="37899" spans="23:23">
      <c r="W37899" s="503"/>
    </row>
    <row r="37900" spans="23:23">
      <c r="W37900" s="503"/>
    </row>
    <row r="37901" spans="23:23">
      <c r="W37901" s="503"/>
    </row>
    <row r="37902" spans="23:23">
      <c r="W37902" s="503"/>
    </row>
    <row r="37903" spans="23:23">
      <c r="W37903" s="503"/>
    </row>
    <row r="37904" spans="23:23">
      <c r="W37904" s="503"/>
    </row>
    <row r="37905" spans="23:23">
      <c r="W37905" s="503"/>
    </row>
    <row r="37906" spans="23:23">
      <c r="W37906" s="503"/>
    </row>
    <row r="37907" spans="23:23">
      <c r="W37907" s="503"/>
    </row>
    <row r="37908" spans="23:23">
      <c r="W37908" s="503"/>
    </row>
    <row r="37909" spans="23:23">
      <c r="W37909" s="503"/>
    </row>
    <row r="37910" spans="23:23">
      <c r="W37910" s="503"/>
    </row>
    <row r="37911" spans="23:23">
      <c r="W37911" s="503"/>
    </row>
    <row r="37912" spans="23:23">
      <c r="W37912" s="503"/>
    </row>
    <row r="37913" spans="23:23">
      <c r="W37913" s="503"/>
    </row>
    <row r="37914" spans="23:23">
      <c r="W37914" s="503"/>
    </row>
    <row r="37915" spans="23:23">
      <c r="W37915" s="503"/>
    </row>
    <row r="37916" spans="23:23">
      <c r="W37916" s="503"/>
    </row>
    <row r="37917" spans="23:23">
      <c r="W37917" s="503"/>
    </row>
    <row r="37918" spans="23:23">
      <c r="W37918" s="503"/>
    </row>
    <row r="37919" spans="23:23">
      <c r="W37919" s="503"/>
    </row>
    <row r="37920" spans="23:23">
      <c r="W37920" s="503"/>
    </row>
    <row r="37921" spans="23:23">
      <c r="W37921" s="503"/>
    </row>
    <row r="37922" spans="23:23">
      <c r="W37922" s="503"/>
    </row>
    <row r="37923" spans="23:23">
      <c r="W37923" s="503"/>
    </row>
    <row r="37924" spans="23:23">
      <c r="W37924" s="503"/>
    </row>
    <row r="37925" spans="23:23">
      <c r="W37925" s="503"/>
    </row>
    <row r="37926" spans="23:23">
      <c r="W37926" s="503"/>
    </row>
    <row r="37927" spans="23:23">
      <c r="W37927" s="503"/>
    </row>
    <row r="37928" spans="23:23">
      <c r="W37928" s="503"/>
    </row>
    <row r="37929" spans="23:23">
      <c r="W37929" s="503"/>
    </row>
    <row r="37930" spans="23:23">
      <c r="W37930" s="503"/>
    </row>
    <row r="37931" spans="23:23">
      <c r="W37931" s="503"/>
    </row>
    <row r="37932" spans="23:23">
      <c r="W37932" s="503"/>
    </row>
    <row r="37933" spans="23:23">
      <c r="W37933" s="503"/>
    </row>
    <row r="37934" spans="23:23">
      <c r="W37934" s="503"/>
    </row>
    <row r="37935" spans="23:23">
      <c r="W37935" s="503"/>
    </row>
    <row r="37936" spans="23:23">
      <c r="W37936" s="503"/>
    </row>
    <row r="37937" spans="23:23">
      <c r="W37937" s="503"/>
    </row>
    <row r="37938" spans="23:23">
      <c r="W37938" s="503"/>
    </row>
    <row r="37939" spans="23:23">
      <c r="W37939" s="503"/>
    </row>
    <row r="37940" spans="23:23">
      <c r="W37940" s="503"/>
    </row>
    <row r="37941" spans="23:23">
      <c r="W37941" s="503"/>
    </row>
    <row r="37942" spans="23:23">
      <c r="W37942" s="503"/>
    </row>
    <row r="37943" spans="23:23">
      <c r="W37943" s="503"/>
    </row>
    <row r="37944" spans="23:23">
      <c r="W37944" s="503"/>
    </row>
    <row r="37945" spans="23:23">
      <c r="W37945" s="503"/>
    </row>
    <row r="37946" spans="23:23">
      <c r="W37946" s="503"/>
    </row>
    <row r="37947" spans="23:23">
      <c r="W37947" s="503"/>
    </row>
    <row r="37948" spans="23:23">
      <c r="W37948" s="503"/>
    </row>
    <row r="37949" spans="23:23">
      <c r="W37949" s="503"/>
    </row>
    <row r="37950" spans="23:23">
      <c r="W37950" s="503"/>
    </row>
    <row r="37951" spans="23:23">
      <c r="W37951" s="503"/>
    </row>
    <row r="37952" spans="23:23">
      <c r="W37952" s="503"/>
    </row>
    <row r="37953" spans="23:23">
      <c r="W37953" s="503"/>
    </row>
    <row r="37954" spans="23:23">
      <c r="W37954" s="503"/>
    </row>
    <row r="37955" spans="23:23">
      <c r="W37955" s="503"/>
    </row>
    <row r="37956" spans="23:23">
      <c r="W37956" s="503"/>
    </row>
    <row r="37957" spans="23:23">
      <c r="W37957" s="503"/>
    </row>
    <row r="37958" spans="23:23">
      <c r="W37958" s="503"/>
    </row>
    <row r="37959" spans="23:23">
      <c r="W37959" s="503"/>
    </row>
    <row r="37960" spans="23:23">
      <c r="W37960" s="503"/>
    </row>
    <row r="37961" spans="23:23">
      <c r="W37961" s="503"/>
    </row>
    <row r="37962" spans="23:23">
      <c r="W37962" s="503"/>
    </row>
    <row r="37963" spans="23:23">
      <c r="W37963" s="503"/>
    </row>
    <row r="37964" spans="23:23">
      <c r="W37964" s="503"/>
    </row>
    <row r="37965" spans="23:23">
      <c r="W37965" s="503"/>
    </row>
    <row r="37966" spans="23:23">
      <c r="W37966" s="503"/>
    </row>
    <row r="37967" spans="23:23">
      <c r="W37967" s="503"/>
    </row>
    <row r="37968" spans="23:23">
      <c r="W37968" s="503"/>
    </row>
    <row r="37969" spans="23:23">
      <c r="W37969" s="503"/>
    </row>
    <row r="37970" spans="23:23">
      <c r="W37970" s="503"/>
    </row>
    <row r="37971" spans="23:23">
      <c r="W37971" s="503"/>
    </row>
    <row r="37972" spans="23:23">
      <c r="W37972" s="503"/>
    </row>
    <row r="37973" spans="23:23">
      <c r="W37973" s="503"/>
    </row>
    <row r="37974" spans="23:23">
      <c r="W37974" s="503"/>
    </row>
    <row r="37975" spans="23:23">
      <c r="W37975" s="503"/>
    </row>
    <row r="37976" spans="23:23">
      <c r="W37976" s="503"/>
    </row>
    <row r="37977" spans="23:23">
      <c r="W37977" s="503"/>
    </row>
    <row r="37978" spans="23:23">
      <c r="W37978" s="503"/>
    </row>
    <row r="37979" spans="23:23">
      <c r="W37979" s="503"/>
    </row>
    <row r="37980" spans="23:23">
      <c r="W37980" s="503"/>
    </row>
    <row r="37981" spans="23:23">
      <c r="W37981" s="503"/>
    </row>
    <row r="37982" spans="23:23">
      <c r="W37982" s="503"/>
    </row>
    <row r="37983" spans="23:23">
      <c r="W37983" s="503"/>
    </row>
    <row r="37984" spans="23:23">
      <c r="W37984" s="503"/>
    </row>
    <row r="37985" spans="23:23">
      <c r="W37985" s="503"/>
    </row>
    <row r="37986" spans="23:23">
      <c r="W37986" s="503"/>
    </row>
    <row r="37987" spans="23:23">
      <c r="W37987" s="503"/>
    </row>
    <row r="37988" spans="23:23">
      <c r="W37988" s="503"/>
    </row>
    <row r="37989" spans="23:23">
      <c r="W37989" s="503"/>
    </row>
    <row r="37990" spans="23:23">
      <c r="W37990" s="503"/>
    </row>
    <row r="37991" spans="23:23">
      <c r="W37991" s="503"/>
    </row>
    <row r="37992" spans="23:23">
      <c r="W37992" s="503"/>
    </row>
    <row r="37993" spans="23:23">
      <c r="W37993" s="503"/>
    </row>
    <row r="37994" spans="23:23">
      <c r="W37994" s="503"/>
    </row>
    <row r="37995" spans="23:23">
      <c r="W37995" s="503"/>
    </row>
    <row r="37996" spans="23:23">
      <c r="W37996" s="503"/>
    </row>
    <row r="37997" spans="23:23">
      <c r="W37997" s="503"/>
    </row>
    <row r="37998" spans="23:23">
      <c r="W37998" s="503"/>
    </row>
    <row r="37999" spans="23:23">
      <c r="W37999" s="503"/>
    </row>
    <row r="38000" spans="23:23">
      <c r="W38000" s="503"/>
    </row>
    <row r="38001" spans="23:23">
      <c r="W38001" s="503"/>
    </row>
    <row r="38002" spans="23:23">
      <c r="W38002" s="503"/>
    </row>
    <row r="38003" spans="23:23">
      <c r="W38003" s="503"/>
    </row>
    <row r="38004" spans="23:23">
      <c r="W38004" s="503"/>
    </row>
    <row r="38005" spans="23:23">
      <c r="W38005" s="503"/>
    </row>
    <row r="38006" spans="23:23">
      <c r="W38006" s="503"/>
    </row>
    <row r="38007" spans="23:23">
      <c r="W38007" s="503"/>
    </row>
    <row r="38008" spans="23:23">
      <c r="W38008" s="503"/>
    </row>
    <row r="38009" spans="23:23">
      <c r="W38009" s="503"/>
    </row>
    <row r="38010" spans="23:23">
      <c r="W38010" s="503"/>
    </row>
    <row r="38011" spans="23:23">
      <c r="W38011" s="503"/>
    </row>
    <row r="38012" spans="23:23">
      <c r="W38012" s="503"/>
    </row>
    <row r="38013" spans="23:23">
      <c r="W38013" s="503"/>
    </row>
    <row r="38014" spans="23:23">
      <c r="W38014" s="503"/>
    </row>
    <row r="38015" spans="23:23">
      <c r="W38015" s="503"/>
    </row>
    <row r="38016" spans="23:23">
      <c r="W38016" s="503"/>
    </row>
    <row r="38017" spans="23:23">
      <c r="W38017" s="503"/>
    </row>
    <row r="38018" spans="23:23">
      <c r="W38018" s="503"/>
    </row>
    <row r="38019" spans="23:23">
      <c r="W38019" s="503"/>
    </row>
    <row r="38020" spans="23:23">
      <c r="W38020" s="503"/>
    </row>
    <row r="38021" spans="23:23">
      <c r="W38021" s="503"/>
    </row>
    <row r="38022" spans="23:23">
      <c r="W38022" s="503"/>
    </row>
    <row r="38023" spans="23:23">
      <c r="W38023" s="503"/>
    </row>
    <row r="38024" spans="23:23">
      <c r="W38024" s="503"/>
    </row>
    <row r="38025" spans="23:23">
      <c r="W38025" s="503"/>
    </row>
    <row r="38026" spans="23:23">
      <c r="W38026" s="503"/>
    </row>
    <row r="38027" spans="23:23">
      <c r="W38027" s="503"/>
    </row>
    <row r="38028" spans="23:23">
      <c r="W38028" s="503"/>
    </row>
    <row r="38029" spans="23:23">
      <c r="W38029" s="503"/>
    </row>
    <row r="38030" spans="23:23">
      <c r="W38030" s="503"/>
    </row>
    <row r="38031" spans="23:23">
      <c r="W38031" s="503"/>
    </row>
    <row r="38032" spans="23:23">
      <c r="W38032" s="503"/>
    </row>
    <row r="38033" spans="23:23">
      <c r="W38033" s="503"/>
    </row>
    <row r="38034" spans="23:23">
      <c r="W38034" s="503"/>
    </row>
    <row r="38035" spans="23:23">
      <c r="W38035" s="503"/>
    </row>
    <row r="38036" spans="23:23">
      <c r="W38036" s="503"/>
    </row>
    <row r="38037" spans="23:23">
      <c r="W38037" s="503"/>
    </row>
    <row r="38038" spans="23:23">
      <c r="W38038" s="503"/>
    </row>
    <row r="38039" spans="23:23">
      <c r="W38039" s="503"/>
    </row>
    <row r="38040" spans="23:23">
      <c r="W38040" s="503"/>
    </row>
    <row r="38041" spans="23:23">
      <c r="W38041" s="503"/>
    </row>
    <row r="38042" spans="23:23">
      <c r="W38042" s="503"/>
    </row>
    <row r="38043" spans="23:23">
      <c r="W38043" s="503"/>
    </row>
    <row r="38044" spans="23:23">
      <c r="W38044" s="503"/>
    </row>
    <row r="38045" spans="23:23">
      <c r="W38045" s="503"/>
    </row>
    <row r="38046" spans="23:23">
      <c r="W38046" s="503"/>
    </row>
    <row r="38047" spans="23:23">
      <c r="W38047" s="503"/>
    </row>
    <row r="38048" spans="23:23">
      <c r="W38048" s="503"/>
    </row>
    <row r="38049" spans="23:23">
      <c r="W38049" s="503"/>
    </row>
    <row r="38050" spans="23:23">
      <c r="W38050" s="503"/>
    </row>
    <row r="38051" spans="23:23">
      <c r="W38051" s="503"/>
    </row>
    <row r="38052" spans="23:23">
      <c r="W38052" s="503"/>
    </row>
    <row r="38053" spans="23:23">
      <c r="W38053" s="503"/>
    </row>
    <row r="38054" spans="23:23">
      <c r="W38054" s="503"/>
    </row>
    <row r="38055" spans="23:23">
      <c r="W38055" s="503"/>
    </row>
    <row r="38056" spans="23:23">
      <c r="W38056" s="503"/>
    </row>
    <row r="38057" spans="23:23">
      <c r="W38057" s="503"/>
    </row>
    <row r="38058" spans="23:23">
      <c r="W38058" s="503"/>
    </row>
    <row r="38059" spans="23:23">
      <c r="W38059" s="503"/>
    </row>
    <row r="38060" spans="23:23">
      <c r="W38060" s="503"/>
    </row>
    <row r="38061" spans="23:23">
      <c r="W38061" s="503"/>
    </row>
    <row r="38062" spans="23:23">
      <c r="W38062" s="503"/>
    </row>
    <row r="38063" spans="23:23">
      <c r="W38063" s="503"/>
    </row>
    <row r="38064" spans="23:23">
      <c r="W38064" s="503"/>
    </row>
    <row r="38065" spans="23:23">
      <c r="W38065" s="503"/>
    </row>
    <row r="38066" spans="23:23">
      <c r="W38066" s="503"/>
    </row>
    <row r="38067" spans="23:23">
      <c r="W38067" s="503"/>
    </row>
    <row r="38068" spans="23:23">
      <c r="W38068" s="503"/>
    </row>
    <row r="38069" spans="23:23">
      <c r="W38069" s="503"/>
    </row>
    <row r="38070" spans="23:23">
      <c r="W38070" s="503"/>
    </row>
    <row r="38071" spans="23:23">
      <c r="W38071" s="503"/>
    </row>
    <row r="38072" spans="23:23">
      <c r="W38072" s="503"/>
    </row>
    <row r="38073" spans="23:23">
      <c r="W38073" s="503"/>
    </row>
    <row r="38074" spans="23:23">
      <c r="W38074" s="503"/>
    </row>
    <row r="38075" spans="23:23">
      <c r="W38075" s="503"/>
    </row>
    <row r="38076" spans="23:23">
      <c r="W38076" s="503"/>
    </row>
    <row r="38077" spans="23:23">
      <c r="W38077" s="503"/>
    </row>
    <row r="38078" spans="23:23">
      <c r="W38078" s="503"/>
    </row>
    <row r="38079" spans="23:23">
      <c r="W38079" s="503"/>
    </row>
    <row r="38080" spans="23:23">
      <c r="W38080" s="503"/>
    </row>
    <row r="38081" spans="23:23">
      <c r="W38081" s="503"/>
    </row>
    <row r="38082" spans="23:23">
      <c r="W38082" s="503"/>
    </row>
    <row r="38083" spans="23:23">
      <c r="W38083" s="503"/>
    </row>
    <row r="38084" spans="23:23">
      <c r="W38084" s="503"/>
    </row>
    <row r="38085" spans="23:23">
      <c r="W38085" s="503"/>
    </row>
    <row r="38086" spans="23:23">
      <c r="W38086" s="503"/>
    </row>
    <row r="38087" spans="23:23">
      <c r="W38087" s="503"/>
    </row>
    <row r="38088" spans="23:23">
      <c r="W38088" s="503"/>
    </row>
    <row r="38089" spans="23:23">
      <c r="W38089" s="503"/>
    </row>
    <row r="38090" spans="23:23">
      <c r="W38090" s="503"/>
    </row>
    <row r="38091" spans="23:23">
      <c r="W38091" s="503"/>
    </row>
    <row r="38092" spans="23:23">
      <c r="W38092" s="503"/>
    </row>
    <row r="38093" spans="23:23">
      <c r="W38093" s="503"/>
    </row>
    <row r="38094" spans="23:23">
      <c r="W38094" s="503"/>
    </row>
    <row r="38095" spans="23:23">
      <c r="W38095" s="503"/>
    </row>
    <row r="38096" spans="23:23">
      <c r="W38096" s="503"/>
    </row>
    <row r="38097" spans="23:23">
      <c r="W38097" s="503"/>
    </row>
    <row r="38098" spans="23:23">
      <c r="W38098" s="503"/>
    </row>
    <row r="38099" spans="23:23">
      <c r="W38099" s="503"/>
    </row>
    <row r="38100" spans="23:23">
      <c r="W38100" s="503"/>
    </row>
    <row r="38101" spans="23:23">
      <c r="W38101" s="503"/>
    </row>
    <row r="38102" spans="23:23">
      <c r="W38102" s="503"/>
    </row>
    <row r="38103" spans="23:23">
      <c r="W38103" s="503"/>
    </row>
    <row r="38104" spans="23:23">
      <c r="W38104" s="503"/>
    </row>
    <row r="38105" spans="23:23">
      <c r="W38105" s="503"/>
    </row>
    <row r="38106" spans="23:23">
      <c r="W38106" s="503"/>
    </row>
    <row r="38107" spans="23:23">
      <c r="W38107" s="503"/>
    </row>
    <row r="38108" spans="23:23">
      <c r="W38108" s="503"/>
    </row>
    <row r="38109" spans="23:23">
      <c r="W38109" s="503"/>
    </row>
    <row r="38110" spans="23:23">
      <c r="W38110" s="503"/>
    </row>
    <row r="38111" spans="23:23">
      <c r="W38111" s="503"/>
    </row>
    <row r="38112" spans="23:23">
      <c r="W38112" s="503"/>
    </row>
    <row r="38113" spans="23:23">
      <c r="W38113" s="503"/>
    </row>
    <row r="38114" spans="23:23">
      <c r="W38114" s="503"/>
    </row>
    <row r="38115" spans="23:23">
      <c r="W38115" s="503"/>
    </row>
    <row r="38116" spans="23:23">
      <c r="W38116" s="503"/>
    </row>
    <row r="38117" spans="23:23">
      <c r="W38117" s="503"/>
    </row>
    <row r="38118" spans="23:23">
      <c r="W38118" s="503"/>
    </row>
    <row r="38119" spans="23:23">
      <c r="W38119" s="503"/>
    </row>
    <row r="38120" spans="23:23">
      <c r="W38120" s="503"/>
    </row>
    <row r="38121" spans="23:23">
      <c r="W38121" s="503"/>
    </row>
    <row r="38122" spans="23:23">
      <c r="W38122" s="503"/>
    </row>
    <row r="38123" spans="23:23">
      <c r="W38123" s="503"/>
    </row>
    <row r="38124" spans="23:23">
      <c r="W38124" s="503"/>
    </row>
    <row r="38125" spans="23:23">
      <c r="W38125" s="503"/>
    </row>
    <row r="38126" spans="23:23">
      <c r="W38126" s="503"/>
    </row>
    <row r="38127" spans="23:23">
      <c r="W38127" s="503"/>
    </row>
    <row r="38128" spans="23:23">
      <c r="W38128" s="503"/>
    </row>
    <row r="38129" spans="23:23">
      <c r="W38129" s="503"/>
    </row>
    <row r="38130" spans="23:23">
      <c r="W38130" s="503"/>
    </row>
    <row r="38131" spans="23:23">
      <c r="W38131" s="503"/>
    </row>
    <row r="38132" spans="23:23">
      <c r="W38132" s="503"/>
    </row>
    <row r="38133" spans="23:23">
      <c r="W38133" s="503"/>
    </row>
    <row r="38134" spans="23:23">
      <c r="W38134" s="503"/>
    </row>
    <row r="38135" spans="23:23">
      <c r="W38135" s="503"/>
    </row>
    <row r="38136" spans="23:23">
      <c r="W38136" s="503"/>
    </row>
    <row r="38137" spans="23:23">
      <c r="W38137" s="503"/>
    </row>
    <row r="38138" spans="23:23">
      <c r="W38138" s="503"/>
    </row>
    <row r="38139" spans="23:23">
      <c r="W38139" s="503"/>
    </row>
    <row r="38140" spans="23:23">
      <c r="W38140" s="503"/>
    </row>
    <row r="38141" spans="23:23">
      <c r="W38141" s="503"/>
    </row>
    <row r="38142" spans="23:23">
      <c r="W38142" s="503"/>
    </row>
    <row r="38143" spans="23:23">
      <c r="W38143" s="503"/>
    </row>
    <row r="38144" spans="23:23">
      <c r="W38144" s="503"/>
    </row>
    <row r="38145" spans="23:23">
      <c r="W38145" s="503"/>
    </row>
    <row r="38146" spans="23:23">
      <c r="W38146" s="503"/>
    </row>
    <row r="38147" spans="23:23">
      <c r="W38147" s="503"/>
    </row>
    <row r="38148" spans="23:23">
      <c r="W38148" s="503"/>
    </row>
    <row r="38149" spans="23:23">
      <c r="W38149" s="503"/>
    </row>
    <row r="38150" spans="23:23">
      <c r="W38150" s="503"/>
    </row>
    <row r="38151" spans="23:23">
      <c r="W38151" s="503"/>
    </row>
    <row r="38152" spans="23:23">
      <c r="W38152" s="503"/>
    </row>
    <row r="38153" spans="23:23">
      <c r="W38153" s="503"/>
    </row>
    <row r="38154" spans="23:23">
      <c r="W38154" s="503"/>
    </row>
    <row r="38155" spans="23:23">
      <c r="W38155" s="503"/>
    </row>
    <row r="38156" spans="23:23">
      <c r="W38156" s="503"/>
    </row>
    <row r="38157" spans="23:23">
      <c r="W38157" s="503"/>
    </row>
    <row r="38158" spans="23:23">
      <c r="W38158" s="503"/>
    </row>
    <row r="38159" spans="23:23">
      <c r="W38159" s="503"/>
    </row>
    <row r="38160" spans="23:23">
      <c r="W38160" s="503"/>
    </row>
    <row r="38161" spans="23:23">
      <c r="W38161" s="503"/>
    </row>
    <row r="38162" spans="23:23">
      <c r="W38162" s="503"/>
    </row>
    <row r="38163" spans="23:23">
      <c r="W38163" s="503"/>
    </row>
    <row r="38164" spans="23:23">
      <c r="W38164" s="503"/>
    </row>
    <row r="38165" spans="23:23">
      <c r="W38165" s="503"/>
    </row>
    <row r="38166" spans="23:23">
      <c r="W38166" s="503"/>
    </row>
    <row r="38167" spans="23:23">
      <c r="W38167" s="503"/>
    </row>
    <row r="38168" spans="23:23">
      <c r="W38168" s="503"/>
    </row>
    <row r="38169" spans="23:23">
      <c r="W38169" s="503"/>
    </row>
    <row r="38170" spans="23:23">
      <c r="W38170" s="503"/>
    </row>
    <row r="38171" spans="23:23">
      <c r="W38171" s="503"/>
    </row>
    <row r="38172" spans="23:23">
      <c r="W38172" s="503"/>
    </row>
    <row r="38173" spans="23:23">
      <c r="W38173" s="503"/>
    </row>
    <row r="38174" spans="23:23">
      <c r="W38174" s="503"/>
    </row>
    <row r="38175" spans="23:23">
      <c r="W38175" s="503"/>
    </row>
    <row r="38176" spans="23:23">
      <c r="W38176" s="503"/>
    </row>
    <row r="38177" spans="23:23">
      <c r="W38177" s="503"/>
    </row>
    <row r="38178" spans="23:23">
      <c r="W38178" s="503"/>
    </row>
    <row r="38179" spans="23:23">
      <c r="W38179" s="503"/>
    </row>
    <row r="38180" spans="23:23">
      <c r="W38180" s="503"/>
    </row>
    <row r="38181" spans="23:23">
      <c r="W38181" s="503"/>
    </row>
    <row r="38182" spans="23:23">
      <c r="W38182" s="503"/>
    </row>
    <row r="38183" spans="23:23">
      <c r="W38183" s="503"/>
    </row>
    <row r="38184" spans="23:23">
      <c r="W38184" s="503"/>
    </row>
    <row r="38185" spans="23:23">
      <c r="W38185" s="503"/>
    </row>
    <row r="38186" spans="23:23">
      <c r="W38186" s="503"/>
    </row>
    <row r="38187" spans="23:23">
      <c r="W38187" s="503"/>
    </row>
    <row r="38188" spans="23:23">
      <c r="W38188" s="503"/>
    </row>
    <row r="38189" spans="23:23">
      <c r="W38189" s="503"/>
    </row>
    <row r="38190" spans="23:23">
      <c r="W38190" s="503"/>
    </row>
    <row r="38191" spans="23:23">
      <c r="W38191" s="503"/>
    </row>
    <row r="38192" spans="23:23">
      <c r="W38192" s="503"/>
    </row>
    <row r="38193" spans="23:23">
      <c r="W38193" s="503"/>
    </row>
    <row r="38194" spans="23:23">
      <c r="W38194" s="503"/>
    </row>
    <row r="38195" spans="23:23">
      <c r="W38195" s="503"/>
    </row>
    <row r="38196" spans="23:23">
      <c r="W38196" s="503"/>
    </row>
    <row r="38197" spans="23:23">
      <c r="W38197" s="503"/>
    </row>
    <row r="38198" spans="23:23">
      <c r="W38198" s="503"/>
    </row>
    <row r="38199" spans="23:23">
      <c r="W38199" s="503"/>
    </row>
    <row r="38200" spans="23:23">
      <c r="W38200" s="503"/>
    </row>
    <row r="38201" spans="23:23">
      <c r="W38201" s="503"/>
    </row>
    <row r="38202" spans="23:23">
      <c r="W38202" s="503"/>
    </row>
    <row r="38203" spans="23:23">
      <c r="W38203" s="503"/>
    </row>
    <row r="38204" spans="23:23">
      <c r="W38204" s="503"/>
    </row>
    <row r="38205" spans="23:23">
      <c r="W38205" s="503"/>
    </row>
    <row r="38206" spans="23:23">
      <c r="W38206" s="503"/>
    </row>
    <row r="38207" spans="23:23">
      <c r="W38207" s="503"/>
    </row>
    <row r="38208" spans="23:23">
      <c r="W38208" s="503"/>
    </row>
    <row r="38209" spans="23:23">
      <c r="W38209" s="503"/>
    </row>
    <row r="38210" spans="23:23">
      <c r="W38210" s="503"/>
    </row>
    <row r="38211" spans="23:23">
      <c r="W38211" s="503"/>
    </row>
    <row r="38212" spans="23:23">
      <c r="W38212" s="503"/>
    </row>
    <row r="38213" spans="23:23">
      <c r="W38213" s="503"/>
    </row>
    <row r="38214" spans="23:23">
      <c r="W38214" s="503"/>
    </row>
    <row r="38215" spans="23:23">
      <c r="W38215" s="503"/>
    </row>
    <row r="38216" spans="23:23">
      <c r="W38216" s="503"/>
    </row>
    <row r="38217" spans="23:23">
      <c r="W38217" s="503"/>
    </row>
    <row r="38218" spans="23:23">
      <c r="W38218" s="503"/>
    </row>
    <row r="38219" spans="23:23">
      <c r="W38219" s="503"/>
    </row>
    <row r="38220" spans="23:23">
      <c r="W38220" s="503"/>
    </row>
    <row r="38221" spans="23:23">
      <c r="W38221" s="503"/>
    </row>
    <row r="38222" spans="23:23">
      <c r="W38222" s="503"/>
    </row>
    <row r="38223" spans="23:23">
      <c r="W38223" s="503"/>
    </row>
    <row r="38224" spans="23:23">
      <c r="W38224" s="503"/>
    </row>
    <row r="38225" spans="23:23">
      <c r="W38225" s="503"/>
    </row>
    <row r="38226" spans="23:23">
      <c r="W38226" s="503"/>
    </row>
    <row r="38227" spans="23:23">
      <c r="W38227" s="503"/>
    </row>
    <row r="38228" spans="23:23">
      <c r="W38228" s="503"/>
    </row>
    <row r="38229" spans="23:23">
      <c r="W38229" s="503"/>
    </row>
    <row r="38230" spans="23:23">
      <c r="W38230" s="503"/>
    </row>
    <row r="38231" spans="23:23">
      <c r="W38231" s="503"/>
    </row>
    <row r="38232" spans="23:23">
      <c r="W38232" s="503"/>
    </row>
    <row r="38233" spans="23:23">
      <c r="W38233" s="503"/>
    </row>
    <row r="38234" spans="23:23">
      <c r="W38234" s="503"/>
    </row>
    <row r="38235" spans="23:23">
      <c r="W38235" s="503"/>
    </row>
    <row r="38236" spans="23:23">
      <c r="W38236" s="503"/>
    </row>
    <row r="38237" spans="23:23">
      <c r="W38237" s="503"/>
    </row>
    <row r="38238" spans="23:23">
      <c r="W38238" s="503"/>
    </row>
    <row r="38239" spans="23:23">
      <c r="W38239" s="503"/>
    </row>
    <row r="38240" spans="23:23">
      <c r="W38240" s="503"/>
    </row>
    <row r="38241" spans="23:23">
      <c r="W38241" s="503"/>
    </row>
    <row r="38242" spans="23:23">
      <c r="W38242" s="503"/>
    </row>
    <row r="38243" spans="23:23">
      <c r="W38243" s="503"/>
    </row>
    <row r="38244" spans="23:23">
      <c r="W38244" s="503"/>
    </row>
    <row r="38245" spans="23:23">
      <c r="W38245" s="503"/>
    </row>
    <row r="38246" spans="23:23">
      <c r="W38246" s="503"/>
    </row>
    <row r="38247" spans="23:23">
      <c r="W38247" s="503"/>
    </row>
    <row r="38248" spans="23:23">
      <c r="W38248" s="503"/>
    </row>
    <row r="38249" spans="23:23">
      <c r="W38249" s="503"/>
    </row>
    <row r="38250" spans="23:23">
      <c r="W38250" s="503"/>
    </row>
    <row r="38251" spans="23:23">
      <c r="W38251" s="503"/>
    </row>
    <row r="38252" spans="23:23">
      <c r="W38252" s="503"/>
    </row>
    <row r="38253" spans="23:23">
      <c r="W38253" s="503"/>
    </row>
    <row r="38254" spans="23:23">
      <c r="W38254" s="503"/>
    </row>
    <row r="38255" spans="23:23">
      <c r="W38255" s="503"/>
    </row>
    <row r="38256" spans="23:23">
      <c r="W38256" s="503"/>
    </row>
    <row r="38257" spans="23:23">
      <c r="W38257" s="503"/>
    </row>
    <row r="38258" spans="23:23">
      <c r="W38258" s="503"/>
    </row>
    <row r="38259" spans="23:23">
      <c r="W38259" s="503"/>
    </row>
    <row r="38260" spans="23:23">
      <c r="W38260" s="503"/>
    </row>
    <row r="38261" spans="23:23">
      <c r="W38261" s="503"/>
    </row>
    <row r="38262" spans="23:23">
      <c r="W38262" s="503"/>
    </row>
    <row r="38263" spans="23:23">
      <c r="W38263" s="503"/>
    </row>
    <row r="38264" spans="23:23">
      <c r="W38264" s="503"/>
    </row>
    <row r="38265" spans="23:23">
      <c r="W38265" s="503"/>
    </row>
    <row r="38266" spans="23:23">
      <c r="W38266" s="503"/>
    </row>
    <row r="38267" spans="23:23">
      <c r="W38267" s="503"/>
    </row>
    <row r="38268" spans="23:23">
      <c r="W38268" s="503"/>
    </row>
    <row r="38269" spans="23:23">
      <c r="W38269" s="503"/>
    </row>
    <row r="38270" spans="23:23">
      <c r="W38270" s="503"/>
    </row>
    <row r="38271" spans="23:23">
      <c r="W38271" s="503"/>
    </row>
    <row r="38272" spans="23:23">
      <c r="W38272" s="503"/>
    </row>
    <row r="38273" spans="23:23">
      <c r="W38273" s="503"/>
    </row>
    <row r="38274" spans="23:23">
      <c r="W38274" s="503"/>
    </row>
    <row r="38275" spans="23:23">
      <c r="W38275" s="503"/>
    </row>
    <row r="38276" spans="23:23">
      <c r="W38276" s="503"/>
    </row>
    <row r="38277" spans="23:23">
      <c r="W38277" s="503"/>
    </row>
    <row r="38278" spans="23:23">
      <c r="W38278" s="503"/>
    </row>
    <row r="38279" spans="23:23">
      <c r="W38279" s="503"/>
    </row>
    <row r="38280" spans="23:23">
      <c r="W38280" s="503"/>
    </row>
    <row r="38281" spans="23:23">
      <c r="W38281" s="503"/>
    </row>
    <row r="38282" spans="23:23">
      <c r="W38282" s="503"/>
    </row>
    <row r="38283" spans="23:23">
      <c r="W38283" s="503"/>
    </row>
    <row r="38284" spans="23:23">
      <c r="W38284" s="503"/>
    </row>
    <row r="38285" spans="23:23">
      <c r="W38285" s="503"/>
    </row>
    <row r="38286" spans="23:23">
      <c r="W38286" s="503"/>
    </row>
    <row r="38287" spans="23:23">
      <c r="W38287" s="503"/>
    </row>
    <row r="38288" spans="23:23">
      <c r="W38288" s="503"/>
    </row>
    <row r="38289" spans="23:23">
      <c r="W38289" s="503"/>
    </row>
    <row r="38290" spans="23:23">
      <c r="W38290" s="503"/>
    </row>
    <row r="38291" spans="23:23">
      <c r="W38291" s="503"/>
    </row>
    <row r="38292" spans="23:23">
      <c r="W38292" s="503"/>
    </row>
    <row r="38293" spans="23:23">
      <c r="W38293" s="503"/>
    </row>
    <row r="38294" spans="23:23">
      <c r="W38294" s="503"/>
    </row>
    <row r="38295" spans="23:23">
      <c r="W38295" s="503"/>
    </row>
    <row r="38296" spans="23:23">
      <c r="W38296" s="503"/>
    </row>
    <row r="38297" spans="23:23">
      <c r="W38297" s="503"/>
    </row>
    <row r="38298" spans="23:23">
      <c r="W38298" s="503"/>
    </row>
    <row r="38299" spans="23:23">
      <c r="W38299" s="503"/>
    </row>
    <row r="38300" spans="23:23">
      <c r="W38300" s="503"/>
    </row>
    <row r="38301" spans="23:23">
      <c r="W38301" s="503"/>
    </row>
    <row r="38302" spans="23:23">
      <c r="W38302" s="503"/>
    </row>
    <row r="38303" spans="23:23">
      <c r="W38303" s="503"/>
    </row>
    <row r="38304" spans="23:23">
      <c r="W38304" s="503"/>
    </row>
    <row r="38305" spans="23:23">
      <c r="W38305" s="503"/>
    </row>
    <row r="38306" spans="23:23">
      <c r="W38306" s="503"/>
    </row>
    <row r="38307" spans="23:23">
      <c r="W38307" s="503"/>
    </row>
    <row r="38308" spans="23:23">
      <c r="W38308" s="503"/>
    </row>
    <row r="38309" spans="23:23">
      <c r="W38309" s="503"/>
    </row>
    <row r="38310" spans="23:23">
      <c r="W38310" s="503"/>
    </row>
    <row r="38311" spans="23:23">
      <c r="W38311" s="503"/>
    </row>
    <row r="38312" spans="23:23">
      <c r="W38312" s="503"/>
    </row>
    <row r="38313" spans="23:23">
      <c r="W38313" s="503"/>
    </row>
    <row r="38314" spans="23:23">
      <c r="W38314" s="503"/>
    </row>
    <row r="38315" spans="23:23">
      <c r="W38315" s="503"/>
    </row>
    <row r="38316" spans="23:23">
      <c r="W38316" s="503"/>
    </row>
    <row r="38317" spans="23:23">
      <c r="W38317" s="503"/>
    </row>
    <row r="38318" spans="23:23">
      <c r="W38318" s="503"/>
    </row>
    <row r="38319" spans="23:23">
      <c r="W38319" s="503"/>
    </row>
    <row r="38320" spans="23:23">
      <c r="W38320" s="503"/>
    </row>
    <row r="38321" spans="23:23">
      <c r="W38321" s="503"/>
    </row>
    <row r="38322" spans="23:23">
      <c r="W38322" s="503"/>
    </row>
    <row r="38323" spans="23:23">
      <c r="W38323" s="503"/>
    </row>
    <row r="38324" spans="23:23">
      <c r="W38324" s="503"/>
    </row>
    <row r="38325" spans="23:23">
      <c r="W38325" s="503"/>
    </row>
    <row r="38326" spans="23:23">
      <c r="W38326" s="503"/>
    </row>
    <row r="38327" spans="23:23">
      <c r="W38327" s="503"/>
    </row>
    <row r="38328" spans="23:23">
      <c r="W38328" s="503"/>
    </row>
    <row r="38329" spans="23:23">
      <c r="W38329" s="503"/>
    </row>
    <row r="38330" spans="23:23">
      <c r="W38330" s="503"/>
    </row>
    <row r="38331" spans="23:23">
      <c r="W38331" s="503"/>
    </row>
    <row r="38332" spans="23:23">
      <c r="W38332" s="503"/>
    </row>
    <row r="38333" spans="23:23">
      <c r="W38333" s="503"/>
    </row>
    <row r="38334" spans="23:23">
      <c r="W38334" s="503"/>
    </row>
    <row r="38335" spans="23:23">
      <c r="W38335" s="503"/>
    </row>
    <row r="38336" spans="23:23">
      <c r="W38336" s="503"/>
    </row>
    <row r="38337" spans="23:23">
      <c r="W38337" s="503"/>
    </row>
    <row r="38338" spans="23:23">
      <c r="W38338" s="503"/>
    </row>
    <row r="38339" spans="23:23">
      <c r="W38339" s="503"/>
    </row>
    <row r="38340" spans="23:23">
      <c r="W38340" s="503"/>
    </row>
    <row r="38341" spans="23:23">
      <c r="W38341" s="503"/>
    </row>
    <row r="38342" spans="23:23">
      <c r="W38342" s="503"/>
    </row>
    <row r="38343" spans="23:23">
      <c r="W38343" s="503"/>
    </row>
    <row r="38344" spans="23:23">
      <c r="W38344" s="503"/>
    </row>
    <row r="38345" spans="23:23">
      <c r="W38345" s="503"/>
    </row>
    <row r="38346" spans="23:23">
      <c r="W38346" s="503"/>
    </row>
    <row r="38347" spans="23:23">
      <c r="W38347" s="503"/>
    </row>
    <row r="38348" spans="23:23">
      <c r="W38348" s="503"/>
    </row>
    <row r="38349" spans="23:23">
      <c r="W38349" s="503"/>
    </row>
    <row r="38350" spans="23:23">
      <c r="W38350" s="503"/>
    </row>
    <row r="38351" spans="23:23">
      <c r="W38351" s="503"/>
    </row>
    <row r="38352" spans="23:23">
      <c r="W38352" s="503"/>
    </row>
    <row r="38353" spans="23:23">
      <c r="W38353" s="503"/>
    </row>
    <row r="38354" spans="23:23">
      <c r="W38354" s="503"/>
    </row>
    <row r="38355" spans="23:23">
      <c r="W38355" s="503"/>
    </row>
    <row r="38356" spans="23:23">
      <c r="W38356" s="503"/>
    </row>
    <row r="38357" spans="23:23">
      <c r="W38357" s="503"/>
    </row>
    <row r="38358" spans="23:23">
      <c r="W38358" s="503"/>
    </row>
    <row r="38359" spans="23:23">
      <c r="W38359" s="503"/>
    </row>
    <row r="38360" spans="23:23">
      <c r="W38360" s="503"/>
    </row>
    <row r="38361" spans="23:23">
      <c r="W38361" s="503"/>
    </row>
    <row r="38362" spans="23:23">
      <c r="W38362" s="503"/>
    </row>
    <row r="38363" spans="23:23">
      <c r="W38363" s="503"/>
    </row>
    <row r="38364" spans="23:23">
      <c r="W38364" s="503"/>
    </row>
    <row r="38365" spans="23:23">
      <c r="W38365" s="503"/>
    </row>
    <row r="38366" spans="23:23">
      <c r="W38366" s="503"/>
    </row>
    <row r="38367" spans="23:23">
      <c r="W38367" s="503"/>
    </row>
    <row r="38368" spans="23:23">
      <c r="W38368" s="503"/>
    </row>
    <row r="38369" spans="23:23">
      <c r="W38369" s="503"/>
    </row>
    <row r="38370" spans="23:23">
      <c r="W38370" s="503"/>
    </row>
    <row r="38371" spans="23:23">
      <c r="W38371" s="503"/>
    </row>
    <row r="38372" spans="23:23">
      <c r="W38372" s="503"/>
    </row>
    <row r="38373" spans="23:23">
      <c r="W38373" s="503"/>
    </row>
    <row r="38374" spans="23:23">
      <c r="W38374" s="503"/>
    </row>
    <row r="38375" spans="23:23">
      <c r="W38375" s="503"/>
    </row>
    <row r="38376" spans="23:23">
      <c r="W38376" s="503"/>
    </row>
    <row r="38377" spans="23:23">
      <c r="W38377" s="503"/>
    </row>
    <row r="38378" spans="23:23">
      <c r="W38378" s="503"/>
    </row>
    <row r="38379" spans="23:23">
      <c r="W38379" s="503"/>
    </row>
    <row r="38380" spans="23:23">
      <c r="W38380" s="503"/>
    </row>
    <row r="38381" spans="23:23">
      <c r="W38381" s="503"/>
    </row>
    <row r="38382" spans="23:23">
      <c r="W38382" s="503"/>
    </row>
    <row r="38383" spans="23:23">
      <c r="W38383" s="503"/>
    </row>
    <row r="38384" spans="23:23">
      <c r="W38384" s="503"/>
    </row>
    <row r="38385" spans="23:23">
      <c r="W38385" s="503"/>
    </row>
    <row r="38386" spans="23:23">
      <c r="W38386" s="503"/>
    </row>
    <row r="38387" spans="23:23">
      <c r="W38387" s="503"/>
    </row>
    <row r="38388" spans="23:23">
      <c r="W38388" s="503"/>
    </row>
    <row r="38389" spans="23:23">
      <c r="W38389" s="503"/>
    </row>
    <row r="38390" spans="23:23">
      <c r="W38390" s="503"/>
    </row>
    <row r="38391" spans="23:23">
      <c r="W38391" s="503"/>
    </row>
    <row r="38392" spans="23:23">
      <c r="W38392" s="503"/>
    </row>
    <row r="38393" spans="23:23">
      <c r="W38393" s="503"/>
    </row>
    <row r="38394" spans="23:23">
      <c r="W38394" s="503"/>
    </row>
    <row r="38395" spans="23:23">
      <c r="W38395" s="503"/>
    </row>
    <row r="38396" spans="23:23">
      <c r="W38396" s="503"/>
    </row>
    <row r="38397" spans="23:23">
      <c r="W38397" s="503"/>
    </row>
    <row r="38398" spans="23:23">
      <c r="W38398" s="503"/>
    </row>
    <row r="38399" spans="23:23">
      <c r="W38399" s="503"/>
    </row>
    <row r="38400" spans="23:23">
      <c r="W38400" s="503"/>
    </row>
    <row r="38401" spans="23:23">
      <c r="W38401" s="503"/>
    </row>
    <row r="38402" spans="23:23">
      <c r="W38402" s="503"/>
    </row>
    <row r="38403" spans="23:23">
      <c r="W38403" s="503"/>
    </row>
    <row r="38404" spans="23:23">
      <c r="W38404" s="503"/>
    </row>
    <row r="38405" spans="23:23">
      <c r="W38405" s="503"/>
    </row>
    <row r="38406" spans="23:23">
      <c r="W38406" s="503"/>
    </row>
    <row r="38407" spans="23:23">
      <c r="W38407" s="503"/>
    </row>
    <row r="38408" spans="23:23">
      <c r="W38408" s="503"/>
    </row>
    <row r="38409" spans="23:23">
      <c r="W38409" s="503"/>
    </row>
    <row r="38410" spans="23:23">
      <c r="W38410" s="503"/>
    </row>
    <row r="38411" spans="23:23">
      <c r="W38411" s="503"/>
    </row>
    <row r="38412" spans="23:23">
      <c r="W38412" s="503"/>
    </row>
    <row r="38413" spans="23:23">
      <c r="W38413" s="503"/>
    </row>
    <row r="38414" spans="23:23">
      <c r="W38414" s="503"/>
    </row>
    <row r="38415" spans="23:23">
      <c r="W38415" s="503"/>
    </row>
    <row r="38416" spans="23:23">
      <c r="W38416" s="503"/>
    </row>
    <row r="38417" spans="23:23">
      <c r="W38417" s="503"/>
    </row>
    <row r="38418" spans="23:23">
      <c r="W38418" s="503"/>
    </row>
    <row r="38419" spans="23:23">
      <c r="W38419" s="503"/>
    </row>
    <row r="38420" spans="23:23">
      <c r="W38420" s="503"/>
    </row>
    <row r="38421" spans="23:23">
      <c r="W38421" s="503"/>
    </row>
    <row r="38422" spans="23:23">
      <c r="W38422" s="503"/>
    </row>
    <row r="38423" spans="23:23">
      <c r="W38423" s="503"/>
    </row>
    <row r="38424" spans="23:23">
      <c r="W38424" s="503"/>
    </row>
    <row r="38425" spans="23:23">
      <c r="W38425" s="503"/>
    </row>
    <row r="38426" spans="23:23">
      <c r="W38426" s="503"/>
    </row>
    <row r="38427" spans="23:23">
      <c r="W38427" s="503"/>
    </row>
    <row r="38428" spans="23:23">
      <c r="W38428" s="503"/>
    </row>
    <row r="38429" spans="23:23">
      <c r="W38429" s="503"/>
    </row>
    <row r="38430" spans="23:23">
      <c r="W38430" s="503"/>
    </row>
    <row r="38431" spans="23:23">
      <c r="W38431" s="503"/>
    </row>
    <row r="38432" spans="23:23">
      <c r="W38432" s="503"/>
    </row>
    <row r="38433" spans="23:23">
      <c r="W38433" s="503"/>
    </row>
    <row r="38434" spans="23:23">
      <c r="W38434" s="503"/>
    </row>
    <row r="38435" spans="23:23">
      <c r="W38435" s="503"/>
    </row>
    <row r="38436" spans="23:23">
      <c r="W38436" s="503"/>
    </row>
    <row r="38437" spans="23:23">
      <c r="W38437" s="503"/>
    </row>
    <row r="38438" spans="23:23">
      <c r="W38438" s="503"/>
    </row>
    <row r="38439" spans="23:23">
      <c r="W38439" s="503"/>
    </row>
    <row r="38440" spans="23:23">
      <c r="W38440" s="503"/>
    </row>
    <row r="38441" spans="23:23">
      <c r="W38441" s="503"/>
    </row>
    <row r="38442" spans="23:23">
      <c r="W38442" s="503"/>
    </row>
    <row r="38443" spans="23:23">
      <c r="W38443" s="503"/>
    </row>
    <row r="38444" spans="23:23">
      <c r="W38444" s="503"/>
    </row>
    <row r="38445" spans="23:23">
      <c r="W38445" s="503"/>
    </row>
    <row r="38446" spans="23:23">
      <c r="W38446" s="503"/>
    </row>
    <row r="38447" spans="23:23">
      <c r="W38447" s="503"/>
    </row>
    <row r="38448" spans="23:23">
      <c r="W38448" s="503"/>
    </row>
    <row r="38449" spans="23:23">
      <c r="W38449" s="503"/>
    </row>
    <row r="38450" spans="23:23">
      <c r="W38450" s="503"/>
    </row>
    <row r="38451" spans="23:23">
      <c r="W38451" s="503"/>
    </row>
    <row r="38452" spans="23:23">
      <c r="W38452" s="503"/>
    </row>
    <row r="38453" spans="23:23">
      <c r="W38453" s="503"/>
    </row>
    <row r="38454" spans="23:23">
      <c r="W38454" s="503"/>
    </row>
    <row r="38455" spans="23:23">
      <c r="W38455" s="503"/>
    </row>
    <row r="38456" spans="23:23">
      <c r="W38456" s="503"/>
    </row>
    <row r="38457" spans="23:23">
      <c r="W38457" s="503"/>
    </row>
    <row r="38458" spans="23:23">
      <c r="W38458" s="503"/>
    </row>
    <row r="38459" spans="23:23">
      <c r="W38459" s="503"/>
    </row>
    <row r="38460" spans="23:23">
      <c r="W38460" s="503"/>
    </row>
    <row r="38461" spans="23:23">
      <c r="W38461" s="503"/>
    </row>
    <row r="38462" spans="23:23">
      <c r="W38462" s="503"/>
    </row>
    <row r="38463" spans="23:23">
      <c r="W38463" s="503"/>
    </row>
    <row r="38464" spans="23:23">
      <c r="W38464" s="503"/>
    </row>
    <row r="38465" spans="23:23">
      <c r="W38465" s="503"/>
    </row>
    <row r="38466" spans="23:23">
      <c r="W38466" s="503"/>
    </row>
    <row r="38467" spans="23:23">
      <c r="W38467" s="503"/>
    </row>
    <row r="38468" spans="23:23">
      <c r="W38468" s="503"/>
    </row>
    <row r="38469" spans="23:23">
      <c r="W38469" s="503"/>
    </row>
    <row r="38470" spans="23:23">
      <c r="W38470" s="503"/>
    </row>
    <row r="38471" spans="23:23">
      <c r="W38471" s="503"/>
    </row>
    <row r="38472" spans="23:23">
      <c r="W38472" s="503"/>
    </row>
    <row r="38473" spans="23:23">
      <c r="W38473" s="503"/>
    </row>
    <row r="38474" spans="23:23">
      <c r="W38474" s="503"/>
    </row>
    <row r="38475" spans="23:23">
      <c r="W38475" s="503"/>
    </row>
    <row r="38476" spans="23:23">
      <c r="W38476" s="503"/>
    </row>
    <row r="38477" spans="23:23">
      <c r="W38477" s="503"/>
    </row>
    <row r="38478" spans="23:23">
      <c r="W38478" s="503"/>
    </row>
    <row r="38479" spans="23:23">
      <c r="W38479" s="503"/>
    </row>
    <row r="38480" spans="23:23">
      <c r="W38480" s="503"/>
    </row>
    <row r="38481" spans="23:23">
      <c r="W38481" s="503"/>
    </row>
    <row r="38482" spans="23:23">
      <c r="W38482" s="503"/>
    </row>
    <row r="38483" spans="23:23">
      <c r="W38483" s="503"/>
    </row>
    <row r="38484" spans="23:23">
      <c r="W38484" s="503"/>
    </row>
    <row r="38485" spans="23:23">
      <c r="W38485" s="503"/>
    </row>
    <row r="38486" spans="23:23">
      <c r="W38486" s="503"/>
    </row>
    <row r="38487" spans="23:23">
      <c r="W38487" s="503"/>
    </row>
    <row r="38488" spans="23:23">
      <c r="W38488" s="503"/>
    </row>
    <row r="38489" spans="23:23">
      <c r="W38489" s="503"/>
    </row>
    <row r="38490" spans="23:23">
      <c r="W38490" s="503"/>
    </row>
    <row r="38491" spans="23:23">
      <c r="W38491" s="503"/>
    </row>
    <row r="38492" spans="23:23">
      <c r="W38492" s="503"/>
    </row>
    <row r="38493" spans="23:23">
      <c r="W38493" s="503"/>
    </row>
    <row r="38494" spans="23:23">
      <c r="W38494" s="503"/>
    </row>
    <row r="38495" spans="23:23">
      <c r="W38495" s="503"/>
    </row>
    <row r="38496" spans="23:23">
      <c r="W38496" s="503"/>
    </row>
    <row r="38497" spans="23:23">
      <c r="W38497" s="503"/>
    </row>
    <row r="38498" spans="23:23">
      <c r="W38498" s="503"/>
    </row>
    <row r="38499" spans="23:23">
      <c r="W38499" s="503"/>
    </row>
    <row r="38500" spans="23:23">
      <c r="W38500" s="503"/>
    </row>
    <row r="38501" spans="23:23">
      <c r="W38501" s="503"/>
    </row>
    <row r="38502" spans="23:23">
      <c r="W38502" s="503"/>
    </row>
    <row r="38503" spans="23:23">
      <c r="W38503" s="503"/>
    </row>
    <row r="38504" spans="23:23">
      <c r="W38504" s="503"/>
    </row>
    <row r="38505" spans="23:23">
      <c r="W38505" s="503"/>
    </row>
    <row r="38506" spans="23:23">
      <c r="W38506" s="503"/>
    </row>
    <row r="38507" spans="23:23">
      <c r="W38507" s="503"/>
    </row>
    <row r="38508" spans="23:23">
      <c r="W38508" s="503"/>
    </row>
    <row r="38509" spans="23:23">
      <c r="W38509" s="503"/>
    </row>
    <row r="38510" spans="23:23">
      <c r="W38510" s="503"/>
    </row>
    <row r="38511" spans="23:23">
      <c r="W38511" s="503"/>
    </row>
    <row r="38512" spans="23:23">
      <c r="W38512" s="503"/>
    </row>
    <row r="38513" spans="23:23">
      <c r="W38513" s="503"/>
    </row>
    <row r="38514" spans="23:23">
      <c r="W38514" s="503"/>
    </row>
    <row r="38515" spans="23:23">
      <c r="W38515" s="503"/>
    </row>
    <row r="38516" spans="23:23">
      <c r="W38516" s="503"/>
    </row>
    <row r="38517" spans="23:23">
      <c r="W38517" s="503"/>
    </row>
    <row r="38518" spans="23:23">
      <c r="W38518" s="503"/>
    </row>
    <row r="38519" spans="23:23">
      <c r="W38519" s="503"/>
    </row>
    <row r="38520" spans="23:23">
      <c r="W38520" s="503"/>
    </row>
    <row r="38521" spans="23:23">
      <c r="W38521" s="503"/>
    </row>
    <row r="38522" spans="23:23">
      <c r="W38522" s="503"/>
    </row>
    <row r="38523" spans="23:23">
      <c r="W38523" s="503"/>
    </row>
    <row r="38524" spans="23:23">
      <c r="W38524" s="503"/>
    </row>
    <row r="38525" spans="23:23">
      <c r="W38525" s="503"/>
    </row>
    <row r="38526" spans="23:23">
      <c r="W38526" s="503"/>
    </row>
    <row r="38527" spans="23:23">
      <c r="W38527" s="503"/>
    </row>
    <row r="38528" spans="23:23">
      <c r="W38528" s="503"/>
    </row>
    <row r="38529" spans="23:23">
      <c r="W38529" s="503"/>
    </row>
    <row r="38530" spans="23:23">
      <c r="W38530" s="503"/>
    </row>
    <row r="38531" spans="23:23">
      <c r="W38531" s="503"/>
    </row>
    <row r="38532" spans="23:23">
      <c r="W38532" s="503"/>
    </row>
    <row r="38533" spans="23:23">
      <c r="W38533" s="503"/>
    </row>
    <row r="38534" spans="23:23">
      <c r="W38534" s="503"/>
    </row>
    <row r="38535" spans="23:23">
      <c r="W38535" s="503"/>
    </row>
    <row r="38536" spans="23:23">
      <c r="W38536" s="503"/>
    </row>
    <row r="38537" spans="23:23">
      <c r="W38537" s="503"/>
    </row>
    <row r="38538" spans="23:23">
      <c r="W38538" s="503"/>
    </row>
    <row r="38539" spans="23:23">
      <c r="W38539" s="503"/>
    </row>
    <row r="38540" spans="23:23">
      <c r="W38540" s="503"/>
    </row>
    <row r="38541" spans="23:23">
      <c r="W38541" s="503"/>
    </row>
    <row r="38542" spans="23:23">
      <c r="W38542" s="503"/>
    </row>
    <row r="38543" spans="23:23">
      <c r="W38543" s="503"/>
    </row>
    <row r="38544" spans="23:23">
      <c r="W38544" s="503"/>
    </row>
    <row r="38545" spans="23:23">
      <c r="W38545" s="503"/>
    </row>
    <row r="38546" spans="23:23">
      <c r="W38546" s="503"/>
    </row>
    <row r="38547" spans="23:23">
      <c r="W38547" s="503"/>
    </row>
    <row r="38548" spans="23:23">
      <c r="W38548" s="503"/>
    </row>
    <row r="38549" spans="23:23">
      <c r="W38549" s="503"/>
    </row>
    <row r="38550" spans="23:23">
      <c r="W38550" s="503"/>
    </row>
    <row r="38551" spans="23:23">
      <c r="W38551" s="503"/>
    </row>
    <row r="38552" spans="23:23">
      <c r="W38552" s="503"/>
    </row>
    <row r="38553" spans="23:23">
      <c r="W38553" s="503"/>
    </row>
    <row r="38554" spans="23:23">
      <c r="W38554" s="503"/>
    </row>
    <row r="38555" spans="23:23">
      <c r="W38555" s="503"/>
    </row>
    <row r="38556" spans="23:23">
      <c r="W38556" s="503"/>
    </row>
    <row r="38557" spans="23:23">
      <c r="W38557" s="503"/>
    </row>
    <row r="38558" spans="23:23">
      <c r="W38558" s="503"/>
    </row>
    <row r="38559" spans="23:23">
      <c r="W38559" s="503"/>
    </row>
    <row r="38560" spans="23:23">
      <c r="W38560" s="503"/>
    </row>
    <row r="38561" spans="23:23">
      <c r="W38561" s="503"/>
    </row>
    <row r="38562" spans="23:23">
      <c r="W38562" s="503"/>
    </row>
    <row r="38563" spans="23:23">
      <c r="W38563" s="503"/>
    </row>
    <row r="38564" spans="23:23">
      <c r="W38564" s="503"/>
    </row>
    <row r="38565" spans="23:23">
      <c r="W38565" s="503"/>
    </row>
    <row r="38566" spans="23:23">
      <c r="W38566" s="503"/>
    </row>
    <row r="38567" spans="23:23">
      <c r="W38567" s="503"/>
    </row>
    <row r="38568" spans="23:23">
      <c r="W38568" s="503"/>
    </row>
    <row r="38569" spans="23:23">
      <c r="W38569" s="503"/>
    </row>
    <row r="38570" spans="23:23">
      <c r="W38570" s="503"/>
    </row>
    <row r="38571" spans="23:23">
      <c r="W38571" s="503"/>
    </row>
    <row r="38572" spans="23:23">
      <c r="W38572" s="503"/>
    </row>
    <row r="38573" spans="23:23">
      <c r="W38573" s="503"/>
    </row>
    <row r="38574" spans="23:23">
      <c r="W38574" s="503"/>
    </row>
    <row r="38575" spans="23:23">
      <c r="W38575" s="503"/>
    </row>
    <row r="38576" spans="23:23">
      <c r="W38576" s="503"/>
    </row>
    <row r="38577" spans="23:23">
      <c r="W38577" s="503"/>
    </row>
    <row r="38578" spans="23:23">
      <c r="W38578" s="503"/>
    </row>
    <row r="38579" spans="23:23">
      <c r="W38579" s="503"/>
    </row>
    <row r="38580" spans="23:23">
      <c r="W38580" s="503"/>
    </row>
    <row r="38581" spans="23:23">
      <c r="W38581" s="503"/>
    </row>
    <row r="38582" spans="23:23">
      <c r="W38582" s="503"/>
    </row>
    <row r="38583" spans="23:23">
      <c r="W38583" s="503"/>
    </row>
    <row r="38584" spans="23:23">
      <c r="W38584" s="503"/>
    </row>
    <row r="38585" spans="23:23">
      <c r="W38585" s="503"/>
    </row>
    <row r="38586" spans="23:23">
      <c r="W38586" s="503"/>
    </row>
    <row r="38587" spans="23:23">
      <c r="W38587" s="503"/>
    </row>
    <row r="38588" spans="23:23">
      <c r="W38588" s="503"/>
    </row>
    <row r="38589" spans="23:23">
      <c r="W38589" s="503"/>
    </row>
    <row r="38590" spans="23:23">
      <c r="W38590" s="503"/>
    </row>
    <row r="38591" spans="23:23">
      <c r="W38591" s="503"/>
    </row>
    <row r="38592" spans="23:23">
      <c r="W38592" s="503"/>
    </row>
    <row r="38593" spans="23:23">
      <c r="W38593" s="503"/>
    </row>
    <row r="38594" spans="23:23">
      <c r="W38594" s="503"/>
    </row>
    <row r="38595" spans="23:23">
      <c r="W38595" s="503"/>
    </row>
    <row r="38596" spans="23:23">
      <c r="W38596" s="503"/>
    </row>
    <row r="38597" spans="23:23">
      <c r="W38597" s="503"/>
    </row>
    <row r="38598" spans="23:23">
      <c r="W38598" s="503"/>
    </row>
    <row r="38599" spans="23:23">
      <c r="W38599" s="503"/>
    </row>
    <row r="38600" spans="23:23">
      <c r="W38600" s="503"/>
    </row>
    <row r="38601" spans="23:23">
      <c r="W38601" s="503"/>
    </row>
    <row r="38602" spans="23:23">
      <c r="W38602" s="503"/>
    </row>
    <row r="38603" spans="23:23">
      <c r="W38603" s="503"/>
    </row>
    <row r="38604" spans="23:23">
      <c r="W38604" s="503"/>
    </row>
    <row r="38605" spans="23:23">
      <c r="W38605" s="503"/>
    </row>
    <row r="38606" spans="23:23">
      <c r="W38606" s="503"/>
    </row>
    <row r="38607" spans="23:23">
      <c r="W38607" s="503"/>
    </row>
    <row r="38608" spans="23:23">
      <c r="W38608" s="503"/>
    </row>
    <row r="38609" spans="23:23">
      <c r="W38609" s="503"/>
    </row>
    <row r="38610" spans="23:23">
      <c r="W38610" s="503"/>
    </row>
    <row r="38611" spans="23:23">
      <c r="W38611" s="503"/>
    </row>
    <row r="38612" spans="23:23">
      <c r="W38612" s="503"/>
    </row>
    <row r="38613" spans="23:23">
      <c r="W38613" s="503"/>
    </row>
    <row r="38614" spans="23:23">
      <c r="W38614" s="503"/>
    </row>
    <row r="38615" spans="23:23">
      <c r="W38615" s="503"/>
    </row>
    <row r="38616" spans="23:23">
      <c r="W38616" s="503"/>
    </row>
    <row r="38617" spans="23:23">
      <c r="W38617" s="503"/>
    </row>
    <row r="38618" spans="23:23">
      <c r="W38618" s="503"/>
    </row>
    <row r="38619" spans="23:23">
      <c r="W38619" s="503"/>
    </row>
    <row r="38620" spans="23:23">
      <c r="W38620" s="503"/>
    </row>
    <row r="38621" spans="23:23">
      <c r="W38621" s="503"/>
    </row>
    <row r="38622" spans="23:23">
      <c r="W38622" s="503"/>
    </row>
    <row r="38623" spans="23:23">
      <c r="W38623" s="503"/>
    </row>
    <row r="38624" spans="23:23">
      <c r="W38624" s="503"/>
    </row>
    <row r="38625" spans="23:23">
      <c r="W38625" s="503"/>
    </row>
    <row r="38626" spans="23:23">
      <c r="W38626" s="503"/>
    </row>
    <row r="38627" spans="23:23">
      <c r="W38627" s="503"/>
    </row>
    <row r="38628" spans="23:23">
      <c r="W38628" s="503"/>
    </row>
    <row r="38629" spans="23:23">
      <c r="W38629" s="503"/>
    </row>
    <row r="38630" spans="23:23">
      <c r="W38630" s="503"/>
    </row>
    <row r="38631" spans="23:23">
      <c r="W38631" s="503"/>
    </row>
    <row r="38632" spans="23:23">
      <c r="W38632" s="503"/>
    </row>
    <row r="38633" spans="23:23">
      <c r="W38633" s="503"/>
    </row>
    <row r="38634" spans="23:23">
      <c r="W38634" s="503"/>
    </row>
    <row r="38635" spans="23:23">
      <c r="W38635" s="503"/>
    </row>
    <row r="38636" spans="23:23">
      <c r="W38636" s="503"/>
    </row>
    <row r="38637" spans="23:23">
      <c r="W38637" s="503"/>
    </row>
    <row r="38638" spans="23:23">
      <c r="W38638" s="503"/>
    </row>
    <row r="38639" spans="23:23">
      <c r="W38639" s="503"/>
    </row>
    <row r="38640" spans="23:23">
      <c r="W38640" s="503"/>
    </row>
    <row r="38641" spans="23:23">
      <c r="W38641" s="503"/>
    </row>
    <row r="38642" spans="23:23">
      <c r="W38642" s="503"/>
    </row>
    <row r="38643" spans="23:23">
      <c r="W38643" s="503"/>
    </row>
    <row r="38644" spans="23:23">
      <c r="W38644" s="503"/>
    </row>
    <row r="38645" spans="23:23">
      <c r="W38645" s="503"/>
    </row>
    <row r="38646" spans="23:23">
      <c r="W38646" s="503"/>
    </row>
    <row r="38647" spans="23:23">
      <c r="W38647" s="503"/>
    </row>
    <row r="38648" spans="23:23">
      <c r="W38648" s="503"/>
    </row>
    <row r="38649" spans="23:23">
      <c r="W38649" s="503"/>
    </row>
    <row r="38650" spans="23:23">
      <c r="W38650" s="503"/>
    </row>
    <row r="38651" spans="23:23">
      <c r="W38651" s="503"/>
    </row>
    <row r="38652" spans="23:23">
      <c r="W38652" s="503"/>
    </row>
    <row r="38653" spans="23:23">
      <c r="W38653" s="503"/>
    </row>
    <row r="38654" spans="23:23">
      <c r="W38654" s="503"/>
    </row>
    <row r="38655" spans="23:23">
      <c r="W38655" s="503"/>
    </row>
    <row r="38656" spans="23:23">
      <c r="W38656" s="503"/>
    </row>
    <row r="38657" spans="23:23">
      <c r="W38657" s="503"/>
    </row>
    <row r="38658" spans="23:23">
      <c r="W38658" s="503"/>
    </row>
    <row r="38659" spans="23:23">
      <c r="W38659" s="503"/>
    </row>
    <row r="38660" spans="23:23">
      <c r="W38660" s="503"/>
    </row>
    <row r="38661" spans="23:23">
      <c r="W38661" s="503"/>
    </row>
    <row r="38662" spans="23:23">
      <c r="W38662" s="503"/>
    </row>
    <row r="38663" spans="23:23">
      <c r="W38663" s="503"/>
    </row>
    <row r="38664" spans="23:23">
      <c r="W38664" s="503"/>
    </row>
    <row r="38665" spans="23:23">
      <c r="W38665" s="503"/>
    </row>
    <row r="38666" spans="23:23">
      <c r="W38666" s="503"/>
    </row>
    <row r="38667" spans="23:23">
      <c r="W38667" s="503"/>
    </row>
    <row r="38668" spans="23:23">
      <c r="W38668" s="503"/>
    </row>
    <row r="38669" spans="23:23">
      <c r="W38669" s="503"/>
    </row>
    <row r="38670" spans="23:23">
      <c r="W38670" s="503"/>
    </row>
    <row r="38671" spans="23:23">
      <c r="W38671" s="503"/>
    </row>
    <row r="38672" spans="23:23">
      <c r="W38672" s="503"/>
    </row>
    <row r="38673" spans="23:23">
      <c r="W38673" s="503"/>
    </row>
    <row r="38674" spans="23:23">
      <c r="W38674" s="503"/>
    </row>
    <row r="38675" spans="23:23">
      <c r="W38675" s="503"/>
    </row>
    <row r="38676" spans="23:23">
      <c r="W38676" s="503"/>
    </row>
    <row r="38677" spans="23:23">
      <c r="W38677" s="503"/>
    </row>
    <row r="38678" spans="23:23">
      <c r="W38678" s="503"/>
    </row>
    <row r="38679" spans="23:23">
      <c r="W38679" s="503"/>
    </row>
    <row r="38680" spans="23:23">
      <c r="W38680" s="503"/>
    </row>
    <row r="38681" spans="23:23">
      <c r="W38681" s="503"/>
    </row>
    <row r="38682" spans="23:23">
      <c r="W38682" s="503"/>
    </row>
    <row r="38683" spans="23:23">
      <c r="W38683" s="503"/>
    </row>
    <row r="38684" spans="23:23">
      <c r="W38684" s="503"/>
    </row>
    <row r="38685" spans="23:23">
      <c r="W38685" s="503"/>
    </row>
    <row r="38686" spans="23:23">
      <c r="W38686" s="503"/>
    </row>
    <row r="38687" spans="23:23">
      <c r="W38687" s="503"/>
    </row>
    <row r="38688" spans="23:23">
      <c r="W38688" s="503"/>
    </row>
    <row r="38689" spans="23:23">
      <c r="W38689" s="503"/>
    </row>
    <row r="38690" spans="23:23">
      <c r="W38690" s="503"/>
    </row>
    <row r="38691" spans="23:23">
      <c r="W38691" s="503"/>
    </row>
    <row r="38692" spans="23:23">
      <c r="W38692" s="503"/>
    </row>
    <row r="38693" spans="23:23">
      <c r="W38693" s="503"/>
    </row>
    <row r="38694" spans="23:23">
      <c r="W38694" s="503"/>
    </row>
    <row r="38695" spans="23:23">
      <c r="W38695" s="503"/>
    </row>
    <row r="38696" spans="23:23">
      <c r="W38696" s="503"/>
    </row>
    <row r="38697" spans="23:23">
      <c r="W38697" s="503"/>
    </row>
    <row r="38698" spans="23:23">
      <c r="W38698" s="503"/>
    </row>
    <row r="38699" spans="23:23">
      <c r="W38699" s="503"/>
    </row>
    <row r="38700" spans="23:23">
      <c r="W38700" s="503"/>
    </row>
    <row r="38701" spans="23:23">
      <c r="W38701" s="503"/>
    </row>
    <row r="38702" spans="23:23">
      <c r="W38702" s="503"/>
    </row>
    <row r="38703" spans="23:23">
      <c r="W38703" s="503"/>
    </row>
    <row r="38704" spans="23:23">
      <c r="W38704" s="503"/>
    </row>
    <row r="38705" spans="23:23">
      <c r="W38705" s="503"/>
    </row>
    <row r="38706" spans="23:23">
      <c r="W38706" s="503"/>
    </row>
    <row r="38707" spans="23:23">
      <c r="W38707" s="503"/>
    </row>
    <row r="38708" spans="23:23">
      <c r="W38708" s="503"/>
    </row>
    <row r="38709" spans="23:23">
      <c r="W38709" s="503"/>
    </row>
    <row r="38710" spans="23:23">
      <c r="W38710" s="503"/>
    </row>
    <row r="38711" spans="23:23">
      <c r="W38711" s="503"/>
    </row>
    <row r="38712" spans="23:23">
      <c r="W38712" s="503"/>
    </row>
    <row r="38713" spans="23:23">
      <c r="W38713" s="503"/>
    </row>
    <row r="38714" spans="23:23">
      <c r="W38714" s="503"/>
    </row>
    <row r="38715" spans="23:23">
      <c r="W38715" s="503"/>
    </row>
    <row r="38716" spans="23:23">
      <c r="W38716" s="503"/>
    </row>
    <row r="38717" spans="23:23">
      <c r="W38717" s="503"/>
    </row>
    <row r="38718" spans="23:23">
      <c r="W38718" s="503"/>
    </row>
    <row r="38719" spans="23:23">
      <c r="W38719" s="503"/>
    </row>
    <row r="38720" spans="23:23">
      <c r="W38720" s="503"/>
    </row>
    <row r="38721" spans="23:23">
      <c r="W38721" s="503"/>
    </row>
    <row r="38722" spans="23:23">
      <c r="W38722" s="503"/>
    </row>
    <row r="38723" spans="23:23">
      <c r="W38723" s="503"/>
    </row>
    <row r="38724" spans="23:23">
      <c r="W38724" s="503"/>
    </row>
    <row r="38725" spans="23:23">
      <c r="W38725" s="503"/>
    </row>
    <row r="38726" spans="23:23">
      <c r="W38726" s="503"/>
    </row>
    <row r="38727" spans="23:23">
      <c r="W38727" s="503"/>
    </row>
    <row r="38728" spans="23:23">
      <c r="W38728" s="503"/>
    </row>
    <row r="38729" spans="23:23">
      <c r="W38729" s="503"/>
    </row>
    <row r="38730" spans="23:23">
      <c r="W38730" s="503"/>
    </row>
    <row r="38731" spans="23:23">
      <c r="W38731" s="503"/>
    </row>
    <row r="38732" spans="23:23">
      <c r="W38732" s="503"/>
    </row>
    <row r="38733" spans="23:23">
      <c r="W38733" s="503"/>
    </row>
    <row r="38734" spans="23:23">
      <c r="W38734" s="503"/>
    </row>
    <row r="38735" spans="23:23">
      <c r="W38735" s="503"/>
    </row>
    <row r="38736" spans="23:23">
      <c r="W38736" s="503"/>
    </row>
    <row r="38737" spans="23:23">
      <c r="W38737" s="503"/>
    </row>
    <row r="38738" spans="23:23">
      <c r="W38738" s="503"/>
    </row>
    <row r="38739" spans="23:23">
      <c r="W38739" s="503"/>
    </row>
    <row r="38740" spans="23:23">
      <c r="W38740" s="503"/>
    </row>
    <row r="38741" spans="23:23">
      <c r="W38741" s="503"/>
    </row>
    <row r="38742" spans="23:23">
      <c r="W38742" s="503"/>
    </row>
    <row r="38743" spans="23:23">
      <c r="W38743" s="503"/>
    </row>
    <row r="38744" spans="23:23">
      <c r="W38744" s="503"/>
    </row>
    <row r="38745" spans="23:23">
      <c r="W38745" s="503"/>
    </row>
    <row r="38746" spans="23:23">
      <c r="W38746" s="503"/>
    </row>
    <row r="38747" spans="23:23">
      <c r="W38747" s="503"/>
    </row>
    <row r="38748" spans="23:23">
      <c r="W38748" s="503"/>
    </row>
    <row r="38749" spans="23:23">
      <c r="W38749" s="503"/>
    </row>
    <row r="38750" spans="23:23">
      <c r="W38750" s="503"/>
    </row>
    <row r="38751" spans="23:23">
      <c r="W38751" s="503"/>
    </row>
    <row r="38752" spans="23:23">
      <c r="W38752" s="503"/>
    </row>
    <row r="38753" spans="23:23">
      <c r="W38753" s="503"/>
    </row>
    <row r="38754" spans="23:23">
      <c r="W38754" s="503"/>
    </row>
    <row r="38755" spans="23:23">
      <c r="W38755" s="503"/>
    </row>
    <row r="38756" spans="23:23">
      <c r="W38756" s="503"/>
    </row>
    <row r="38757" spans="23:23">
      <c r="W38757" s="503"/>
    </row>
    <row r="38758" spans="23:23">
      <c r="W38758" s="503"/>
    </row>
    <row r="38759" spans="23:23">
      <c r="W38759" s="503"/>
    </row>
    <row r="38760" spans="23:23">
      <c r="W38760" s="503"/>
    </row>
    <row r="38761" spans="23:23">
      <c r="W38761" s="503"/>
    </row>
    <row r="38762" spans="23:23">
      <c r="W38762" s="503"/>
    </row>
    <row r="38763" spans="23:23">
      <c r="W38763" s="503"/>
    </row>
    <row r="38764" spans="23:23">
      <c r="W38764" s="503"/>
    </row>
    <row r="38765" spans="23:23">
      <c r="W38765" s="503"/>
    </row>
    <row r="38766" spans="23:23">
      <c r="W38766" s="503"/>
    </row>
    <row r="38767" spans="23:23">
      <c r="W38767" s="503"/>
    </row>
    <row r="38768" spans="23:23">
      <c r="W38768" s="503"/>
    </row>
    <row r="38769" spans="23:23">
      <c r="W38769" s="503"/>
    </row>
    <row r="38770" spans="23:23">
      <c r="W38770" s="503"/>
    </row>
    <row r="38771" spans="23:23">
      <c r="W38771" s="503"/>
    </row>
    <row r="38772" spans="23:23">
      <c r="W38772" s="503"/>
    </row>
    <row r="38773" spans="23:23">
      <c r="W38773" s="503"/>
    </row>
    <row r="38774" spans="23:23">
      <c r="W38774" s="503"/>
    </row>
    <row r="38775" spans="23:23">
      <c r="W38775" s="503"/>
    </row>
    <row r="38776" spans="23:23">
      <c r="W38776" s="503"/>
    </row>
    <row r="38777" spans="23:23">
      <c r="W38777" s="503"/>
    </row>
    <row r="38778" spans="23:23">
      <c r="W38778" s="503"/>
    </row>
    <row r="38779" spans="23:23">
      <c r="W38779" s="503"/>
    </row>
    <row r="38780" spans="23:23">
      <c r="W38780" s="503"/>
    </row>
    <row r="38781" spans="23:23">
      <c r="W38781" s="503"/>
    </row>
    <row r="38782" spans="23:23">
      <c r="W38782" s="503"/>
    </row>
    <row r="38783" spans="23:23">
      <c r="W38783" s="503"/>
    </row>
    <row r="38784" spans="23:23">
      <c r="W38784" s="503"/>
    </row>
    <row r="38785" spans="23:23">
      <c r="W38785" s="503"/>
    </row>
    <row r="38786" spans="23:23">
      <c r="W38786" s="503"/>
    </row>
    <row r="38787" spans="23:23">
      <c r="W38787" s="503"/>
    </row>
    <row r="38788" spans="23:23">
      <c r="W38788" s="503"/>
    </row>
    <row r="38789" spans="23:23">
      <c r="W38789" s="503"/>
    </row>
    <row r="38790" spans="23:23">
      <c r="W38790" s="503"/>
    </row>
    <row r="38791" spans="23:23">
      <c r="W38791" s="503"/>
    </row>
    <row r="38792" spans="23:23">
      <c r="W38792" s="503"/>
    </row>
    <row r="38793" spans="23:23">
      <c r="W38793" s="503"/>
    </row>
    <row r="38794" spans="23:23">
      <c r="W38794" s="503"/>
    </row>
    <row r="38795" spans="23:23">
      <c r="W38795" s="503"/>
    </row>
    <row r="38796" spans="23:23">
      <c r="W38796" s="503"/>
    </row>
    <row r="38797" spans="23:23">
      <c r="W38797" s="503"/>
    </row>
    <row r="38798" spans="23:23">
      <c r="W38798" s="503"/>
    </row>
    <row r="38799" spans="23:23">
      <c r="W38799" s="503"/>
    </row>
    <row r="38800" spans="23:23">
      <c r="W38800" s="503"/>
    </row>
    <row r="38801" spans="23:23">
      <c r="W38801" s="503"/>
    </row>
    <row r="38802" spans="23:23">
      <c r="W38802" s="503"/>
    </row>
    <row r="38803" spans="23:23">
      <c r="W38803" s="503"/>
    </row>
    <row r="38804" spans="23:23">
      <c r="W38804" s="503"/>
    </row>
    <row r="38805" spans="23:23">
      <c r="W38805" s="503"/>
    </row>
    <row r="38806" spans="23:23">
      <c r="W38806" s="503"/>
    </row>
    <row r="38807" spans="23:23">
      <c r="W38807" s="503"/>
    </row>
    <row r="38808" spans="23:23">
      <c r="W38808" s="503"/>
    </row>
    <row r="38809" spans="23:23">
      <c r="W38809" s="503"/>
    </row>
    <row r="38810" spans="23:23">
      <c r="W38810" s="503"/>
    </row>
    <row r="38811" spans="23:23">
      <c r="W38811" s="503"/>
    </row>
    <row r="38812" spans="23:23">
      <c r="W38812" s="503"/>
    </row>
    <row r="38813" spans="23:23">
      <c r="W38813" s="503"/>
    </row>
    <row r="38814" spans="23:23">
      <c r="W38814" s="503"/>
    </row>
    <row r="38815" spans="23:23">
      <c r="W38815" s="503"/>
    </row>
    <row r="38816" spans="23:23">
      <c r="W38816" s="503"/>
    </row>
    <row r="38817" spans="23:23">
      <c r="W38817" s="503"/>
    </row>
    <row r="38818" spans="23:23">
      <c r="W38818" s="503"/>
    </row>
    <row r="38819" spans="23:23">
      <c r="W38819" s="503"/>
    </row>
    <row r="38820" spans="23:23">
      <c r="W38820" s="503"/>
    </row>
    <row r="38821" spans="23:23">
      <c r="W38821" s="503"/>
    </row>
    <row r="38822" spans="23:23">
      <c r="W38822" s="503"/>
    </row>
    <row r="38823" spans="23:23">
      <c r="W38823" s="503"/>
    </row>
    <row r="38824" spans="23:23">
      <c r="W38824" s="503"/>
    </row>
    <row r="38825" spans="23:23">
      <c r="W38825" s="503"/>
    </row>
    <row r="38826" spans="23:23">
      <c r="W38826" s="503"/>
    </row>
    <row r="38827" spans="23:23">
      <c r="W38827" s="503"/>
    </row>
    <row r="38828" spans="23:23">
      <c r="W38828" s="503"/>
    </row>
    <row r="38829" spans="23:23">
      <c r="W38829" s="503"/>
    </row>
    <row r="38830" spans="23:23">
      <c r="W38830" s="503"/>
    </row>
    <row r="38831" spans="23:23">
      <c r="W38831" s="503"/>
    </row>
    <row r="38832" spans="23:23">
      <c r="W38832" s="503"/>
    </row>
    <row r="38833" spans="23:23">
      <c r="W38833" s="503"/>
    </row>
    <row r="38834" spans="23:23">
      <c r="W38834" s="503"/>
    </row>
    <row r="38835" spans="23:23">
      <c r="W38835" s="503"/>
    </row>
    <row r="38836" spans="23:23">
      <c r="W38836" s="503"/>
    </row>
    <row r="38837" spans="23:23">
      <c r="W38837" s="503"/>
    </row>
    <row r="38838" spans="23:23">
      <c r="W38838" s="503"/>
    </row>
    <row r="38839" spans="23:23">
      <c r="W38839" s="503"/>
    </row>
    <row r="38840" spans="23:23">
      <c r="W38840" s="503"/>
    </row>
    <row r="38841" spans="23:23">
      <c r="W38841" s="503"/>
    </row>
    <row r="38842" spans="23:23">
      <c r="W38842" s="503"/>
    </row>
    <row r="38843" spans="23:23">
      <c r="W38843" s="503"/>
    </row>
    <row r="38844" spans="23:23">
      <c r="W38844" s="503"/>
    </row>
    <row r="38845" spans="23:23">
      <c r="W38845" s="503"/>
    </row>
    <row r="38846" spans="23:23">
      <c r="W38846" s="503"/>
    </row>
    <row r="38847" spans="23:23">
      <c r="W38847" s="503"/>
    </row>
    <row r="38848" spans="23:23">
      <c r="W38848" s="503"/>
    </row>
    <row r="38849" spans="23:23">
      <c r="W38849" s="503"/>
    </row>
    <row r="38850" spans="23:23">
      <c r="W38850" s="503"/>
    </row>
    <row r="38851" spans="23:23">
      <c r="W38851" s="503"/>
    </row>
    <row r="38852" spans="23:23">
      <c r="W38852" s="503"/>
    </row>
    <row r="38853" spans="23:23">
      <c r="W38853" s="503"/>
    </row>
    <row r="38854" spans="23:23">
      <c r="W38854" s="503"/>
    </row>
    <row r="38855" spans="23:23">
      <c r="W38855" s="503"/>
    </row>
    <row r="38856" spans="23:23">
      <c r="W38856" s="503"/>
    </row>
    <row r="38857" spans="23:23">
      <c r="W38857" s="503"/>
    </row>
    <row r="38858" spans="23:23">
      <c r="W38858" s="503"/>
    </row>
    <row r="38859" spans="23:23">
      <c r="W38859" s="503"/>
    </row>
    <row r="38860" spans="23:23">
      <c r="W38860" s="503"/>
    </row>
    <row r="38861" spans="23:23">
      <c r="W38861" s="503"/>
    </row>
    <row r="38862" spans="23:23">
      <c r="W38862" s="503"/>
    </row>
    <row r="38863" spans="23:23">
      <c r="W38863" s="503"/>
    </row>
    <row r="38864" spans="23:23">
      <c r="W38864" s="503"/>
    </row>
    <row r="38865" spans="23:23">
      <c r="W38865" s="503"/>
    </row>
    <row r="38866" spans="23:23">
      <c r="W38866" s="503"/>
    </row>
    <row r="38867" spans="23:23">
      <c r="W38867" s="503"/>
    </row>
    <row r="38868" spans="23:23">
      <c r="W38868" s="503"/>
    </row>
    <row r="38869" spans="23:23">
      <c r="W38869" s="503"/>
    </row>
    <row r="38870" spans="23:23">
      <c r="W38870" s="503"/>
    </row>
    <row r="38871" spans="23:23">
      <c r="W38871" s="503"/>
    </row>
    <row r="38872" spans="23:23">
      <c r="W38872" s="503"/>
    </row>
    <row r="38873" spans="23:23">
      <c r="W38873" s="503"/>
    </row>
    <row r="38874" spans="23:23">
      <c r="W38874" s="503"/>
    </row>
    <row r="38875" spans="23:23">
      <c r="W38875" s="503"/>
    </row>
    <row r="38876" spans="23:23">
      <c r="W38876" s="503"/>
    </row>
    <row r="38877" spans="23:23">
      <c r="W38877" s="503"/>
    </row>
    <row r="38878" spans="23:23">
      <c r="W38878" s="503"/>
    </row>
    <row r="38879" spans="23:23">
      <c r="W38879" s="503"/>
    </row>
    <row r="38880" spans="23:23">
      <c r="W38880" s="503"/>
    </row>
    <row r="38881" spans="23:23">
      <c r="W38881" s="503"/>
    </row>
    <row r="38882" spans="23:23">
      <c r="W38882" s="503"/>
    </row>
    <row r="38883" spans="23:23">
      <c r="W38883" s="503"/>
    </row>
    <row r="38884" spans="23:23">
      <c r="W38884" s="503"/>
    </row>
    <row r="38885" spans="23:23">
      <c r="W38885" s="503"/>
    </row>
    <row r="38886" spans="23:23">
      <c r="W38886" s="503"/>
    </row>
    <row r="38887" spans="23:23">
      <c r="W38887" s="503"/>
    </row>
    <row r="38888" spans="23:23">
      <c r="W38888" s="503"/>
    </row>
    <row r="38889" spans="23:23">
      <c r="W38889" s="503"/>
    </row>
    <row r="38890" spans="23:23">
      <c r="W38890" s="503"/>
    </row>
    <row r="38891" spans="23:23">
      <c r="W38891" s="503"/>
    </row>
    <row r="38892" spans="23:23">
      <c r="W38892" s="503"/>
    </row>
    <row r="38893" spans="23:23">
      <c r="W38893" s="503"/>
    </row>
    <row r="38894" spans="23:23">
      <c r="W38894" s="503"/>
    </row>
    <row r="38895" spans="23:23">
      <c r="W38895" s="503"/>
    </row>
    <row r="38896" spans="23:23">
      <c r="W38896" s="503"/>
    </row>
    <row r="38897" spans="23:23">
      <c r="W38897" s="503"/>
    </row>
    <row r="38898" spans="23:23">
      <c r="W38898" s="503"/>
    </row>
    <row r="38899" spans="23:23">
      <c r="W38899" s="503"/>
    </row>
    <row r="38900" spans="23:23">
      <c r="W38900" s="503"/>
    </row>
    <row r="38901" spans="23:23">
      <c r="W38901" s="503"/>
    </row>
    <row r="38902" spans="23:23">
      <c r="W38902" s="503"/>
    </row>
    <row r="38903" spans="23:23">
      <c r="W38903" s="503"/>
    </row>
    <row r="38904" spans="23:23">
      <c r="W38904" s="503"/>
    </row>
    <row r="38905" spans="23:23">
      <c r="W38905" s="503"/>
    </row>
    <row r="38906" spans="23:23">
      <c r="W38906" s="503"/>
    </row>
    <row r="38907" spans="23:23">
      <c r="W38907" s="503"/>
    </row>
    <row r="38908" spans="23:23">
      <c r="W38908" s="503"/>
    </row>
    <row r="38909" spans="23:23">
      <c r="W38909" s="503"/>
    </row>
    <row r="38910" spans="23:23">
      <c r="W38910" s="503"/>
    </row>
    <row r="38911" spans="23:23">
      <c r="W38911" s="503"/>
    </row>
    <row r="38912" spans="23:23">
      <c r="W38912" s="503"/>
    </row>
    <row r="38913" spans="23:23">
      <c r="W38913" s="503"/>
    </row>
    <row r="38914" spans="23:23">
      <c r="W38914" s="503"/>
    </row>
    <row r="38915" spans="23:23">
      <c r="W38915" s="503"/>
    </row>
    <row r="38916" spans="23:23">
      <c r="W38916" s="503"/>
    </row>
    <row r="38917" spans="23:23">
      <c r="W38917" s="503"/>
    </row>
    <row r="38918" spans="23:23">
      <c r="W38918" s="503"/>
    </row>
    <row r="38919" spans="23:23">
      <c r="W38919" s="503"/>
    </row>
    <row r="38920" spans="23:23">
      <c r="W38920" s="503"/>
    </row>
    <row r="38921" spans="23:23">
      <c r="W38921" s="503"/>
    </row>
    <row r="38922" spans="23:23">
      <c r="W38922" s="503"/>
    </row>
    <row r="38923" spans="23:23">
      <c r="W38923" s="503"/>
    </row>
    <row r="38924" spans="23:23">
      <c r="W38924" s="503"/>
    </row>
    <row r="38925" spans="23:23">
      <c r="W38925" s="503"/>
    </row>
    <row r="38926" spans="23:23">
      <c r="W38926" s="503"/>
    </row>
    <row r="38927" spans="23:23">
      <c r="W38927" s="503"/>
    </row>
    <row r="38928" spans="23:23">
      <c r="W38928" s="503"/>
    </row>
    <row r="38929" spans="23:23">
      <c r="W38929" s="503"/>
    </row>
    <row r="38930" spans="23:23">
      <c r="W38930" s="503"/>
    </row>
    <row r="38931" spans="23:23">
      <c r="W38931" s="503"/>
    </row>
    <row r="38932" spans="23:23">
      <c r="W38932" s="503"/>
    </row>
    <row r="38933" spans="23:23">
      <c r="W38933" s="503"/>
    </row>
    <row r="38934" spans="23:23">
      <c r="W38934" s="503"/>
    </row>
    <row r="38935" spans="23:23">
      <c r="W38935" s="503"/>
    </row>
    <row r="38936" spans="23:23">
      <c r="W38936" s="503"/>
    </row>
    <row r="38937" spans="23:23">
      <c r="W38937" s="503"/>
    </row>
    <row r="38938" spans="23:23">
      <c r="W38938" s="503"/>
    </row>
    <row r="38939" spans="23:23">
      <c r="W38939" s="503"/>
    </row>
    <row r="38940" spans="23:23">
      <c r="W38940" s="503"/>
    </row>
    <row r="38941" spans="23:23">
      <c r="W38941" s="503"/>
    </row>
    <row r="38942" spans="23:23">
      <c r="W38942" s="503"/>
    </row>
    <row r="38943" spans="23:23">
      <c r="W38943" s="503"/>
    </row>
    <row r="38944" spans="23:23">
      <c r="W38944" s="503"/>
    </row>
    <row r="38945" spans="23:23">
      <c r="W38945" s="503"/>
    </row>
    <row r="38946" spans="23:23">
      <c r="W38946" s="503"/>
    </row>
    <row r="38947" spans="23:23">
      <c r="W38947" s="503"/>
    </row>
    <row r="38948" spans="23:23">
      <c r="W38948" s="503"/>
    </row>
    <row r="38949" spans="23:23">
      <c r="W38949" s="503"/>
    </row>
    <row r="38950" spans="23:23">
      <c r="W38950" s="503"/>
    </row>
    <row r="38951" spans="23:23">
      <c r="W38951" s="503"/>
    </row>
    <row r="38952" spans="23:23">
      <c r="W38952" s="503"/>
    </row>
    <row r="38953" spans="23:23">
      <c r="W38953" s="503"/>
    </row>
    <row r="38954" spans="23:23">
      <c r="W38954" s="503"/>
    </row>
    <row r="38955" spans="23:23">
      <c r="W38955" s="503"/>
    </row>
    <row r="38956" spans="23:23">
      <c r="W38956" s="503"/>
    </row>
    <row r="38957" spans="23:23">
      <c r="W38957" s="503"/>
    </row>
    <row r="38958" spans="23:23">
      <c r="W38958" s="503"/>
    </row>
    <row r="38959" spans="23:23">
      <c r="W38959" s="503"/>
    </row>
    <row r="38960" spans="23:23">
      <c r="W38960" s="503"/>
    </row>
    <row r="38961" spans="23:23">
      <c r="W38961" s="503"/>
    </row>
    <row r="38962" spans="23:23">
      <c r="W38962" s="503"/>
    </row>
    <row r="38963" spans="23:23">
      <c r="W38963" s="503"/>
    </row>
    <row r="38964" spans="23:23">
      <c r="W38964" s="503"/>
    </row>
    <row r="38965" spans="23:23">
      <c r="W38965" s="503"/>
    </row>
    <row r="38966" spans="23:23">
      <c r="W38966" s="503"/>
    </row>
    <row r="38967" spans="23:23">
      <c r="W38967" s="503"/>
    </row>
    <row r="38968" spans="23:23">
      <c r="W38968" s="503"/>
    </row>
    <row r="38969" spans="23:23">
      <c r="W38969" s="503"/>
    </row>
    <row r="38970" spans="23:23">
      <c r="W38970" s="503"/>
    </row>
    <row r="38971" spans="23:23">
      <c r="W38971" s="503"/>
    </row>
    <row r="38972" spans="23:23">
      <c r="W38972" s="503"/>
    </row>
    <row r="38973" spans="23:23">
      <c r="W38973" s="503"/>
    </row>
    <row r="38974" spans="23:23">
      <c r="W38974" s="503"/>
    </row>
    <row r="38975" spans="23:23">
      <c r="W38975" s="503"/>
    </row>
    <row r="38976" spans="23:23">
      <c r="W38976" s="503"/>
    </row>
    <row r="38977" spans="23:23">
      <c r="W38977" s="503"/>
    </row>
    <row r="38978" spans="23:23">
      <c r="W38978" s="503"/>
    </row>
    <row r="38979" spans="23:23">
      <c r="W38979" s="503"/>
    </row>
    <row r="38980" spans="23:23">
      <c r="W38980" s="503"/>
    </row>
    <row r="38981" spans="23:23">
      <c r="W38981" s="503"/>
    </row>
    <row r="38982" spans="23:23">
      <c r="W38982" s="503"/>
    </row>
    <row r="38983" spans="23:23">
      <c r="W38983" s="503"/>
    </row>
    <row r="38984" spans="23:23">
      <c r="W38984" s="503"/>
    </row>
    <row r="38985" spans="23:23">
      <c r="W38985" s="503"/>
    </row>
    <row r="38986" spans="23:23">
      <c r="W38986" s="503"/>
    </row>
    <row r="38987" spans="23:23">
      <c r="W38987" s="503"/>
    </row>
    <row r="38988" spans="23:23">
      <c r="W38988" s="503"/>
    </row>
    <row r="38989" spans="23:23">
      <c r="W38989" s="503"/>
    </row>
    <row r="38990" spans="23:23">
      <c r="W38990" s="503"/>
    </row>
    <row r="38991" spans="23:23">
      <c r="W38991" s="503"/>
    </row>
    <row r="38992" spans="23:23">
      <c r="W38992" s="503"/>
    </row>
    <row r="38993" spans="23:23">
      <c r="W38993" s="503"/>
    </row>
    <row r="38994" spans="23:23">
      <c r="W38994" s="503"/>
    </row>
    <row r="38995" spans="23:23">
      <c r="W38995" s="503"/>
    </row>
    <row r="38996" spans="23:23">
      <c r="W38996" s="503"/>
    </row>
    <row r="38997" spans="23:23">
      <c r="W38997" s="503"/>
    </row>
    <row r="38998" spans="23:23">
      <c r="W38998" s="503"/>
    </row>
    <row r="38999" spans="23:23">
      <c r="W38999" s="503"/>
    </row>
    <row r="39000" spans="23:23">
      <c r="W39000" s="503"/>
    </row>
    <row r="39001" spans="23:23">
      <c r="W39001" s="503"/>
    </row>
    <row r="39002" spans="23:23">
      <c r="W39002" s="503"/>
    </row>
    <row r="39003" spans="23:23">
      <c r="W39003" s="503"/>
    </row>
    <row r="39004" spans="23:23">
      <c r="W39004" s="503"/>
    </row>
    <row r="39005" spans="23:23">
      <c r="W39005" s="503"/>
    </row>
    <row r="39006" spans="23:23">
      <c r="W39006" s="503"/>
    </row>
    <row r="39007" spans="23:23">
      <c r="W39007" s="503"/>
    </row>
    <row r="39008" spans="23:23">
      <c r="W39008" s="503"/>
    </row>
    <row r="39009" spans="23:23">
      <c r="W39009" s="503"/>
    </row>
    <row r="39010" spans="23:23">
      <c r="W39010" s="503"/>
    </row>
    <row r="39011" spans="23:23">
      <c r="W39011" s="503"/>
    </row>
    <row r="39012" spans="23:23">
      <c r="W39012" s="503"/>
    </row>
    <row r="39013" spans="23:23">
      <c r="W39013" s="503"/>
    </row>
    <row r="39014" spans="23:23">
      <c r="W39014" s="503"/>
    </row>
    <row r="39015" spans="23:23">
      <c r="W39015" s="503"/>
    </row>
    <row r="39016" spans="23:23">
      <c r="W39016" s="503"/>
    </row>
    <row r="39017" spans="23:23">
      <c r="W39017" s="503"/>
    </row>
    <row r="39018" spans="23:23">
      <c r="W39018" s="503"/>
    </row>
    <row r="39019" spans="23:23">
      <c r="W39019" s="503"/>
    </row>
    <row r="39020" spans="23:23">
      <c r="W39020" s="503"/>
    </row>
    <row r="39021" spans="23:23">
      <c r="W39021" s="503"/>
    </row>
    <row r="39022" spans="23:23">
      <c r="W39022" s="503"/>
    </row>
    <row r="39023" spans="23:23">
      <c r="W39023" s="503"/>
    </row>
    <row r="39024" spans="23:23">
      <c r="W39024" s="503"/>
    </row>
    <row r="39025" spans="23:23">
      <c r="W39025" s="503"/>
    </row>
    <row r="39026" spans="23:23">
      <c r="W39026" s="503"/>
    </row>
    <row r="39027" spans="23:23">
      <c r="W39027" s="503"/>
    </row>
    <row r="39028" spans="23:23">
      <c r="W39028" s="503"/>
    </row>
    <row r="39029" spans="23:23">
      <c r="W39029" s="503"/>
    </row>
    <row r="39030" spans="23:23">
      <c r="W39030" s="503"/>
    </row>
    <row r="39031" spans="23:23">
      <c r="W39031" s="503"/>
    </row>
    <row r="39032" spans="23:23">
      <c r="W39032" s="503"/>
    </row>
    <row r="39033" spans="23:23">
      <c r="W39033" s="503"/>
    </row>
    <row r="39034" spans="23:23">
      <c r="W39034" s="503"/>
    </row>
    <row r="39035" spans="23:23">
      <c r="W39035" s="503"/>
    </row>
    <row r="39036" spans="23:23">
      <c r="W39036" s="503"/>
    </row>
    <row r="39037" spans="23:23">
      <c r="W39037" s="503"/>
    </row>
    <row r="39038" spans="23:23">
      <c r="W39038" s="503"/>
    </row>
    <row r="39039" spans="23:23">
      <c r="W39039" s="503"/>
    </row>
    <row r="39040" spans="23:23">
      <c r="W39040" s="503"/>
    </row>
    <row r="39041" spans="23:23">
      <c r="W39041" s="503"/>
    </row>
    <row r="39042" spans="23:23">
      <c r="W39042" s="503"/>
    </row>
    <row r="39043" spans="23:23">
      <c r="W39043" s="503"/>
    </row>
    <row r="39044" spans="23:23">
      <c r="W39044" s="503"/>
    </row>
    <row r="39045" spans="23:23">
      <c r="W39045" s="503"/>
    </row>
    <row r="39046" spans="23:23">
      <c r="W39046" s="503"/>
    </row>
    <row r="39047" spans="23:23">
      <c r="W39047" s="503"/>
    </row>
    <row r="39048" spans="23:23">
      <c r="W39048" s="503"/>
    </row>
    <row r="39049" spans="23:23">
      <c r="W39049" s="503"/>
    </row>
    <row r="39050" spans="23:23">
      <c r="W39050" s="503"/>
    </row>
    <row r="39051" spans="23:23">
      <c r="W39051" s="503"/>
    </row>
    <row r="39052" spans="23:23">
      <c r="W39052" s="503"/>
    </row>
    <row r="39053" spans="23:23">
      <c r="W39053" s="503"/>
    </row>
    <row r="39054" spans="23:23">
      <c r="W39054" s="503"/>
    </row>
    <row r="39055" spans="23:23">
      <c r="W39055" s="503"/>
    </row>
    <row r="39056" spans="23:23">
      <c r="W39056" s="503"/>
    </row>
    <row r="39057" spans="23:23">
      <c r="W39057" s="503"/>
    </row>
    <row r="39058" spans="23:23">
      <c r="W39058" s="503"/>
    </row>
    <row r="39059" spans="23:23">
      <c r="W39059" s="503"/>
    </row>
    <row r="39060" spans="23:23">
      <c r="W39060" s="503"/>
    </row>
    <row r="39061" spans="23:23">
      <c r="W39061" s="503"/>
    </row>
    <row r="39062" spans="23:23">
      <c r="W39062" s="503"/>
    </row>
    <row r="39063" spans="23:23">
      <c r="W39063" s="503"/>
    </row>
    <row r="39064" spans="23:23">
      <c r="W39064" s="503"/>
    </row>
    <row r="39065" spans="23:23">
      <c r="W39065" s="503"/>
    </row>
    <row r="39066" spans="23:23">
      <c r="W39066" s="503"/>
    </row>
    <row r="39067" spans="23:23">
      <c r="W39067" s="503"/>
    </row>
    <row r="39068" spans="23:23">
      <c r="W39068" s="503"/>
    </row>
    <row r="39069" spans="23:23">
      <c r="W39069" s="503"/>
    </row>
    <row r="39070" spans="23:23">
      <c r="W39070" s="503"/>
    </row>
    <row r="39071" spans="23:23">
      <c r="W39071" s="503"/>
    </row>
    <row r="39072" spans="23:23">
      <c r="W39072" s="503"/>
    </row>
    <row r="39073" spans="23:23">
      <c r="W39073" s="503"/>
    </row>
    <row r="39074" spans="23:23">
      <c r="W39074" s="503"/>
    </row>
    <row r="39075" spans="23:23">
      <c r="W39075" s="503"/>
    </row>
    <row r="39076" spans="23:23">
      <c r="W39076" s="503"/>
    </row>
    <row r="39077" spans="23:23">
      <c r="W39077" s="503"/>
    </row>
    <row r="39078" spans="23:23">
      <c r="W39078" s="503"/>
    </row>
    <row r="39079" spans="23:23">
      <c r="W39079" s="503"/>
    </row>
    <row r="39080" spans="23:23">
      <c r="W39080" s="503"/>
    </row>
    <row r="39081" spans="23:23">
      <c r="W39081" s="503"/>
    </row>
    <row r="39082" spans="23:23">
      <c r="W39082" s="503"/>
    </row>
    <row r="39083" spans="23:23">
      <c r="W39083" s="503"/>
    </row>
    <row r="39084" spans="23:23">
      <c r="W39084" s="503"/>
    </row>
    <row r="39085" spans="23:23">
      <c r="W39085" s="503"/>
    </row>
    <row r="39086" spans="23:23">
      <c r="W39086" s="503"/>
    </row>
    <row r="39087" spans="23:23">
      <c r="W39087" s="503"/>
    </row>
    <row r="39088" spans="23:23">
      <c r="W39088" s="503"/>
    </row>
    <row r="39089" spans="23:23">
      <c r="W39089" s="503"/>
    </row>
    <row r="39090" spans="23:23">
      <c r="W39090" s="503"/>
    </row>
    <row r="39091" spans="23:23">
      <c r="W39091" s="503"/>
    </row>
    <row r="39092" spans="23:23">
      <c r="W39092" s="503"/>
    </row>
    <row r="39093" spans="23:23">
      <c r="W39093" s="503"/>
    </row>
    <row r="39094" spans="23:23">
      <c r="W39094" s="503"/>
    </row>
    <row r="39095" spans="23:23">
      <c r="W39095" s="503"/>
    </row>
    <row r="39096" spans="23:23">
      <c r="W39096" s="503"/>
    </row>
    <row r="39097" spans="23:23">
      <c r="W39097" s="503"/>
    </row>
    <row r="39098" spans="23:23">
      <c r="W39098" s="503"/>
    </row>
    <row r="39099" spans="23:23">
      <c r="W39099" s="503"/>
    </row>
    <row r="39100" spans="23:23">
      <c r="W39100" s="503"/>
    </row>
    <row r="39101" spans="23:23">
      <c r="W39101" s="503"/>
    </row>
    <row r="39102" spans="23:23">
      <c r="W39102" s="503"/>
    </row>
    <row r="39103" spans="23:23">
      <c r="W39103" s="503"/>
    </row>
    <row r="39104" spans="23:23">
      <c r="W39104" s="503"/>
    </row>
    <row r="39105" spans="23:23">
      <c r="W39105" s="503"/>
    </row>
    <row r="39106" spans="23:23">
      <c r="W39106" s="503"/>
    </row>
    <row r="39107" spans="23:23">
      <c r="W39107" s="503"/>
    </row>
    <row r="39108" spans="23:23">
      <c r="W39108" s="503"/>
    </row>
    <row r="39109" spans="23:23">
      <c r="W39109" s="503"/>
    </row>
    <row r="39110" spans="23:23">
      <c r="W39110" s="503"/>
    </row>
    <row r="39111" spans="23:23">
      <c r="W39111" s="503"/>
    </row>
    <row r="39112" spans="23:23">
      <c r="W39112" s="503"/>
    </row>
    <row r="39113" spans="23:23">
      <c r="W39113" s="503"/>
    </row>
    <row r="39114" spans="23:23">
      <c r="W39114" s="503"/>
    </row>
    <row r="39115" spans="23:23">
      <c r="W39115" s="503"/>
    </row>
    <row r="39116" spans="23:23">
      <c r="W39116" s="503"/>
    </row>
    <row r="39117" spans="23:23">
      <c r="W39117" s="503"/>
    </row>
    <row r="39118" spans="23:23">
      <c r="W39118" s="503"/>
    </row>
    <row r="39119" spans="23:23">
      <c r="W39119" s="503"/>
    </row>
    <row r="39120" spans="23:23">
      <c r="W39120" s="503"/>
    </row>
    <row r="39121" spans="23:23">
      <c r="W39121" s="503"/>
    </row>
    <row r="39122" spans="23:23">
      <c r="W39122" s="503"/>
    </row>
    <row r="39123" spans="23:23">
      <c r="W39123" s="503"/>
    </row>
    <row r="39124" spans="23:23">
      <c r="W39124" s="503"/>
    </row>
    <row r="39125" spans="23:23">
      <c r="W39125" s="503"/>
    </row>
    <row r="39126" spans="23:23">
      <c r="W39126" s="503"/>
    </row>
    <row r="39127" spans="23:23">
      <c r="W39127" s="503"/>
    </row>
    <row r="39128" spans="23:23">
      <c r="W39128" s="503"/>
    </row>
    <row r="39129" spans="23:23">
      <c r="W39129" s="503"/>
    </row>
    <row r="39130" spans="23:23">
      <c r="W39130" s="503"/>
    </row>
    <row r="39131" spans="23:23">
      <c r="W39131" s="503"/>
    </row>
    <row r="39132" spans="23:23">
      <c r="W39132" s="503"/>
    </row>
    <row r="39133" spans="23:23">
      <c r="W39133" s="503"/>
    </row>
    <row r="39134" spans="23:23">
      <c r="W39134" s="503"/>
    </row>
    <row r="39135" spans="23:23">
      <c r="W39135" s="503"/>
    </row>
    <row r="39136" spans="23:23">
      <c r="W39136" s="503"/>
    </row>
    <row r="39137" spans="23:23">
      <c r="W39137" s="503"/>
    </row>
    <row r="39138" spans="23:23">
      <c r="W39138" s="503"/>
    </row>
    <row r="39139" spans="23:23">
      <c r="W39139" s="503"/>
    </row>
    <row r="39140" spans="23:23">
      <c r="W39140" s="503"/>
    </row>
    <row r="39141" spans="23:23">
      <c r="W39141" s="503"/>
    </row>
    <row r="39142" spans="23:23">
      <c r="W39142" s="503"/>
    </row>
    <row r="39143" spans="23:23">
      <c r="W39143" s="503"/>
    </row>
    <row r="39144" spans="23:23">
      <c r="W39144" s="503"/>
    </row>
    <row r="39145" spans="23:23">
      <c r="W39145" s="503"/>
    </row>
    <row r="39146" spans="23:23">
      <c r="W39146" s="503"/>
    </row>
    <row r="39147" spans="23:23">
      <c r="W39147" s="503"/>
    </row>
    <row r="39148" spans="23:23">
      <c r="W39148" s="503"/>
    </row>
    <row r="39149" spans="23:23">
      <c r="W39149" s="503"/>
    </row>
    <row r="39150" spans="23:23">
      <c r="W39150" s="503"/>
    </row>
    <row r="39151" spans="23:23">
      <c r="W39151" s="503"/>
    </row>
    <row r="39152" spans="23:23">
      <c r="W39152" s="503"/>
    </row>
    <row r="39153" spans="23:23">
      <c r="W39153" s="503"/>
    </row>
    <row r="39154" spans="23:23">
      <c r="W39154" s="503"/>
    </row>
    <row r="39155" spans="23:23">
      <c r="W39155" s="503"/>
    </row>
    <row r="39156" spans="23:23">
      <c r="W39156" s="503"/>
    </row>
    <row r="39157" spans="23:23">
      <c r="W39157" s="503"/>
    </row>
    <row r="39158" spans="23:23">
      <c r="W39158" s="503"/>
    </row>
    <row r="39159" spans="23:23">
      <c r="W39159" s="503"/>
    </row>
    <row r="39160" spans="23:23">
      <c r="W39160" s="503"/>
    </row>
    <row r="39161" spans="23:23">
      <c r="W39161" s="503"/>
    </row>
    <row r="39162" spans="23:23">
      <c r="W39162" s="503"/>
    </row>
    <row r="39163" spans="23:23">
      <c r="W39163" s="503"/>
    </row>
    <row r="39164" spans="23:23">
      <c r="W39164" s="503"/>
    </row>
    <row r="39165" spans="23:23">
      <c r="W39165" s="503"/>
    </row>
    <row r="39166" spans="23:23">
      <c r="W39166" s="503"/>
    </row>
    <row r="39167" spans="23:23">
      <c r="W39167" s="503"/>
    </row>
    <row r="39168" spans="23:23">
      <c r="W39168" s="503"/>
    </row>
    <row r="39169" spans="23:23">
      <c r="W39169" s="503"/>
    </row>
    <row r="39170" spans="23:23">
      <c r="W39170" s="503"/>
    </row>
    <row r="39171" spans="23:23">
      <c r="W39171" s="503"/>
    </row>
    <row r="39172" spans="23:23">
      <c r="W39172" s="503"/>
    </row>
    <row r="39173" spans="23:23">
      <c r="W39173" s="503"/>
    </row>
    <row r="39174" spans="23:23">
      <c r="W39174" s="503"/>
    </row>
    <row r="39175" spans="23:23">
      <c r="W39175" s="503"/>
    </row>
    <row r="39176" spans="23:23">
      <c r="W39176" s="503"/>
    </row>
    <row r="39177" spans="23:23">
      <c r="W39177" s="503"/>
    </row>
    <row r="39178" spans="23:23">
      <c r="W39178" s="503"/>
    </row>
    <row r="39179" spans="23:23">
      <c r="W39179" s="503"/>
    </row>
    <row r="39180" spans="23:23">
      <c r="W39180" s="503"/>
    </row>
    <row r="39181" spans="23:23">
      <c r="W39181" s="503"/>
    </row>
    <row r="39182" spans="23:23">
      <c r="W39182" s="503"/>
    </row>
    <row r="39183" spans="23:23">
      <c r="W39183" s="503"/>
    </row>
    <row r="39184" spans="23:23">
      <c r="W39184" s="503"/>
    </row>
    <row r="39185" spans="23:23">
      <c r="W39185" s="503"/>
    </row>
    <row r="39186" spans="23:23">
      <c r="W39186" s="503"/>
    </row>
    <row r="39187" spans="23:23">
      <c r="W39187" s="503"/>
    </row>
    <row r="39188" spans="23:23">
      <c r="W39188" s="503"/>
    </row>
    <row r="39189" spans="23:23">
      <c r="W39189" s="503"/>
    </row>
    <row r="39190" spans="23:23">
      <c r="W39190" s="503"/>
    </row>
    <row r="39191" spans="23:23">
      <c r="W39191" s="503"/>
    </row>
    <row r="39192" spans="23:23">
      <c r="W39192" s="503"/>
    </row>
    <row r="39193" spans="23:23">
      <c r="W39193" s="503"/>
    </row>
    <row r="39194" spans="23:23">
      <c r="W39194" s="503"/>
    </row>
    <row r="39195" spans="23:23">
      <c r="W39195" s="503"/>
    </row>
    <row r="39196" spans="23:23">
      <c r="W39196" s="503"/>
    </row>
    <row r="39197" spans="23:23">
      <c r="W39197" s="503"/>
    </row>
    <row r="39198" spans="23:23">
      <c r="W39198" s="503"/>
    </row>
    <row r="39199" spans="23:23">
      <c r="W39199" s="503"/>
    </row>
    <row r="39200" spans="23:23">
      <c r="W39200" s="503"/>
    </row>
    <row r="39201" spans="23:23">
      <c r="W39201" s="503"/>
    </row>
    <row r="39202" spans="23:23">
      <c r="W39202" s="503"/>
    </row>
    <row r="39203" spans="23:23">
      <c r="W39203" s="503"/>
    </row>
    <row r="39204" spans="23:23">
      <c r="W39204" s="503"/>
    </row>
    <row r="39205" spans="23:23">
      <c r="W39205" s="503"/>
    </row>
    <row r="39206" spans="23:23">
      <c r="W39206" s="503"/>
    </row>
    <row r="39207" spans="23:23">
      <c r="W39207" s="503"/>
    </row>
    <row r="39208" spans="23:23">
      <c r="W39208" s="503"/>
    </row>
    <row r="39209" spans="23:23">
      <c r="W39209" s="503"/>
    </row>
    <row r="39210" spans="23:23">
      <c r="W39210" s="503"/>
    </row>
    <row r="39211" spans="23:23">
      <c r="W39211" s="503"/>
    </row>
    <row r="39212" spans="23:23">
      <c r="W39212" s="503"/>
    </row>
    <row r="39213" spans="23:23">
      <c r="W39213" s="503"/>
    </row>
    <row r="39214" spans="23:23">
      <c r="W39214" s="503"/>
    </row>
    <row r="39215" spans="23:23">
      <c r="W39215" s="503"/>
    </row>
    <row r="39216" spans="23:23">
      <c r="W39216" s="503"/>
    </row>
    <row r="39217" spans="23:23">
      <c r="W39217" s="503"/>
    </row>
    <row r="39218" spans="23:23">
      <c r="W39218" s="503"/>
    </row>
    <row r="39219" spans="23:23">
      <c r="W39219" s="503"/>
    </row>
    <row r="39220" spans="23:23">
      <c r="W39220" s="503"/>
    </row>
    <row r="39221" spans="23:23">
      <c r="W39221" s="503"/>
    </row>
    <row r="39222" spans="23:23">
      <c r="W39222" s="503"/>
    </row>
    <row r="39223" spans="23:23">
      <c r="W39223" s="503"/>
    </row>
    <row r="39224" spans="23:23">
      <c r="W39224" s="503"/>
    </row>
    <row r="39225" spans="23:23">
      <c r="W39225" s="503"/>
    </row>
    <row r="39226" spans="23:23">
      <c r="W39226" s="503"/>
    </row>
    <row r="39227" spans="23:23">
      <c r="W39227" s="503"/>
    </row>
    <row r="39228" spans="23:23">
      <c r="W39228" s="503"/>
    </row>
    <row r="39229" spans="23:23">
      <c r="W39229" s="503"/>
    </row>
    <row r="39230" spans="23:23">
      <c r="W39230" s="503"/>
    </row>
    <row r="39231" spans="23:23">
      <c r="W39231" s="503"/>
    </row>
    <row r="39232" spans="23:23">
      <c r="W39232" s="503"/>
    </row>
    <row r="39233" spans="23:23">
      <c r="W39233" s="503"/>
    </row>
    <row r="39234" spans="23:23">
      <c r="W39234" s="503"/>
    </row>
    <row r="39235" spans="23:23">
      <c r="W39235" s="503"/>
    </row>
    <row r="39236" spans="23:23">
      <c r="W39236" s="503"/>
    </row>
    <row r="39237" spans="23:23">
      <c r="W39237" s="503"/>
    </row>
    <row r="39238" spans="23:23">
      <c r="W39238" s="503"/>
    </row>
    <row r="39239" spans="23:23">
      <c r="W39239" s="503"/>
    </row>
    <row r="39240" spans="23:23">
      <c r="W39240" s="503"/>
    </row>
    <row r="39241" spans="23:23">
      <c r="W39241" s="503"/>
    </row>
    <row r="39242" spans="23:23">
      <c r="W39242" s="503"/>
    </row>
    <row r="39243" spans="23:23">
      <c r="W39243" s="503"/>
    </row>
    <row r="39244" spans="23:23">
      <c r="W39244" s="503"/>
    </row>
    <row r="39245" spans="23:23">
      <c r="W39245" s="503"/>
    </row>
    <row r="39246" spans="23:23">
      <c r="W39246" s="503"/>
    </row>
    <row r="39247" spans="23:23">
      <c r="W39247" s="503"/>
    </row>
    <row r="39248" spans="23:23">
      <c r="W39248" s="503"/>
    </row>
    <row r="39249" spans="23:23">
      <c r="W39249" s="503"/>
    </row>
    <row r="39250" spans="23:23">
      <c r="W39250" s="503"/>
    </row>
    <row r="39251" spans="23:23">
      <c r="W39251" s="503"/>
    </row>
    <row r="39252" spans="23:23">
      <c r="W39252" s="503"/>
    </row>
    <row r="39253" spans="23:23">
      <c r="W39253" s="503"/>
    </row>
    <row r="39254" spans="23:23">
      <c r="W39254" s="503"/>
    </row>
    <row r="39255" spans="23:23">
      <c r="W39255" s="503"/>
    </row>
    <row r="39256" spans="23:23">
      <c r="W39256" s="503"/>
    </row>
    <row r="39257" spans="23:23">
      <c r="W39257" s="503"/>
    </row>
    <row r="39258" spans="23:23">
      <c r="W39258" s="503"/>
    </row>
    <row r="39259" spans="23:23">
      <c r="W39259" s="503"/>
    </row>
    <row r="39260" spans="23:23">
      <c r="W39260" s="503"/>
    </row>
    <row r="39261" spans="23:23">
      <c r="W39261" s="503"/>
    </row>
    <row r="39262" spans="23:23">
      <c r="W39262" s="503"/>
    </row>
    <row r="39263" spans="23:23">
      <c r="W39263" s="503"/>
    </row>
    <row r="39264" spans="23:23">
      <c r="W39264" s="503"/>
    </row>
    <row r="39265" spans="23:23">
      <c r="W39265" s="503"/>
    </row>
    <row r="39266" spans="23:23">
      <c r="W39266" s="503"/>
    </row>
    <row r="39267" spans="23:23">
      <c r="W39267" s="503"/>
    </row>
    <row r="39268" spans="23:23">
      <c r="W39268" s="503"/>
    </row>
    <row r="39269" spans="23:23">
      <c r="W39269" s="503"/>
    </row>
    <row r="39270" spans="23:23">
      <c r="W39270" s="503"/>
    </row>
    <row r="39271" spans="23:23">
      <c r="W39271" s="503"/>
    </row>
    <row r="39272" spans="23:23">
      <c r="W39272" s="503"/>
    </row>
    <row r="39273" spans="23:23">
      <c r="W39273" s="503"/>
    </row>
    <row r="39274" spans="23:23">
      <c r="W39274" s="503"/>
    </row>
    <row r="39275" spans="23:23">
      <c r="W39275" s="503"/>
    </row>
    <row r="39276" spans="23:23">
      <c r="W39276" s="503"/>
    </row>
    <row r="39277" spans="23:23">
      <c r="W39277" s="503"/>
    </row>
    <row r="39278" spans="23:23">
      <c r="W39278" s="503"/>
    </row>
    <row r="39279" spans="23:23">
      <c r="W39279" s="503"/>
    </row>
    <row r="39280" spans="23:23">
      <c r="W39280" s="503"/>
    </row>
    <row r="39281" spans="23:23">
      <c r="W39281" s="503"/>
    </row>
    <row r="39282" spans="23:23">
      <c r="W39282" s="503"/>
    </row>
    <row r="39283" spans="23:23">
      <c r="W39283" s="503"/>
    </row>
    <row r="39284" spans="23:23">
      <c r="W39284" s="503"/>
    </row>
    <row r="39285" spans="23:23">
      <c r="W39285" s="503"/>
    </row>
    <row r="39286" spans="23:23">
      <c r="W39286" s="503"/>
    </row>
    <row r="39287" spans="23:23">
      <c r="W39287" s="503"/>
    </row>
    <row r="39288" spans="23:23">
      <c r="W39288" s="503"/>
    </row>
    <row r="39289" spans="23:23">
      <c r="W39289" s="503"/>
    </row>
    <row r="39290" spans="23:23">
      <c r="W39290" s="503"/>
    </row>
    <row r="39291" spans="23:23">
      <c r="W39291" s="503"/>
    </row>
    <row r="39292" spans="23:23">
      <c r="W39292" s="503"/>
    </row>
    <row r="39293" spans="23:23">
      <c r="W39293" s="503"/>
    </row>
    <row r="39294" spans="23:23">
      <c r="W39294" s="503"/>
    </row>
    <row r="39295" spans="23:23">
      <c r="W39295" s="503"/>
    </row>
    <row r="39296" spans="23:23">
      <c r="W39296" s="503"/>
    </row>
    <row r="39297" spans="23:23">
      <c r="W39297" s="503"/>
    </row>
    <row r="39298" spans="23:23">
      <c r="W39298" s="503"/>
    </row>
    <row r="39299" spans="23:23">
      <c r="W39299" s="503"/>
    </row>
    <row r="39300" spans="23:23">
      <c r="W39300" s="503"/>
    </row>
    <row r="39301" spans="23:23">
      <c r="W39301" s="503"/>
    </row>
    <row r="39302" spans="23:23">
      <c r="W39302" s="503"/>
    </row>
    <row r="39303" spans="23:23">
      <c r="W39303" s="503"/>
    </row>
    <row r="39304" spans="23:23">
      <c r="W39304" s="503"/>
    </row>
    <row r="39305" spans="23:23">
      <c r="W39305" s="503"/>
    </row>
    <row r="39306" spans="23:23">
      <c r="W39306" s="503"/>
    </row>
    <row r="39307" spans="23:23">
      <c r="W39307" s="503"/>
    </row>
    <row r="39308" spans="23:23">
      <c r="W39308" s="503"/>
    </row>
    <row r="39309" spans="23:23">
      <c r="W39309" s="503"/>
    </row>
    <row r="39310" spans="23:23">
      <c r="W39310" s="503"/>
    </row>
    <row r="39311" spans="23:23">
      <c r="W39311" s="503"/>
    </row>
    <row r="39312" spans="23:23">
      <c r="W39312" s="503"/>
    </row>
    <row r="39313" spans="23:23">
      <c r="W39313" s="503"/>
    </row>
    <row r="39314" spans="23:23">
      <c r="W39314" s="503"/>
    </row>
    <row r="39315" spans="23:23">
      <c r="W39315" s="503"/>
    </row>
    <row r="39316" spans="23:23">
      <c r="W39316" s="503"/>
    </row>
    <row r="39317" spans="23:23">
      <c r="W39317" s="503"/>
    </row>
    <row r="39318" spans="23:23">
      <c r="W39318" s="503"/>
    </row>
    <row r="39319" spans="23:23">
      <c r="W39319" s="503"/>
    </row>
    <row r="39320" spans="23:23">
      <c r="W39320" s="503"/>
    </row>
    <row r="39321" spans="23:23">
      <c r="W39321" s="503"/>
    </row>
    <row r="39322" spans="23:23">
      <c r="W39322" s="503"/>
    </row>
    <row r="39323" spans="23:23">
      <c r="W39323" s="503"/>
    </row>
    <row r="39324" spans="23:23">
      <c r="W39324" s="503"/>
    </row>
    <row r="39325" spans="23:23">
      <c r="W39325" s="503"/>
    </row>
    <row r="39326" spans="23:23">
      <c r="W39326" s="503"/>
    </row>
    <row r="39327" spans="23:23">
      <c r="W39327" s="503"/>
    </row>
    <row r="39328" spans="23:23">
      <c r="W39328" s="503"/>
    </row>
    <row r="39329" spans="23:23">
      <c r="W39329" s="503"/>
    </row>
    <row r="39330" spans="23:23">
      <c r="W39330" s="503"/>
    </row>
    <row r="39331" spans="23:23">
      <c r="W39331" s="503"/>
    </row>
    <row r="39332" spans="23:23">
      <c r="W39332" s="503"/>
    </row>
    <row r="39333" spans="23:23">
      <c r="W39333" s="503"/>
    </row>
    <row r="39334" spans="23:23">
      <c r="W39334" s="503"/>
    </row>
    <row r="39335" spans="23:23">
      <c r="W39335" s="503"/>
    </row>
    <row r="39336" spans="23:23">
      <c r="W39336" s="503"/>
    </row>
    <row r="39337" spans="23:23">
      <c r="W39337" s="503"/>
    </row>
    <row r="39338" spans="23:23">
      <c r="W39338" s="503"/>
    </row>
    <row r="39339" spans="23:23">
      <c r="W39339" s="503"/>
    </row>
    <row r="39340" spans="23:23">
      <c r="W39340" s="503"/>
    </row>
    <row r="39341" spans="23:23">
      <c r="W39341" s="503"/>
    </row>
    <row r="39342" spans="23:23">
      <c r="W39342" s="503"/>
    </row>
    <row r="39343" spans="23:23">
      <c r="W39343" s="503"/>
    </row>
    <row r="39344" spans="23:23">
      <c r="W39344" s="503"/>
    </row>
    <row r="39345" spans="23:23">
      <c r="W39345" s="503"/>
    </row>
    <row r="39346" spans="23:23">
      <c r="W39346" s="503"/>
    </row>
    <row r="39347" spans="23:23">
      <c r="W39347" s="503"/>
    </row>
    <row r="39348" spans="23:23">
      <c r="W39348" s="503"/>
    </row>
    <row r="39349" spans="23:23">
      <c r="W39349" s="503"/>
    </row>
    <row r="39350" spans="23:23">
      <c r="W39350" s="503"/>
    </row>
    <row r="39351" spans="23:23">
      <c r="W39351" s="503"/>
    </row>
    <row r="39352" spans="23:23">
      <c r="W39352" s="503"/>
    </row>
    <row r="39353" spans="23:23">
      <c r="W39353" s="503"/>
    </row>
    <row r="39354" spans="23:23">
      <c r="W39354" s="503"/>
    </row>
    <row r="39355" spans="23:23">
      <c r="W39355" s="503"/>
    </row>
    <row r="39356" spans="23:23">
      <c r="W39356" s="503"/>
    </row>
    <row r="39357" spans="23:23">
      <c r="W39357" s="503"/>
    </row>
    <row r="39358" spans="23:23">
      <c r="W39358" s="503"/>
    </row>
    <row r="39359" spans="23:23">
      <c r="W39359" s="503"/>
    </row>
    <row r="39360" spans="23:23">
      <c r="W39360" s="503"/>
    </row>
    <row r="39361" spans="23:23">
      <c r="W39361" s="503"/>
    </row>
    <row r="39362" spans="23:23">
      <c r="W39362" s="503"/>
    </row>
    <row r="39363" spans="23:23">
      <c r="W39363" s="503"/>
    </row>
    <row r="39364" spans="23:23">
      <c r="W39364" s="503"/>
    </row>
    <row r="39365" spans="23:23">
      <c r="W39365" s="503"/>
    </row>
    <row r="39366" spans="23:23">
      <c r="W39366" s="503"/>
    </row>
    <row r="39367" spans="23:23">
      <c r="W39367" s="503"/>
    </row>
    <row r="39368" spans="23:23">
      <c r="W39368" s="503"/>
    </row>
    <row r="39369" spans="23:23">
      <c r="W39369" s="503"/>
    </row>
    <row r="39370" spans="23:23">
      <c r="W39370" s="503"/>
    </row>
    <row r="39371" spans="23:23">
      <c r="W39371" s="503"/>
    </row>
    <row r="39372" spans="23:23">
      <c r="W39372" s="503"/>
    </row>
    <row r="39373" spans="23:23">
      <c r="W39373" s="503"/>
    </row>
    <row r="39374" spans="23:23">
      <c r="W39374" s="503"/>
    </row>
    <row r="39375" spans="23:23">
      <c r="W39375" s="503"/>
    </row>
    <row r="39376" spans="23:23">
      <c r="W39376" s="503"/>
    </row>
    <row r="39377" spans="23:23">
      <c r="W39377" s="503"/>
    </row>
    <row r="39378" spans="23:23">
      <c r="W39378" s="503"/>
    </row>
    <row r="39379" spans="23:23">
      <c r="W39379" s="503"/>
    </row>
    <row r="39380" spans="23:23">
      <c r="W39380" s="503"/>
    </row>
    <row r="39381" spans="23:23">
      <c r="W39381" s="503"/>
    </row>
    <row r="39382" spans="23:23">
      <c r="W39382" s="503"/>
    </row>
    <row r="39383" spans="23:23">
      <c r="W39383" s="503"/>
    </row>
    <row r="39384" spans="23:23">
      <c r="W39384" s="503"/>
    </row>
    <row r="39385" spans="23:23">
      <c r="W39385" s="503"/>
    </row>
    <row r="39386" spans="23:23">
      <c r="W39386" s="503"/>
    </row>
    <row r="39387" spans="23:23">
      <c r="W39387" s="503"/>
    </row>
    <row r="39388" spans="23:23">
      <c r="W39388" s="503"/>
    </row>
    <row r="39389" spans="23:23">
      <c r="W39389" s="503"/>
    </row>
    <row r="39390" spans="23:23">
      <c r="W39390" s="503"/>
    </row>
    <row r="39391" spans="23:23">
      <c r="W39391" s="503"/>
    </row>
    <row r="39392" spans="23:23">
      <c r="W39392" s="503"/>
    </row>
    <row r="39393" spans="23:23">
      <c r="W39393" s="503"/>
    </row>
    <row r="39394" spans="23:23">
      <c r="W39394" s="503"/>
    </row>
    <row r="39395" spans="23:23">
      <c r="W39395" s="503"/>
    </row>
    <row r="39396" spans="23:23">
      <c r="W39396" s="503"/>
    </row>
    <row r="39397" spans="23:23">
      <c r="W39397" s="503"/>
    </row>
    <row r="39398" spans="23:23">
      <c r="W39398" s="503"/>
    </row>
    <row r="39399" spans="23:23">
      <c r="W39399" s="503"/>
    </row>
    <row r="39400" spans="23:23">
      <c r="W39400" s="503"/>
    </row>
    <row r="39401" spans="23:23">
      <c r="W39401" s="503"/>
    </row>
    <row r="39402" spans="23:23">
      <c r="W39402" s="503"/>
    </row>
    <row r="39403" spans="23:23">
      <c r="W39403" s="503"/>
    </row>
    <row r="39404" spans="23:23">
      <c r="W39404" s="503"/>
    </row>
    <row r="39405" spans="23:23">
      <c r="W39405" s="503"/>
    </row>
    <row r="39406" spans="23:23">
      <c r="W39406" s="503"/>
    </row>
    <row r="39407" spans="23:23">
      <c r="W39407" s="503"/>
    </row>
    <row r="39408" spans="23:23">
      <c r="W39408" s="503"/>
    </row>
    <row r="39409" spans="23:23">
      <c r="W39409" s="503"/>
    </row>
    <row r="39410" spans="23:23">
      <c r="W39410" s="503"/>
    </row>
    <row r="39411" spans="23:23">
      <c r="W39411" s="503"/>
    </row>
    <row r="39412" spans="23:23">
      <c r="W39412" s="503"/>
    </row>
    <row r="39413" spans="23:23">
      <c r="W39413" s="503"/>
    </row>
    <row r="39414" spans="23:23">
      <c r="W39414" s="503"/>
    </row>
    <row r="39415" spans="23:23">
      <c r="W39415" s="503"/>
    </row>
    <row r="39416" spans="23:23">
      <c r="W39416" s="503"/>
    </row>
    <row r="39417" spans="23:23">
      <c r="W39417" s="503"/>
    </row>
    <row r="39418" spans="23:23">
      <c r="W39418" s="503"/>
    </row>
    <row r="39419" spans="23:23">
      <c r="W39419" s="503"/>
    </row>
    <row r="39420" spans="23:23">
      <c r="W39420" s="503"/>
    </row>
    <row r="39421" spans="23:23">
      <c r="W39421" s="503"/>
    </row>
    <row r="39422" spans="23:23">
      <c r="W39422" s="503"/>
    </row>
    <row r="39423" spans="23:23">
      <c r="W39423" s="503"/>
    </row>
    <row r="39424" spans="23:23">
      <c r="W39424" s="503"/>
    </row>
    <row r="39425" spans="23:23">
      <c r="W39425" s="503"/>
    </row>
    <row r="39426" spans="23:23">
      <c r="W39426" s="503"/>
    </row>
    <row r="39427" spans="23:23">
      <c r="W39427" s="503"/>
    </row>
    <row r="39428" spans="23:23">
      <c r="W39428" s="503"/>
    </row>
    <row r="39429" spans="23:23">
      <c r="W39429" s="503"/>
    </row>
    <row r="39430" spans="23:23">
      <c r="W39430" s="503"/>
    </row>
    <row r="39431" spans="23:23">
      <c r="W39431" s="503"/>
    </row>
    <row r="39432" spans="23:23">
      <c r="W39432" s="503"/>
    </row>
    <row r="39433" spans="23:23">
      <c r="W39433" s="503"/>
    </row>
    <row r="39434" spans="23:23">
      <c r="W39434" s="503"/>
    </row>
    <row r="39435" spans="23:23">
      <c r="W39435" s="503"/>
    </row>
    <row r="39436" spans="23:23">
      <c r="W39436" s="503"/>
    </row>
    <row r="39437" spans="23:23">
      <c r="W39437" s="503"/>
    </row>
    <row r="39438" spans="23:23">
      <c r="W39438" s="503"/>
    </row>
    <row r="39439" spans="23:23">
      <c r="W39439" s="503"/>
    </row>
    <row r="39440" spans="23:23">
      <c r="W39440" s="503"/>
    </row>
    <row r="39441" spans="23:23">
      <c r="W39441" s="503"/>
    </row>
    <row r="39442" spans="23:23">
      <c r="W39442" s="503"/>
    </row>
    <row r="39443" spans="23:23">
      <c r="W39443" s="503"/>
    </row>
    <row r="39444" spans="23:23">
      <c r="W39444" s="503"/>
    </row>
    <row r="39445" spans="23:23">
      <c r="W39445" s="503"/>
    </row>
    <row r="39446" spans="23:23">
      <c r="W39446" s="503"/>
    </row>
    <row r="39447" spans="23:23">
      <c r="W39447" s="503"/>
    </row>
    <row r="39448" spans="23:23">
      <c r="W39448" s="503"/>
    </row>
    <row r="39449" spans="23:23">
      <c r="W39449" s="503"/>
    </row>
    <row r="39450" spans="23:23">
      <c r="W39450" s="503"/>
    </row>
    <row r="39451" spans="23:23">
      <c r="W39451" s="503"/>
    </row>
    <row r="39452" spans="23:23">
      <c r="W39452" s="503"/>
    </row>
    <row r="39453" spans="23:23">
      <c r="W39453" s="503"/>
    </row>
    <row r="39454" spans="23:23">
      <c r="W39454" s="503"/>
    </row>
    <row r="39455" spans="23:23">
      <c r="W39455" s="503"/>
    </row>
    <row r="39456" spans="23:23">
      <c r="W39456" s="503"/>
    </row>
    <row r="39457" spans="23:23">
      <c r="W39457" s="503"/>
    </row>
    <row r="39458" spans="23:23">
      <c r="W39458" s="503"/>
    </row>
    <row r="39459" spans="23:23">
      <c r="W39459" s="503"/>
    </row>
    <row r="39460" spans="23:23">
      <c r="W39460" s="503"/>
    </row>
    <row r="39461" spans="23:23">
      <c r="W39461" s="503"/>
    </row>
    <row r="39462" spans="23:23">
      <c r="W39462" s="503"/>
    </row>
    <row r="39463" spans="23:23">
      <c r="W39463" s="503"/>
    </row>
    <row r="39464" spans="23:23">
      <c r="W39464" s="503"/>
    </row>
    <row r="39465" spans="23:23">
      <c r="W39465" s="503"/>
    </row>
    <row r="39466" spans="23:23">
      <c r="W39466" s="503"/>
    </row>
    <row r="39467" spans="23:23">
      <c r="W39467" s="503"/>
    </row>
    <row r="39468" spans="23:23">
      <c r="W39468" s="503"/>
    </row>
    <row r="39469" spans="23:23">
      <c r="W39469" s="503"/>
    </row>
    <row r="39470" spans="23:23">
      <c r="W39470" s="503"/>
    </row>
    <row r="39471" spans="23:23">
      <c r="W39471" s="503"/>
    </row>
    <row r="39472" spans="23:23">
      <c r="W39472" s="503"/>
    </row>
    <row r="39473" spans="23:23">
      <c r="W39473" s="503"/>
    </row>
    <row r="39474" spans="23:23">
      <c r="W39474" s="503"/>
    </row>
    <row r="39475" spans="23:23">
      <c r="W39475" s="503"/>
    </row>
    <row r="39476" spans="23:23">
      <c r="W39476" s="503"/>
    </row>
    <row r="39477" spans="23:23">
      <c r="W39477" s="503"/>
    </row>
    <row r="39478" spans="23:23">
      <c r="W39478" s="503"/>
    </row>
    <row r="39479" spans="23:23">
      <c r="W39479" s="503"/>
    </row>
    <row r="39480" spans="23:23">
      <c r="W39480" s="503"/>
    </row>
    <row r="39481" spans="23:23">
      <c r="W39481" s="503"/>
    </row>
    <row r="39482" spans="23:23">
      <c r="W39482" s="503"/>
    </row>
    <row r="39483" spans="23:23">
      <c r="W39483" s="503"/>
    </row>
    <row r="39484" spans="23:23">
      <c r="W39484" s="503"/>
    </row>
    <row r="39485" spans="23:23">
      <c r="W39485" s="503"/>
    </row>
    <row r="39486" spans="23:23">
      <c r="W39486" s="503"/>
    </row>
    <row r="39487" spans="23:23">
      <c r="W39487" s="503"/>
    </row>
    <row r="39488" spans="23:23">
      <c r="W39488" s="503"/>
    </row>
    <row r="39489" spans="23:23">
      <c r="W39489" s="503"/>
    </row>
    <row r="39490" spans="23:23">
      <c r="W39490" s="503"/>
    </row>
    <row r="39491" spans="23:23">
      <c r="W39491" s="503"/>
    </row>
    <row r="39492" spans="23:23">
      <c r="W39492" s="503"/>
    </row>
    <row r="39493" spans="23:23">
      <c r="W39493" s="503"/>
    </row>
    <row r="39494" spans="23:23">
      <c r="W39494" s="503"/>
    </row>
    <row r="39495" spans="23:23">
      <c r="W39495" s="503"/>
    </row>
    <row r="39496" spans="23:23">
      <c r="W39496" s="503"/>
    </row>
    <row r="39497" spans="23:23">
      <c r="W39497" s="503"/>
    </row>
    <row r="39498" spans="23:23">
      <c r="W39498" s="503"/>
    </row>
    <row r="39499" spans="23:23">
      <c r="W39499" s="503"/>
    </row>
    <row r="39500" spans="23:23">
      <c r="W39500" s="503"/>
    </row>
    <row r="39501" spans="23:23">
      <c r="W39501" s="503"/>
    </row>
    <row r="39502" spans="23:23">
      <c r="W39502" s="503"/>
    </row>
    <row r="39503" spans="23:23">
      <c r="W39503" s="503"/>
    </row>
    <row r="39504" spans="23:23">
      <c r="W39504" s="503"/>
    </row>
    <row r="39505" spans="23:23">
      <c r="W39505" s="503"/>
    </row>
    <row r="39506" spans="23:23">
      <c r="W39506" s="503"/>
    </row>
    <row r="39507" spans="23:23">
      <c r="W39507" s="503"/>
    </row>
    <row r="39508" spans="23:23">
      <c r="W39508" s="503"/>
    </row>
    <row r="39509" spans="23:23">
      <c r="W39509" s="503"/>
    </row>
    <row r="39510" spans="23:23">
      <c r="W39510" s="503"/>
    </row>
    <row r="39511" spans="23:23">
      <c r="W39511" s="503"/>
    </row>
    <row r="39512" spans="23:23">
      <c r="W39512" s="503"/>
    </row>
    <row r="39513" spans="23:23">
      <c r="W39513" s="503"/>
    </row>
    <row r="39514" spans="23:23">
      <c r="W39514" s="503"/>
    </row>
    <row r="39515" spans="23:23">
      <c r="W39515" s="503"/>
    </row>
    <row r="39516" spans="23:23">
      <c r="W39516" s="503"/>
    </row>
    <row r="39517" spans="23:23">
      <c r="W39517" s="503"/>
    </row>
    <row r="39518" spans="23:23">
      <c r="W39518" s="503"/>
    </row>
    <row r="39519" spans="23:23">
      <c r="W39519" s="503"/>
    </row>
    <row r="39520" spans="23:23">
      <c r="W39520" s="503"/>
    </row>
    <row r="39521" spans="23:23">
      <c r="W39521" s="503"/>
    </row>
    <row r="39522" spans="23:23">
      <c r="W39522" s="503"/>
    </row>
    <row r="39523" spans="23:23">
      <c r="W39523" s="503"/>
    </row>
    <row r="39524" spans="23:23">
      <c r="W39524" s="503"/>
    </row>
    <row r="39525" spans="23:23">
      <c r="W39525" s="503"/>
    </row>
    <row r="39526" spans="23:23">
      <c r="W39526" s="503"/>
    </row>
    <row r="39527" spans="23:23">
      <c r="W39527" s="503"/>
    </row>
    <row r="39528" spans="23:23">
      <c r="W39528" s="503"/>
    </row>
    <row r="39529" spans="23:23">
      <c r="W39529" s="503"/>
    </row>
    <row r="39530" spans="23:23">
      <c r="W39530" s="503"/>
    </row>
    <row r="39531" spans="23:23">
      <c r="W39531" s="503"/>
    </row>
    <row r="39532" spans="23:23">
      <c r="W39532" s="503"/>
    </row>
    <row r="39533" spans="23:23">
      <c r="W39533" s="503"/>
    </row>
    <row r="39534" spans="23:23">
      <c r="W39534" s="503"/>
    </row>
    <row r="39535" spans="23:23">
      <c r="W39535" s="503"/>
    </row>
    <row r="39536" spans="23:23">
      <c r="W39536" s="503"/>
    </row>
    <row r="39537" spans="23:23">
      <c r="W39537" s="503"/>
    </row>
    <row r="39538" spans="23:23">
      <c r="W39538" s="503"/>
    </row>
    <row r="39539" spans="23:23">
      <c r="W39539" s="503"/>
    </row>
    <row r="39540" spans="23:23">
      <c r="W39540" s="503"/>
    </row>
    <row r="39541" spans="23:23">
      <c r="W39541" s="503"/>
    </row>
    <row r="39542" spans="23:23">
      <c r="W39542" s="503"/>
    </row>
    <row r="39543" spans="23:23">
      <c r="W39543" s="503"/>
    </row>
    <row r="39544" spans="23:23">
      <c r="W39544" s="503"/>
    </row>
    <row r="39545" spans="23:23">
      <c r="W39545" s="503"/>
    </row>
    <row r="39546" spans="23:23">
      <c r="W39546" s="503"/>
    </row>
    <row r="39547" spans="23:23">
      <c r="W39547" s="503"/>
    </row>
    <row r="39548" spans="23:23">
      <c r="W39548" s="503"/>
    </row>
    <row r="39549" spans="23:23">
      <c r="W39549" s="503"/>
    </row>
    <row r="39550" spans="23:23">
      <c r="W39550" s="503"/>
    </row>
    <row r="39551" spans="23:23">
      <c r="W39551" s="503"/>
    </row>
    <row r="39552" spans="23:23">
      <c r="W39552" s="503"/>
    </row>
    <row r="39553" spans="23:23">
      <c r="W39553" s="503"/>
    </row>
    <row r="39554" spans="23:23">
      <c r="W39554" s="503"/>
    </row>
    <row r="39555" spans="23:23">
      <c r="W39555" s="503"/>
    </row>
    <row r="39556" spans="23:23">
      <c r="W39556" s="503"/>
    </row>
    <row r="39557" spans="23:23">
      <c r="W39557" s="503"/>
    </row>
    <row r="39558" spans="23:23">
      <c r="W39558" s="503"/>
    </row>
    <row r="39559" spans="23:23">
      <c r="W39559" s="503"/>
    </row>
    <row r="39560" spans="23:23">
      <c r="W39560" s="503"/>
    </row>
    <row r="39561" spans="23:23">
      <c r="W39561" s="503"/>
    </row>
    <row r="39562" spans="23:23">
      <c r="W39562" s="503"/>
    </row>
    <row r="39563" spans="23:23">
      <c r="W39563" s="503"/>
    </row>
    <row r="39564" spans="23:23">
      <c r="W39564" s="503"/>
    </row>
    <row r="39565" spans="23:23">
      <c r="W39565" s="503"/>
    </row>
    <row r="39566" spans="23:23">
      <c r="W39566" s="503"/>
    </row>
    <row r="39567" spans="23:23">
      <c r="W39567" s="503"/>
    </row>
    <row r="39568" spans="23:23">
      <c r="W39568" s="503"/>
    </row>
    <row r="39569" spans="23:23">
      <c r="W39569" s="503"/>
    </row>
    <row r="39570" spans="23:23">
      <c r="W39570" s="503"/>
    </row>
    <row r="39571" spans="23:23">
      <c r="W39571" s="503"/>
    </row>
    <row r="39572" spans="23:23">
      <c r="W39572" s="503"/>
    </row>
    <row r="39573" spans="23:23">
      <c r="W39573" s="503"/>
    </row>
    <row r="39574" spans="23:23">
      <c r="W39574" s="503"/>
    </row>
    <row r="39575" spans="23:23">
      <c r="W39575" s="503"/>
    </row>
    <row r="39576" spans="23:23">
      <c r="W39576" s="503"/>
    </row>
    <row r="39577" spans="23:23">
      <c r="W39577" s="503"/>
    </row>
    <row r="39578" spans="23:23">
      <c r="W39578" s="503"/>
    </row>
    <row r="39579" spans="23:23">
      <c r="W39579" s="503"/>
    </row>
    <row r="39580" spans="23:23">
      <c r="W39580" s="503"/>
    </row>
    <row r="39581" spans="23:23">
      <c r="W39581" s="503"/>
    </row>
    <row r="39582" spans="23:23">
      <c r="W39582" s="503"/>
    </row>
    <row r="39583" spans="23:23">
      <c r="W39583" s="503"/>
    </row>
    <row r="39584" spans="23:23">
      <c r="W39584" s="503"/>
    </row>
    <row r="39585" spans="23:23">
      <c r="W39585" s="503"/>
    </row>
    <row r="39586" spans="23:23">
      <c r="W39586" s="503"/>
    </row>
    <row r="39587" spans="23:23">
      <c r="W39587" s="503"/>
    </row>
    <row r="39588" spans="23:23">
      <c r="W39588" s="503"/>
    </row>
    <row r="39589" spans="23:23">
      <c r="W39589" s="503"/>
    </row>
    <row r="39590" spans="23:23">
      <c r="W39590" s="503"/>
    </row>
    <row r="39591" spans="23:23">
      <c r="W39591" s="503"/>
    </row>
    <row r="39592" spans="23:23">
      <c r="W39592" s="503"/>
    </row>
    <row r="39593" spans="23:23">
      <c r="W39593" s="503"/>
    </row>
    <row r="39594" spans="23:23">
      <c r="W39594" s="503"/>
    </row>
    <row r="39595" spans="23:23">
      <c r="W39595" s="503"/>
    </row>
    <row r="39596" spans="23:23">
      <c r="W39596" s="503"/>
    </row>
    <row r="39597" spans="23:23">
      <c r="W39597" s="503"/>
    </row>
    <row r="39598" spans="23:23">
      <c r="W39598" s="503"/>
    </row>
    <row r="39599" spans="23:23">
      <c r="W39599" s="503"/>
    </row>
    <row r="39600" spans="23:23">
      <c r="W39600" s="503"/>
    </row>
    <row r="39601" spans="23:23">
      <c r="W39601" s="503"/>
    </row>
    <row r="39602" spans="23:23">
      <c r="W39602" s="503"/>
    </row>
    <row r="39603" spans="23:23">
      <c r="W39603" s="503"/>
    </row>
    <row r="39604" spans="23:23">
      <c r="W39604" s="503"/>
    </row>
    <row r="39605" spans="23:23">
      <c r="W39605" s="503"/>
    </row>
    <row r="39606" spans="23:23">
      <c r="W39606" s="503"/>
    </row>
    <row r="39607" spans="23:23">
      <c r="W39607" s="503"/>
    </row>
    <row r="39608" spans="23:23">
      <c r="W39608" s="503"/>
    </row>
    <row r="39609" spans="23:23">
      <c r="W39609" s="503"/>
    </row>
    <row r="39610" spans="23:23">
      <c r="W39610" s="503"/>
    </row>
    <row r="39611" spans="23:23">
      <c r="W39611" s="503"/>
    </row>
    <row r="39612" spans="23:23">
      <c r="W39612" s="503"/>
    </row>
    <row r="39613" spans="23:23">
      <c r="W39613" s="503"/>
    </row>
    <row r="39614" spans="23:23">
      <c r="W39614" s="503"/>
    </row>
    <row r="39615" spans="23:23">
      <c r="W39615" s="503"/>
    </row>
    <row r="39616" spans="23:23">
      <c r="W39616" s="503"/>
    </row>
    <row r="39617" spans="23:23">
      <c r="W39617" s="503"/>
    </row>
    <row r="39618" spans="23:23">
      <c r="W39618" s="503"/>
    </row>
    <row r="39619" spans="23:23">
      <c r="W39619" s="503"/>
    </row>
    <row r="39620" spans="23:23">
      <c r="W39620" s="503"/>
    </row>
    <row r="39621" spans="23:23">
      <c r="W39621" s="503"/>
    </row>
    <row r="39622" spans="23:23">
      <c r="W39622" s="503"/>
    </row>
    <row r="39623" spans="23:23">
      <c r="W39623" s="503"/>
    </row>
    <row r="39624" spans="23:23">
      <c r="W39624" s="503"/>
    </row>
    <row r="39625" spans="23:23">
      <c r="W39625" s="503"/>
    </row>
    <row r="39626" spans="23:23">
      <c r="W39626" s="503"/>
    </row>
    <row r="39627" spans="23:23">
      <c r="W39627" s="503"/>
    </row>
    <row r="39628" spans="23:23">
      <c r="W39628" s="503"/>
    </row>
    <row r="39629" spans="23:23">
      <c r="W39629" s="503"/>
    </row>
    <row r="39630" spans="23:23">
      <c r="W39630" s="503"/>
    </row>
    <row r="39631" spans="23:23">
      <c r="W39631" s="503"/>
    </row>
    <row r="39632" spans="23:23">
      <c r="W39632" s="503"/>
    </row>
    <row r="39633" spans="23:23">
      <c r="W39633" s="503"/>
    </row>
    <row r="39634" spans="23:23">
      <c r="W39634" s="503"/>
    </row>
    <row r="39635" spans="23:23">
      <c r="W39635" s="503"/>
    </row>
    <row r="39636" spans="23:23">
      <c r="W39636" s="503"/>
    </row>
    <row r="39637" spans="23:23">
      <c r="W39637" s="503"/>
    </row>
    <row r="39638" spans="23:23">
      <c r="W39638" s="503"/>
    </row>
    <row r="39639" spans="23:23">
      <c r="W39639" s="503"/>
    </row>
    <row r="39640" spans="23:23">
      <c r="W39640" s="503"/>
    </row>
    <row r="39641" spans="23:23">
      <c r="W39641" s="503"/>
    </row>
    <row r="39642" spans="23:23">
      <c r="W39642" s="503"/>
    </row>
    <row r="39643" spans="23:23">
      <c r="W39643" s="503"/>
    </row>
    <row r="39644" spans="23:23">
      <c r="W39644" s="503"/>
    </row>
    <row r="39645" spans="23:23">
      <c r="W39645" s="503"/>
    </row>
    <row r="39646" spans="23:23">
      <c r="W39646" s="503"/>
    </row>
    <row r="39647" spans="23:23">
      <c r="W39647" s="503"/>
    </row>
    <row r="39648" spans="23:23">
      <c r="W39648" s="503"/>
    </row>
    <row r="39649" spans="23:23">
      <c r="W39649" s="503"/>
    </row>
    <row r="39650" spans="23:23">
      <c r="W39650" s="503"/>
    </row>
    <row r="39651" spans="23:23">
      <c r="W39651" s="503"/>
    </row>
    <row r="39652" spans="23:23">
      <c r="W39652" s="503"/>
    </row>
    <row r="39653" spans="23:23">
      <c r="W39653" s="503"/>
    </row>
    <row r="39654" spans="23:23">
      <c r="W39654" s="503"/>
    </row>
    <row r="39655" spans="23:23">
      <c r="W39655" s="503"/>
    </row>
    <row r="39656" spans="23:23">
      <c r="W39656" s="503"/>
    </row>
    <row r="39657" spans="23:23">
      <c r="W39657" s="503"/>
    </row>
    <row r="39658" spans="23:23">
      <c r="W39658" s="503"/>
    </row>
    <row r="39659" spans="23:23">
      <c r="W39659" s="503"/>
    </row>
    <row r="39660" spans="23:23">
      <c r="W39660" s="503"/>
    </row>
    <row r="39661" spans="23:23">
      <c r="W39661" s="503"/>
    </row>
    <row r="39662" spans="23:23">
      <c r="W39662" s="503"/>
    </row>
    <row r="39663" spans="23:23">
      <c r="W39663" s="503"/>
    </row>
    <row r="39664" spans="23:23">
      <c r="W39664" s="503"/>
    </row>
    <row r="39665" spans="23:23">
      <c r="W39665" s="503"/>
    </row>
    <row r="39666" spans="23:23">
      <c r="W39666" s="503"/>
    </row>
    <row r="39667" spans="23:23">
      <c r="W39667" s="503"/>
    </row>
    <row r="39668" spans="23:23">
      <c r="W39668" s="503"/>
    </row>
    <row r="39669" spans="23:23">
      <c r="W39669" s="503"/>
    </row>
    <row r="39670" spans="23:23">
      <c r="W39670" s="503"/>
    </row>
    <row r="39671" spans="23:23">
      <c r="W39671" s="503"/>
    </row>
    <row r="39672" spans="23:23">
      <c r="W39672" s="503"/>
    </row>
    <row r="39673" spans="23:23">
      <c r="W39673" s="503"/>
    </row>
    <row r="39674" spans="23:23">
      <c r="W39674" s="503"/>
    </row>
    <row r="39675" spans="23:23">
      <c r="W39675" s="503"/>
    </row>
    <row r="39676" spans="23:23">
      <c r="W39676" s="503"/>
    </row>
    <row r="39677" spans="23:23">
      <c r="W39677" s="503"/>
    </row>
    <row r="39678" spans="23:23">
      <c r="W39678" s="503"/>
    </row>
    <row r="39679" spans="23:23">
      <c r="W39679" s="503"/>
    </row>
    <row r="39680" spans="23:23">
      <c r="W39680" s="503"/>
    </row>
    <row r="39681" spans="23:23">
      <c r="W39681" s="503"/>
    </row>
    <row r="39682" spans="23:23">
      <c r="W39682" s="503"/>
    </row>
    <row r="39683" spans="23:23">
      <c r="W39683" s="503"/>
    </row>
    <row r="39684" spans="23:23">
      <c r="W39684" s="503"/>
    </row>
    <row r="39685" spans="23:23">
      <c r="W39685" s="503"/>
    </row>
    <row r="39686" spans="23:23">
      <c r="W39686" s="503"/>
    </row>
    <row r="39687" spans="23:23">
      <c r="W39687" s="503"/>
    </row>
    <row r="39688" spans="23:23">
      <c r="W39688" s="503"/>
    </row>
    <row r="39689" spans="23:23">
      <c r="W39689" s="503"/>
    </row>
    <row r="39690" spans="23:23">
      <c r="W39690" s="503"/>
    </row>
    <row r="39691" spans="23:23">
      <c r="W39691" s="503"/>
    </row>
    <row r="39692" spans="23:23">
      <c r="W39692" s="503"/>
    </row>
    <row r="39693" spans="23:23">
      <c r="W39693" s="503"/>
    </row>
    <row r="39694" spans="23:23">
      <c r="W39694" s="503"/>
    </row>
    <row r="39695" spans="23:23">
      <c r="W39695" s="503"/>
    </row>
    <row r="39696" spans="23:23">
      <c r="W39696" s="503"/>
    </row>
    <row r="39697" spans="23:23">
      <c r="W39697" s="503"/>
    </row>
    <row r="39698" spans="23:23">
      <c r="W39698" s="503"/>
    </row>
    <row r="39699" spans="23:23">
      <c r="W39699" s="503"/>
    </row>
    <row r="39700" spans="23:23">
      <c r="W39700" s="503"/>
    </row>
    <row r="39701" spans="23:23">
      <c r="W39701" s="503"/>
    </row>
    <row r="39702" spans="23:23">
      <c r="W39702" s="503"/>
    </row>
    <row r="39703" spans="23:23">
      <c r="W39703" s="503"/>
    </row>
    <row r="39704" spans="23:23">
      <c r="W39704" s="503"/>
    </row>
    <row r="39705" spans="23:23">
      <c r="W39705" s="503"/>
    </row>
    <row r="39706" spans="23:23">
      <c r="W39706" s="503"/>
    </row>
    <row r="39707" spans="23:23">
      <c r="W39707" s="503"/>
    </row>
    <row r="39708" spans="23:23">
      <c r="W39708" s="503"/>
    </row>
    <row r="39709" spans="23:23">
      <c r="W39709" s="503"/>
    </row>
    <row r="39710" spans="23:23">
      <c r="W39710" s="503"/>
    </row>
    <row r="39711" spans="23:23">
      <c r="W39711" s="503"/>
    </row>
    <row r="39712" spans="23:23">
      <c r="W39712" s="503"/>
    </row>
    <row r="39713" spans="23:23">
      <c r="W39713" s="503"/>
    </row>
    <row r="39714" spans="23:23">
      <c r="W39714" s="503"/>
    </row>
    <row r="39715" spans="23:23">
      <c r="W39715" s="503"/>
    </row>
    <row r="39716" spans="23:23">
      <c r="W39716" s="503"/>
    </row>
    <row r="39717" spans="23:23">
      <c r="W39717" s="503"/>
    </row>
    <row r="39718" spans="23:23">
      <c r="W39718" s="503"/>
    </row>
    <row r="39719" spans="23:23">
      <c r="W39719" s="503"/>
    </row>
    <row r="39720" spans="23:23">
      <c r="W39720" s="503"/>
    </row>
    <row r="39721" spans="23:23">
      <c r="W39721" s="503"/>
    </row>
    <row r="39722" spans="23:23">
      <c r="W39722" s="503"/>
    </row>
    <row r="39723" spans="23:23">
      <c r="W39723" s="503"/>
    </row>
    <row r="39724" spans="23:23">
      <c r="W39724" s="503"/>
    </row>
    <row r="39725" spans="23:23">
      <c r="W39725" s="503"/>
    </row>
    <row r="39726" spans="23:23">
      <c r="W39726" s="503"/>
    </row>
    <row r="39727" spans="23:23">
      <c r="W39727" s="503"/>
    </row>
    <row r="39728" spans="23:23">
      <c r="W39728" s="503"/>
    </row>
    <row r="39729" spans="23:23">
      <c r="W39729" s="503"/>
    </row>
    <row r="39730" spans="23:23">
      <c r="W39730" s="503"/>
    </row>
    <row r="39731" spans="23:23">
      <c r="W39731" s="503"/>
    </row>
    <row r="39732" spans="23:23">
      <c r="W39732" s="503"/>
    </row>
    <row r="39733" spans="23:23">
      <c r="W39733" s="503"/>
    </row>
    <row r="39734" spans="23:23">
      <c r="W39734" s="503"/>
    </row>
    <row r="39735" spans="23:23">
      <c r="W39735" s="503"/>
    </row>
    <row r="39736" spans="23:23">
      <c r="W39736" s="503"/>
    </row>
    <row r="39737" spans="23:23">
      <c r="W39737" s="503"/>
    </row>
    <row r="39738" spans="23:23">
      <c r="W39738" s="503"/>
    </row>
    <row r="39739" spans="23:23">
      <c r="W39739" s="503"/>
    </row>
    <row r="39740" spans="23:23">
      <c r="W39740" s="503"/>
    </row>
    <row r="39741" spans="23:23">
      <c r="W39741" s="503"/>
    </row>
    <row r="39742" spans="23:23">
      <c r="W39742" s="503"/>
    </row>
    <row r="39743" spans="23:23">
      <c r="W39743" s="503"/>
    </row>
    <row r="39744" spans="23:23">
      <c r="W39744" s="503"/>
    </row>
    <row r="39745" spans="23:23">
      <c r="W39745" s="503"/>
    </row>
    <row r="39746" spans="23:23">
      <c r="W39746" s="503"/>
    </row>
    <row r="39747" spans="23:23">
      <c r="W39747" s="503"/>
    </row>
    <row r="39748" spans="23:23">
      <c r="W39748" s="503"/>
    </row>
    <row r="39749" spans="23:23">
      <c r="W39749" s="503"/>
    </row>
    <row r="39750" spans="23:23">
      <c r="W39750" s="503"/>
    </row>
    <row r="39751" spans="23:23">
      <c r="W39751" s="503"/>
    </row>
    <row r="39752" spans="23:23">
      <c r="W39752" s="503"/>
    </row>
    <row r="39753" spans="23:23">
      <c r="W39753" s="503"/>
    </row>
    <row r="39754" spans="23:23">
      <c r="W39754" s="503"/>
    </row>
    <row r="39755" spans="23:23">
      <c r="W39755" s="503"/>
    </row>
    <row r="39756" spans="23:23">
      <c r="W39756" s="503"/>
    </row>
    <row r="39757" spans="23:23">
      <c r="W39757" s="503"/>
    </row>
    <row r="39758" spans="23:23">
      <c r="W39758" s="503"/>
    </row>
    <row r="39759" spans="23:23">
      <c r="W39759" s="503"/>
    </row>
    <row r="39760" spans="23:23">
      <c r="W39760" s="503"/>
    </row>
    <row r="39761" spans="23:23">
      <c r="W39761" s="503"/>
    </row>
    <row r="39762" spans="23:23">
      <c r="W39762" s="503"/>
    </row>
    <row r="39763" spans="23:23">
      <c r="W39763" s="503"/>
    </row>
    <row r="39764" spans="23:23">
      <c r="W39764" s="503"/>
    </row>
    <row r="39765" spans="23:23">
      <c r="W39765" s="503"/>
    </row>
    <row r="39766" spans="23:23">
      <c r="W39766" s="503"/>
    </row>
    <row r="39767" spans="23:23">
      <c r="W39767" s="503"/>
    </row>
    <row r="39768" spans="23:23">
      <c r="W39768" s="503"/>
    </row>
    <row r="39769" spans="23:23">
      <c r="W39769" s="503"/>
    </row>
    <row r="39770" spans="23:23">
      <c r="W39770" s="503"/>
    </row>
    <row r="39771" spans="23:23">
      <c r="W39771" s="503"/>
    </row>
    <row r="39772" spans="23:23">
      <c r="W39772" s="503"/>
    </row>
    <row r="39773" spans="23:23">
      <c r="W39773" s="503"/>
    </row>
    <row r="39774" spans="23:23">
      <c r="W39774" s="503"/>
    </row>
    <row r="39775" spans="23:23">
      <c r="W39775" s="503"/>
    </row>
    <row r="39776" spans="23:23">
      <c r="W39776" s="503"/>
    </row>
    <row r="39777" spans="23:23">
      <c r="W39777" s="503"/>
    </row>
    <row r="39778" spans="23:23">
      <c r="W39778" s="503"/>
    </row>
    <row r="39779" spans="23:23">
      <c r="W39779" s="503"/>
    </row>
    <row r="39780" spans="23:23">
      <c r="W39780" s="503"/>
    </row>
    <row r="39781" spans="23:23">
      <c r="W39781" s="503"/>
    </row>
    <row r="39782" spans="23:23">
      <c r="W39782" s="503"/>
    </row>
    <row r="39783" spans="23:23">
      <c r="W39783" s="503"/>
    </row>
    <row r="39784" spans="23:23">
      <c r="W39784" s="503"/>
    </row>
    <row r="39785" spans="23:23">
      <c r="W39785" s="503"/>
    </row>
    <row r="39786" spans="23:23">
      <c r="W39786" s="503"/>
    </row>
    <row r="39787" spans="23:23">
      <c r="W39787" s="503"/>
    </row>
    <row r="39788" spans="23:23">
      <c r="W39788" s="503"/>
    </row>
    <row r="39789" spans="23:23">
      <c r="W39789" s="503"/>
    </row>
    <row r="39790" spans="23:23">
      <c r="W39790" s="503"/>
    </row>
    <row r="39791" spans="23:23">
      <c r="W39791" s="503"/>
    </row>
    <row r="39792" spans="23:23">
      <c r="W39792" s="503"/>
    </row>
    <row r="39793" spans="23:23">
      <c r="W39793" s="503"/>
    </row>
    <row r="39794" spans="23:23">
      <c r="W39794" s="503"/>
    </row>
    <row r="39795" spans="23:23">
      <c r="W39795" s="503"/>
    </row>
    <row r="39796" spans="23:23">
      <c r="W39796" s="503"/>
    </row>
    <row r="39797" spans="23:23">
      <c r="W39797" s="503"/>
    </row>
    <row r="39798" spans="23:23">
      <c r="W39798" s="503"/>
    </row>
    <row r="39799" spans="23:23">
      <c r="W39799" s="503"/>
    </row>
    <row r="39800" spans="23:23">
      <c r="W39800" s="503"/>
    </row>
    <row r="39801" spans="23:23">
      <c r="W39801" s="503"/>
    </row>
    <row r="39802" spans="23:23">
      <c r="W39802" s="503"/>
    </row>
    <row r="39803" spans="23:23">
      <c r="W39803" s="503"/>
    </row>
    <row r="39804" spans="23:23">
      <c r="W39804" s="503"/>
    </row>
    <row r="39805" spans="23:23">
      <c r="W39805" s="503"/>
    </row>
    <row r="39806" spans="23:23">
      <c r="W39806" s="503"/>
    </row>
    <row r="39807" spans="23:23">
      <c r="W39807" s="503"/>
    </row>
    <row r="39808" spans="23:23">
      <c r="W39808" s="503"/>
    </row>
    <row r="39809" spans="23:23">
      <c r="W39809" s="503"/>
    </row>
    <row r="39810" spans="23:23">
      <c r="W39810" s="503"/>
    </row>
    <row r="39811" spans="23:23">
      <c r="W39811" s="503"/>
    </row>
    <row r="39812" spans="23:23">
      <c r="W39812" s="503"/>
    </row>
    <row r="39813" spans="23:23">
      <c r="W39813" s="503"/>
    </row>
    <row r="39814" spans="23:23">
      <c r="W39814" s="503"/>
    </row>
    <row r="39815" spans="23:23">
      <c r="W39815" s="503"/>
    </row>
    <row r="39816" spans="23:23">
      <c r="W39816" s="503"/>
    </row>
    <row r="39817" spans="23:23">
      <c r="W39817" s="503"/>
    </row>
    <row r="39818" spans="23:23">
      <c r="W39818" s="503"/>
    </row>
    <row r="39819" spans="23:23">
      <c r="W39819" s="503"/>
    </row>
    <row r="39820" spans="23:23">
      <c r="W39820" s="503"/>
    </row>
    <row r="39821" spans="23:23">
      <c r="W39821" s="503"/>
    </row>
    <row r="39822" spans="23:23">
      <c r="W39822" s="503"/>
    </row>
    <row r="39823" spans="23:23">
      <c r="W39823" s="503"/>
    </row>
    <row r="39824" spans="23:23">
      <c r="W39824" s="503"/>
    </row>
    <row r="39825" spans="23:23">
      <c r="W39825" s="503"/>
    </row>
    <row r="39826" spans="23:23">
      <c r="W39826" s="503"/>
    </row>
    <row r="39827" spans="23:23">
      <c r="W39827" s="503"/>
    </row>
    <row r="39828" spans="23:23">
      <c r="W39828" s="503"/>
    </row>
    <row r="39829" spans="23:23">
      <c r="W39829" s="503"/>
    </row>
    <row r="39830" spans="23:23">
      <c r="W39830" s="503"/>
    </row>
    <row r="39831" spans="23:23">
      <c r="W39831" s="503"/>
    </row>
    <row r="39832" spans="23:23">
      <c r="W39832" s="503"/>
    </row>
    <row r="39833" spans="23:23">
      <c r="W39833" s="503"/>
    </row>
    <row r="39834" spans="23:23">
      <c r="W39834" s="503"/>
    </row>
    <row r="39835" spans="23:23">
      <c r="W39835" s="503"/>
    </row>
    <row r="39836" spans="23:23">
      <c r="W39836" s="503"/>
    </row>
    <row r="39837" spans="23:23">
      <c r="W39837" s="503"/>
    </row>
    <row r="39838" spans="23:23">
      <c r="W39838" s="503"/>
    </row>
    <row r="39839" spans="23:23">
      <c r="W39839" s="503"/>
    </row>
    <row r="39840" spans="23:23">
      <c r="W39840" s="503"/>
    </row>
    <row r="39841" spans="23:23">
      <c r="W39841" s="503"/>
    </row>
    <row r="39842" spans="23:23">
      <c r="W39842" s="503"/>
    </row>
    <row r="39843" spans="23:23">
      <c r="W39843" s="503"/>
    </row>
    <row r="39844" spans="23:23">
      <c r="W39844" s="503"/>
    </row>
    <row r="39845" spans="23:23">
      <c r="W39845" s="503"/>
    </row>
    <row r="39846" spans="23:23">
      <c r="W39846" s="503"/>
    </row>
    <row r="39847" spans="23:23">
      <c r="W39847" s="503"/>
    </row>
    <row r="39848" spans="23:23">
      <c r="W39848" s="503"/>
    </row>
    <row r="39849" spans="23:23">
      <c r="W39849" s="503"/>
    </row>
    <row r="39850" spans="23:23">
      <c r="W39850" s="503"/>
    </row>
    <row r="39851" spans="23:23">
      <c r="W39851" s="503"/>
    </row>
    <row r="39852" spans="23:23">
      <c r="W39852" s="503"/>
    </row>
    <row r="39853" spans="23:23">
      <c r="W39853" s="503"/>
    </row>
    <row r="39854" spans="23:23">
      <c r="W39854" s="503"/>
    </row>
    <row r="39855" spans="23:23">
      <c r="W39855" s="503"/>
    </row>
    <row r="39856" spans="23:23">
      <c r="W39856" s="503"/>
    </row>
    <row r="39857" spans="23:23">
      <c r="W39857" s="503"/>
    </row>
    <row r="39858" spans="23:23">
      <c r="W39858" s="503"/>
    </row>
    <row r="39859" spans="23:23">
      <c r="W39859" s="503"/>
    </row>
    <row r="39860" spans="23:23">
      <c r="W39860" s="503"/>
    </row>
    <row r="39861" spans="23:23">
      <c r="W39861" s="503"/>
    </row>
    <row r="39862" spans="23:23">
      <c r="W39862" s="503"/>
    </row>
    <row r="39863" spans="23:23">
      <c r="W39863" s="503"/>
    </row>
    <row r="39864" spans="23:23">
      <c r="W39864" s="503"/>
    </row>
    <row r="39865" spans="23:23">
      <c r="W39865" s="503"/>
    </row>
    <row r="39866" spans="23:23">
      <c r="W39866" s="503"/>
    </row>
    <row r="39867" spans="23:23">
      <c r="W39867" s="503"/>
    </row>
    <row r="39868" spans="23:23">
      <c r="W39868" s="503"/>
    </row>
    <row r="39869" spans="23:23">
      <c r="W39869" s="503"/>
    </row>
    <row r="39870" spans="23:23">
      <c r="W39870" s="503"/>
    </row>
    <row r="39871" spans="23:23">
      <c r="W39871" s="503"/>
    </row>
    <row r="39872" spans="23:23">
      <c r="W39872" s="503"/>
    </row>
    <row r="39873" spans="23:23">
      <c r="W39873" s="503"/>
    </row>
    <row r="39874" spans="23:23">
      <c r="W39874" s="503"/>
    </row>
    <row r="39875" spans="23:23">
      <c r="W39875" s="503"/>
    </row>
    <row r="39876" spans="23:23">
      <c r="W39876" s="503"/>
    </row>
    <row r="39877" spans="23:23">
      <c r="W39877" s="503"/>
    </row>
    <row r="39878" spans="23:23">
      <c r="W39878" s="503"/>
    </row>
    <row r="39879" spans="23:23">
      <c r="W39879" s="503"/>
    </row>
    <row r="39880" spans="23:23">
      <c r="W39880" s="503"/>
    </row>
    <row r="39881" spans="23:23">
      <c r="W39881" s="503"/>
    </row>
    <row r="39882" spans="23:23">
      <c r="W39882" s="503"/>
    </row>
    <row r="39883" spans="23:23">
      <c r="W39883" s="503"/>
    </row>
    <row r="39884" spans="23:23">
      <c r="W39884" s="503"/>
    </row>
    <row r="39885" spans="23:23">
      <c r="W39885" s="503"/>
    </row>
    <row r="39886" spans="23:23">
      <c r="W39886" s="503"/>
    </row>
    <row r="39887" spans="23:23">
      <c r="W39887" s="503"/>
    </row>
    <row r="39888" spans="23:23">
      <c r="W39888" s="503"/>
    </row>
    <row r="39889" spans="23:23">
      <c r="W39889" s="503"/>
    </row>
    <row r="39890" spans="23:23">
      <c r="W39890" s="503"/>
    </row>
    <row r="39891" spans="23:23">
      <c r="W39891" s="503"/>
    </row>
    <row r="39892" spans="23:23">
      <c r="W39892" s="503"/>
    </row>
    <row r="39893" spans="23:23">
      <c r="W39893" s="503"/>
    </row>
    <row r="39894" spans="23:23">
      <c r="W39894" s="503"/>
    </row>
    <row r="39895" spans="23:23">
      <c r="W39895" s="503"/>
    </row>
    <row r="39896" spans="23:23">
      <c r="W39896" s="503"/>
    </row>
    <row r="39897" spans="23:23">
      <c r="W39897" s="503"/>
    </row>
    <row r="39898" spans="23:23">
      <c r="W39898" s="503"/>
    </row>
    <row r="39899" spans="23:23">
      <c r="W39899" s="503"/>
    </row>
    <row r="39900" spans="23:23">
      <c r="W39900" s="503"/>
    </row>
    <row r="39901" spans="23:23">
      <c r="W39901" s="503"/>
    </row>
    <row r="39902" spans="23:23">
      <c r="W39902" s="503"/>
    </row>
    <row r="39903" spans="23:23">
      <c r="W39903" s="503"/>
    </row>
    <row r="39904" spans="23:23">
      <c r="W39904" s="503"/>
    </row>
    <row r="39905" spans="23:23">
      <c r="W39905" s="503"/>
    </row>
    <row r="39906" spans="23:23">
      <c r="W39906" s="503"/>
    </row>
    <row r="39907" spans="23:23">
      <c r="W39907" s="503"/>
    </row>
    <row r="39908" spans="23:23">
      <c r="W39908" s="503"/>
    </row>
    <row r="39909" spans="23:23">
      <c r="W39909" s="503"/>
    </row>
    <row r="39910" spans="23:23">
      <c r="W39910" s="503"/>
    </row>
    <row r="39911" spans="23:23">
      <c r="W39911" s="503"/>
    </row>
    <row r="39912" spans="23:23">
      <c r="W39912" s="503"/>
    </row>
    <row r="39913" spans="23:23">
      <c r="W39913" s="503"/>
    </row>
    <row r="39914" spans="23:23">
      <c r="W39914" s="503"/>
    </row>
    <row r="39915" spans="23:23">
      <c r="W39915" s="503"/>
    </row>
    <row r="39916" spans="23:23">
      <c r="W39916" s="503"/>
    </row>
    <row r="39917" spans="23:23">
      <c r="W39917" s="503"/>
    </row>
    <row r="39918" spans="23:23">
      <c r="W39918" s="503"/>
    </row>
    <row r="39919" spans="23:23">
      <c r="W39919" s="503"/>
    </row>
    <row r="39920" spans="23:23">
      <c r="W39920" s="503"/>
    </row>
    <row r="39921" spans="23:23">
      <c r="W39921" s="503"/>
    </row>
    <row r="39922" spans="23:23">
      <c r="W39922" s="503"/>
    </row>
    <row r="39923" spans="23:23">
      <c r="W39923" s="503"/>
    </row>
    <row r="39924" spans="23:23">
      <c r="W39924" s="503"/>
    </row>
    <row r="39925" spans="23:23">
      <c r="W39925" s="503"/>
    </row>
    <row r="39926" spans="23:23">
      <c r="W39926" s="503"/>
    </row>
    <row r="39927" spans="23:23">
      <c r="W39927" s="503"/>
    </row>
    <row r="39928" spans="23:23">
      <c r="W39928" s="503"/>
    </row>
    <row r="39929" spans="23:23">
      <c r="W39929" s="503"/>
    </row>
    <row r="39930" spans="23:23">
      <c r="W39930" s="503"/>
    </row>
    <row r="39931" spans="23:23">
      <c r="W39931" s="503"/>
    </row>
    <row r="39932" spans="23:23">
      <c r="W39932" s="503"/>
    </row>
    <row r="39933" spans="23:23">
      <c r="W39933" s="503"/>
    </row>
    <row r="39934" spans="23:23">
      <c r="W39934" s="503"/>
    </row>
    <row r="39935" spans="23:23">
      <c r="W39935" s="503"/>
    </row>
    <row r="39936" spans="23:23">
      <c r="W39936" s="503"/>
    </row>
    <row r="39937" spans="23:23">
      <c r="W39937" s="503"/>
    </row>
    <row r="39938" spans="23:23">
      <c r="W39938" s="503"/>
    </row>
    <row r="39939" spans="23:23">
      <c r="W39939" s="503"/>
    </row>
    <row r="39940" spans="23:23">
      <c r="W39940" s="503"/>
    </row>
    <row r="39941" spans="23:23">
      <c r="W39941" s="503"/>
    </row>
    <row r="39942" spans="23:23">
      <c r="W39942" s="503"/>
    </row>
    <row r="39943" spans="23:23">
      <c r="W39943" s="503"/>
    </row>
    <row r="39944" spans="23:23">
      <c r="W39944" s="503"/>
    </row>
    <row r="39945" spans="23:23">
      <c r="W39945" s="503"/>
    </row>
    <row r="39946" spans="23:23">
      <c r="W39946" s="503"/>
    </row>
    <row r="39947" spans="23:23">
      <c r="W39947" s="503"/>
    </row>
    <row r="39948" spans="23:23">
      <c r="W39948" s="503"/>
    </row>
    <row r="39949" spans="23:23">
      <c r="W39949" s="503"/>
    </row>
    <row r="39950" spans="23:23">
      <c r="W39950" s="503"/>
    </row>
    <row r="39951" spans="23:23">
      <c r="W39951" s="503"/>
    </row>
    <row r="39952" spans="23:23">
      <c r="W39952" s="503"/>
    </row>
    <row r="39953" spans="23:23">
      <c r="W39953" s="503"/>
    </row>
    <row r="39954" spans="23:23">
      <c r="W39954" s="503"/>
    </row>
    <row r="39955" spans="23:23">
      <c r="W39955" s="503"/>
    </row>
    <row r="39956" spans="23:23">
      <c r="W39956" s="503"/>
    </row>
    <row r="39957" spans="23:23">
      <c r="W39957" s="503"/>
    </row>
    <row r="39958" spans="23:23">
      <c r="W39958" s="503"/>
    </row>
    <row r="39959" spans="23:23">
      <c r="W39959" s="503"/>
    </row>
    <row r="39960" spans="23:23">
      <c r="W39960" s="503"/>
    </row>
    <row r="39961" spans="23:23">
      <c r="W39961" s="503"/>
    </row>
    <row r="39962" spans="23:23">
      <c r="W39962" s="503"/>
    </row>
    <row r="39963" spans="23:23">
      <c r="W39963" s="503"/>
    </row>
    <row r="39964" spans="23:23">
      <c r="W39964" s="503"/>
    </row>
    <row r="39965" spans="23:23">
      <c r="W39965" s="503"/>
    </row>
    <row r="39966" spans="23:23">
      <c r="W39966" s="503"/>
    </row>
    <row r="39967" spans="23:23">
      <c r="W39967" s="503"/>
    </row>
    <row r="39968" spans="23:23">
      <c r="W39968" s="503"/>
    </row>
    <row r="39969" spans="23:23">
      <c r="W39969" s="503"/>
    </row>
    <row r="39970" spans="23:23">
      <c r="W39970" s="503"/>
    </row>
    <row r="39971" spans="23:23">
      <c r="W39971" s="503"/>
    </row>
    <row r="39972" spans="23:23">
      <c r="W39972" s="503"/>
    </row>
    <row r="39973" spans="23:23">
      <c r="W39973" s="503"/>
    </row>
    <row r="39974" spans="23:23">
      <c r="W39974" s="503"/>
    </row>
    <row r="39975" spans="23:23">
      <c r="W39975" s="503"/>
    </row>
    <row r="39976" spans="23:23">
      <c r="W39976" s="503"/>
    </row>
    <row r="39977" spans="23:23">
      <c r="W39977" s="503"/>
    </row>
    <row r="39978" spans="23:23">
      <c r="W39978" s="503"/>
    </row>
    <row r="39979" spans="23:23">
      <c r="W39979" s="503"/>
    </row>
    <row r="39980" spans="23:23">
      <c r="W39980" s="503"/>
    </row>
    <row r="39981" spans="23:23">
      <c r="W39981" s="503"/>
    </row>
    <row r="39982" spans="23:23">
      <c r="W39982" s="503"/>
    </row>
    <row r="39983" spans="23:23">
      <c r="W39983" s="503"/>
    </row>
    <row r="39984" spans="23:23">
      <c r="W39984" s="503"/>
    </row>
    <row r="39985" spans="23:23">
      <c r="W39985" s="503"/>
    </row>
    <row r="39986" spans="23:23">
      <c r="W39986" s="503"/>
    </row>
    <row r="39987" spans="23:23">
      <c r="W39987" s="503"/>
    </row>
    <row r="39988" spans="23:23">
      <c r="W39988" s="503"/>
    </row>
    <row r="39989" spans="23:23">
      <c r="W39989" s="503"/>
    </row>
    <row r="39990" spans="23:23">
      <c r="W39990" s="503"/>
    </row>
    <row r="39991" spans="23:23">
      <c r="W39991" s="503"/>
    </row>
    <row r="39992" spans="23:23">
      <c r="W39992" s="503"/>
    </row>
    <row r="39993" spans="23:23">
      <c r="W39993" s="503"/>
    </row>
    <row r="39994" spans="23:23">
      <c r="W39994" s="503"/>
    </row>
    <row r="39995" spans="23:23">
      <c r="W39995" s="503"/>
    </row>
    <row r="39996" spans="23:23">
      <c r="W39996" s="503"/>
    </row>
    <row r="39997" spans="23:23">
      <c r="W39997" s="503"/>
    </row>
    <row r="39998" spans="23:23">
      <c r="W39998" s="503"/>
    </row>
    <row r="39999" spans="23:23">
      <c r="W39999" s="503"/>
    </row>
    <row r="40000" spans="23:23">
      <c r="W40000" s="503"/>
    </row>
    <row r="40001" spans="23:23">
      <c r="W40001" s="503"/>
    </row>
    <row r="40002" spans="23:23">
      <c r="W40002" s="503"/>
    </row>
    <row r="40003" spans="23:23">
      <c r="W40003" s="503"/>
    </row>
    <row r="40004" spans="23:23">
      <c r="W40004" s="503"/>
    </row>
    <row r="40005" spans="23:23">
      <c r="W40005" s="503"/>
    </row>
    <row r="40006" spans="23:23">
      <c r="W40006" s="503"/>
    </row>
    <row r="40007" spans="23:23">
      <c r="W40007" s="503"/>
    </row>
    <row r="40008" spans="23:23">
      <c r="W40008" s="503"/>
    </row>
    <row r="40009" spans="23:23">
      <c r="W40009" s="503"/>
    </row>
    <row r="40010" spans="23:23">
      <c r="W40010" s="503"/>
    </row>
    <row r="40011" spans="23:23">
      <c r="W40011" s="503"/>
    </row>
    <row r="40012" spans="23:23">
      <c r="W40012" s="503"/>
    </row>
    <row r="40013" spans="23:23">
      <c r="W40013" s="503"/>
    </row>
    <row r="40014" spans="23:23">
      <c r="W40014" s="503"/>
    </row>
    <row r="40015" spans="23:23">
      <c r="W40015" s="503"/>
    </row>
    <row r="40016" spans="23:23">
      <c r="W40016" s="503"/>
    </row>
    <row r="40017" spans="23:23">
      <c r="W40017" s="503"/>
    </row>
    <row r="40018" spans="23:23">
      <c r="W40018" s="503"/>
    </row>
    <row r="40019" spans="23:23">
      <c r="W40019" s="503"/>
    </row>
    <row r="40020" spans="23:23">
      <c r="W40020" s="503"/>
    </row>
    <row r="40021" spans="23:23">
      <c r="W40021" s="503"/>
    </row>
    <row r="40022" spans="23:23">
      <c r="W40022" s="503"/>
    </row>
    <row r="40023" spans="23:23">
      <c r="W40023" s="503"/>
    </row>
    <row r="40024" spans="23:23">
      <c r="W40024" s="503"/>
    </row>
    <row r="40025" spans="23:23">
      <c r="W40025" s="503"/>
    </row>
    <row r="40026" spans="23:23">
      <c r="W40026" s="503"/>
    </row>
    <row r="40027" spans="23:23">
      <c r="W40027" s="503"/>
    </row>
    <row r="40028" spans="23:23">
      <c r="W40028" s="503"/>
    </row>
    <row r="40029" spans="23:23">
      <c r="W40029" s="503"/>
    </row>
    <row r="40030" spans="23:23">
      <c r="W40030" s="503"/>
    </row>
    <row r="40031" spans="23:23">
      <c r="W40031" s="503"/>
    </row>
    <row r="40032" spans="23:23">
      <c r="W40032" s="503"/>
    </row>
    <row r="40033" spans="23:23">
      <c r="W40033" s="503"/>
    </row>
    <row r="40034" spans="23:23">
      <c r="W40034" s="503"/>
    </row>
    <row r="40035" spans="23:23">
      <c r="W40035" s="503"/>
    </row>
    <row r="40036" spans="23:23">
      <c r="W40036" s="503"/>
    </row>
    <row r="40037" spans="23:23">
      <c r="W40037" s="503"/>
    </row>
    <row r="40038" spans="23:23">
      <c r="W40038" s="503"/>
    </row>
    <row r="40039" spans="23:23">
      <c r="W40039" s="503"/>
    </row>
    <row r="40040" spans="23:23">
      <c r="W40040" s="503"/>
    </row>
    <row r="40041" spans="23:23">
      <c r="W40041" s="503"/>
    </row>
    <row r="40042" spans="23:23">
      <c r="W40042" s="503"/>
    </row>
    <row r="40043" spans="23:23">
      <c r="W40043" s="503"/>
    </row>
    <row r="40044" spans="23:23">
      <c r="W40044" s="503"/>
    </row>
    <row r="40045" spans="23:23">
      <c r="W40045" s="503"/>
    </row>
    <row r="40046" spans="23:23">
      <c r="W40046" s="503"/>
    </row>
    <row r="40047" spans="23:23">
      <c r="W40047" s="503"/>
    </row>
    <row r="40048" spans="23:23">
      <c r="W40048" s="503"/>
    </row>
    <row r="40049" spans="23:23">
      <c r="W40049" s="503"/>
    </row>
    <row r="40050" spans="23:23">
      <c r="W40050" s="503"/>
    </row>
    <row r="40051" spans="23:23">
      <c r="W40051" s="503"/>
    </row>
    <row r="40052" spans="23:23">
      <c r="W40052" s="503"/>
    </row>
    <row r="40053" spans="23:23">
      <c r="W40053" s="503"/>
    </row>
    <row r="40054" spans="23:23">
      <c r="W40054" s="503"/>
    </row>
    <row r="40055" spans="23:23">
      <c r="W40055" s="503"/>
    </row>
    <row r="40056" spans="23:23">
      <c r="W40056" s="503"/>
    </row>
    <row r="40057" spans="23:23">
      <c r="W40057" s="503"/>
    </row>
    <row r="40058" spans="23:23">
      <c r="W40058" s="503"/>
    </row>
    <row r="40059" spans="23:23">
      <c r="W40059" s="503"/>
    </row>
    <row r="40060" spans="23:23">
      <c r="W40060" s="503"/>
    </row>
    <row r="40061" spans="23:23">
      <c r="W40061" s="503"/>
    </row>
    <row r="40062" spans="23:23">
      <c r="W40062" s="503"/>
    </row>
    <row r="40063" spans="23:23">
      <c r="W40063" s="503"/>
    </row>
    <row r="40064" spans="23:23">
      <c r="W40064" s="503"/>
    </row>
    <row r="40065" spans="23:23">
      <c r="W40065" s="503"/>
    </row>
    <row r="40066" spans="23:23">
      <c r="W40066" s="503"/>
    </row>
    <row r="40067" spans="23:23">
      <c r="W40067" s="503"/>
    </row>
    <row r="40068" spans="23:23">
      <c r="W40068" s="503"/>
    </row>
    <row r="40069" spans="23:23">
      <c r="W40069" s="503"/>
    </row>
    <row r="40070" spans="23:23">
      <c r="W40070" s="503"/>
    </row>
    <row r="40071" spans="23:23">
      <c r="W40071" s="503"/>
    </row>
    <row r="40072" spans="23:23">
      <c r="W40072" s="503"/>
    </row>
    <row r="40073" spans="23:23">
      <c r="W40073" s="503"/>
    </row>
    <row r="40074" spans="23:23">
      <c r="W40074" s="503"/>
    </row>
    <row r="40075" spans="23:23">
      <c r="W40075" s="503"/>
    </row>
    <row r="40076" spans="23:23">
      <c r="W40076" s="503"/>
    </row>
    <row r="40077" spans="23:23">
      <c r="W40077" s="503"/>
    </row>
    <row r="40078" spans="23:23">
      <c r="W40078" s="503"/>
    </row>
    <row r="40079" spans="23:23">
      <c r="W40079" s="503"/>
    </row>
    <row r="40080" spans="23:23">
      <c r="W40080" s="503"/>
    </row>
    <row r="40081" spans="23:23">
      <c r="W40081" s="503"/>
    </row>
    <row r="40082" spans="23:23">
      <c r="W40082" s="503"/>
    </row>
    <row r="40083" spans="23:23">
      <c r="W40083" s="503"/>
    </row>
    <row r="40084" spans="23:23">
      <c r="W40084" s="503"/>
    </row>
    <row r="40085" spans="23:23">
      <c r="W40085" s="503"/>
    </row>
    <row r="40086" spans="23:23">
      <c r="W40086" s="503"/>
    </row>
    <row r="40087" spans="23:23">
      <c r="W40087" s="503"/>
    </row>
    <row r="40088" spans="23:23">
      <c r="W40088" s="503"/>
    </row>
    <row r="40089" spans="23:23">
      <c r="W40089" s="503"/>
    </row>
    <row r="40090" spans="23:23">
      <c r="W40090" s="503"/>
    </row>
    <row r="40091" spans="23:23">
      <c r="W40091" s="503"/>
    </row>
    <row r="40092" spans="23:23">
      <c r="W40092" s="503"/>
    </row>
    <row r="40093" spans="23:23">
      <c r="W40093" s="503"/>
    </row>
    <row r="40094" spans="23:23">
      <c r="W40094" s="503"/>
    </row>
    <row r="40095" spans="23:23">
      <c r="W40095" s="503"/>
    </row>
    <row r="40096" spans="23:23">
      <c r="W40096" s="503"/>
    </row>
    <row r="40097" spans="23:23">
      <c r="W40097" s="503"/>
    </row>
    <row r="40098" spans="23:23">
      <c r="W40098" s="503"/>
    </row>
    <row r="40099" spans="23:23">
      <c r="W40099" s="503"/>
    </row>
    <row r="40100" spans="23:23">
      <c r="W40100" s="503"/>
    </row>
    <row r="40101" spans="23:23">
      <c r="W40101" s="503"/>
    </row>
    <row r="40102" spans="23:23">
      <c r="W40102" s="503"/>
    </row>
    <row r="40103" spans="23:23">
      <c r="W40103" s="503"/>
    </row>
    <row r="40104" spans="23:23">
      <c r="W40104" s="503"/>
    </row>
    <row r="40105" spans="23:23">
      <c r="W40105" s="503"/>
    </row>
    <row r="40106" spans="23:23">
      <c r="W40106" s="503"/>
    </row>
    <row r="40107" spans="23:23">
      <c r="W40107" s="503"/>
    </row>
    <row r="40108" spans="23:23">
      <c r="W40108" s="503"/>
    </row>
    <row r="40109" spans="23:23">
      <c r="W40109" s="503"/>
    </row>
    <row r="40110" spans="23:23">
      <c r="W40110" s="503"/>
    </row>
    <row r="40111" spans="23:23">
      <c r="W40111" s="503"/>
    </row>
    <row r="40112" spans="23:23">
      <c r="W40112" s="503"/>
    </row>
    <row r="40113" spans="23:23">
      <c r="W40113" s="503"/>
    </row>
    <row r="40114" spans="23:23">
      <c r="W40114" s="503"/>
    </row>
    <row r="40115" spans="23:23">
      <c r="W40115" s="503"/>
    </row>
    <row r="40116" spans="23:23">
      <c r="W40116" s="503"/>
    </row>
    <row r="40117" spans="23:23">
      <c r="W40117" s="503"/>
    </row>
    <row r="40118" spans="23:23">
      <c r="W40118" s="503"/>
    </row>
    <row r="40119" spans="23:23">
      <c r="W40119" s="503"/>
    </row>
    <row r="40120" spans="23:23">
      <c r="W40120" s="503"/>
    </row>
    <row r="40121" spans="23:23">
      <c r="W40121" s="503"/>
    </row>
    <row r="40122" spans="23:23">
      <c r="W40122" s="503"/>
    </row>
    <row r="40123" spans="23:23">
      <c r="W40123" s="503"/>
    </row>
    <row r="40124" spans="23:23">
      <c r="W40124" s="503"/>
    </row>
    <row r="40125" spans="23:23">
      <c r="W40125" s="503"/>
    </row>
    <row r="40126" spans="23:23">
      <c r="W40126" s="503"/>
    </row>
    <row r="40127" spans="23:23">
      <c r="W40127" s="503"/>
    </row>
    <row r="40128" spans="23:23">
      <c r="W40128" s="503"/>
    </row>
    <row r="40129" spans="23:23">
      <c r="W40129" s="503"/>
    </row>
    <row r="40130" spans="23:23">
      <c r="W40130" s="503"/>
    </row>
    <row r="40131" spans="23:23">
      <c r="W40131" s="503"/>
    </row>
    <row r="40132" spans="23:23">
      <c r="W40132" s="503"/>
    </row>
    <row r="40133" spans="23:23">
      <c r="W40133" s="503"/>
    </row>
    <row r="40134" spans="23:23">
      <c r="W40134" s="503"/>
    </row>
    <row r="40135" spans="23:23">
      <c r="W40135" s="503"/>
    </row>
    <row r="40136" spans="23:23">
      <c r="W40136" s="503"/>
    </row>
    <row r="40137" spans="23:23">
      <c r="W40137" s="503"/>
    </row>
    <row r="40138" spans="23:23">
      <c r="W40138" s="503"/>
    </row>
    <row r="40139" spans="23:23">
      <c r="W40139" s="503"/>
    </row>
    <row r="40140" spans="23:23">
      <c r="W40140" s="503"/>
    </row>
    <row r="40141" spans="23:23">
      <c r="W40141" s="503"/>
    </row>
    <row r="40142" spans="23:23">
      <c r="W40142" s="503"/>
    </row>
    <row r="40143" spans="23:23">
      <c r="W40143" s="503"/>
    </row>
    <row r="40144" spans="23:23">
      <c r="W40144" s="503"/>
    </row>
    <row r="40145" spans="23:23">
      <c r="W40145" s="503"/>
    </row>
    <row r="40146" spans="23:23">
      <c r="W40146" s="503"/>
    </row>
    <row r="40147" spans="23:23">
      <c r="W40147" s="503"/>
    </row>
    <row r="40148" spans="23:23">
      <c r="W40148" s="503"/>
    </row>
    <row r="40149" spans="23:23">
      <c r="W40149" s="503"/>
    </row>
    <row r="40150" spans="23:23">
      <c r="W40150" s="503"/>
    </row>
    <row r="40151" spans="23:23">
      <c r="W40151" s="503"/>
    </row>
    <row r="40152" spans="23:23">
      <c r="W40152" s="503"/>
    </row>
    <row r="40153" spans="23:23">
      <c r="W40153" s="503"/>
    </row>
    <row r="40154" spans="23:23">
      <c r="W40154" s="503"/>
    </row>
    <row r="40155" spans="23:23">
      <c r="W40155" s="503"/>
    </row>
    <row r="40156" spans="23:23">
      <c r="W40156" s="503"/>
    </row>
    <row r="40157" spans="23:23">
      <c r="W40157" s="503"/>
    </row>
    <row r="40158" spans="23:23">
      <c r="W40158" s="503"/>
    </row>
    <row r="40159" spans="23:23">
      <c r="W40159" s="503"/>
    </row>
    <row r="40160" spans="23:23">
      <c r="W40160" s="503"/>
    </row>
    <row r="40161" spans="23:23">
      <c r="W40161" s="503"/>
    </row>
    <row r="40162" spans="23:23">
      <c r="W40162" s="503"/>
    </row>
    <row r="40163" spans="23:23">
      <c r="W40163" s="503"/>
    </row>
    <row r="40164" spans="23:23">
      <c r="W40164" s="503"/>
    </row>
    <row r="40165" spans="23:23">
      <c r="W40165" s="503"/>
    </row>
    <row r="40166" spans="23:23">
      <c r="W40166" s="503"/>
    </row>
    <row r="40167" spans="23:23">
      <c r="W40167" s="503"/>
    </row>
    <row r="40168" spans="23:23">
      <c r="W40168" s="503"/>
    </row>
    <row r="40169" spans="23:23">
      <c r="W40169" s="503"/>
    </row>
    <row r="40170" spans="23:23">
      <c r="W40170" s="503"/>
    </row>
    <row r="40171" spans="23:23">
      <c r="W40171" s="503"/>
    </row>
    <row r="40172" spans="23:23">
      <c r="W40172" s="503"/>
    </row>
    <row r="40173" spans="23:23">
      <c r="W40173" s="503"/>
    </row>
    <row r="40174" spans="23:23">
      <c r="W40174" s="503"/>
    </row>
    <row r="40175" spans="23:23">
      <c r="W40175" s="503"/>
    </row>
    <row r="40176" spans="23:23">
      <c r="W40176" s="503"/>
    </row>
    <row r="40177" spans="23:23">
      <c r="W40177" s="503"/>
    </row>
    <row r="40178" spans="23:23">
      <c r="W40178" s="503"/>
    </row>
    <row r="40179" spans="23:23">
      <c r="W40179" s="503"/>
    </row>
    <row r="40180" spans="23:23">
      <c r="W40180" s="503"/>
    </row>
    <row r="40181" spans="23:23">
      <c r="W40181" s="503"/>
    </row>
    <row r="40182" spans="23:23">
      <c r="W40182" s="503"/>
    </row>
    <row r="40183" spans="23:23">
      <c r="W40183" s="503"/>
    </row>
    <row r="40184" spans="23:23">
      <c r="W40184" s="503"/>
    </row>
    <row r="40185" spans="23:23">
      <c r="W40185" s="503"/>
    </row>
    <row r="40186" spans="23:23">
      <c r="W40186" s="503"/>
    </row>
    <row r="40187" spans="23:23">
      <c r="W40187" s="503"/>
    </row>
    <row r="40188" spans="23:23">
      <c r="W40188" s="503"/>
    </row>
    <row r="40189" spans="23:23">
      <c r="W40189" s="503"/>
    </row>
    <row r="40190" spans="23:23">
      <c r="W40190" s="503"/>
    </row>
    <row r="40191" spans="23:23">
      <c r="W40191" s="503"/>
    </row>
    <row r="40192" spans="23:23">
      <c r="W40192" s="503"/>
    </row>
    <row r="40193" spans="23:23">
      <c r="W40193" s="503"/>
    </row>
    <row r="40194" spans="23:23">
      <c r="W40194" s="503"/>
    </row>
    <row r="40195" spans="23:23">
      <c r="W40195" s="503"/>
    </row>
    <row r="40196" spans="23:23">
      <c r="W40196" s="503"/>
    </row>
    <row r="40197" spans="23:23">
      <c r="W40197" s="503"/>
    </row>
    <row r="40198" spans="23:23">
      <c r="W40198" s="503"/>
    </row>
    <row r="40199" spans="23:23">
      <c r="W40199" s="503"/>
    </row>
    <row r="40200" spans="23:23">
      <c r="W40200" s="503"/>
    </row>
    <row r="40201" spans="23:23">
      <c r="W40201" s="503"/>
    </row>
    <row r="40202" spans="23:23">
      <c r="W40202" s="503"/>
    </row>
    <row r="40203" spans="23:23">
      <c r="W40203" s="503"/>
    </row>
    <row r="40204" spans="23:23">
      <c r="W40204" s="503"/>
    </row>
    <row r="40205" spans="23:23">
      <c r="W40205" s="503"/>
    </row>
    <row r="40206" spans="23:23">
      <c r="W40206" s="503"/>
    </row>
    <row r="40207" spans="23:23">
      <c r="W40207" s="503"/>
    </row>
    <row r="40208" spans="23:23">
      <c r="W40208" s="503"/>
    </row>
    <row r="40209" spans="23:23">
      <c r="W40209" s="503"/>
    </row>
    <row r="40210" spans="23:23">
      <c r="W40210" s="503"/>
    </row>
    <row r="40211" spans="23:23">
      <c r="W40211" s="503"/>
    </row>
    <row r="40212" spans="23:23">
      <c r="W40212" s="503"/>
    </row>
    <row r="40213" spans="23:23">
      <c r="W40213" s="503"/>
    </row>
    <row r="40214" spans="23:23">
      <c r="W40214" s="503"/>
    </row>
    <row r="40215" spans="23:23">
      <c r="W40215" s="503"/>
    </row>
    <row r="40216" spans="23:23">
      <c r="W40216" s="503"/>
    </row>
    <row r="40217" spans="23:23">
      <c r="W40217" s="503"/>
    </row>
    <row r="40218" spans="23:23">
      <c r="W40218" s="503"/>
    </row>
    <row r="40219" spans="23:23">
      <c r="W40219" s="503"/>
    </row>
    <row r="40220" spans="23:23">
      <c r="W40220" s="503"/>
    </row>
    <row r="40221" spans="23:23">
      <c r="W40221" s="503"/>
    </row>
    <row r="40222" spans="23:23">
      <c r="W40222" s="503"/>
    </row>
    <row r="40223" spans="23:23">
      <c r="W40223" s="503"/>
    </row>
    <row r="40224" spans="23:23">
      <c r="W40224" s="503"/>
    </row>
    <row r="40225" spans="23:23">
      <c r="W40225" s="503"/>
    </row>
    <row r="40226" spans="23:23">
      <c r="W40226" s="503"/>
    </row>
    <row r="40227" spans="23:23">
      <c r="W40227" s="503"/>
    </row>
    <row r="40228" spans="23:23">
      <c r="W40228" s="503"/>
    </row>
    <row r="40229" spans="23:23">
      <c r="W40229" s="503"/>
    </row>
    <row r="40230" spans="23:23">
      <c r="W40230" s="503"/>
    </row>
    <row r="40231" spans="23:23">
      <c r="W40231" s="503"/>
    </row>
    <row r="40232" spans="23:23">
      <c r="W40232" s="503"/>
    </row>
    <row r="40233" spans="23:23">
      <c r="W40233" s="503"/>
    </row>
    <row r="40234" spans="23:23">
      <c r="W40234" s="503"/>
    </row>
    <row r="40235" spans="23:23">
      <c r="W40235" s="503"/>
    </row>
    <row r="40236" spans="23:23">
      <c r="W40236" s="503"/>
    </row>
    <row r="40237" spans="23:23">
      <c r="W40237" s="503"/>
    </row>
    <row r="40238" spans="23:23">
      <c r="W40238" s="503"/>
    </row>
    <row r="40239" spans="23:23">
      <c r="W40239" s="503"/>
    </row>
    <row r="40240" spans="23:23">
      <c r="W40240" s="503"/>
    </row>
    <row r="40241" spans="23:23">
      <c r="W40241" s="503"/>
    </row>
    <row r="40242" spans="23:23">
      <c r="W40242" s="503"/>
    </row>
    <row r="40243" spans="23:23">
      <c r="W40243" s="503"/>
    </row>
    <row r="40244" spans="23:23">
      <c r="W40244" s="503"/>
    </row>
    <row r="40245" spans="23:23">
      <c r="W40245" s="503"/>
    </row>
    <row r="40246" spans="23:23">
      <c r="W40246" s="503"/>
    </row>
    <row r="40247" spans="23:23">
      <c r="W40247" s="503"/>
    </row>
    <row r="40248" spans="23:23">
      <c r="W40248" s="503"/>
    </row>
    <row r="40249" spans="23:23">
      <c r="W40249" s="503"/>
    </row>
    <row r="40250" spans="23:23">
      <c r="W40250" s="503"/>
    </row>
    <row r="40251" spans="23:23">
      <c r="W40251" s="503"/>
    </row>
    <row r="40252" spans="23:23">
      <c r="W40252" s="503"/>
    </row>
    <row r="40253" spans="23:23">
      <c r="W40253" s="503"/>
    </row>
    <row r="40254" spans="23:23">
      <c r="W40254" s="503"/>
    </row>
    <row r="40255" spans="23:23">
      <c r="W40255" s="503"/>
    </row>
    <row r="40256" spans="23:23">
      <c r="W40256" s="503"/>
    </row>
    <row r="40257" spans="23:23">
      <c r="W40257" s="503"/>
    </row>
    <row r="40258" spans="23:23">
      <c r="W40258" s="503"/>
    </row>
    <row r="40259" spans="23:23">
      <c r="W40259" s="503"/>
    </row>
    <row r="40260" spans="23:23">
      <c r="W40260" s="503"/>
    </row>
    <row r="40261" spans="23:23">
      <c r="W40261" s="503"/>
    </row>
    <row r="40262" spans="23:23">
      <c r="W40262" s="503"/>
    </row>
    <row r="40263" spans="23:23">
      <c r="W40263" s="503"/>
    </row>
    <row r="40264" spans="23:23">
      <c r="W40264" s="503"/>
    </row>
    <row r="40265" spans="23:23">
      <c r="W40265" s="503"/>
    </row>
    <row r="40266" spans="23:23">
      <c r="W40266" s="503"/>
    </row>
    <row r="40267" spans="23:23">
      <c r="W40267" s="503"/>
    </row>
    <row r="40268" spans="23:23">
      <c r="W40268" s="503"/>
    </row>
    <row r="40269" spans="23:23">
      <c r="W40269" s="503"/>
    </row>
    <row r="40270" spans="23:23">
      <c r="W40270" s="503"/>
    </row>
    <row r="40271" spans="23:23">
      <c r="W40271" s="503"/>
    </row>
    <row r="40272" spans="23:23">
      <c r="W40272" s="503"/>
    </row>
    <row r="40273" spans="23:23">
      <c r="W40273" s="503"/>
    </row>
    <row r="40274" spans="23:23">
      <c r="W40274" s="503"/>
    </row>
    <row r="40275" spans="23:23">
      <c r="W40275" s="503"/>
    </row>
    <row r="40276" spans="23:23">
      <c r="W40276" s="503"/>
    </row>
    <row r="40277" spans="23:23">
      <c r="W40277" s="503"/>
    </row>
    <row r="40278" spans="23:23">
      <c r="W40278" s="503"/>
    </row>
    <row r="40279" spans="23:23">
      <c r="W40279" s="503"/>
    </row>
    <row r="40280" spans="23:23">
      <c r="W40280" s="503"/>
    </row>
    <row r="40281" spans="23:23">
      <c r="W40281" s="503"/>
    </row>
    <row r="40282" spans="23:23">
      <c r="W40282" s="503"/>
    </row>
    <row r="40283" spans="23:23">
      <c r="W40283" s="503"/>
    </row>
    <row r="40284" spans="23:23">
      <c r="W40284" s="503"/>
    </row>
    <row r="40285" spans="23:23">
      <c r="W40285" s="503"/>
    </row>
    <row r="40286" spans="23:23">
      <c r="W40286" s="503"/>
    </row>
    <row r="40287" spans="23:23">
      <c r="W40287" s="503"/>
    </row>
    <row r="40288" spans="23:23">
      <c r="W40288" s="503"/>
    </row>
    <row r="40289" spans="23:23">
      <c r="W40289" s="503"/>
    </row>
    <row r="40290" spans="23:23">
      <c r="W40290" s="503"/>
    </row>
    <row r="40291" spans="23:23">
      <c r="W40291" s="503"/>
    </row>
    <row r="40292" spans="23:23">
      <c r="W40292" s="503"/>
    </row>
    <row r="40293" spans="23:23">
      <c r="W40293" s="503"/>
    </row>
    <row r="40294" spans="23:23">
      <c r="W40294" s="503"/>
    </row>
    <row r="40295" spans="23:23">
      <c r="W40295" s="503"/>
    </row>
    <row r="40296" spans="23:23">
      <c r="W40296" s="503"/>
    </row>
    <row r="40297" spans="23:23">
      <c r="W40297" s="503"/>
    </row>
    <row r="40298" spans="23:23">
      <c r="W40298" s="503"/>
    </row>
    <row r="40299" spans="23:23">
      <c r="W40299" s="503"/>
    </row>
    <row r="40300" spans="23:23">
      <c r="W40300" s="503"/>
    </row>
    <row r="40301" spans="23:23">
      <c r="W40301" s="503"/>
    </row>
    <row r="40302" spans="23:23">
      <c r="W40302" s="503"/>
    </row>
    <row r="40303" spans="23:23">
      <c r="W40303" s="503"/>
    </row>
    <row r="40304" spans="23:23">
      <c r="W40304" s="503"/>
    </row>
    <row r="40305" spans="23:23">
      <c r="W40305" s="503"/>
    </row>
    <row r="40306" spans="23:23">
      <c r="W40306" s="503"/>
    </row>
    <row r="40307" spans="23:23">
      <c r="W40307" s="503"/>
    </row>
    <row r="40308" spans="23:23">
      <c r="W40308" s="503"/>
    </row>
    <row r="40309" spans="23:23">
      <c r="W40309" s="503"/>
    </row>
    <row r="40310" spans="23:23">
      <c r="W40310" s="503"/>
    </row>
    <row r="40311" spans="23:23">
      <c r="W40311" s="503"/>
    </row>
    <row r="40312" spans="23:23">
      <c r="W40312" s="503"/>
    </row>
    <row r="40313" spans="23:23">
      <c r="W40313" s="503"/>
    </row>
    <row r="40314" spans="23:23">
      <c r="W40314" s="503"/>
    </row>
    <row r="40315" spans="23:23">
      <c r="W40315" s="503"/>
    </row>
    <row r="40316" spans="23:23">
      <c r="W40316" s="503"/>
    </row>
    <row r="40317" spans="23:23">
      <c r="W40317" s="503"/>
    </row>
    <row r="40318" spans="23:23">
      <c r="W40318" s="503"/>
    </row>
    <row r="40319" spans="23:23">
      <c r="W40319" s="503"/>
    </row>
    <row r="40320" spans="23:23">
      <c r="W40320" s="503"/>
    </row>
    <row r="40321" spans="23:23">
      <c r="W40321" s="503"/>
    </row>
    <row r="40322" spans="23:23">
      <c r="W40322" s="503"/>
    </row>
    <row r="40323" spans="23:23">
      <c r="W40323" s="503"/>
    </row>
    <row r="40324" spans="23:23">
      <c r="W40324" s="503"/>
    </row>
    <row r="40325" spans="23:23">
      <c r="W40325" s="503"/>
    </row>
    <row r="40326" spans="23:23">
      <c r="W40326" s="503"/>
    </row>
    <row r="40327" spans="23:23">
      <c r="W40327" s="503"/>
    </row>
    <row r="40328" spans="23:23">
      <c r="W40328" s="503"/>
    </row>
    <row r="40329" spans="23:23">
      <c r="W40329" s="503"/>
    </row>
    <row r="40330" spans="23:23">
      <c r="W40330" s="503"/>
    </row>
    <row r="40331" spans="23:23">
      <c r="W40331" s="503"/>
    </row>
    <row r="40332" spans="23:23">
      <c r="W40332" s="503"/>
    </row>
    <row r="40333" spans="23:23">
      <c r="W40333" s="503"/>
    </row>
    <row r="40334" spans="23:23">
      <c r="W40334" s="503"/>
    </row>
    <row r="40335" spans="23:23">
      <c r="W40335" s="503"/>
    </row>
    <row r="40336" spans="23:23">
      <c r="W40336" s="503"/>
    </row>
    <row r="40337" spans="23:23">
      <c r="W40337" s="503"/>
    </row>
    <row r="40338" spans="23:23">
      <c r="W40338" s="503"/>
    </row>
    <row r="40339" spans="23:23">
      <c r="W40339" s="503"/>
    </row>
    <row r="40340" spans="23:23">
      <c r="W40340" s="503"/>
    </row>
    <row r="40341" spans="23:23">
      <c r="W40341" s="503"/>
    </row>
    <row r="40342" spans="23:23">
      <c r="W40342" s="503"/>
    </row>
    <row r="40343" spans="23:23">
      <c r="W40343" s="503"/>
    </row>
    <row r="40344" spans="23:23">
      <c r="W40344" s="503"/>
    </row>
    <row r="40345" spans="23:23">
      <c r="W40345" s="503"/>
    </row>
    <row r="40346" spans="23:23">
      <c r="W40346" s="503"/>
    </row>
    <row r="40347" spans="23:23">
      <c r="W40347" s="503"/>
    </row>
    <row r="40348" spans="23:23">
      <c r="W40348" s="503"/>
    </row>
    <row r="40349" spans="23:23">
      <c r="W40349" s="503"/>
    </row>
    <row r="40350" spans="23:23">
      <c r="W40350" s="503"/>
    </row>
    <row r="40351" spans="23:23">
      <c r="W40351" s="503"/>
    </row>
    <row r="40352" spans="23:23">
      <c r="W40352" s="503"/>
    </row>
    <row r="40353" spans="23:23">
      <c r="W40353" s="503"/>
    </row>
    <row r="40354" spans="23:23">
      <c r="W40354" s="503"/>
    </row>
    <row r="40355" spans="23:23">
      <c r="W40355" s="503"/>
    </row>
    <row r="40356" spans="23:23">
      <c r="W40356" s="503"/>
    </row>
    <row r="40357" spans="23:23">
      <c r="W40357" s="503"/>
    </row>
    <row r="40358" spans="23:23">
      <c r="W40358" s="503"/>
    </row>
    <row r="40359" spans="23:23">
      <c r="W40359" s="503"/>
    </row>
    <row r="40360" spans="23:23">
      <c r="W40360" s="503"/>
    </row>
    <row r="40361" spans="23:23">
      <c r="W40361" s="503"/>
    </row>
    <row r="40362" spans="23:23">
      <c r="W40362" s="503"/>
    </row>
    <row r="40363" spans="23:23">
      <c r="W40363" s="503"/>
    </row>
    <row r="40364" spans="23:23">
      <c r="W40364" s="503"/>
    </row>
    <row r="40365" spans="23:23">
      <c r="W40365" s="503"/>
    </row>
    <row r="40366" spans="23:23">
      <c r="W40366" s="503"/>
    </row>
    <row r="40367" spans="23:23">
      <c r="W40367" s="503"/>
    </row>
    <row r="40368" spans="23:23">
      <c r="W40368" s="503"/>
    </row>
    <row r="40369" spans="23:23">
      <c r="W40369" s="503"/>
    </row>
    <row r="40370" spans="23:23">
      <c r="W40370" s="503"/>
    </row>
    <row r="40371" spans="23:23">
      <c r="W40371" s="503"/>
    </row>
    <row r="40372" spans="23:23">
      <c r="W40372" s="503"/>
    </row>
    <row r="40373" spans="23:23">
      <c r="W40373" s="503"/>
    </row>
    <row r="40374" spans="23:23">
      <c r="W40374" s="503"/>
    </row>
    <row r="40375" spans="23:23">
      <c r="W40375" s="503"/>
    </row>
    <row r="40376" spans="23:23">
      <c r="W40376" s="503"/>
    </row>
    <row r="40377" spans="23:23">
      <c r="W40377" s="503"/>
    </row>
    <row r="40378" spans="23:23">
      <c r="W40378" s="503"/>
    </row>
    <row r="40379" spans="23:23">
      <c r="W40379" s="503"/>
    </row>
    <row r="40380" spans="23:23">
      <c r="W40380" s="503"/>
    </row>
    <row r="40381" spans="23:23">
      <c r="W40381" s="503"/>
    </row>
    <row r="40382" spans="23:23">
      <c r="W40382" s="503"/>
    </row>
    <row r="40383" spans="23:23">
      <c r="W40383" s="503"/>
    </row>
    <row r="40384" spans="23:23">
      <c r="W40384" s="503"/>
    </row>
    <row r="40385" spans="23:23">
      <c r="W40385" s="503"/>
    </row>
    <row r="40386" spans="23:23">
      <c r="W40386" s="503"/>
    </row>
    <row r="40387" spans="23:23">
      <c r="W40387" s="503"/>
    </row>
    <row r="40388" spans="23:23">
      <c r="W40388" s="503"/>
    </row>
    <row r="40389" spans="23:23">
      <c r="W40389" s="503"/>
    </row>
    <row r="40390" spans="23:23">
      <c r="W40390" s="503"/>
    </row>
    <row r="40391" spans="23:23">
      <c r="W40391" s="503"/>
    </row>
    <row r="40392" spans="23:23">
      <c r="W40392" s="503"/>
    </row>
    <row r="40393" spans="23:23">
      <c r="W40393" s="503"/>
    </row>
    <row r="40394" spans="23:23">
      <c r="W40394" s="503"/>
    </row>
    <row r="40395" spans="23:23">
      <c r="W40395" s="503"/>
    </row>
    <row r="40396" spans="23:23">
      <c r="W40396" s="503"/>
    </row>
    <row r="40397" spans="23:23">
      <c r="W40397" s="503"/>
    </row>
    <row r="40398" spans="23:23">
      <c r="W40398" s="503"/>
    </row>
    <row r="40399" spans="23:23">
      <c r="W40399" s="503"/>
    </row>
    <row r="40400" spans="23:23">
      <c r="W40400" s="503"/>
    </row>
    <row r="40401" spans="23:23">
      <c r="W40401" s="503"/>
    </row>
    <row r="40402" spans="23:23">
      <c r="W40402" s="503"/>
    </row>
    <row r="40403" spans="23:23">
      <c r="W40403" s="503"/>
    </row>
    <row r="40404" spans="23:23">
      <c r="W40404" s="503"/>
    </row>
    <row r="40405" spans="23:23">
      <c r="W40405" s="503"/>
    </row>
    <row r="40406" spans="23:23">
      <c r="W40406" s="503"/>
    </row>
    <row r="40407" spans="23:23">
      <c r="W40407" s="503"/>
    </row>
    <row r="40408" spans="23:23">
      <c r="W40408" s="503"/>
    </row>
    <row r="40409" spans="23:23">
      <c r="W40409" s="503"/>
    </row>
    <row r="40410" spans="23:23">
      <c r="W40410" s="503"/>
    </row>
    <row r="40411" spans="23:23">
      <c r="W40411" s="503"/>
    </row>
    <row r="40412" spans="23:23">
      <c r="W40412" s="503"/>
    </row>
    <row r="40413" spans="23:23">
      <c r="W40413" s="503"/>
    </row>
    <row r="40414" spans="23:23">
      <c r="W40414" s="503"/>
    </row>
    <row r="40415" spans="23:23">
      <c r="W40415" s="503"/>
    </row>
    <row r="40416" spans="23:23">
      <c r="W40416" s="503"/>
    </row>
    <row r="40417" spans="23:23">
      <c r="W40417" s="503"/>
    </row>
    <row r="40418" spans="23:23">
      <c r="W40418" s="503"/>
    </row>
    <row r="40419" spans="23:23">
      <c r="W40419" s="503"/>
    </row>
    <row r="40420" spans="23:23">
      <c r="W40420" s="503"/>
    </row>
    <row r="40421" spans="23:23">
      <c r="W40421" s="503"/>
    </row>
    <row r="40422" spans="23:23">
      <c r="W40422" s="503"/>
    </row>
    <row r="40423" spans="23:23">
      <c r="W40423" s="503"/>
    </row>
    <row r="40424" spans="23:23">
      <c r="W40424" s="503"/>
    </row>
    <row r="40425" spans="23:23">
      <c r="W40425" s="503"/>
    </row>
    <row r="40426" spans="23:23">
      <c r="W40426" s="503"/>
    </row>
    <row r="40427" spans="23:23">
      <c r="W40427" s="503"/>
    </row>
    <row r="40428" spans="23:23">
      <c r="W40428" s="503"/>
    </row>
    <row r="40429" spans="23:23">
      <c r="W40429" s="503"/>
    </row>
    <row r="40430" spans="23:23">
      <c r="W40430" s="503"/>
    </row>
    <row r="40431" spans="23:23">
      <c r="W40431" s="503"/>
    </row>
    <row r="40432" spans="23:23">
      <c r="W40432" s="503"/>
    </row>
    <row r="40433" spans="23:23">
      <c r="W40433" s="503"/>
    </row>
    <row r="40434" spans="23:23">
      <c r="W40434" s="503"/>
    </row>
    <row r="40435" spans="23:23">
      <c r="W40435" s="503"/>
    </row>
    <row r="40436" spans="23:23">
      <c r="W40436" s="503"/>
    </row>
    <row r="40437" spans="23:23">
      <c r="W40437" s="503"/>
    </row>
    <row r="40438" spans="23:23">
      <c r="W40438" s="503"/>
    </row>
    <row r="40439" spans="23:23">
      <c r="W40439" s="503"/>
    </row>
    <row r="40440" spans="23:23">
      <c r="W40440" s="503"/>
    </row>
    <row r="40441" spans="23:23">
      <c r="W40441" s="503"/>
    </row>
    <row r="40442" spans="23:23">
      <c r="W40442" s="503"/>
    </row>
    <row r="40443" spans="23:23">
      <c r="W40443" s="503"/>
    </row>
    <row r="40444" spans="23:23">
      <c r="W40444" s="503"/>
    </row>
    <row r="40445" spans="23:23">
      <c r="W40445" s="503"/>
    </row>
    <row r="40446" spans="23:23">
      <c r="W40446" s="503"/>
    </row>
    <row r="40447" spans="23:23">
      <c r="W40447" s="503"/>
    </row>
    <row r="40448" spans="23:23">
      <c r="W40448" s="503"/>
    </row>
    <row r="40449" spans="23:23">
      <c r="W40449" s="503"/>
    </row>
    <row r="40450" spans="23:23">
      <c r="W40450" s="503"/>
    </row>
    <row r="40451" spans="23:23">
      <c r="W40451" s="503"/>
    </row>
    <row r="40452" spans="23:23">
      <c r="W40452" s="503"/>
    </row>
    <row r="40453" spans="23:23">
      <c r="W40453" s="503"/>
    </row>
    <row r="40454" spans="23:23">
      <c r="W40454" s="503"/>
    </row>
    <row r="40455" spans="23:23">
      <c r="W40455" s="503"/>
    </row>
    <row r="40456" spans="23:23">
      <c r="W40456" s="503"/>
    </row>
    <row r="40457" spans="23:23">
      <c r="W40457" s="503"/>
    </row>
    <row r="40458" spans="23:23">
      <c r="W40458" s="503"/>
    </row>
    <row r="40459" spans="23:23">
      <c r="W40459" s="503"/>
    </row>
    <row r="40460" spans="23:23">
      <c r="W40460" s="503"/>
    </row>
    <row r="40461" spans="23:23">
      <c r="W40461" s="503"/>
    </row>
    <row r="40462" spans="23:23">
      <c r="W40462" s="503"/>
    </row>
    <row r="40463" spans="23:23">
      <c r="W40463" s="503"/>
    </row>
    <row r="40464" spans="23:23">
      <c r="W40464" s="503"/>
    </row>
    <row r="40465" spans="23:23">
      <c r="W40465" s="503"/>
    </row>
    <row r="40466" spans="23:23">
      <c r="W40466" s="503"/>
    </row>
    <row r="40467" spans="23:23">
      <c r="W40467" s="503"/>
    </row>
    <row r="40468" spans="23:23">
      <c r="W40468" s="503"/>
    </row>
    <row r="40469" spans="23:23">
      <c r="W40469" s="503"/>
    </row>
    <row r="40470" spans="23:23">
      <c r="W40470" s="503"/>
    </row>
    <row r="40471" spans="23:23">
      <c r="W40471" s="503"/>
    </row>
    <row r="40472" spans="23:23">
      <c r="W40472" s="503"/>
    </row>
    <row r="40473" spans="23:23">
      <c r="W40473" s="503"/>
    </row>
    <row r="40474" spans="23:23">
      <c r="W40474" s="503"/>
    </row>
    <row r="40475" spans="23:23">
      <c r="W40475" s="503"/>
    </row>
    <row r="40476" spans="23:23">
      <c r="W40476" s="503"/>
    </row>
    <row r="40477" spans="23:23">
      <c r="W40477" s="503"/>
    </row>
    <row r="40478" spans="23:23">
      <c r="W40478" s="503"/>
    </row>
    <row r="40479" spans="23:23">
      <c r="W40479" s="503"/>
    </row>
    <row r="40480" spans="23:23">
      <c r="W40480" s="503"/>
    </row>
    <row r="40481" spans="23:23">
      <c r="W40481" s="503"/>
    </row>
    <row r="40482" spans="23:23">
      <c r="W40482" s="503"/>
    </row>
    <row r="40483" spans="23:23">
      <c r="W40483" s="503"/>
    </row>
    <row r="40484" spans="23:23">
      <c r="W40484" s="503"/>
    </row>
    <row r="40485" spans="23:23">
      <c r="W40485" s="503"/>
    </row>
    <row r="40486" spans="23:23">
      <c r="W40486" s="503"/>
    </row>
    <row r="40487" spans="23:23">
      <c r="W40487" s="503"/>
    </row>
    <row r="40488" spans="23:23">
      <c r="W40488" s="503"/>
    </row>
    <row r="40489" spans="23:23">
      <c r="W40489" s="503"/>
    </row>
    <row r="40490" spans="23:23">
      <c r="W40490" s="503"/>
    </row>
    <row r="40491" spans="23:23">
      <c r="W40491" s="503"/>
    </row>
    <row r="40492" spans="23:23">
      <c r="W40492" s="503"/>
    </row>
    <row r="40493" spans="23:23">
      <c r="W40493" s="503"/>
    </row>
    <row r="40494" spans="23:23">
      <c r="W40494" s="503"/>
    </row>
    <row r="40495" spans="23:23">
      <c r="W40495" s="503"/>
    </row>
    <row r="40496" spans="23:23">
      <c r="W40496" s="503"/>
    </row>
    <row r="40497" spans="23:23">
      <c r="W40497" s="503"/>
    </row>
    <row r="40498" spans="23:23">
      <c r="W40498" s="503"/>
    </row>
    <row r="40499" spans="23:23">
      <c r="W40499" s="503"/>
    </row>
    <row r="40500" spans="23:23">
      <c r="W40500" s="503"/>
    </row>
    <row r="40501" spans="23:23">
      <c r="W40501" s="503"/>
    </row>
    <row r="40502" spans="23:23">
      <c r="W40502" s="503"/>
    </row>
    <row r="40503" spans="23:23">
      <c r="W40503" s="503"/>
    </row>
    <row r="40504" spans="23:23">
      <c r="W40504" s="503"/>
    </row>
    <row r="40505" spans="23:23">
      <c r="W40505" s="503"/>
    </row>
    <row r="40506" spans="23:23">
      <c r="W40506" s="503"/>
    </row>
    <row r="40507" spans="23:23">
      <c r="W40507" s="503"/>
    </row>
    <row r="40508" spans="23:23">
      <c r="W40508" s="503"/>
    </row>
    <row r="40509" spans="23:23">
      <c r="W40509" s="503"/>
    </row>
    <row r="40510" spans="23:23">
      <c r="W40510" s="503"/>
    </row>
    <row r="40511" spans="23:23">
      <c r="W40511" s="503"/>
    </row>
    <row r="40512" spans="23:23">
      <c r="W40512" s="503"/>
    </row>
    <row r="40513" spans="23:23">
      <c r="W40513" s="503"/>
    </row>
    <row r="40514" spans="23:23">
      <c r="W40514" s="503"/>
    </row>
    <row r="40515" spans="23:23">
      <c r="W40515" s="503"/>
    </row>
    <row r="40516" spans="23:23">
      <c r="W40516" s="503"/>
    </row>
    <row r="40517" spans="23:23">
      <c r="W40517" s="503"/>
    </row>
    <row r="40518" spans="23:23">
      <c r="W40518" s="503"/>
    </row>
    <row r="40519" spans="23:23">
      <c r="W40519" s="503"/>
    </row>
    <row r="40520" spans="23:23">
      <c r="W40520" s="503"/>
    </row>
    <row r="40521" spans="23:23">
      <c r="W40521" s="503"/>
    </row>
    <row r="40522" spans="23:23">
      <c r="W40522" s="503"/>
    </row>
    <row r="40523" spans="23:23">
      <c r="W40523" s="503"/>
    </row>
    <row r="40524" spans="23:23">
      <c r="W40524" s="503"/>
    </row>
    <row r="40525" spans="23:23">
      <c r="W40525" s="503"/>
    </row>
    <row r="40526" spans="23:23">
      <c r="W40526" s="503"/>
    </row>
    <row r="40527" spans="23:23">
      <c r="W40527" s="503"/>
    </row>
    <row r="40528" spans="23:23">
      <c r="W40528" s="503"/>
    </row>
    <row r="40529" spans="23:23">
      <c r="W40529" s="503"/>
    </row>
    <row r="40530" spans="23:23">
      <c r="W40530" s="503"/>
    </row>
    <row r="40531" spans="23:23">
      <c r="W40531" s="503"/>
    </row>
    <row r="40532" spans="23:23">
      <c r="W40532" s="503"/>
    </row>
    <row r="40533" spans="23:23">
      <c r="W40533" s="503"/>
    </row>
    <row r="40534" spans="23:23">
      <c r="W40534" s="503"/>
    </row>
    <row r="40535" spans="23:23">
      <c r="W40535" s="503"/>
    </row>
    <row r="40536" spans="23:23">
      <c r="W40536" s="503"/>
    </row>
    <row r="40537" spans="23:23">
      <c r="W40537" s="503"/>
    </row>
    <row r="40538" spans="23:23">
      <c r="W40538" s="503"/>
    </row>
    <row r="40539" spans="23:23">
      <c r="W40539" s="503"/>
    </row>
    <row r="40540" spans="23:23">
      <c r="W40540" s="503"/>
    </row>
    <row r="40541" spans="23:23">
      <c r="W40541" s="503"/>
    </row>
    <row r="40542" spans="23:23">
      <c r="W40542" s="503"/>
    </row>
    <row r="40543" spans="23:23">
      <c r="W40543" s="503"/>
    </row>
    <row r="40544" spans="23:23">
      <c r="W40544" s="503"/>
    </row>
    <row r="40545" spans="23:23">
      <c r="W40545" s="503"/>
    </row>
    <row r="40546" spans="23:23">
      <c r="W40546" s="503"/>
    </row>
    <row r="40547" spans="23:23">
      <c r="W40547" s="503"/>
    </row>
    <row r="40548" spans="23:23">
      <c r="W40548" s="503"/>
    </row>
    <row r="40549" spans="23:23">
      <c r="W40549" s="503"/>
    </row>
    <row r="40550" spans="23:23">
      <c r="W40550" s="503"/>
    </row>
    <row r="40551" spans="23:23">
      <c r="W40551" s="503"/>
    </row>
    <row r="40552" spans="23:23">
      <c r="W40552" s="503"/>
    </row>
    <row r="40553" spans="23:23">
      <c r="W40553" s="503"/>
    </row>
    <row r="40554" spans="23:23">
      <c r="W40554" s="503"/>
    </row>
    <row r="40555" spans="23:23">
      <c r="W40555" s="503"/>
    </row>
    <row r="40556" spans="23:23">
      <c r="W40556" s="503"/>
    </row>
    <row r="40557" spans="23:23">
      <c r="W40557" s="503"/>
    </row>
    <row r="40558" spans="23:23">
      <c r="W40558" s="503"/>
    </row>
    <row r="40559" spans="23:23">
      <c r="W40559" s="503"/>
    </row>
    <row r="40560" spans="23:23">
      <c r="W40560" s="503"/>
    </row>
    <row r="40561" spans="23:23">
      <c r="W40561" s="503"/>
    </row>
    <row r="40562" spans="23:23">
      <c r="W40562" s="503"/>
    </row>
    <row r="40563" spans="23:23">
      <c r="W40563" s="503"/>
    </row>
    <row r="40564" spans="23:23">
      <c r="W40564" s="503"/>
    </row>
    <row r="40565" spans="23:23">
      <c r="W40565" s="503"/>
    </row>
    <row r="40566" spans="23:23">
      <c r="W40566" s="503"/>
    </row>
    <row r="40567" spans="23:23">
      <c r="W40567" s="503"/>
    </row>
    <row r="40568" spans="23:23">
      <c r="W40568" s="503"/>
    </row>
    <row r="40569" spans="23:23">
      <c r="W40569" s="503"/>
    </row>
    <row r="40570" spans="23:23">
      <c r="W40570" s="503"/>
    </row>
    <row r="40571" spans="23:23">
      <c r="W40571" s="503"/>
    </row>
    <row r="40572" spans="23:23">
      <c r="W40572" s="503"/>
    </row>
    <row r="40573" spans="23:23">
      <c r="W40573" s="503"/>
    </row>
    <row r="40574" spans="23:23">
      <c r="W40574" s="503"/>
    </row>
    <row r="40575" spans="23:23">
      <c r="W40575" s="503"/>
    </row>
    <row r="40576" spans="23:23">
      <c r="W40576" s="503"/>
    </row>
    <row r="40577" spans="23:23">
      <c r="W40577" s="503"/>
    </row>
    <row r="40578" spans="23:23">
      <c r="W40578" s="503"/>
    </row>
    <row r="40579" spans="23:23">
      <c r="W40579" s="503"/>
    </row>
    <row r="40580" spans="23:23">
      <c r="W40580" s="503"/>
    </row>
    <row r="40581" spans="23:23">
      <c r="W40581" s="503"/>
    </row>
    <row r="40582" spans="23:23">
      <c r="W40582" s="503"/>
    </row>
    <row r="40583" spans="23:23">
      <c r="W40583" s="503"/>
    </row>
    <row r="40584" spans="23:23">
      <c r="W40584" s="503"/>
    </row>
    <row r="40585" spans="23:23">
      <c r="W40585" s="503"/>
    </row>
    <row r="40586" spans="23:23">
      <c r="W40586" s="503"/>
    </row>
    <row r="40587" spans="23:23">
      <c r="W40587" s="503"/>
    </row>
    <row r="40588" spans="23:23">
      <c r="W40588" s="503"/>
    </row>
    <row r="40589" spans="23:23">
      <c r="W40589" s="503"/>
    </row>
    <row r="40590" spans="23:23">
      <c r="W40590" s="503"/>
    </row>
    <row r="40591" spans="23:23">
      <c r="W40591" s="503"/>
    </row>
    <row r="40592" spans="23:23">
      <c r="W40592" s="503"/>
    </row>
    <row r="40593" spans="23:23">
      <c r="W40593" s="503"/>
    </row>
    <row r="40594" spans="23:23">
      <c r="W40594" s="503"/>
    </row>
    <row r="40595" spans="23:23">
      <c r="W40595" s="503"/>
    </row>
    <row r="40596" spans="23:23">
      <c r="W40596" s="503"/>
    </row>
    <row r="40597" spans="23:23">
      <c r="W40597" s="503"/>
    </row>
    <row r="40598" spans="23:23">
      <c r="W40598" s="503"/>
    </row>
    <row r="40599" spans="23:23">
      <c r="W40599" s="503"/>
    </row>
    <row r="40600" spans="23:23">
      <c r="W40600" s="503"/>
    </row>
    <row r="40601" spans="23:23">
      <c r="W40601" s="503"/>
    </row>
    <row r="40602" spans="23:23">
      <c r="W40602" s="503"/>
    </row>
    <row r="40603" spans="23:23">
      <c r="W40603" s="503"/>
    </row>
    <row r="40604" spans="23:23">
      <c r="W40604" s="503"/>
    </row>
    <row r="40605" spans="23:23">
      <c r="W40605" s="503"/>
    </row>
    <row r="40606" spans="23:23">
      <c r="W40606" s="503"/>
    </row>
    <row r="40607" spans="23:23">
      <c r="W40607" s="503"/>
    </row>
    <row r="40608" spans="23:23">
      <c r="W40608" s="503"/>
    </row>
    <row r="40609" spans="23:23">
      <c r="W40609" s="503"/>
    </row>
    <row r="40610" spans="23:23">
      <c r="W40610" s="503"/>
    </row>
    <row r="40611" spans="23:23">
      <c r="W40611" s="503"/>
    </row>
    <row r="40612" spans="23:23">
      <c r="W40612" s="503"/>
    </row>
    <row r="40613" spans="23:23">
      <c r="W40613" s="503"/>
    </row>
    <row r="40614" spans="23:23">
      <c r="W40614" s="503"/>
    </row>
    <row r="40615" spans="23:23">
      <c r="W40615" s="503"/>
    </row>
    <row r="40616" spans="23:23">
      <c r="W40616" s="503"/>
    </row>
    <row r="40617" spans="23:23">
      <c r="W40617" s="503"/>
    </row>
    <row r="40618" spans="23:23">
      <c r="W40618" s="503"/>
    </row>
    <row r="40619" spans="23:23">
      <c r="W40619" s="503"/>
    </row>
    <row r="40620" spans="23:23">
      <c r="W40620" s="503"/>
    </row>
    <row r="40621" spans="23:23">
      <c r="W40621" s="503"/>
    </row>
    <row r="40622" spans="23:23">
      <c r="W40622" s="503"/>
    </row>
    <row r="40623" spans="23:23">
      <c r="W40623" s="503"/>
    </row>
    <row r="40624" spans="23:23">
      <c r="W40624" s="503"/>
    </row>
    <row r="40625" spans="23:23">
      <c r="W40625" s="503"/>
    </row>
    <row r="40626" spans="23:23">
      <c r="W40626" s="503"/>
    </row>
    <row r="40627" spans="23:23">
      <c r="W40627" s="503"/>
    </row>
    <row r="40628" spans="23:23">
      <c r="W40628" s="503"/>
    </row>
    <row r="40629" spans="23:23">
      <c r="W40629" s="503"/>
    </row>
    <row r="40630" spans="23:23">
      <c r="W40630" s="503"/>
    </row>
    <row r="40631" spans="23:23">
      <c r="W40631" s="503"/>
    </row>
    <row r="40632" spans="23:23">
      <c r="W40632" s="503"/>
    </row>
    <row r="40633" spans="23:23">
      <c r="W40633" s="503"/>
    </row>
    <row r="40634" spans="23:23">
      <c r="W40634" s="503"/>
    </row>
    <row r="40635" spans="23:23">
      <c r="W40635" s="503"/>
    </row>
    <row r="40636" spans="23:23">
      <c r="W40636" s="503"/>
    </row>
    <row r="40637" spans="23:23">
      <c r="W40637" s="503"/>
    </row>
    <row r="40638" spans="23:23">
      <c r="W40638" s="503"/>
    </row>
    <row r="40639" spans="23:23">
      <c r="W40639" s="503"/>
    </row>
    <row r="40640" spans="23:23">
      <c r="W40640" s="503"/>
    </row>
    <row r="40641" spans="23:23">
      <c r="W40641" s="503"/>
    </row>
    <row r="40642" spans="23:23">
      <c r="W40642" s="503"/>
    </row>
    <row r="40643" spans="23:23">
      <c r="W40643" s="503"/>
    </row>
    <row r="40644" spans="23:23">
      <c r="W40644" s="503"/>
    </row>
    <row r="40645" spans="23:23">
      <c r="W40645" s="503"/>
    </row>
    <row r="40646" spans="23:23">
      <c r="W40646" s="503"/>
    </row>
    <row r="40647" spans="23:23">
      <c r="W40647" s="503"/>
    </row>
    <row r="40648" spans="23:23">
      <c r="W40648" s="503"/>
    </row>
    <row r="40649" spans="23:23">
      <c r="W40649" s="503"/>
    </row>
    <row r="40650" spans="23:23">
      <c r="W40650" s="503"/>
    </row>
    <row r="40651" spans="23:23">
      <c r="W40651" s="503"/>
    </row>
    <row r="40652" spans="23:23">
      <c r="W40652" s="503"/>
    </row>
    <row r="40653" spans="23:23">
      <c r="W40653" s="503"/>
    </row>
    <row r="40654" spans="23:23">
      <c r="W40654" s="503"/>
    </row>
    <row r="40655" spans="23:23">
      <c r="W40655" s="503"/>
    </row>
    <row r="40656" spans="23:23">
      <c r="W40656" s="503"/>
    </row>
    <row r="40657" spans="23:23">
      <c r="W40657" s="503"/>
    </row>
    <row r="40658" spans="23:23">
      <c r="W40658" s="503"/>
    </row>
    <row r="40659" spans="23:23">
      <c r="W40659" s="503"/>
    </row>
    <row r="40660" spans="23:23">
      <c r="W40660" s="503"/>
    </row>
    <row r="40661" spans="23:23">
      <c r="W40661" s="503"/>
    </row>
    <row r="40662" spans="23:23">
      <c r="W40662" s="503"/>
    </row>
    <row r="40663" spans="23:23">
      <c r="W40663" s="503"/>
    </row>
    <row r="40664" spans="23:23">
      <c r="W40664" s="503"/>
    </row>
    <row r="40665" spans="23:23">
      <c r="W40665" s="503"/>
    </row>
    <row r="40666" spans="23:23">
      <c r="W40666" s="503"/>
    </row>
    <row r="40667" spans="23:23">
      <c r="W40667" s="503"/>
    </row>
    <row r="40668" spans="23:23">
      <c r="W40668" s="503"/>
    </row>
    <row r="40669" spans="23:23">
      <c r="W40669" s="503"/>
    </row>
    <row r="40670" spans="23:23">
      <c r="W40670" s="503"/>
    </row>
    <row r="40671" spans="23:23">
      <c r="W40671" s="503"/>
    </row>
    <row r="40672" spans="23:23">
      <c r="W40672" s="503"/>
    </row>
    <row r="40673" spans="23:23">
      <c r="W40673" s="503"/>
    </row>
    <row r="40674" spans="23:23">
      <c r="W40674" s="503"/>
    </row>
    <row r="40675" spans="23:23">
      <c r="W40675" s="503"/>
    </row>
    <row r="40676" spans="23:23">
      <c r="W40676" s="503"/>
    </row>
    <row r="40677" spans="23:23">
      <c r="W40677" s="503"/>
    </row>
    <row r="40678" spans="23:23">
      <c r="W40678" s="503"/>
    </row>
    <row r="40679" spans="23:23">
      <c r="W40679" s="503"/>
    </row>
    <row r="40680" spans="23:23">
      <c r="W40680" s="503"/>
    </row>
    <row r="40681" spans="23:23">
      <c r="W40681" s="503"/>
    </row>
    <row r="40682" spans="23:23">
      <c r="W40682" s="503"/>
    </row>
    <row r="40683" spans="23:23">
      <c r="W40683" s="503"/>
    </row>
    <row r="40684" spans="23:23">
      <c r="W40684" s="503"/>
    </row>
    <row r="40685" spans="23:23">
      <c r="W40685" s="503"/>
    </row>
    <row r="40686" spans="23:23">
      <c r="W40686" s="503"/>
    </row>
    <row r="40687" spans="23:23">
      <c r="W40687" s="503"/>
    </row>
    <row r="40688" spans="23:23">
      <c r="W40688" s="503"/>
    </row>
    <row r="40689" spans="23:23">
      <c r="W40689" s="503"/>
    </row>
    <row r="40690" spans="23:23">
      <c r="W40690" s="503"/>
    </row>
    <row r="40691" spans="23:23">
      <c r="W40691" s="503"/>
    </row>
    <row r="40692" spans="23:23">
      <c r="W40692" s="503"/>
    </row>
    <row r="40693" spans="23:23">
      <c r="W40693" s="503"/>
    </row>
    <row r="40694" spans="23:23">
      <c r="W40694" s="503"/>
    </row>
    <row r="40695" spans="23:23">
      <c r="W40695" s="503"/>
    </row>
    <row r="40696" spans="23:23">
      <c r="W40696" s="503"/>
    </row>
    <row r="40697" spans="23:23">
      <c r="W40697" s="503"/>
    </row>
    <row r="40698" spans="23:23">
      <c r="W40698" s="503"/>
    </row>
    <row r="40699" spans="23:23">
      <c r="W40699" s="503"/>
    </row>
    <row r="40700" spans="23:23">
      <c r="W40700" s="503"/>
    </row>
    <row r="40701" spans="23:23">
      <c r="W40701" s="503"/>
    </row>
    <row r="40702" spans="23:23">
      <c r="W40702" s="503"/>
    </row>
    <row r="40703" spans="23:23">
      <c r="W40703" s="503"/>
    </row>
    <row r="40704" spans="23:23">
      <c r="W40704" s="503"/>
    </row>
    <row r="40705" spans="23:23">
      <c r="W40705" s="503"/>
    </row>
    <row r="40706" spans="23:23">
      <c r="W40706" s="503"/>
    </row>
    <row r="40707" spans="23:23">
      <c r="W40707" s="503"/>
    </row>
    <row r="40708" spans="23:23">
      <c r="W40708" s="503"/>
    </row>
    <row r="40709" spans="23:23">
      <c r="W40709" s="503"/>
    </row>
    <row r="40710" spans="23:23">
      <c r="W40710" s="503"/>
    </row>
    <row r="40711" spans="23:23">
      <c r="W40711" s="503"/>
    </row>
    <row r="40712" spans="23:23">
      <c r="W40712" s="503"/>
    </row>
    <row r="40713" spans="23:23">
      <c r="W40713" s="503"/>
    </row>
    <row r="40714" spans="23:23">
      <c r="W40714" s="503"/>
    </row>
    <row r="40715" spans="23:23">
      <c r="W40715" s="503"/>
    </row>
    <row r="40716" spans="23:23">
      <c r="W40716" s="503"/>
    </row>
    <row r="40717" spans="23:23">
      <c r="W40717" s="503"/>
    </row>
    <row r="40718" spans="23:23">
      <c r="W40718" s="503"/>
    </row>
    <row r="40719" spans="23:23">
      <c r="W40719" s="503"/>
    </row>
    <row r="40720" spans="23:23">
      <c r="W40720" s="503"/>
    </row>
    <row r="40721" spans="23:23">
      <c r="W40721" s="503"/>
    </row>
    <row r="40722" spans="23:23">
      <c r="W40722" s="503"/>
    </row>
    <row r="40723" spans="23:23">
      <c r="W40723" s="503"/>
    </row>
    <row r="40724" spans="23:23">
      <c r="W40724" s="503"/>
    </row>
    <row r="40725" spans="23:23">
      <c r="W40725" s="503"/>
    </row>
    <row r="40726" spans="23:23">
      <c r="W40726" s="503"/>
    </row>
    <row r="40727" spans="23:23">
      <c r="W40727" s="503"/>
    </row>
    <row r="40728" spans="23:23">
      <c r="W40728" s="503"/>
    </row>
    <row r="40729" spans="23:23">
      <c r="W40729" s="503"/>
    </row>
    <row r="40730" spans="23:23">
      <c r="W40730" s="503"/>
    </row>
    <row r="40731" spans="23:23">
      <c r="W40731" s="503"/>
    </row>
    <row r="40732" spans="23:23">
      <c r="W40732" s="503"/>
    </row>
    <row r="40733" spans="23:23">
      <c r="W40733" s="503"/>
    </row>
    <row r="40734" spans="23:23">
      <c r="W40734" s="503"/>
    </row>
    <row r="40735" spans="23:23">
      <c r="W40735" s="503"/>
    </row>
    <row r="40736" spans="23:23">
      <c r="W40736" s="503"/>
    </row>
    <row r="40737" spans="23:23">
      <c r="W40737" s="503"/>
    </row>
    <row r="40738" spans="23:23">
      <c r="W40738" s="503"/>
    </row>
    <row r="40739" spans="23:23">
      <c r="W40739" s="503"/>
    </row>
    <row r="40740" spans="23:23">
      <c r="W40740" s="503"/>
    </row>
    <row r="40741" spans="23:23">
      <c r="W40741" s="503"/>
    </row>
    <row r="40742" spans="23:23">
      <c r="W40742" s="503"/>
    </row>
    <row r="40743" spans="23:23">
      <c r="W40743" s="503"/>
    </row>
    <row r="40744" spans="23:23">
      <c r="W40744" s="503"/>
    </row>
    <row r="40745" spans="23:23">
      <c r="W40745" s="503"/>
    </row>
    <row r="40746" spans="23:23">
      <c r="W40746" s="503"/>
    </row>
    <row r="40747" spans="23:23">
      <c r="W40747" s="503"/>
    </row>
    <row r="40748" spans="23:23">
      <c r="W40748" s="503"/>
    </row>
    <row r="40749" spans="23:23">
      <c r="W40749" s="503"/>
    </row>
    <row r="40750" spans="23:23">
      <c r="W40750" s="503"/>
    </row>
    <row r="40751" spans="23:23">
      <c r="W40751" s="503"/>
    </row>
    <row r="40752" spans="23:23">
      <c r="W40752" s="503"/>
    </row>
    <row r="40753" spans="23:23">
      <c r="W40753" s="503"/>
    </row>
    <row r="40754" spans="23:23">
      <c r="W40754" s="503"/>
    </row>
    <row r="40755" spans="23:23">
      <c r="W40755" s="503"/>
    </row>
    <row r="40756" spans="23:23">
      <c r="W40756" s="503"/>
    </row>
    <row r="40757" spans="23:23">
      <c r="W40757" s="503"/>
    </row>
    <row r="40758" spans="23:23">
      <c r="W40758" s="503"/>
    </row>
    <row r="40759" spans="23:23">
      <c r="W40759" s="503"/>
    </row>
    <row r="40760" spans="23:23">
      <c r="W40760" s="503"/>
    </row>
    <row r="40761" spans="23:23">
      <c r="W40761" s="503"/>
    </row>
    <row r="40762" spans="23:23">
      <c r="W40762" s="503"/>
    </row>
    <row r="40763" spans="23:23">
      <c r="W40763" s="503"/>
    </row>
    <row r="40764" spans="23:23">
      <c r="W40764" s="503"/>
    </row>
    <row r="40765" spans="23:23">
      <c r="W40765" s="503"/>
    </row>
    <row r="40766" spans="23:23">
      <c r="W40766" s="503"/>
    </row>
    <row r="40767" spans="23:23">
      <c r="W40767" s="503"/>
    </row>
    <row r="40768" spans="23:23">
      <c r="W40768" s="503"/>
    </row>
    <row r="40769" spans="23:23">
      <c r="W40769" s="503"/>
    </row>
    <row r="40770" spans="23:23">
      <c r="W40770" s="503"/>
    </row>
    <row r="40771" spans="23:23">
      <c r="W40771" s="503"/>
    </row>
    <row r="40772" spans="23:23">
      <c r="W40772" s="503"/>
    </row>
    <row r="40773" spans="23:23">
      <c r="W40773" s="503"/>
    </row>
    <row r="40774" spans="23:23">
      <c r="W40774" s="503"/>
    </row>
    <row r="40775" spans="23:23">
      <c r="W40775" s="503"/>
    </row>
    <row r="40776" spans="23:23">
      <c r="W40776" s="503"/>
    </row>
    <row r="40777" spans="23:23">
      <c r="W40777" s="503"/>
    </row>
    <row r="40778" spans="23:23">
      <c r="W40778" s="503"/>
    </row>
    <row r="40779" spans="23:23">
      <c r="W40779" s="503"/>
    </row>
    <row r="40780" spans="23:23">
      <c r="W40780" s="503"/>
    </row>
    <row r="40781" spans="23:23">
      <c r="W40781" s="503"/>
    </row>
    <row r="40782" spans="23:23">
      <c r="W40782" s="503"/>
    </row>
    <row r="40783" spans="23:23">
      <c r="W40783" s="503"/>
    </row>
    <row r="40784" spans="23:23">
      <c r="W40784" s="503"/>
    </row>
    <row r="40785" spans="23:23">
      <c r="W40785" s="503"/>
    </row>
    <row r="40786" spans="23:23">
      <c r="W40786" s="503"/>
    </row>
    <row r="40787" spans="23:23">
      <c r="W40787" s="503"/>
    </row>
    <row r="40788" spans="23:23">
      <c r="W40788" s="503"/>
    </row>
    <row r="40789" spans="23:23">
      <c r="W40789" s="503"/>
    </row>
    <row r="40790" spans="23:23">
      <c r="W40790" s="503"/>
    </row>
    <row r="40791" spans="23:23">
      <c r="W40791" s="503"/>
    </row>
    <row r="40792" spans="23:23">
      <c r="W40792" s="503"/>
    </row>
    <row r="40793" spans="23:23">
      <c r="W40793" s="503"/>
    </row>
    <row r="40794" spans="23:23">
      <c r="W40794" s="503"/>
    </row>
    <row r="40795" spans="23:23">
      <c r="W40795" s="503"/>
    </row>
    <row r="40796" spans="23:23">
      <c r="W40796" s="503"/>
    </row>
    <row r="40797" spans="23:23">
      <c r="W40797" s="503"/>
    </row>
    <row r="40798" spans="23:23">
      <c r="W40798" s="503"/>
    </row>
    <row r="40799" spans="23:23">
      <c r="W40799" s="503"/>
    </row>
    <row r="40800" spans="23:23">
      <c r="W40800" s="503"/>
    </row>
    <row r="40801" spans="23:23">
      <c r="W40801" s="503"/>
    </row>
    <row r="40802" spans="23:23">
      <c r="W40802" s="503"/>
    </row>
    <row r="40803" spans="23:23">
      <c r="W40803" s="503"/>
    </row>
    <row r="40804" spans="23:23">
      <c r="W40804" s="503"/>
    </row>
    <row r="40805" spans="23:23">
      <c r="W40805" s="503"/>
    </row>
    <row r="40806" spans="23:23">
      <c r="W40806" s="503"/>
    </row>
    <row r="40807" spans="23:23">
      <c r="W40807" s="503"/>
    </row>
    <row r="40808" spans="23:23">
      <c r="W40808" s="503"/>
    </row>
    <row r="40809" spans="23:23">
      <c r="W40809" s="503"/>
    </row>
    <row r="40810" spans="23:23">
      <c r="W40810" s="503"/>
    </row>
    <row r="40811" spans="23:23">
      <c r="W40811" s="503"/>
    </row>
    <row r="40812" spans="23:23">
      <c r="W40812" s="503"/>
    </row>
    <row r="40813" spans="23:23">
      <c r="W40813" s="503"/>
    </row>
    <row r="40814" spans="23:23">
      <c r="W40814" s="503"/>
    </row>
    <row r="40815" spans="23:23">
      <c r="W40815" s="503"/>
    </row>
    <row r="40816" spans="23:23">
      <c r="W40816" s="503"/>
    </row>
    <row r="40817" spans="23:23">
      <c r="W40817" s="503"/>
    </row>
    <row r="40818" spans="23:23">
      <c r="W40818" s="503"/>
    </row>
    <row r="40819" spans="23:23">
      <c r="W40819" s="503"/>
    </row>
    <row r="40820" spans="23:23">
      <c r="W40820" s="503"/>
    </row>
    <row r="40821" spans="23:23">
      <c r="W40821" s="503"/>
    </row>
    <row r="40822" spans="23:23">
      <c r="W40822" s="503"/>
    </row>
    <row r="40823" spans="23:23">
      <c r="W40823" s="503"/>
    </row>
    <row r="40824" spans="23:23">
      <c r="W40824" s="503"/>
    </row>
    <row r="40825" spans="23:23">
      <c r="W40825" s="503"/>
    </row>
    <row r="40826" spans="23:23">
      <c r="W40826" s="503"/>
    </row>
    <row r="40827" spans="23:23">
      <c r="W40827" s="503"/>
    </row>
    <row r="40828" spans="23:23">
      <c r="W40828" s="503"/>
    </row>
    <row r="40829" spans="23:23">
      <c r="W40829" s="503"/>
    </row>
    <row r="40830" spans="23:23">
      <c r="W40830" s="503"/>
    </row>
    <row r="40831" spans="23:23">
      <c r="W40831" s="503"/>
    </row>
    <row r="40832" spans="23:23">
      <c r="W40832" s="503"/>
    </row>
    <row r="40833" spans="23:23">
      <c r="W40833" s="503"/>
    </row>
    <row r="40834" spans="23:23">
      <c r="W40834" s="503"/>
    </row>
    <row r="40835" spans="23:23">
      <c r="W40835" s="503"/>
    </row>
    <row r="40836" spans="23:23">
      <c r="W40836" s="503"/>
    </row>
    <row r="40837" spans="23:23">
      <c r="W40837" s="503"/>
    </row>
    <row r="40838" spans="23:23">
      <c r="W40838" s="503"/>
    </row>
    <row r="40839" spans="23:23">
      <c r="W40839" s="503"/>
    </row>
    <row r="40840" spans="23:23">
      <c r="W40840" s="503"/>
    </row>
    <row r="40841" spans="23:23">
      <c r="W40841" s="503"/>
    </row>
    <row r="40842" spans="23:23">
      <c r="W40842" s="503"/>
    </row>
    <row r="40843" spans="23:23">
      <c r="W40843" s="503"/>
    </row>
    <row r="40844" spans="23:23">
      <c r="W40844" s="503"/>
    </row>
    <row r="40845" spans="23:23">
      <c r="W40845" s="503"/>
    </row>
    <row r="40846" spans="23:23">
      <c r="W40846" s="503"/>
    </row>
    <row r="40847" spans="23:23">
      <c r="W40847" s="503"/>
    </row>
    <row r="40848" spans="23:23">
      <c r="W40848" s="503"/>
    </row>
    <row r="40849" spans="23:23">
      <c r="W40849" s="503"/>
    </row>
    <row r="40850" spans="23:23">
      <c r="W40850" s="503"/>
    </row>
    <row r="40851" spans="23:23">
      <c r="W40851" s="503"/>
    </row>
    <row r="40852" spans="23:23">
      <c r="W40852" s="503"/>
    </row>
    <row r="40853" spans="23:23">
      <c r="W40853" s="503"/>
    </row>
    <row r="40854" spans="23:23">
      <c r="W40854" s="503"/>
    </row>
    <row r="40855" spans="23:23">
      <c r="W40855" s="503"/>
    </row>
    <row r="40856" spans="23:23">
      <c r="W40856" s="503"/>
    </row>
    <row r="40857" spans="23:23">
      <c r="W40857" s="503"/>
    </row>
    <row r="40858" spans="23:23">
      <c r="W40858" s="503"/>
    </row>
    <row r="40859" spans="23:23">
      <c r="W40859" s="503"/>
    </row>
    <row r="40860" spans="23:23">
      <c r="W40860" s="503"/>
    </row>
    <row r="40861" spans="23:23">
      <c r="W40861" s="503"/>
    </row>
    <row r="40862" spans="23:23">
      <c r="W40862" s="503"/>
    </row>
    <row r="40863" spans="23:23">
      <c r="W40863" s="503"/>
    </row>
    <row r="40864" spans="23:23">
      <c r="W40864" s="503"/>
    </row>
    <row r="40865" spans="23:23">
      <c r="W40865" s="503"/>
    </row>
    <row r="40866" spans="23:23">
      <c r="W40866" s="503"/>
    </row>
    <row r="40867" spans="23:23">
      <c r="W40867" s="503"/>
    </row>
    <row r="40868" spans="23:23">
      <c r="W40868" s="503"/>
    </row>
    <row r="40869" spans="23:23">
      <c r="W40869" s="503"/>
    </row>
    <row r="40870" spans="23:23">
      <c r="W40870" s="503"/>
    </row>
    <row r="40871" spans="23:23">
      <c r="W40871" s="503"/>
    </row>
    <row r="40872" spans="23:23">
      <c r="W40872" s="503"/>
    </row>
    <row r="40873" spans="23:23">
      <c r="W40873" s="503"/>
    </row>
    <row r="40874" spans="23:23">
      <c r="W40874" s="503"/>
    </row>
    <row r="40875" spans="23:23">
      <c r="W40875" s="503"/>
    </row>
    <row r="40876" spans="23:23">
      <c r="W40876" s="503"/>
    </row>
    <row r="40877" spans="23:23">
      <c r="W40877" s="503"/>
    </row>
    <row r="40878" spans="23:23">
      <c r="W40878" s="503"/>
    </row>
    <row r="40879" spans="23:23">
      <c r="W40879" s="503"/>
    </row>
    <row r="40880" spans="23:23">
      <c r="W40880" s="503"/>
    </row>
    <row r="40881" spans="23:23">
      <c r="W40881" s="503"/>
    </row>
    <row r="40882" spans="23:23">
      <c r="W40882" s="503"/>
    </row>
    <row r="40883" spans="23:23">
      <c r="W40883" s="503"/>
    </row>
    <row r="40884" spans="23:23">
      <c r="W40884" s="503"/>
    </row>
    <row r="40885" spans="23:23">
      <c r="W40885" s="503"/>
    </row>
    <row r="40886" spans="23:23">
      <c r="W40886" s="503"/>
    </row>
    <row r="40887" spans="23:23">
      <c r="W40887" s="503"/>
    </row>
    <row r="40888" spans="23:23">
      <c r="W40888" s="503"/>
    </row>
    <row r="40889" spans="23:23">
      <c r="W40889" s="503"/>
    </row>
    <row r="40890" spans="23:23">
      <c r="W40890" s="503"/>
    </row>
    <row r="40891" spans="23:23">
      <c r="W40891" s="503"/>
    </row>
    <row r="40892" spans="23:23">
      <c r="W40892" s="503"/>
    </row>
    <row r="40893" spans="23:23">
      <c r="W40893" s="503"/>
    </row>
    <row r="40894" spans="23:23">
      <c r="W40894" s="503"/>
    </row>
    <row r="40895" spans="23:23">
      <c r="W40895" s="503"/>
    </row>
    <row r="40896" spans="23:23">
      <c r="W40896" s="503"/>
    </row>
    <row r="40897" spans="23:23">
      <c r="W40897" s="503"/>
    </row>
    <row r="40898" spans="23:23">
      <c r="W40898" s="503"/>
    </row>
    <row r="40899" spans="23:23">
      <c r="W40899" s="503"/>
    </row>
    <row r="40900" spans="23:23">
      <c r="W40900" s="503"/>
    </row>
    <row r="40901" spans="23:23">
      <c r="W40901" s="503"/>
    </row>
    <row r="40902" spans="23:23">
      <c r="W40902" s="503"/>
    </row>
    <row r="40903" spans="23:23">
      <c r="W40903" s="503"/>
    </row>
    <row r="40904" spans="23:23">
      <c r="W40904" s="503"/>
    </row>
    <row r="40905" spans="23:23">
      <c r="W40905" s="503"/>
    </row>
    <row r="40906" spans="23:23">
      <c r="W40906" s="503"/>
    </row>
    <row r="40907" spans="23:23">
      <c r="W40907" s="503"/>
    </row>
    <row r="40908" spans="23:23">
      <c r="W40908" s="503"/>
    </row>
    <row r="40909" spans="23:23">
      <c r="W40909" s="503"/>
    </row>
    <row r="40910" spans="23:23">
      <c r="W40910" s="503"/>
    </row>
    <row r="40911" spans="23:23">
      <c r="W40911" s="503"/>
    </row>
    <row r="40912" spans="23:23">
      <c r="W40912" s="503"/>
    </row>
    <row r="40913" spans="23:23">
      <c r="W40913" s="503"/>
    </row>
    <row r="40914" spans="23:23">
      <c r="W40914" s="503"/>
    </row>
    <row r="40915" spans="23:23">
      <c r="W40915" s="503"/>
    </row>
    <row r="40916" spans="23:23">
      <c r="W40916" s="503"/>
    </row>
    <row r="40917" spans="23:23">
      <c r="W40917" s="503"/>
    </row>
    <row r="40918" spans="23:23">
      <c r="W40918" s="503"/>
    </row>
    <row r="40919" spans="23:23">
      <c r="W40919" s="503"/>
    </row>
    <row r="40920" spans="23:23">
      <c r="W40920" s="503"/>
    </row>
    <row r="40921" spans="23:23">
      <c r="W40921" s="503"/>
    </row>
    <row r="40922" spans="23:23">
      <c r="W40922" s="503"/>
    </row>
    <row r="40923" spans="23:23">
      <c r="W40923" s="503"/>
    </row>
    <row r="40924" spans="23:23">
      <c r="W40924" s="503"/>
    </row>
    <row r="40925" spans="23:23">
      <c r="W40925" s="503"/>
    </row>
    <row r="40926" spans="23:23">
      <c r="W40926" s="503"/>
    </row>
    <row r="40927" spans="23:23">
      <c r="W40927" s="503"/>
    </row>
    <row r="40928" spans="23:23">
      <c r="W40928" s="503"/>
    </row>
    <row r="40929" spans="23:23">
      <c r="W40929" s="503"/>
    </row>
    <row r="40930" spans="23:23">
      <c r="W40930" s="503"/>
    </row>
    <row r="40931" spans="23:23">
      <c r="W40931" s="503"/>
    </row>
    <row r="40932" spans="23:23">
      <c r="W40932" s="503"/>
    </row>
    <row r="40933" spans="23:23">
      <c r="W40933" s="503"/>
    </row>
    <row r="40934" spans="23:23">
      <c r="W40934" s="503"/>
    </row>
    <row r="40935" spans="23:23">
      <c r="W40935" s="503"/>
    </row>
    <row r="40936" spans="23:23">
      <c r="W40936" s="503"/>
    </row>
    <row r="40937" spans="23:23">
      <c r="W40937" s="503"/>
    </row>
    <row r="40938" spans="23:23">
      <c r="W40938" s="503"/>
    </row>
    <row r="40939" spans="23:23">
      <c r="W40939" s="503"/>
    </row>
    <row r="40940" spans="23:23">
      <c r="W40940" s="503"/>
    </row>
    <row r="40941" spans="23:23">
      <c r="W40941" s="503"/>
    </row>
    <row r="40942" spans="23:23">
      <c r="W40942" s="503"/>
    </row>
    <row r="40943" spans="23:23">
      <c r="W40943" s="503"/>
    </row>
    <row r="40944" spans="23:23">
      <c r="W40944" s="503"/>
    </row>
    <row r="40945" spans="23:23">
      <c r="W40945" s="503"/>
    </row>
    <row r="40946" spans="23:23">
      <c r="W40946" s="503"/>
    </row>
    <row r="40947" spans="23:23">
      <c r="W40947" s="503"/>
    </row>
    <row r="40948" spans="23:23">
      <c r="W40948" s="503"/>
    </row>
    <row r="40949" spans="23:23">
      <c r="W40949" s="503"/>
    </row>
    <row r="40950" spans="23:23">
      <c r="W40950" s="503"/>
    </row>
    <row r="40951" spans="23:23">
      <c r="W40951" s="503"/>
    </row>
    <row r="40952" spans="23:23">
      <c r="W40952" s="503"/>
    </row>
    <row r="40953" spans="23:23">
      <c r="W40953" s="503"/>
    </row>
    <row r="40954" spans="23:23">
      <c r="W40954" s="503"/>
    </row>
    <row r="40955" spans="23:23">
      <c r="W40955" s="503"/>
    </row>
    <row r="40956" spans="23:23">
      <c r="W40956" s="503"/>
    </row>
    <row r="40957" spans="23:23">
      <c r="W40957" s="503"/>
    </row>
    <row r="40958" spans="23:23">
      <c r="W40958" s="503"/>
    </row>
    <row r="40959" spans="23:23">
      <c r="W40959" s="503"/>
    </row>
    <row r="40960" spans="23:23">
      <c r="W40960" s="503"/>
    </row>
    <row r="40961" spans="23:23">
      <c r="W40961" s="503"/>
    </row>
    <row r="40962" spans="23:23">
      <c r="W40962" s="503"/>
    </row>
    <row r="40963" spans="23:23">
      <c r="W40963" s="503"/>
    </row>
    <row r="40964" spans="23:23">
      <c r="W40964" s="503"/>
    </row>
    <row r="40965" spans="23:23">
      <c r="W40965" s="503"/>
    </row>
    <row r="40966" spans="23:23">
      <c r="W40966" s="503"/>
    </row>
    <row r="40967" spans="23:23">
      <c r="W40967" s="503"/>
    </row>
    <row r="40968" spans="23:23">
      <c r="W40968" s="503"/>
    </row>
    <row r="40969" spans="23:23">
      <c r="W40969" s="503"/>
    </row>
    <row r="40970" spans="23:23">
      <c r="W40970" s="503"/>
    </row>
    <row r="40971" spans="23:23">
      <c r="W40971" s="503"/>
    </row>
    <row r="40972" spans="23:23">
      <c r="W40972" s="503"/>
    </row>
    <row r="40973" spans="23:23">
      <c r="W40973" s="503"/>
    </row>
    <row r="40974" spans="23:23">
      <c r="W40974" s="503"/>
    </row>
    <row r="40975" spans="23:23">
      <c r="W40975" s="503"/>
    </row>
    <row r="40976" spans="23:23">
      <c r="W40976" s="503"/>
    </row>
    <row r="40977" spans="23:23">
      <c r="W40977" s="503"/>
    </row>
    <row r="40978" spans="23:23">
      <c r="W40978" s="503"/>
    </row>
    <row r="40979" spans="23:23">
      <c r="W40979" s="503"/>
    </row>
    <row r="40980" spans="23:23">
      <c r="W40980" s="503"/>
    </row>
    <row r="40981" spans="23:23">
      <c r="W40981" s="503"/>
    </row>
    <row r="40982" spans="23:23">
      <c r="W40982" s="503"/>
    </row>
    <row r="40983" spans="23:23">
      <c r="W40983" s="503"/>
    </row>
    <row r="40984" spans="23:23">
      <c r="W40984" s="503"/>
    </row>
    <row r="40985" spans="23:23">
      <c r="W40985" s="503"/>
    </row>
    <row r="40986" spans="23:23">
      <c r="W40986" s="503"/>
    </row>
    <row r="40987" spans="23:23">
      <c r="W40987" s="503"/>
    </row>
    <row r="40988" spans="23:23">
      <c r="W40988" s="503"/>
    </row>
    <row r="40989" spans="23:23">
      <c r="W40989" s="503"/>
    </row>
    <row r="40990" spans="23:23">
      <c r="W40990" s="503"/>
    </row>
    <row r="40991" spans="23:23">
      <c r="W40991" s="503"/>
    </row>
    <row r="40992" spans="23:23">
      <c r="W40992" s="503"/>
    </row>
    <row r="40993" spans="23:23">
      <c r="W40993" s="503"/>
    </row>
    <row r="40994" spans="23:23">
      <c r="W40994" s="503"/>
    </row>
    <row r="40995" spans="23:23">
      <c r="W40995" s="503"/>
    </row>
    <row r="40996" spans="23:23">
      <c r="W40996" s="503"/>
    </row>
    <row r="40997" spans="23:23">
      <c r="W40997" s="503"/>
    </row>
    <row r="40998" spans="23:23">
      <c r="W40998" s="503"/>
    </row>
    <row r="40999" spans="23:23">
      <c r="W40999" s="503"/>
    </row>
    <row r="41000" spans="23:23">
      <c r="W41000" s="503"/>
    </row>
    <row r="41001" spans="23:23">
      <c r="W41001" s="503"/>
    </row>
    <row r="41002" spans="23:23">
      <c r="W41002" s="503"/>
    </row>
    <row r="41003" spans="23:23">
      <c r="W41003" s="503"/>
    </row>
    <row r="41004" spans="23:23">
      <c r="W41004" s="503"/>
    </row>
    <row r="41005" spans="23:23">
      <c r="W41005" s="503"/>
    </row>
    <row r="41006" spans="23:23">
      <c r="W41006" s="503"/>
    </row>
    <row r="41007" spans="23:23">
      <c r="W41007" s="503"/>
    </row>
    <row r="41008" spans="23:23">
      <c r="W41008" s="503"/>
    </row>
    <row r="41009" spans="23:23">
      <c r="W41009" s="503"/>
    </row>
    <row r="41010" spans="23:23">
      <c r="W41010" s="503"/>
    </row>
    <row r="41011" spans="23:23">
      <c r="W41011" s="503"/>
    </row>
    <row r="41012" spans="23:23">
      <c r="W41012" s="503"/>
    </row>
    <row r="41013" spans="23:23">
      <c r="W41013" s="503"/>
    </row>
    <row r="41014" spans="23:23">
      <c r="W41014" s="503"/>
    </row>
    <row r="41015" spans="23:23">
      <c r="W41015" s="503"/>
    </row>
    <row r="41016" spans="23:23">
      <c r="W41016" s="503"/>
    </row>
    <row r="41017" spans="23:23">
      <c r="W41017" s="503"/>
    </row>
    <row r="41018" spans="23:23">
      <c r="W41018" s="503"/>
    </row>
    <row r="41019" spans="23:23">
      <c r="W41019" s="503"/>
    </row>
    <row r="41020" spans="23:23">
      <c r="W41020" s="503"/>
    </row>
    <row r="41021" spans="23:23">
      <c r="W41021" s="503"/>
    </row>
    <row r="41022" spans="23:23">
      <c r="W41022" s="503"/>
    </row>
    <row r="41023" spans="23:23">
      <c r="W41023" s="503"/>
    </row>
    <row r="41024" spans="23:23">
      <c r="W41024" s="503"/>
    </row>
    <row r="41025" spans="23:23">
      <c r="W41025" s="503"/>
    </row>
    <row r="41026" spans="23:23">
      <c r="W41026" s="503"/>
    </row>
    <row r="41027" spans="23:23">
      <c r="W41027" s="503"/>
    </row>
    <row r="41028" spans="23:23">
      <c r="W41028" s="503"/>
    </row>
    <row r="41029" spans="23:23">
      <c r="W41029" s="503"/>
    </row>
    <row r="41030" spans="23:23">
      <c r="W41030" s="503"/>
    </row>
    <row r="41031" spans="23:23">
      <c r="W41031" s="503"/>
    </row>
    <row r="41032" spans="23:23">
      <c r="W41032" s="503"/>
    </row>
    <row r="41033" spans="23:23">
      <c r="W41033" s="503"/>
    </row>
    <row r="41034" spans="23:23">
      <c r="W41034" s="503"/>
    </row>
    <row r="41035" spans="23:23">
      <c r="W41035" s="503"/>
    </row>
    <row r="41036" spans="23:23">
      <c r="W41036" s="503"/>
    </row>
    <row r="41037" spans="23:23">
      <c r="W41037" s="503"/>
    </row>
    <row r="41038" spans="23:23">
      <c r="W41038" s="503"/>
    </row>
    <row r="41039" spans="23:23">
      <c r="W41039" s="503"/>
    </row>
    <row r="41040" spans="23:23">
      <c r="W41040" s="503"/>
    </row>
    <row r="41041" spans="23:23">
      <c r="W41041" s="503"/>
    </row>
    <row r="41042" spans="23:23">
      <c r="W41042" s="503"/>
    </row>
    <row r="41043" spans="23:23">
      <c r="W41043" s="503"/>
    </row>
    <row r="41044" spans="23:23">
      <c r="W41044" s="503"/>
    </row>
    <row r="41045" spans="23:23">
      <c r="W41045" s="503"/>
    </row>
    <row r="41046" spans="23:23">
      <c r="W41046" s="503"/>
    </row>
    <row r="41047" spans="23:23">
      <c r="W41047" s="503"/>
    </row>
    <row r="41048" spans="23:23">
      <c r="W41048" s="503"/>
    </row>
    <row r="41049" spans="23:23">
      <c r="W41049" s="503"/>
    </row>
    <row r="41050" spans="23:23">
      <c r="W41050" s="503"/>
    </row>
    <row r="41051" spans="23:23">
      <c r="W41051" s="503"/>
    </row>
    <row r="41052" spans="23:23">
      <c r="W41052" s="503"/>
    </row>
    <row r="41053" spans="23:23">
      <c r="W41053" s="503"/>
    </row>
    <row r="41054" spans="23:23">
      <c r="W41054" s="503"/>
    </row>
    <row r="41055" spans="23:23">
      <c r="W41055" s="503"/>
    </row>
    <row r="41056" spans="23:23">
      <c r="W41056" s="503"/>
    </row>
    <row r="41057" spans="23:23">
      <c r="W41057" s="503"/>
    </row>
    <row r="41058" spans="23:23">
      <c r="W41058" s="503"/>
    </row>
    <row r="41059" spans="23:23">
      <c r="W41059" s="503"/>
    </row>
    <row r="41060" spans="23:23">
      <c r="W41060" s="503"/>
    </row>
    <row r="41061" spans="23:23">
      <c r="W41061" s="503"/>
    </row>
    <row r="41062" spans="23:23">
      <c r="W41062" s="503"/>
    </row>
    <row r="41063" spans="23:23">
      <c r="W41063" s="503"/>
    </row>
    <row r="41064" spans="23:23">
      <c r="W41064" s="503"/>
    </row>
    <row r="41065" spans="23:23">
      <c r="W41065" s="503"/>
    </row>
    <row r="41066" spans="23:23">
      <c r="W41066" s="503"/>
    </row>
    <row r="41067" spans="23:23">
      <c r="W41067" s="503"/>
    </row>
    <row r="41068" spans="23:23">
      <c r="W41068" s="503"/>
    </row>
    <row r="41069" spans="23:23">
      <c r="W41069" s="503"/>
    </row>
    <row r="41070" spans="23:23">
      <c r="W41070" s="503"/>
    </row>
    <row r="41071" spans="23:23">
      <c r="W41071" s="503"/>
    </row>
    <row r="41072" spans="23:23">
      <c r="W41072" s="503"/>
    </row>
    <row r="41073" spans="23:23">
      <c r="W41073" s="503"/>
    </row>
    <row r="41074" spans="23:23">
      <c r="W41074" s="503"/>
    </row>
    <row r="41075" spans="23:23">
      <c r="W41075" s="503"/>
    </row>
    <row r="41076" spans="23:23">
      <c r="W41076" s="503"/>
    </row>
    <row r="41077" spans="23:23">
      <c r="W41077" s="503"/>
    </row>
    <row r="41078" spans="23:23">
      <c r="W41078" s="503"/>
    </row>
    <row r="41079" spans="23:23">
      <c r="W41079" s="503"/>
    </row>
    <row r="41080" spans="23:23">
      <c r="W41080" s="503"/>
    </row>
    <row r="41081" spans="23:23">
      <c r="W41081" s="503"/>
    </row>
    <row r="41082" spans="23:23">
      <c r="W41082" s="503"/>
    </row>
    <row r="41083" spans="23:23">
      <c r="W41083" s="503"/>
    </row>
    <row r="41084" spans="23:23">
      <c r="W41084" s="503"/>
    </row>
    <row r="41085" spans="23:23">
      <c r="W41085" s="503"/>
    </row>
    <row r="41086" spans="23:23">
      <c r="W41086" s="503"/>
    </row>
    <row r="41087" spans="23:23">
      <c r="W41087" s="503"/>
    </row>
    <row r="41088" spans="23:23">
      <c r="W41088" s="503"/>
    </row>
    <row r="41089" spans="23:23">
      <c r="W41089" s="503"/>
    </row>
    <row r="41090" spans="23:23">
      <c r="W41090" s="503"/>
    </row>
    <row r="41091" spans="23:23">
      <c r="W41091" s="503"/>
    </row>
    <row r="41092" spans="23:23">
      <c r="W41092" s="503"/>
    </row>
    <row r="41093" spans="23:23">
      <c r="W41093" s="503"/>
    </row>
    <row r="41094" spans="23:23">
      <c r="W41094" s="503"/>
    </row>
    <row r="41095" spans="23:23">
      <c r="W41095" s="503"/>
    </row>
    <row r="41096" spans="23:23">
      <c r="W41096" s="503"/>
    </row>
    <row r="41097" spans="23:23">
      <c r="W41097" s="503"/>
    </row>
    <row r="41098" spans="23:23">
      <c r="W41098" s="503"/>
    </row>
    <row r="41099" spans="23:23">
      <c r="W41099" s="503"/>
    </row>
    <row r="41100" spans="23:23">
      <c r="W41100" s="503"/>
    </row>
    <row r="41101" spans="23:23">
      <c r="W41101" s="503"/>
    </row>
    <row r="41102" spans="23:23">
      <c r="W41102" s="503"/>
    </row>
    <row r="41103" spans="23:23">
      <c r="W41103" s="503"/>
    </row>
    <row r="41104" spans="23:23">
      <c r="W41104" s="503"/>
    </row>
    <row r="41105" spans="23:23">
      <c r="W41105" s="503"/>
    </row>
    <row r="41106" spans="23:23">
      <c r="W41106" s="503"/>
    </row>
    <row r="41107" spans="23:23">
      <c r="W41107" s="503"/>
    </row>
    <row r="41108" spans="23:23">
      <c r="W41108" s="503"/>
    </row>
    <row r="41109" spans="23:23">
      <c r="W41109" s="503"/>
    </row>
    <row r="41110" spans="23:23">
      <c r="W41110" s="503"/>
    </row>
    <row r="41111" spans="23:23">
      <c r="W41111" s="503"/>
    </row>
    <row r="41112" spans="23:23">
      <c r="W41112" s="503"/>
    </row>
    <row r="41113" spans="23:23">
      <c r="W41113" s="503"/>
    </row>
    <row r="41114" spans="23:23">
      <c r="W41114" s="503"/>
    </row>
    <row r="41115" spans="23:23">
      <c r="W41115" s="503"/>
    </row>
    <row r="41116" spans="23:23">
      <c r="W41116" s="503"/>
    </row>
    <row r="41117" spans="23:23">
      <c r="W41117" s="503"/>
    </row>
    <row r="41118" spans="23:23">
      <c r="W41118" s="503"/>
    </row>
    <row r="41119" spans="23:23">
      <c r="W41119" s="503"/>
    </row>
    <row r="41120" spans="23:23">
      <c r="W41120" s="503"/>
    </row>
    <row r="41121" spans="23:23">
      <c r="W41121" s="503"/>
    </row>
    <row r="41122" spans="23:23">
      <c r="W41122" s="503"/>
    </row>
    <row r="41123" spans="23:23">
      <c r="W41123" s="503"/>
    </row>
    <row r="41124" spans="23:23">
      <c r="W41124" s="503"/>
    </row>
    <row r="41125" spans="23:23">
      <c r="W41125" s="503"/>
    </row>
    <row r="41126" spans="23:23">
      <c r="W41126" s="503"/>
    </row>
    <row r="41127" spans="23:23">
      <c r="W41127" s="503"/>
    </row>
    <row r="41128" spans="23:23">
      <c r="W41128" s="503"/>
    </row>
    <row r="41129" spans="23:23">
      <c r="W41129" s="503"/>
    </row>
    <row r="41130" spans="23:23">
      <c r="W41130" s="503"/>
    </row>
    <row r="41131" spans="23:23">
      <c r="W41131" s="503"/>
    </row>
    <row r="41132" spans="23:23">
      <c r="W41132" s="503"/>
    </row>
    <row r="41133" spans="23:23">
      <c r="W41133" s="503"/>
    </row>
    <row r="41134" spans="23:23">
      <c r="W41134" s="503"/>
    </row>
    <row r="41135" spans="23:23">
      <c r="W41135" s="503"/>
    </row>
    <row r="41136" spans="23:23">
      <c r="W41136" s="503"/>
    </row>
    <row r="41137" spans="23:23">
      <c r="W41137" s="503"/>
    </row>
    <row r="41138" spans="23:23">
      <c r="W41138" s="503"/>
    </row>
    <row r="41139" spans="23:23">
      <c r="W41139" s="503"/>
    </row>
    <row r="41140" spans="23:23">
      <c r="W41140" s="503"/>
    </row>
    <row r="41141" spans="23:23">
      <c r="W41141" s="503"/>
    </row>
    <row r="41142" spans="23:23">
      <c r="W41142" s="503"/>
    </row>
    <row r="41143" spans="23:23">
      <c r="W41143" s="503"/>
    </row>
    <row r="41144" spans="23:23">
      <c r="W41144" s="503"/>
    </row>
    <row r="41145" spans="23:23">
      <c r="W41145" s="503"/>
    </row>
    <row r="41146" spans="23:23">
      <c r="W41146" s="503"/>
    </row>
    <row r="41147" spans="23:23">
      <c r="W41147" s="503"/>
    </row>
    <row r="41148" spans="23:23">
      <c r="W41148" s="503"/>
    </row>
    <row r="41149" spans="23:23">
      <c r="W41149" s="503"/>
    </row>
    <row r="41150" spans="23:23">
      <c r="W41150" s="503"/>
    </row>
    <row r="41151" spans="23:23">
      <c r="W41151" s="503"/>
    </row>
    <row r="41152" spans="23:23">
      <c r="W41152" s="503"/>
    </row>
    <row r="41153" spans="23:23">
      <c r="W41153" s="503"/>
    </row>
    <row r="41154" spans="23:23">
      <c r="W41154" s="503"/>
    </row>
    <row r="41155" spans="23:23">
      <c r="W41155" s="503"/>
    </row>
    <row r="41156" spans="23:23">
      <c r="W41156" s="503"/>
    </row>
    <row r="41157" spans="23:23">
      <c r="W41157" s="503"/>
    </row>
    <row r="41158" spans="23:23">
      <c r="W41158" s="503"/>
    </row>
    <row r="41159" spans="23:23">
      <c r="W41159" s="503"/>
    </row>
    <row r="41160" spans="23:23">
      <c r="W41160" s="503"/>
    </row>
    <row r="41161" spans="23:23">
      <c r="W41161" s="503"/>
    </row>
    <row r="41162" spans="23:23">
      <c r="W41162" s="503"/>
    </row>
    <row r="41163" spans="23:23">
      <c r="W41163" s="503"/>
    </row>
    <row r="41164" spans="23:23">
      <c r="W41164" s="503"/>
    </row>
    <row r="41165" spans="23:23">
      <c r="W41165" s="503"/>
    </row>
    <row r="41166" spans="23:23">
      <c r="W41166" s="503"/>
    </row>
    <row r="41167" spans="23:23">
      <c r="W41167" s="503"/>
    </row>
    <row r="41168" spans="23:23">
      <c r="W41168" s="503"/>
    </row>
    <row r="41169" spans="23:23">
      <c r="W41169" s="503"/>
    </row>
    <row r="41170" spans="23:23">
      <c r="W41170" s="503"/>
    </row>
    <row r="41171" spans="23:23">
      <c r="W41171" s="503"/>
    </row>
    <row r="41172" spans="23:23">
      <c r="W41172" s="503"/>
    </row>
    <row r="41173" spans="23:23">
      <c r="W41173" s="503"/>
    </row>
    <row r="41174" spans="23:23">
      <c r="W41174" s="503"/>
    </row>
    <row r="41175" spans="23:23">
      <c r="W41175" s="503"/>
    </row>
    <row r="41176" spans="23:23">
      <c r="W41176" s="503"/>
    </row>
    <row r="41177" spans="23:23">
      <c r="W41177" s="503"/>
    </row>
    <row r="41178" spans="23:23">
      <c r="W41178" s="503"/>
    </row>
    <row r="41179" spans="23:23">
      <c r="W41179" s="503"/>
    </row>
    <row r="41180" spans="23:23">
      <c r="W41180" s="503"/>
    </row>
    <row r="41181" spans="23:23">
      <c r="W41181" s="503"/>
    </row>
    <row r="41182" spans="23:23">
      <c r="W41182" s="503"/>
    </row>
    <row r="41183" spans="23:23">
      <c r="W41183" s="503"/>
    </row>
    <row r="41184" spans="23:23">
      <c r="W41184" s="503"/>
    </row>
    <row r="41185" spans="23:23">
      <c r="W41185" s="503"/>
    </row>
    <row r="41186" spans="23:23">
      <c r="W41186" s="503"/>
    </row>
    <row r="41187" spans="23:23">
      <c r="W41187" s="503"/>
    </row>
    <row r="41188" spans="23:23">
      <c r="W41188" s="503"/>
    </row>
    <row r="41189" spans="23:23">
      <c r="W41189" s="503"/>
    </row>
    <row r="41190" spans="23:23">
      <c r="W41190" s="503"/>
    </row>
    <row r="41191" spans="23:23">
      <c r="W41191" s="503"/>
    </row>
    <row r="41192" spans="23:23">
      <c r="W41192" s="503"/>
    </row>
    <row r="41193" spans="23:23">
      <c r="W41193" s="503"/>
    </row>
    <row r="41194" spans="23:23">
      <c r="W41194" s="503"/>
    </row>
    <row r="41195" spans="23:23">
      <c r="W41195" s="503"/>
    </row>
    <row r="41196" spans="23:23">
      <c r="W41196" s="503"/>
    </row>
    <row r="41197" spans="23:23">
      <c r="W41197" s="503"/>
    </row>
    <row r="41198" spans="23:23">
      <c r="W41198" s="503"/>
    </row>
    <row r="41199" spans="23:23">
      <c r="W41199" s="503"/>
    </row>
    <row r="41200" spans="23:23">
      <c r="W41200" s="503"/>
    </row>
    <row r="41201" spans="23:23">
      <c r="W41201" s="503"/>
    </row>
    <row r="41202" spans="23:23">
      <c r="W41202" s="503"/>
    </row>
    <row r="41203" spans="23:23">
      <c r="W41203" s="503"/>
    </row>
    <row r="41204" spans="23:23">
      <c r="W41204" s="503"/>
    </row>
    <row r="41205" spans="23:23">
      <c r="W41205" s="503"/>
    </row>
    <row r="41206" spans="23:23">
      <c r="W41206" s="503"/>
    </row>
    <row r="41207" spans="23:23">
      <c r="W41207" s="503"/>
    </row>
    <row r="41208" spans="23:23">
      <c r="W41208" s="503"/>
    </row>
    <row r="41209" spans="23:23">
      <c r="W41209" s="503"/>
    </row>
    <row r="41210" spans="23:23">
      <c r="W41210" s="503"/>
    </row>
    <row r="41211" spans="23:23">
      <c r="W41211" s="503"/>
    </row>
    <row r="41212" spans="23:23">
      <c r="W41212" s="503"/>
    </row>
    <row r="41213" spans="23:23">
      <c r="W41213" s="503"/>
    </row>
    <row r="41214" spans="23:23">
      <c r="W41214" s="503"/>
    </row>
    <row r="41215" spans="23:23">
      <c r="W41215" s="503"/>
    </row>
    <row r="41216" spans="23:23">
      <c r="W41216" s="503"/>
    </row>
    <row r="41217" spans="23:23">
      <c r="W41217" s="503"/>
    </row>
    <row r="41218" spans="23:23">
      <c r="W41218" s="503"/>
    </row>
    <row r="41219" spans="23:23">
      <c r="W41219" s="503"/>
    </row>
    <row r="41220" spans="23:23">
      <c r="W41220" s="503"/>
    </row>
    <row r="41221" spans="23:23">
      <c r="W41221" s="503"/>
    </row>
    <row r="41222" spans="23:23">
      <c r="W41222" s="503"/>
    </row>
    <row r="41223" spans="23:23">
      <c r="W41223" s="503"/>
    </row>
    <row r="41224" spans="23:23">
      <c r="W41224" s="503"/>
    </row>
    <row r="41225" spans="23:23">
      <c r="W41225" s="503"/>
    </row>
    <row r="41226" spans="23:23">
      <c r="W41226" s="503"/>
    </row>
    <row r="41227" spans="23:23">
      <c r="W41227" s="503"/>
    </row>
    <row r="41228" spans="23:23">
      <c r="W41228" s="503"/>
    </row>
    <row r="41229" spans="23:23">
      <c r="W41229" s="503"/>
    </row>
    <row r="41230" spans="23:23">
      <c r="W41230" s="503"/>
    </row>
    <row r="41231" spans="23:23">
      <c r="W41231" s="503"/>
    </row>
    <row r="41232" spans="23:23">
      <c r="W41232" s="503"/>
    </row>
    <row r="41233" spans="23:23">
      <c r="W41233" s="503"/>
    </row>
    <row r="41234" spans="23:23">
      <c r="W41234" s="503"/>
    </row>
    <row r="41235" spans="23:23">
      <c r="W41235" s="503"/>
    </row>
    <row r="41236" spans="23:23">
      <c r="W41236" s="503"/>
    </row>
    <row r="41237" spans="23:23">
      <c r="W41237" s="503"/>
    </row>
    <row r="41238" spans="23:23">
      <c r="W41238" s="503"/>
    </row>
    <row r="41239" spans="23:23">
      <c r="W41239" s="503"/>
    </row>
    <row r="41240" spans="23:23">
      <c r="W41240" s="503"/>
    </row>
    <row r="41241" spans="23:23">
      <c r="W41241" s="503"/>
    </row>
    <row r="41242" spans="23:23">
      <c r="W41242" s="503"/>
    </row>
    <row r="41243" spans="23:23">
      <c r="W41243" s="503"/>
    </row>
    <row r="41244" spans="23:23">
      <c r="W41244" s="503"/>
    </row>
    <row r="41245" spans="23:23">
      <c r="W41245" s="503"/>
    </row>
    <row r="41246" spans="23:23">
      <c r="W41246" s="503"/>
    </row>
    <row r="41247" spans="23:23">
      <c r="W41247" s="503"/>
    </row>
    <row r="41248" spans="23:23">
      <c r="W41248" s="503"/>
    </row>
    <row r="41249" spans="23:23">
      <c r="W41249" s="503"/>
    </row>
    <row r="41250" spans="23:23">
      <c r="W41250" s="503"/>
    </row>
    <row r="41251" spans="23:23">
      <c r="W41251" s="503"/>
    </row>
    <row r="41252" spans="23:23">
      <c r="W41252" s="503"/>
    </row>
    <row r="41253" spans="23:23">
      <c r="W41253" s="503"/>
    </row>
    <row r="41254" spans="23:23">
      <c r="W41254" s="503"/>
    </row>
    <row r="41255" spans="23:23">
      <c r="W41255" s="503"/>
    </row>
    <row r="41256" spans="23:23">
      <c r="W41256" s="503"/>
    </row>
    <row r="41257" spans="23:23">
      <c r="W41257" s="503"/>
    </row>
    <row r="41258" spans="23:23">
      <c r="W41258" s="503"/>
    </row>
    <row r="41259" spans="23:23">
      <c r="W41259" s="503"/>
    </row>
    <row r="41260" spans="23:23">
      <c r="W41260" s="503"/>
    </row>
    <row r="41261" spans="23:23">
      <c r="W41261" s="503"/>
    </row>
    <row r="41262" spans="23:23">
      <c r="W41262" s="503"/>
    </row>
    <row r="41263" spans="23:23">
      <c r="W41263" s="503"/>
    </row>
    <row r="41264" spans="23:23">
      <c r="W41264" s="503"/>
    </row>
    <row r="41265" spans="23:23">
      <c r="W41265" s="503"/>
    </row>
    <row r="41266" spans="23:23">
      <c r="W41266" s="503"/>
    </row>
    <row r="41267" spans="23:23">
      <c r="W41267" s="503"/>
    </row>
    <row r="41268" spans="23:23">
      <c r="W41268" s="503"/>
    </row>
    <row r="41269" spans="23:23">
      <c r="W41269" s="503"/>
    </row>
    <row r="41270" spans="23:23">
      <c r="W41270" s="503"/>
    </row>
    <row r="41271" spans="23:23">
      <c r="W41271" s="503"/>
    </row>
    <row r="41272" spans="23:23">
      <c r="W41272" s="503"/>
    </row>
    <row r="41273" spans="23:23">
      <c r="W41273" s="503"/>
    </row>
    <row r="41274" spans="23:23">
      <c r="W41274" s="503"/>
    </row>
    <row r="41275" spans="23:23">
      <c r="W41275" s="503"/>
    </row>
    <row r="41276" spans="23:23">
      <c r="W41276" s="503"/>
    </row>
    <row r="41277" spans="23:23">
      <c r="W41277" s="503"/>
    </row>
    <row r="41278" spans="23:23">
      <c r="W41278" s="503"/>
    </row>
    <row r="41279" spans="23:23">
      <c r="W41279" s="503"/>
    </row>
    <row r="41280" spans="23:23">
      <c r="W41280" s="503"/>
    </row>
    <row r="41281" spans="23:23">
      <c r="W41281" s="503"/>
    </row>
    <row r="41282" spans="23:23">
      <c r="W41282" s="503"/>
    </row>
    <row r="41283" spans="23:23">
      <c r="W41283" s="503"/>
    </row>
    <row r="41284" spans="23:23">
      <c r="W41284" s="503"/>
    </row>
    <row r="41285" spans="23:23">
      <c r="W41285" s="503"/>
    </row>
    <row r="41286" spans="23:23">
      <c r="W41286" s="503"/>
    </row>
    <row r="41287" spans="23:23">
      <c r="W41287" s="503"/>
    </row>
    <row r="41288" spans="23:23">
      <c r="W41288" s="503"/>
    </row>
    <row r="41289" spans="23:23">
      <c r="W41289" s="503"/>
    </row>
    <row r="41290" spans="23:23">
      <c r="W41290" s="503"/>
    </row>
    <row r="41291" spans="23:23">
      <c r="W41291" s="503"/>
    </row>
    <row r="41292" spans="23:23">
      <c r="W41292" s="503"/>
    </row>
    <row r="41293" spans="23:23">
      <c r="W41293" s="503"/>
    </row>
    <row r="41294" spans="23:23">
      <c r="W41294" s="503"/>
    </row>
    <row r="41295" spans="23:23">
      <c r="W41295" s="503"/>
    </row>
    <row r="41296" spans="23:23">
      <c r="W41296" s="503"/>
    </row>
    <row r="41297" spans="23:23">
      <c r="W41297" s="503"/>
    </row>
    <row r="41298" spans="23:23">
      <c r="W41298" s="503"/>
    </row>
    <row r="41299" spans="23:23">
      <c r="W41299" s="503"/>
    </row>
    <row r="41300" spans="23:23">
      <c r="W41300" s="503"/>
    </row>
    <row r="41301" spans="23:23">
      <c r="W41301" s="503"/>
    </row>
    <row r="41302" spans="23:23">
      <c r="W41302" s="503"/>
    </row>
    <row r="41303" spans="23:23">
      <c r="W41303" s="503"/>
    </row>
    <row r="41304" spans="23:23">
      <c r="W41304" s="503"/>
    </row>
    <row r="41305" spans="23:23">
      <c r="W41305" s="503"/>
    </row>
    <row r="41306" spans="23:23">
      <c r="W41306" s="503"/>
    </row>
    <row r="41307" spans="23:23">
      <c r="W41307" s="503"/>
    </row>
    <row r="41308" spans="23:23">
      <c r="W41308" s="503"/>
    </row>
    <row r="41309" spans="23:23">
      <c r="W41309" s="503"/>
    </row>
    <row r="41310" spans="23:23">
      <c r="W41310" s="503"/>
    </row>
    <row r="41311" spans="23:23">
      <c r="W41311" s="503"/>
    </row>
    <row r="41312" spans="23:23">
      <c r="W41312" s="503"/>
    </row>
    <row r="41313" spans="23:23">
      <c r="W41313" s="503"/>
    </row>
    <row r="41314" spans="23:23">
      <c r="W41314" s="503"/>
    </row>
    <row r="41315" spans="23:23">
      <c r="W41315" s="503"/>
    </row>
    <row r="41316" spans="23:23">
      <c r="W41316" s="503"/>
    </row>
    <row r="41317" spans="23:23">
      <c r="W41317" s="503"/>
    </row>
    <row r="41318" spans="23:23">
      <c r="W41318" s="503"/>
    </row>
    <row r="41319" spans="23:23">
      <c r="W41319" s="503"/>
    </row>
    <row r="41320" spans="23:23">
      <c r="W41320" s="503"/>
    </row>
    <row r="41321" spans="23:23">
      <c r="W41321" s="503"/>
    </row>
    <row r="41322" spans="23:23">
      <c r="W41322" s="503"/>
    </row>
    <row r="41323" spans="23:23">
      <c r="W41323" s="503"/>
    </row>
    <row r="41324" spans="23:23">
      <c r="W41324" s="503"/>
    </row>
    <row r="41325" spans="23:23">
      <c r="W41325" s="503"/>
    </row>
    <row r="41326" spans="23:23">
      <c r="W41326" s="503"/>
    </row>
    <row r="41327" spans="23:23">
      <c r="W41327" s="503"/>
    </row>
    <row r="41328" spans="23:23">
      <c r="W41328" s="503"/>
    </row>
    <row r="41329" spans="23:23">
      <c r="W41329" s="503"/>
    </row>
    <row r="41330" spans="23:23">
      <c r="W41330" s="503"/>
    </row>
    <row r="41331" spans="23:23">
      <c r="W41331" s="503"/>
    </row>
    <row r="41332" spans="23:23">
      <c r="W41332" s="503"/>
    </row>
    <row r="41333" spans="23:23">
      <c r="W41333" s="503"/>
    </row>
    <row r="41334" spans="23:23">
      <c r="W41334" s="503"/>
    </row>
    <row r="41335" spans="23:23">
      <c r="W41335" s="503"/>
    </row>
    <row r="41336" spans="23:23">
      <c r="W41336" s="503"/>
    </row>
    <row r="41337" spans="23:23">
      <c r="W41337" s="503"/>
    </row>
    <row r="41338" spans="23:23">
      <c r="W41338" s="503"/>
    </row>
    <row r="41339" spans="23:23">
      <c r="W41339" s="503"/>
    </row>
    <row r="41340" spans="23:23">
      <c r="W41340" s="503"/>
    </row>
    <row r="41341" spans="23:23">
      <c r="W41341" s="503"/>
    </row>
    <row r="41342" spans="23:23">
      <c r="W41342" s="503"/>
    </row>
    <row r="41343" spans="23:23">
      <c r="W41343" s="503"/>
    </row>
    <row r="41344" spans="23:23">
      <c r="W41344" s="503"/>
    </row>
    <row r="41345" spans="23:23">
      <c r="W41345" s="503"/>
    </row>
    <row r="41346" spans="23:23">
      <c r="W41346" s="503"/>
    </row>
    <row r="41347" spans="23:23">
      <c r="W41347" s="503"/>
    </row>
    <row r="41348" spans="23:23">
      <c r="W41348" s="503"/>
    </row>
    <row r="41349" spans="23:23">
      <c r="W41349" s="503"/>
    </row>
    <row r="41350" spans="23:23">
      <c r="W41350" s="503"/>
    </row>
    <row r="41351" spans="23:23">
      <c r="W41351" s="503"/>
    </row>
    <row r="41352" spans="23:23">
      <c r="W41352" s="503"/>
    </row>
    <row r="41353" spans="23:23">
      <c r="W41353" s="503"/>
    </row>
    <row r="41354" spans="23:23">
      <c r="W41354" s="503"/>
    </row>
    <row r="41355" spans="23:23">
      <c r="W41355" s="503"/>
    </row>
    <row r="41356" spans="23:23">
      <c r="W41356" s="503"/>
    </row>
    <row r="41357" spans="23:23">
      <c r="W41357" s="503"/>
    </row>
    <row r="41358" spans="23:23">
      <c r="W41358" s="503"/>
    </row>
    <row r="41359" spans="23:23">
      <c r="W41359" s="503"/>
    </row>
    <row r="41360" spans="23:23">
      <c r="W41360" s="503"/>
    </row>
    <row r="41361" spans="23:23">
      <c r="W41361" s="503"/>
    </row>
    <row r="41362" spans="23:23">
      <c r="W41362" s="503"/>
    </row>
    <row r="41363" spans="23:23">
      <c r="W41363" s="503"/>
    </row>
    <row r="41364" spans="23:23">
      <c r="W41364" s="503"/>
    </row>
    <row r="41365" spans="23:23">
      <c r="W41365" s="503"/>
    </row>
    <row r="41366" spans="23:23">
      <c r="W41366" s="503"/>
    </row>
    <row r="41367" spans="23:23">
      <c r="W41367" s="503"/>
    </row>
    <row r="41368" spans="23:23">
      <c r="W41368" s="503"/>
    </row>
    <row r="41369" spans="23:23">
      <c r="W41369" s="503"/>
    </row>
    <row r="41370" spans="23:23">
      <c r="W41370" s="503"/>
    </row>
    <row r="41371" spans="23:23">
      <c r="W41371" s="503"/>
    </row>
    <row r="41372" spans="23:23">
      <c r="W41372" s="503"/>
    </row>
    <row r="41373" spans="23:23">
      <c r="W41373" s="503"/>
    </row>
    <row r="41374" spans="23:23">
      <c r="W41374" s="503"/>
    </row>
    <row r="41375" spans="23:23">
      <c r="W41375" s="503"/>
    </row>
    <row r="41376" spans="23:23">
      <c r="W41376" s="503"/>
    </row>
    <row r="41377" spans="23:23">
      <c r="W41377" s="503"/>
    </row>
    <row r="41378" spans="23:23">
      <c r="W41378" s="503"/>
    </row>
    <row r="41379" spans="23:23">
      <c r="W41379" s="503"/>
    </row>
    <row r="41380" spans="23:23">
      <c r="W41380" s="503"/>
    </row>
    <row r="41381" spans="23:23">
      <c r="W41381" s="503"/>
    </row>
    <row r="41382" spans="23:23">
      <c r="W41382" s="503"/>
    </row>
    <row r="41383" spans="23:23">
      <c r="W41383" s="503"/>
    </row>
    <row r="41384" spans="23:23">
      <c r="W41384" s="503"/>
    </row>
    <row r="41385" spans="23:23">
      <c r="W41385" s="503"/>
    </row>
    <row r="41386" spans="23:23">
      <c r="W41386" s="503"/>
    </row>
    <row r="41387" spans="23:23">
      <c r="W41387" s="503"/>
    </row>
    <row r="41388" spans="23:23">
      <c r="W41388" s="503"/>
    </row>
    <row r="41389" spans="23:23">
      <c r="W41389" s="503"/>
    </row>
    <row r="41390" spans="23:23">
      <c r="W41390" s="503"/>
    </row>
    <row r="41391" spans="23:23">
      <c r="W41391" s="503"/>
    </row>
    <row r="41392" spans="23:23">
      <c r="W41392" s="503"/>
    </row>
    <row r="41393" spans="23:23">
      <c r="W41393" s="503"/>
    </row>
    <row r="41394" spans="23:23">
      <c r="W41394" s="503"/>
    </row>
    <row r="41395" spans="23:23">
      <c r="W41395" s="503"/>
    </row>
    <row r="41396" spans="23:23">
      <c r="W41396" s="503"/>
    </row>
    <row r="41397" spans="23:23">
      <c r="W41397" s="503"/>
    </row>
    <row r="41398" spans="23:23">
      <c r="W41398" s="503"/>
    </row>
    <row r="41399" spans="23:23">
      <c r="W41399" s="503"/>
    </row>
    <row r="41400" spans="23:23">
      <c r="W41400" s="503"/>
    </row>
    <row r="41401" spans="23:23">
      <c r="W41401" s="503"/>
    </row>
    <row r="41402" spans="23:23">
      <c r="W41402" s="503"/>
    </row>
    <row r="41403" spans="23:23">
      <c r="W41403" s="503"/>
    </row>
    <row r="41404" spans="23:23">
      <c r="W41404" s="503"/>
    </row>
    <row r="41405" spans="23:23">
      <c r="W41405" s="503"/>
    </row>
    <row r="41406" spans="23:23">
      <c r="W41406" s="503"/>
    </row>
    <row r="41407" spans="23:23">
      <c r="W41407" s="503"/>
    </row>
    <row r="41408" spans="23:23">
      <c r="W41408" s="503"/>
    </row>
    <row r="41409" spans="23:23">
      <c r="W41409" s="503"/>
    </row>
    <row r="41410" spans="23:23">
      <c r="W41410" s="503"/>
    </row>
    <row r="41411" spans="23:23">
      <c r="W41411" s="503"/>
    </row>
    <row r="41412" spans="23:23">
      <c r="W41412" s="503"/>
    </row>
    <row r="41413" spans="23:23">
      <c r="W41413" s="503"/>
    </row>
    <row r="41414" spans="23:23">
      <c r="W41414" s="503"/>
    </row>
    <row r="41415" spans="23:23">
      <c r="W41415" s="503"/>
    </row>
    <row r="41416" spans="23:23">
      <c r="W41416" s="503"/>
    </row>
    <row r="41417" spans="23:23">
      <c r="W41417" s="503"/>
    </row>
    <row r="41418" spans="23:23">
      <c r="W41418" s="503"/>
    </row>
    <row r="41419" spans="23:23">
      <c r="W41419" s="503"/>
    </row>
    <row r="41420" spans="23:23">
      <c r="W41420" s="503"/>
    </row>
    <row r="41421" spans="23:23">
      <c r="W41421" s="503"/>
    </row>
    <row r="41422" spans="23:23">
      <c r="W41422" s="503"/>
    </row>
    <row r="41423" spans="23:23">
      <c r="W41423" s="503"/>
    </row>
    <row r="41424" spans="23:23">
      <c r="W41424" s="503"/>
    </row>
    <row r="41425" spans="23:23">
      <c r="W41425" s="503"/>
    </row>
    <row r="41426" spans="23:23">
      <c r="W41426" s="503"/>
    </row>
    <row r="41427" spans="23:23">
      <c r="W41427" s="503"/>
    </row>
    <row r="41428" spans="23:23">
      <c r="W41428" s="503"/>
    </row>
    <row r="41429" spans="23:23">
      <c r="W41429" s="503"/>
    </row>
    <row r="41430" spans="23:23">
      <c r="W41430" s="503"/>
    </row>
    <row r="41431" spans="23:23">
      <c r="W41431" s="503"/>
    </row>
    <row r="41432" spans="23:23">
      <c r="W41432" s="503"/>
    </row>
    <row r="41433" spans="23:23">
      <c r="W41433" s="503"/>
    </row>
    <row r="41434" spans="23:23">
      <c r="W41434" s="503"/>
    </row>
    <row r="41435" spans="23:23">
      <c r="W41435" s="503"/>
    </row>
    <row r="41436" spans="23:23">
      <c r="W41436" s="503"/>
    </row>
    <row r="41437" spans="23:23">
      <c r="W41437" s="503"/>
    </row>
    <row r="41438" spans="23:23">
      <c r="W41438" s="503"/>
    </row>
    <row r="41439" spans="23:23">
      <c r="W41439" s="503"/>
    </row>
    <row r="41440" spans="23:23">
      <c r="W41440" s="503"/>
    </row>
    <row r="41441" spans="23:23">
      <c r="W41441" s="503"/>
    </row>
    <row r="41442" spans="23:23">
      <c r="W41442" s="503"/>
    </row>
    <row r="41443" spans="23:23">
      <c r="W41443" s="503"/>
    </row>
    <row r="41444" spans="23:23">
      <c r="W41444" s="503"/>
    </row>
    <row r="41445" spans="23:23">
      <c r="W41445" s="503"/>
    </row>
    <row r="41446" spans="23:23">
      <c r="W41446" s="503"/>
    </row>
    <row r="41447" spans="23:23">
      <c r="W41447" s="503"/>
    </row>
    <row r="41448" spans="23:23">
      <c r="W41448" s="503"/>
    </row>
    <row r="41449" spans="23:23">
      <c r="W41449" s="503"/>
    </row>
    <row r="41450" spans="23:23">
      <c r="W41450" s="503"/>
    </row>
    <row r="41451" spans="23:23">
      <c r="W41451" s="503"/>
    </row>
    <row r="41452" spans="23:23">
      <c r="W41452" s="503"/>
    </row>
    <row r="41453" spans="23:23">
      <c r="W41453" s="503"/>
    </row>
    <row r="41454" spans="23:23">
      <c r="W41454" s="503"/>
    </row>
    <row r="41455" spans="23:23">
      <c r="W41455" s="503"/>
    </row>
    <row r="41456" spans="23:23">
      <c r="W41456" s="503"/>
    </row>
    <row r="41457" spans="23:23">
      <c r="W41457" s="503"/>
    </row>
    <row r="41458" spans="23:23">
      <c r="W41458" s="503"/>
    </row>
    <row r="41459" spans="23:23">
      <c r="W41459" s="503"/>
    </row>
    <row r="41460" spans="23:23">
      <c r="W41460" s="503"/>
    </row>
    <row r="41461" spans="23:23">
      <c r="W41461" s="503"/>
    </row>
    <row r="41462" spans="23:23">
      <c r="W41462" s="503"/>
    </row>
    <row r="41463" spans="23:23">
      <c r="W41463" s="503"/>
    </row>
    <row r="41464" spans="23:23">
      <c r="W41464" s="503"/>
    </row>
    <row r="41465" spans="23:23">
      <c r="W41465" s="503"/>
    </row>
    <row r="41466" spans="23:23">
      <c r="W41466" s="503"/>
    </row>
    <row r="41467" spans="23:23">
      <c r="W41467" s="503"/>
    </row>
    <row r="41468" spans="23:23">
      <c r="W41468" s="503"/>
    </row>
    <row r="41469" spans="23:23">
      <c r="W41469" s="503"/>
    </row>
    <row r="41470" spans="23:23">
      <c r="W41470" s="503"/>
    </row>
    <row r="41471" spans="23:23">
      <c r="W41471" s="503"/>
    </row>
    <row r="41472" spans="23:23">
      <c r="W41472" s="503"/>
    </row>
    <row r="41473" spans="23:23">
      <c r="W41473" s="503"/>
    </row>
    <row r="41474" spans="23:23">
      <c r="W41474" s="503"/>
    </row>
    <row r="41475" spans="23:23">
      <c r="W41475" s="503"/>
    </row>
    <row r="41476" spans="23:23">
      <c r="W41476" s="503"/>
    </row>
    <row r="41477" spans="23:23">
      <c r="W41477" s="503"/>
    </row>
    <row r="41478" spans="23:23">
      <c r="W41478" s="503"/>
    </row>
    <row r="41479" spans="23:23">
      <c r="W41479" s="503"/>
    </row>
    <row r="41480" spans="23:23">
      <c r="W41480" s="503"/>
    </row>
    <row r="41481" spans="23:23">
      <c r="W41481" s="503"/>
    </row>
    <row r="41482" spans="23:23">
      <c r="W41482" s="503"/>
    </row>
    <row r="41483" spans="23:23">
      <c r="W41483" s="503"/>
    </row>
    <row r="41484" spans="23:23">
      <c r="W41484" s="503"/>
    </row>
    <row r="41485" spans="23:23">
      <c r="W41485" s="503"/>
    </row>
    <row r="41486" spans="23:23">
      <c r="W41486" s="503"/>
    </row>
    <row r="41487" spans="23:23">
      <c r="W41487" s="503"/>
    </row>
    <row r="41488" spans="23:23">
      <c r="W41488" s="503"/>
    </row>
    <row r="41489" spans="23:23">
      <c r="W41489" s="503"/>
    </row>
    <row r="41490" spans="23:23">
      <c r="W41490" s="503"/>
    </row>
    <row r="41491" spans="23:23">
      <c r="W41491" s="503"/>
    </row>
    <row r="41492" spans="23:23">
      <c r="W41492" s="503"/>
    </row>
    <row r="41493" spans="23:23">
      <c r="W41493" s="503"/>
    </row>
    <row r="41494" spans="23:23">
      <c r="W41494" s="503"/>
    </row>
    <row r="41495" spans="23:23">
      <c r="W41495" s="503"/>
    </row>
    <row r="41496" spans="23:23">
      <c r="W41496" s="503"/>
    </row>
    <row r="41497" spans="23:23">
      <c r="W41497" s="503"/>
    </row>
    <row r="41498" spans="23:23">
      <c r="W41498" s="503"/>
    </row>
    <row r="41499" spans="23:23">
      <c r="W41499" s="503"/>
    </row>
    <row r="41500" spans="23:23">
      <c r="W41500" s="503"/>
    </row>
    <row r="41501" spans="23:23">
      <c r="W41501" s="503"/>
    </row>
    <row r="41502" spans="23:23">
      <c r="W41502" s="503"/>
    </row>
    <row r="41503" spans="23:23">
      <c r="W41503" s="503"/>
    </row>
    <row r="41504" spans="23:23">
      <c r="W41504" s="503"/>
    </row>
    <row r="41505" spans="23:23">
      <c r="W41505" s="503"/>
    </row>
    <row r="41506" spans="23:23">
      <c r="W41506" s="503"/>
    </row>
    <row r="41507" spans="23:23">
      <c r="W41507" s="503"/>
    </row>
    <row r="41508" spans="23:23">
      <c r="W41508" s="503"/>
    </row>
    <row r="41509" spans="23:23">
      <c r="W41509" s="503"/>
    </row>
    <row r="41510" spans="23:23">
      <c r="W41510" s="503"/>
    </row>
    <row r="41511" spans="23:23">
      <c r="W41511" s="503"/>
    </row>
    <row r="41512" spans="23:23">
      <c r="W41512" s="503"/>
    </row>
    <row r="41513" spans="23:23">
      <c r="W41513" s="503"/>
    </row>
    <row r="41514" spans="23:23">
      <c r="W41514" s="503"/>
    </row>
    <row r="41515" spans="23:23">
      <c r="W41515" s="503"/>
    </row>
    <row r="41516" spans="23:23">
      <c r="W41516" s="503"/>
    </row>
    <row r="41517" spans="23:23">
      <c r="W41517" s="503"/>
    </row>
    <row r="41518" spans="23:23">
      <c r="W41518" s="503"/>
    </row>
    <row r="41519" spans="23:23">
      <c r="W41519" s="503"/>
    </row>
    <row r="41520" spans="23:23">
      <c r="W41520" s="503"/>
    </row>
    <row r="41521" spans="23:23">
      <c r="W41521" s="503"/>
    </row>
    <row r="41522" spans="23:23">
      <c r="W41522" s="503"/>
    </row>
    <row r="41523" spans="23:23">
      <c r="W41523" s="503"/>
    </row>
    <row r="41524" spans="23:23">
      <c r="W41524" s="503"/>
    </row>
    <row r="41525" spans="23:23">
      <c r="W41525" s="503"/>
    </row>
    <row r="41526" spans="23:23">
      <c r="W41526" s="503"/>
    </row>
    <row r="41527" spans="23:23">
      <c r="W41527" s="503"/>
    </row>
    <row r="41528" spans="23:23">
      <c r="W41528" s="503"/>
    </row>
    <row r="41529" spans="23:23">
      <c r="W41529" s="503"/>
    </row>
    <row r="41530" spans="23:23">
      <c r="W41530" s="503"/>
    </row>
    <row r="41531" spans="23:23">
      <c r="W41531" s="503"/>
    </row>
    <row r="41532" spans="23:23">
      <c r="W41532" s="503"/>
    </row>
    <row r="41533" spans="23:23">
      <c r="W41533" s="503"/>
    </row>
    <row r="41534" spans="23:23">
      <c r="W41534" s="503"/>
    </row>
    <row r="41535" spans="23:23">
      <c r="W41535" s="503"/>
    </row>
    <row r="41536" spans="23:23">
      <c r="W41536" s="503"/>
    </row>
    <row r="41537" spans="23:23">
      <c r="W41537" s="503"/>
    </row>
    <row r="41538" spans="23:23">
      <c r="W41538" s="503"/>
    </row>
    <row r="41539" spans="23:23">
      <c r="W41539" s="503"/>
    </row>
    <row r="41540" spans="23:23">
      <c r="W41540" s="503"/>
    </row>
    <row r="41541" spans="23:23">
      <c r="W41541" s="503"/>
    </row>
    <row r="41542" spans="23:23">
      <c r="W41542" s="503"/>
    </row>
    <row r="41543" spans="23:23">
      <c r="W41543" s="503"/>
    </row>
    <row r="41544" spans="23:23">
      <c r="W41544" s="503"/>
    </row>
    <row r="41545" spans="23:23">
      <c r="W41545" s="503"/>
    </row>
    <row r="41546" spans="23:23">
      <c r="W41546" s="503"/>
    </row>
    <row r="41547" spans="23:23">
      <c r="W41547" s="503"/>
    </row>
    <row r="41548" spans="23:23">
      <c r="W41548" s="503"/>
    </row>
    <row r="41549" spans="23:23">
      <c r="W41549" s="503"/>
    </row>
    <row r="41550" spans="23:23">
      <c r="W41550" s="503"/>
    </row>
    <row r="41551" spans="23:23">
      <c r="W41551" s="503"/>
    </row>
    <row r="41552" spans="23:23">
      <c r="W41552" s="503"/>
    </row>
    <row r="41553" spans="23:23">
      <c r="W41553" s="503"/>
    </row>
    <row r="41554" spans="23:23">
      <c r="W41554" s="503"/>
    </row>
    <row r="41555" spans="23:23">
      <c r="W41555" s="503"/>
    </row>
    <row r="41556" spans="23:23">
      <c r="W41556" s="503"/>
    </row>
    <row r="41557" spans="23:23">
      <c r="W41557" s="503"/>
    </row>
    <row r="41558" spans="23:23">
      <c r="W41558" s="503"/>
    </row>
    <row r="41559" spans="23:23">
      <c r="W41559" s="503"/>
    </row>
    <row r="41560" spans="23:23">
      <c r="W41560" s="503"/>
    </row>
    <row r="41561" spans="23:23">
      <c r="W41561" s="503"/>
    </row>
    <row r="41562" spans="23:23">
      <c r="W41562" s="503"/>
    </row>
    <row r="41563" spans="23:23">
      <c r="W41563" s="503"/>
    </row>
    <row r="41564" spans="23:23">
      <c r="W41564" s="503"/>
    </row>
    <row r="41565" spans="23:23">
      <c r="W41565" s="503"/>
    </row>
    <row r="41566" spans="23:23">
      <c r="W41566" s="503"/>
    </row>
    <row r="41567" spans="23:23">
      <c r="W41567" s="503"/>
    </row>
    <row r="41568" spans="23:23">
      <c r="W41568" s="503"/>
    </row>
    <row r="41569" spans="23:23">
      <c r="W41569" s="503"/>
    </row>
    <row r="41570" spans="23:23">
      <c r="W41570" s="503"/>
    </row>
    <row r="41571" spans="23:23">
      <c r="W41571" s="503"/>
    </row>
    <row r="41572" spans="23:23">
      <c r="W41572" s="503"/>
    </row>
    <row r="41573" spans="23:23">
      <c r="W41573" s="503"/>
    </row>
    <row r="41574" spans="23:23">
      <c r="W41574" s="503"/>
    </row>
    <row r="41575" spans="23:23">
      <c r="W41575" s="503"/>
    </row>
    <row r="41576" spans="23:23">
      <c r="W41576" s="503"/>
    </row>
    <row r="41577" spans="23:23">
      <c r="W41577" s="503"/>
    </row>
    <row r="41578" spans="23:23">
      <c r="W41578" s="503"/>
    </row>
    <row r="41579" spans="23:23">
      <c r="W41579" s="503"/>
    </row>
    <row r="41580" spans="23:23">
      <c r="W41580" s="503"/>
    </row>
    <row r="41581" spans="23:23">
      <c r="W41581" s="503"/>
    </row>
    <row r="41582" spans="23:23">
      <c r="W41582" s="503"/>
    </row>
    <row r="41583" spans="23:23">
      <c r="W41583" s="503"/>
    </row>
    <row r="41584" spans="23:23">
      <c r="W41584" s="503"/>
    </row>
    <row r="41585" spans="23:23">
      <c r="W41585" s="503"/>
    </row>
    <row r="41586" spans="23:23">
      <c r="W41586" s="503"/>
    </row>
    <row r="41587" spans="23:23">
      <c r="W41587" s="503"/>
    </row>
    <row r="41588" spans="23:23">
      <c r="W41588" s="503"/>
    </row>
    <row r="41589" spans="23:23">
      <c r="W41589" s="503"/>
    </row>
    <row r="41590" spans="23:23">
      <c r="W41590" s="503"/>
    </row>
    <row r="41591" spans="23:23">
      <c r="W41591" s="503"/>
    </row>
    <row r="41592" spans="23:23">
      <c r="W41592" s="503"/>
    </row>
    <row r="41593" spans="23:23">
      <c r="W41593" s="503"/>
    </row>
    <row r="41594" spans="23:23">
      <c r="W41594" s="503"/>
    </row>
    <row r="41595" spans="23:23">
      <c r="W41595" s="503"/>
    </row>
    <row r="41596" spans="23:23">
      <c r="W41596" s="503"/>
    </row>
    <row r="41597" spans="23:23">
      <c r="W41597" s="503"/>
    </row>
    <row r="41598" spans="23:23">
      <c r="W41598" s="503"/>
    </row>
    <row r="41599" spans="23:23">
      <c r="W41599" s="503"/>
    </row>
    <row r="41600" spans="23:23">
      <c r="W41600" s="503"/>
    </row>
    <row r="41601" spans="23:23">
      <c r="W41601" s="503"/>
    </row>
    <row r="41602" spans="23:23">
      <c r="W41602" s="503"/>
    </row>
    <row r="41603" spans="23:23">
      <c r="W41603" s="503"/>
    </row>
    <row r="41604" spans="23:23">
      <c r="W41604" s="503"/>
    </row>
    <row r="41605" spans="23:23">
      <c r="W41605" s="503"/>
    </row>
    <row r="41606" spans="23:23">
      <c r="W41606" s="503"/>
    </row>
    <row r="41607" spans="23:23">
      <c r="W41607" s="503"/>
    </row>
    <row r="41608" spans="23:23">
      <c r="W41608" s="503"/>
    </row>
    <row r="41609" spans="23:23">
      <c r="W41609" s="503"/>
    </row>
    <row r="41610" spans="23:23">
      <c r="W41610" s="503"/>
    </row>
    <row r="41611" spans="23:23">
      <c r="W41611" s="503"/>
    </row>
    <row r="41612" spans="23:23">
      <c r="W41612" s="503"/>
    </row>
    <row r="41613" spans="23:23">
      <c r="W41613" s="503"/>
    </row>
    <row r="41614" spans="23:23">
      <c r="W41614" s="503"/>
    </row>
    <row r="41615" spans="23:23">
      <c r="W41615" s="503"/>
    </row>
    <row r="41616" spans="23:23">
      <c r="W41616" s="503"/>
    </row>
    <row r="41617" spans="23:23">
      <c r="W41617" s="503"/>
    </row>
    <row r="41618" spans="23:23">
      <c r="W41618" s="503"/>
    </row>
    <row r="41619" spans="23:23">
      <c r="W41619" s="503"/>
    </row>
    <row r="41620" spans="23:23">
      <c r="W41620" s="503"/>
    </row>
    <row r="41621" spans="23:23">
      <c r="W41621" s="503"/>
    </row>
    <row r="41622" spans="23:23">
      <c r="W41622" s="503"/>
    </row>
    <row r="41623" spans="23:23">
      <c r="W41623" s="503"/>
    </row>
    <row r="41624" spans="23:23">
      <c r="W41624" s="503"/>
    </row>
    <row r="41625" spans="23:23">
      <c r="W41625" s="503"/>
    </row>
    <row r="41626" spans="23:23">
      <c r="W41626" s="503"/>
    </row>
    <row r="41627" spans="23:23">
      <c r="W41627" s="503"/>
    </row>
    <row r="41628" spans="23:23">
      <c r="W41628" s="503"/>
    </row>
    <row r="41629" spans="23:23">
      <c r="W41629" s="503"/>
    </row>
    <row r="41630" spans="23:23">
      <c r="W41630" s="503"/>
    </row>
    <row r="41631" spans="23:23">
      <c r="W41631" s="503"/>
    </row>
    <row r="41632" spans="23:23">
      <c r="W41632" s="503"/>
    </row>
    <row r="41633" spans="23:23">
      <c r="W41633" s="503"/>
    </row>
    <row r="41634" spans="23:23">
      <c r="W41634" s="503"/>
    </row>
    <row r="41635" spans="23:23">
      <c r="W41635" s="503"/>
    </row>
    <row r="41636" spans="23:23">
      <c r="W41636" s="503"/>
    </row>
    <row r="41637" spans="23:23">
      <c r="W41637" s="503"/>
    </row>
    <row r="41638" spans="23:23">
      <c r="W41638" s="503"/>
    </row>
    <row r="41639" spans="23:23">
      <c r="W41639" s="503"/>
    </row>
    <row r="41640" spans="23:23">
      <c r="W41640" s="503"/>
    </row>
    <row r="41641" spans="23:23">
      <c r="W41641" s="503"/>
    </row>
    <row r="41642" spans="23:23">
      <c r="W41642" s="503"/>
    </row>
    <row r="41643" spans="23:23">
      <c r="W41643" s="503"/>
    </row>
    <row r="41644" spans="23:23">
      <c r="W41644" s="503"/>
    </row>
    <row r="41645" spans="23:23">
      <c r="W41645" s="503"/>
    </row>
    <row r="41646" spans="23:23">
      <c r="W41646" s="503"/>
    </row>
    <row r="41647" spans="23:23">
      <c r="W41647" s="503"/>
    </row>
    <row r="41648" spans="23:23">
      <c r="W41648" s="503"/>
    </row>
    <row r="41649" spans="23:23">
      <c r="W41649" s="503"/>
    </row>
    <row r="41650" spans="23:23">
      <c r="W41650" s="503"/>
    </row>
    <row r="41651" spans="23:23">
      <c r="W41651" s="503"/>
    </row>
    <row r="41652" spans="23:23">
      <c r="W41652" s="503"/>
    </row>
    <row r="41653" spans="23:23">
      <c r="W41653" s="503"/>
    </row>
    <row r="41654" spans="23:23">
      <c r="W41654" s="503"/>
    </row>
    <row r="41655" spans="23:23">
      <c r="W41655" s="503"/>
    </row>
    <row r="41656" spans="23:23">
      <c r="W41656" s="503"/>
    </row>
    <row r="41657" spans="23:23">
      <c r="W41657" s="503"/>
    </row>
    <row r="41658" spans="23:23">
      <c r="W41658" s="503"/>
    </row>
    <row r="41659" spans="23:23">
      <c r="W41659" s="503"/>
    </row>
    <row r="41660" spans="23:23">
      <c r="W41660" s="503"/>
    </row>
    <row r="41661" spans="23:23">
      <c r="W41661" s="503"/>
    </row>
    <row r="41662" spans="23:23">
      <c r="W41662" s="503"/>
    </row>
    <row r="41663" spans="23:23">
      <c r="W41663" s="503"/>
    </row>
    <row r="41664" spans="23:23">
      <c r="W41664" s="503"/>
    </row>
    <row r="41665" spans="23:23">
      <c r="W41665" s="503"/>
    </row>
    <row r="41666" spans="23:23">
      <c r="W41666" s="503"/>
    </row>
    <row r="41667" spans="23:23">
      <c r="W41667" s="503"/>
    </row>
    <row r="41668" spans="23:23">
      <c r="W41668" s="503"/>
    </row>
    <row r="41669" spans="23:23">
      <c r="W41669" s="503"/>
    </row>
    <row r="41670" spans="23:23">
      <c r="W41670" s="503"/>
    </row>
    <row r="41671" spans="23:23">
      <c r="W41671" s="503"/>
    </row>
    <row r="41672" spans="23:23">
      <c r="W41672" s="503"/>
    </row>
    <row r="41673" spans="23:23">
      <c r="W41673" s="503"/>
    </row>
    <row r="41674" spans="23:23">
      <c r="W41674" s="503"/>
    </row>
    <row r="41675" spans="23:23">
      <c r="W41675" s="503"/>
    </row>
    <row r="41676" spans="23:23">
      <c r="W41676" s="503"/>
    </row>
    <row r="41677" spans="23:23">
      <c r="W41677" s="503"/>
    </row>
    <row r="41678" spans="23:23">
      <c r="W41678" s="503"/>
    </row>
    <row r="41679" spans="23:23">
      <c r="W41679" s="503"/>
    </row>
    <row r="41680" spans="23:23">
      <c r="W41680" s="503"/>
    </row>
    <row r="41681" spans="23:23">
      <c r="W41681" s="503"/>
    </row>
    <row r="41682" spans="23:23">
      <c r="W41682" s="503"/>
    </row>
    <row r="41683" spans="23:23">
      <c r="W41683" s="503"/>
    </row>
    <row r="41684" spans="23:23">
      <c r="W41684" s="503"/>
    </row>
    <row r="41685" spans="23:23">
      <c r="W41685" s="503"/>
    </row>
    <row r="41686" spans="23:23">
      <c r="W41686" s="503"/>
    </row>
    <row r="41687" spans="23:23">
      <c r="W41687" s="503"/>
    </row>
    <row r="41688" spans="23:23">
      <c r="W41688" s="503"/>
    </row>
    <row r="41689" spans="23:23">
      <c r="W41689" s="503"/>
    </row>
    <row r="41690" spans="23:23">
      <c r="W41690" s="503"/>
    </row>
    <row r="41691" spans="23:23">
      <c r="W41691" s="503"/>
    </row>
    <row r="41692" spans="23:23">
      <c r="W41692" s="503"/>
    </row>
    <row r="41693" spans="23:23">
      <c r="W41693" s="503"/>
    </row>
    <row r="41694" spans="23:23">
      <c r="W41694" s="503"/>
    </row>
    <row r="41695" spans="23:23">
      <c r="W41695" s="503"/>
    </row>
    <row r="41696" spans="23:23">
      <c r="W41696" s="503"/>
    </row>
    <row r="41697" spans="23:23">
      <c r="W41697" s="503"/>
    </row>
    <row r="41698" spans="23:23">
      <c r="W41698" s="503"/>
    </row>
    <row r="41699" spans="23:23">
      <c r="W41699" s="503"/>
    </row>
    <row r="41700" spans="23:23">
      <c r="W41700" s="503"/>
    </row>
    <row r="41701" spans="23:23">
      <c r="W41701" s="503"/>
    </row>
    <row r="41702" spans="23:23">
      <c r="W41702" s="503"/>
    </row>
    <row r="41703" spans="23:23">
      <c r="W41703" s="503"/>
    </row>
    <row r="41704" spans="23:23">
      <c r="W41704" s="503"/>
    </row>
    <row r="41705" spans="23:23">
      <c r="W41705" s="503"/>
    </row>
    <row r="41706" spans="23:23">
      <c r="W41706" s="503"/>
    </row>
    <row r="41707" spans="23:23">
      <c r="W41707" s="503"/>
    </row>
    <row r="41708" spans="23:23">
      <c r="W41708" s="503"/>
    </row>
    <row r="41709" spans="23:23">
      <c r="W41709" s="503"/>
    </row>
    <row r="41710" spans="23:23">
      <c r="W41710" s="503"/>
    </row>
    <row r="41711" spans="23:23">
      <c r="W41711" s="503"/>
    </row>
    <row r="41712" spans="23:23">
      <c r="W41712" s="503"/>
    </row>
    <row r="41713" spans="23:23">
      <c r="W41713" s="503"/>
    </row>
    <row r="41714" spans="23:23">
      <c r="W41714" s="503"/>
    </row>
    <row r="41715" spans="23:23">
      <c r="W41715" s="503"/>
    </row>
    <row r="41716" spans="23:23">
      <c r="W41716" s="503"/>
    </row>
    <row r="41717" spans="23:23">
      <c r="W41717" s="503"/>
    </row>
    <row r="41718" spans="23:23">
      <c r="W41718" s="503"/>
    </row>
    <row r="41719" spans="23:23">
      <c r="W41719" s="503"/>
    </row>
    <row r="41720" spans="23:23">
      <c r="W41720" s="503"/>
    </row>
    <row r="41721" spans="23:23">
      <c r="W41721" s="503"/>
    </row>
    <row r="41722" spans="23:23">
      <c r="W41722" s="503"/>
    </row>
    <row r="41723" spans="23:23">
      <c r="W41723" s="503"/>
    </row>
    <row r="41724" spans="23:23">
      <c r="W41724" s="503"/>
    </row>
    <row r="41725" spans="23:23">
      <c r="W41725" s="503"/>
    </row>
    <row r="41726" spans="23:23">
      <c r="W41726" s="503"/>
    </row>
    <row r="41727" spans="23:23">
      <c r="W41727" s="503"/>
    </row>
    <row r="41728" spans="23:23">
      <c r="W41728" s="503"/>
    </row>
    <row r="41729" spans="23:23">
      <c r="W41729" s="503"/>
    </row>
    <row r="41730" spans="23:23">
      <c r="W41730" s="503"/>
    </row>
    <row r="41731" spans="23:23">
      <c r="W41731" s="503"/>
    </row>
    <row r="41732" spans="23:23">
      <c r="W41732" s="503"/>
    </row>
    <row r="41733" spans="23:23">
      <c r="W41733" s="503"/>
    </row>
    <row r="41734" spans="23:23">
      <c r="W41734" s="503"/>
    </row>
    <row r="41735" spans="23:23">
      <c r="W41735" s="503"/>
    </row>
    <row r="41736" spans="23:23">
      <c r="W41736" s="503"/>
    </row>
    <row r="41737" spans="23:23">
      <c r="W41737" s="503"/>
    </row>
    <row r="41738" spans="23:23">
      <c r="W41738" s="503"/>
    </row>
    <row r="41739" spans="23:23">
      <c r="W41739" s="503"/>
    </row>
    <row r="41740" spans="23:23">
      <c r="W41740" s="503"/>
    </row>
    <row r="41741" spans="23:23">
      <c r="W41741" s="503"/>
    </row>
    <row r="41742" spans="23:23">
      <c r="W41742" s="503"/>
    </row>
    <row r="41743" spans="23:23">
      <c r="W41743" s="503"/>
    </row>
    <row r="41744" spans="23:23">
      <c r="W41744" s="503"/>
    </row>
    <row r="41745" spans="23:23">
      <c r="W41745" s="503"/>
    </row>
    <row r="41746" spans="23:23">
      <c r="W41746" s="503"/>
    </row>
    <row r="41747" spans="23:23">
      <c r="W41747" s="503"/>
    </row>
    <row r="41748" spans="23:23">
      <c r="W41748" s="503"/>
    </row>
    <row r="41749" spans="23:23">
      <c r="W41749" s="503"/>
    </row>
    <row r="41750" spans="23:23">
      <c r="W41750" s="503"/>
    </row>
    <row r="41751" spans="23:23">
      <c r="W41751" s="503"/>
    </row>
    <row r="41752" spans="23:23">
      <c r="W41752" s="503"/>
    </row>
    <row r="41753" spans="23:23">
      <c r="W41753" s="503"/>
    </row>
    <row r="41754" spans="23:23">
      <c r="W41754" s="503"/>
    </row>
    <row r="41755" spans="23:23">
      <c r="W41755" s="503"/>
    </row>
    <row r="41756" spans="23:23">
      <c r="W41756" s="503"/>
    </row>
    <row r="41757" spans="23:23">
      <c r="W41757" s="503"/>
    </row>
    <row r="41758" spans="23:23">
      <c r="W41758" s="503"/>
    </row>
    <row r="41759" spans="23:23">
      <c r="W41759" s="503"/>
    </row>
    <row r="41760" spans="23:23">
      <c r="W41760" s="503"/>
    </row>
    <row r="41761" spans="23:23">
      <c r="W41761" s="503"/>
    </row>
    <row r="41762" spans="23:23">
      <c r="W41762" s="503"/>
    </row>
    <row r="41763" spans="23:23">
      <c r="W41763" s="503"/>
    </row>
    <row r="41764" spans="23:23">
      <c r="W41764" s="503"/>
    </row>
    <row r="41765" spans="23:23">
      <c r="W41765" s="503"/>
    </row>
    <row r="41766" spans="23:23">
      <c r="W41766" s="503"/>
    </row>
    <row r="41767" spans="23:23">
      <c r="W41767" s="503"/>
    </row>
    <row r="41768" spans="23:23">
      <c r="W41768" s="503"/>
    </row>
    <row r="41769" spans="23:23">
      <c r="W41769" s="503"/>
    </row>
    <row r="41770" spans="23:23">
      <c r="W41770" s="503"/>
    </row>
    <row r="41771" spans="23:23">
      <c r="W41771" s="503"/>
    </row>
    <row r="41772" spans="23:23">
      <c r="W41772" s="503"/>
    </row>
    <row r="41773" spans="23:23">
      <c r="W41773" s="503"/>
    </row>
    <row r="41774" spans="23:23">
      <c r="W41774" s="503"/>
    </row>
    <row r="41775" spans="23:23">
      <c r="W41775" s="503"/>
    </row>
    <row r="41776" spans="23:23">
      <c r="W41776" s="503"/>
    </row>
    <row r="41777" spans="23:23">
      <c r="W41777" s="503"/>
    </row>
    <row r="41778" spans="23:23">
      <c r="W41778" s="503"/>
    </row>
    <row r="41779" spans="23:23">
      <c r="W41779" s="503"/>
    </row>
    <row r="41780" spans="23:23">
      <c r="W41780" s="503"/>
    </row>
    <row r="41781" spans="23:23">
      <c r="W41781" s="503"/>
    </row>
    <row r="41782" spans="23:23">
      <c r="W41782" s="503"/>
    </row>
    <row r="41783" spans="23:23">
      <c r="W41783" s="503"/>
    </row>
    <row r="41784" spans="23:23">
      <c r="W41784" s="503"/>
    </row>
    <row r="41785" spans="23:23">
      <c r="W41785" s="503"/>
    </row>
    <row r="41786" spans="23:23">
      <c r="W41786" s="503"/>
    </row>
    <row r="41787" spans="23:23">
      <c r="W41787" s="503"/>
    </row>
    <row r="41788" spans="23:23">
      <c r="W41788" s="503"/>
    </row>
    <row r="41789" spans="23:23">
      <c r="W41789" s="503"/>
    </row>
    <row r="41790" spans="23:23">
      <c r="W41790" s="503"/>
    </row>
    <row r="41791" spans="23:23">
      <c r="W41791" s="503"/>
    </row>
    <row r="41792" spans="23:23">
      <c r="W41792" s="503"/>
    </row>
    <row r="41793" spans="23:23">
      <c r="W41793" s="503"/>
    </row>
    <row r="41794" spans="23:23">
      <c r="W41794" s="503"/>
    </row>
    <row r="41795" spans="23:23">
      <c r="W41795" s="503"/>
    </row>
    <row r="41796" spans="23:23">
      <c r="W41796" s="503"/>
    </row>
    <row r="41797" spans="23:23">
      <c r="W41797" s="503"/>
    </row>
    <row r="41798" spans="23:23">
      <c r="W41798" s="503"/>
    </row>
    <row r="41799" spans="23:23">
      <c r="W41799" s="503"/>
    </row>
    <row r="41800" spans="23:23">
      <c r="W41800" s="503"/>
    </row>
    <row r="41801" spans="23:23">
      <c r="W41801" s="503"/>
    </row>
    <row r="41802" spans="23:23">
      <c r="W41802" s="503"/>
    </row>
    <row r="41803" spans="23:23">
      <c r="W41803" s="503"/>
    </row>
    <row r="41804" spans="23:23">
      <c r="W41804" s="503"/>
    </row>
    <row r="41805" spans="23:23">
      <c r="W41805" s="503"/>
    </row>
    <row r="41806" spans="23:23">
      <c r="W41806" s="503"/>
    </row>
    <row r="41807" spans="23:23">
      <c r="W41807" s="503"/>
    </row>
    <row r="41808" spans="23:23">
      <c r="W41808" s="503"/>
    </row>
    <row r="41809" spans="23:23">
      <c r="W41809" s="503"/>
    </row>
    <row r="41810" spans="23:23">
      <c r="W41810" s="503"/>
    </row>
    <row r="41811" spans="23:23">
      <c r="W41811" s="503"/>
    </row>
    <row r="41812" spans="23:23">
      <c r="W41812" s="503"/>
    </row>
    <row r="41813" spans="23:23">
      <c r="W41813" s="503"/>
    </row>
    <row r="41814" spans="23:23">
      <c r="W41814" s="503"/>
    </row>
    <row r="41815" spans="23:23">
      <c r="W41815" s="503"/>
    </row>
    <row r="41816" spans="23:23">
      <c r="W41816" s="503"/>
    </row>
    <row r="41817" spans="23:23">
      <c r="W41817" s="503"/>
    </row>
    <row r="41818" spans="23:23">
      <c r="W41818" s="503"/>
    </row>
    <row r="41819" spans="23:23">
      <c r="W41819" s="503"/>
    </row>
    <row r="41820" spans="23:23">
      <c r="W41820" s="503"/>
    </row>
    <row r="41821" spans="23:23">
      <c r="W41821" s="503"/>
    </row>
    <row r="41822" spans="23:23">
      <c r="W41822" s="503"/>
    </row>
    <row r="41823" spans="23:23">
      <c r="W41823" s="503"/>
    </row>
    <row r="41824" spans="23:23">
      <c r="W41824" s="503"/>
    </row>
    <row r="41825" spans="23:23">
      <c r="W41825" s="503"/>
    </row>
    <row r="41826" spans="23:23">
      <c r="W41826" s="503"/>
    </row>
    <row r="41827" spans="23:23">
      <c r="W41827" s="503"/>
    </row>
    <row r="41828" spans="23:23">
      <c r="W41828" s="503"/>
    </row>
    <row r="41829" spans="23:23">
      <c r="W41829" s="503"/>
    </row>
    <row r="41830" spans="23:23">
      <c r="W41830" s="503"/>
    </row>
    <row r="41831" spans="23:23">
      <c r="W41831" s="503"/>
    </row>
    <row r="41832" spans="23:23">
      <c r="W41832" s="503"/>
    </row>
    <row r="41833" spans="23:23">
      <c r="W41833" s="503"/>
    </row>
    <row r="41834" spans="23:23">
      <c r="W41834" s="503"/>
    </row>
    <row r="41835" spans="23:23">
      <c r="W41835" s="503"/>
    </row>
    <row r="41836" spans="23:23">
      <c r="W41836" s="503"/>
    </row>
    <row r="41837" spans="23:23">
      <c r="W41837" s="503"/>
    </row>
    <row r="41838" spans="23:23">
      <c r="W41838" s="503"/>
    </row>
    <row r="41839" spans="23:23">
      <c r="W41839" s="503"/>
    </row>
    <row r="41840" spans="23:23">
      <c r="W41840" s="503"/>
    </row>
    <row r="41841" spans="23:23">
      <c r="W41841" s="503"/>
    </row>
    <row r="41842" spans="23:23">
      <c r="W41842" s="503"/>
    </row>
    <row r="41843" spans="23:23">
      <c r="W41843" s="503"/>
    </row>
    <row r="41844" spans="23:23">
      <c r="W41844" s="503"/>
    </row>
    <row r="41845" spans="23:23">
      <c r="W41845" s="503"/>
    </row>
    <row r="41846" spans="23:23">
      <c r="W41846" s="503"/>
    </row>
    <row r="41847" spans="23:23">
      <c r="W41847" s="503"/>
    </row>
    <row r="41848" spans="23:23">
      <c r="W41848" s="503"/>
    </row>
    <row r="41849" spans="23:23">
      <c r="W41849" s="503"/>
    </row>
    <row r="41850" spans="23:23">
      <c r="W41850" s="503"/>
    </row>
    <row r="41851" spans="23:23">
      <c r="W41851" s="503"/>
    </row>
    <row r="41852" spans="23:23">
      <c r="W41852" s="503"/>
    </row>
    <row r="41853" spans="23:23">
      <c r="W41853" s="503"/>
    </row>
    <row r="41854" spans="23:23">
      <c r="W41854" s="503"/>
    </row>
    <row r="41855" spans="23:23">
      <c r="W41855" s="503"/>
    </row>
    <row r="41856" spans="23:23">
      <c r="W41856" s="503"/>
    </row>
    <row r="41857" spans="23:23">
      <c r="W41857" s="503"/>
    </row>
    <row r="41858" spans="23:23">
      <c r="W41858" s="503"/>
    </row>
    <row r="41859" spans="23:23">
      <c r="W41859" s="503"/>
    </row>
    <row r="41860" spans="23:23">
      <c r="W41860" s="503"/>
    </row>
    <row r="41861" spans="23:23">
      <c r="W41861" s="503"/>
    </row>
    <row r="41862" spans="23:23">
      <c r="W41862" s="503"/>
    </row>
    <row r="41863" spans="23:23">
      <c r="W41863" s="503"/>
    </row>
    <row r="41864" spans="23:23">
      <c r="W41864" s="503"/>
    </row>
    <row r="41865" spans="23:23">
      <c r="W41865" s="503"/>
    </row>
    <row r="41866" spans="23:23">
      <c r="W41866" s="503"/>
    </row>
    <row r="41867" spans="23:23">
      <c r="W41867" s="503"/>
    </row>
    <row r="41868" spans="23:23">
      <c r="W41868" s="503"/>
    </row>
    <row r="41869" spans="23:23">
      <c r="W41869" s="503"/>
    </row>
    <row r="41870" spans="23:23">
      <c r="W41870" s="503"/>
    </row>
    <row r="41871" spans="23:23">
      <c r="W41871" s="503"/>
    </row>
    <row r="41872" spans="23:23">
      <c r="W41872" s="503"/>
    </row>
    <row r="41873" spans="23:23">
      <c r="W41873" s="503"/>
    </row>
    <row r="41874" spans="23:23">
      <c r="W41874" s="503"/>
    </row>
    <row r="41875" spans="23:23">
      <c r="W41875" s="503"/>
    </row>
    <row r="41876" spans="23:23">
      <c r="W41876" s="503"/>
    </row>
    <row r="41877" spans="23:23">
      <c r="W41877" s="503"/>
    </row>
    <row r="41878" spans="23:23">
      <c r="W41878" s="503"/>
    </row>
    <row r="41879" spans="23:23">
      <c r="W41879" s="503"/>
    </row>
    <row r="41880" spans="23:23">
      <c r="W41880" s="503"/>
    </row>
    <row r="41881" spans="23:23">
      <c r="W41881" s="503"/>
    </row>
    <row r="41882" spans="23:23">
      <c r="W41882" s="503"/>
    </row>
    <row r="41883" spans="23:23">
      <c r="W41883" s="503"/>
    </row>
    <row r="41884" spans="23:23">
      <c r="W41884" s="503"/>
    </row>
    <row r="41885" spans="23:23">
      <c r="W41885" s="503"/>
    </row>
    <row r="41886" spans="23:23">
      <c r="W41886" s="503"/>
    </row>
    <row r="41887" spans="23:23">
      <c r="W41887" s="503"/>
    </row>
    <row r="41888" spans="23:23">
      <c r="W41888" s="503"/>
    </row>
    <row r="41889" spans="23:23">
      <c r="W41889" s="503"/>
    </row>
    <row r="41890" spans="23:23">
      <c r="W41890" s="503"/>
    </row>
    <row r="41891" spans="23:23">
      <c r="W41891" s="503"/>
    </row>
    <row r="41892" spans="23:23">
      <c r="W41892" s="503"/>
    </row>
    <row r="41893" spans="23:23">
      <c r="W41893" s="503"/>
    </row>
    <row r="41894" spans="23:23">
      <c r="W41894" s="503"/>
    </row>
    <row r="41895" spans="23:23">
      <c r="W41895" s="503"/>
    </row>
    <row r="41896" spans="23:23">
      <c r="W41896" s="503"/>
    </row>
    <row r="41897" spans="23:23">
      <c r="W41897" s="503"/>
    </row>
    <row r="41898" spans="23:23">
      <c r="W41898" s="503"/>
    </row>
    <row r="41899" spans="23:23">
      <c r="W41899" s="503"/>
    </row>
    <row r="41900" spans="23:23">
      <c r="W41900" s="503"/>
    </row>
    <row r="41901" spans="23:23">
      <c r="W41901" s="503"/>
    </row>
    <row r="41902" spans="23:23">
      <c r="W41902" s="503"/>
    </row>
    <row r="41903" spans="23:23">
      <c r="W41903" s="503"/>
    </row>
    <row r="41904" spans="23:23">
      <c r="W41904" s="503"/>
    </row>
    <row r="41905" spans="23:23">
      <c r="W41905" s="503"/>
    </row>
    <row r="41906" spans="23:23">
      <c r="W41906" s="503"/>
    </row>
    <row r="41907" spans="23:23">
      <c r="W41907" s="503"/>
    </row>
    <row r="41908" spans="23:23">
      <c r="W41908" s="503"/>
    </row>
    <row r="41909" spans="23:23">
      <c r="W41909" s="503"/>
    </row>
    <row r="41910" spans="23:23">
      <c r="W41910" s="503"/>
    </row>
    <row r="41911" spans="23:23">
      <c r="W41911" s="503"/>
    </row>
    <row r="41912" spans="23:23">
      <c r="W41912" s="503"/>
    </row>
    <row r="41913" spans="23:23">
      <c r="W41913" s="503"/>
    </row>
    <row r="41914" spans="23:23">
      <c r="W41914" s="503"/>
    </row>
    <row r="41915" spans="23:23">
      <c r="W41915" s="503"/>
    </row>
    <row r="41916" spans="23:23">
      <c r="W41916" s="503"/>
    </row>
    <row r="41917" spans="23:23">
      <c r="W41917" s="503"/>
    </row>
    <row r="41918" spans="23:23">
      <c r="W41918" s="503"/>
    </row>
    <row r="41919" spans="23:23">
      <c r="W41919" s="503"/>
    </row>
    <row r="41920" spans="23:23">
      <c r="W41920" s="503"/>
    </row>
    <row r="41921" spans="23:23">
      <c r="W41921" s="503"/>
    </row>
    <row r="41922" spans="23:23">
      <c r="W41922" s="503"/>
    </row>
    <row r="41923" spans="23:23">
      <c r="W41923" s="503"/>
    </row>
    <row r="41924" spans="23:23">
      <c r="W41924" s="503"/>
    </row>
    <row r="41925" spans="23:23">
      <c r="W41925" s="503"/>
    </row>
    <row r="41926" spans="23:23">
      <c r="W41926" s="503"/>
    </row>
    <row r="41927" spans="23:23">
      <c r="W41927" s="503"/>
    </row>
    <row r="41928" spans="23:23">
      <c r="W41928" s="503"/>
    </row>
    <row r="41929" spans="23:23">
      <c r="W41929" s="503"/>
    </row>
    <row r="41930" spans="23:23">
      <c r="W41930" s="503"/>
    </row>
    <row r="41931" spans="23:23">
      <c r="W41931" s="503"/>
    </row>
    <row r="41932" spans="23:23">
      <c r="W41932" s="503"/>
    </row>
    <row r="41933" spans="23:23">
      <c r="W41933" s="503"/>
    </row>
    <row r="41934" spans="23:23">
      <c r="W41934" s="503"/>
    </row>
    <row r="41935" spans="23:23">
      <c r="W41935" s="503"/>
    </row>
    <row r="41936" spans="23:23">
      <c r="W41936" s="503"/>
    </row>
    <row r="41937" spans="23:23">
      <c r="W41937" s="503"/>
    </row>
    <row r="41938" spans="23:23">
      <c r="W41938" s="503"/>
    </row>
    <row r="41939" spans="23:23">
      <c r="W41939" s="503"/>
    </row>
    <row r="41940" spans="23:23">
      <c r="W41940" s="503"/>
    </row>
    <row r="41941" spans="23:23">
      <c r="W41941" s="503"/>
    </row>
    <row r="41942" spans="23:23">
      <c r="W41942" s="503"/>
    </row>
    <row r="41943" spans="23:23">
      <c r="W41943" s="503"/>
    </row>
    <row r="41944" spans="23:23">
      <c r="W41944" s="503"/>
    </row>
    <row r="41945" spans="23:23">
      <c r="W41945" s="503"/>
    </row>
    <row r="41946" spans="23:23">
      <c r="W41946" s="503"/>
    </row>
    <row r="41947" spans="23:23">
      <c r="W41947" s="503"/>
    </row>
    <row r="41948" spans="23:23">
      <c r="W41948" s="503"/>
    </row>
    <row r="41949" spans="23:23">
      <c r="W41949" s="503"/>
    </row>
    <row r="41950" spans="23:23">
      <c r="W41950" s="503"/>
    </row>
    <row r="41951" spans="23:23">
      <c r="W41951" s="503"/>
    </row>
    <row r="41952" spans="23:23">
      <c r="W41952" s="503"/>
    </row>
    <row r="41953" spans="23:23">
      <c r="W41953" s="503"/>
    </row>
    <row r="41954" spans="23:23">
      <c r="W41954" s="503"/>
    </row>
    <row r="41955" spans="23:23">
      <c r="W41955" s="503"/>
    </row>
    <row r="41956" spans="23:23">
      <c r="W41956" s="503"/>
    </row>
    <row r="41957" spans="23:23">
      <c r="W41957" s="503"/>
    </row>
    <row r="41958" spans="23:23">
      <c r="W41958" s="503"/>
    </row>
    <row r="41959" spans="23:23">
      <c r="W41959" s="503"/>
    </row>
    <row r="41960" spans="23:23">
      <c r="W41960" s="503"/>
    </row>
    <row r="41961" spans="23:23">
      <c r="W41961" s="503"/>
    </row>
    <row r="41962" spans="23:23">
      <c r="W41962" s="503"/>
    </row>
    <row r="41963" spans="23:23">
      <c r="W41963" s="503"/>
    </row>
    <row r="41964" spans="23:23">
      <c r="W41964" s="503"/>
    </row>
    <row r="41965" spans="23:23">
      <c r="W41965" s="503"/>
    </row>
    <row r="41966" spans="23:23">
      <c r="W41966" s="503"/>
    </row>
    <row r="41967" spans="23:23">
      <c r="W41967" s="503"/>
    </row>
    <row r="41968" spans="23:23">
      <c r="W41968" s="503"/>
    </row>
    <row r="41969" spans="23:23">
      <c r="W41969" s="503"/>
    </row>
    <row r="41970" spans="23:23">
      <c r="W41970" s="503"/>
    </row>
    <row r="41971" spans="23:23">
      <c r="W41971" s="503"/>
    </row>
    <row r="41972" spans="23:23">
      <c r="W41972" s="503"/>
    </row>
    <row r="41973" spans="23:23">
      <c r="W41973" s="503"/>
    </row>
    <row r="41974" spans="23:23">
      <c r="W41974" s="503"/>
    </row>
    <row r="41975" spans="23:23">
      <c r="W41975" s="503"/>
    </row>
    <row r="41976" spans="23:23">
      <c r="W41976" s="503"/>
    </row>
    <row r="41977" spans="23:23">
      <c r="W41977" s="503"/>
    </row>
    <row r="41978" spans="23:23">
      <c r="W41978" s="503"/>
    </row>
    <row r="41979" spans="23:23">
      <c r="W41979" s="503"/>
    </row>
    <row r="41980" spans="23:23">
      <c r="W41980" s="503"/>
    </row>
    <row r="41981" spans="23:23">
      <c r="W41981" s="503"/>
    </row>
    <row r="41982" spans="23:23">
      <c r="W41982" s="503"/>
    </row>
    <row r="41983" spans="23:23">
      <c r="W41983" s="503"/>
    </row>
    <row r="41984" spans="23:23">
      <c r="W41984" s="503"/>
    </row>
    <row r="41985" spans="23:23">
      <c r="W41985" s="503"/>
    </row>
    <row r="41986" spans="23:23">
      <c r="W41986" s="503"/>
    </row>
    <row r="41987" spans="23:23">
      <c r="W41987" s="503"/>
    </row>
    <row r="41988" spans="23:23">
      <c r="W41988" s="503"/>
    </row>
    <row r="41989" spans="23:23">
      <c r="W41989" s="503"/>
    </row>
    <row r="41990" spans="23:23">
      <c r="W41990" s="503"/>
    </row>
    <row r="41991" spans="23:23">
      <c r="W41991" s="503"/>
    </row>
    <row r="41992" spans="23:23">
      <c r="W41992" s="503"/>
    </row>
    <row r="41993" spans="23:23">
      <c r="W41993" s="503"/>
    </row>
    <row r="41994" spans="23:23">
      <c r="W41994" s="503"/>
    </row>
    <row r="41995" spans="23:23">
      <c r="W41995" s="503"/>
    </row>
    <row r="41996" spans="23:23">
      <c r="W41996" s="503"/>
    </row>
    <row r="41997" spans="23:23">
      <c r="W41997" s="503"/>
    </row>
    <row r="41998" spans="23:23">
      <c r="W41998" s="503"/>
    </row>
    <row r="41999" spans="23:23">
      <c r="W41999" s="503"/>
    </row>
    <row r="42000" spans="23:23">
      <c r="W42000" s="503"/>
    </row>
    <row r="42001" spans="23:23">
      <c r="W42001" s="503"/>
    </row>
    <row r="42002" spans="23:23">
      <c r="W42002" s="503"/>
    </row>
    <row r="42003" spans="23:23">
      <c r="W42003" s="503"/>
    </row>
    <row r="42004" spans="23:23">
      <c r="W42004" s="503"/>
    </row>
    <row r="42005" spans="23:23">
      <c r="W42005" s="503"/>
    </row>
    <row r="42006" spans="23:23">
      <c r="W42006" s="503"/>
    </row>
    <row r="42007" spans="23:23">
      <c r="W42007" s="503"/>
    </row>
    <row r="42008" spans="23:23">
      <c r="W42008" s="503"/>
    </row>
    <row r="42009" spans="23:23">
      <c r="W42009" s="503"/>
    </row>
    <row r="42010" spans="23:23">
      <c r="W42010" s="503"/>
    </row>
    <row r="42011" spans="23:23">
      <c r="W42011" s="503"/>
    </row>
    <row r="42012" spans="23:23">
      <c r="W42012" s="503"/>
    </row>
    <row r="42013" spans="23:23">
      <c r="W42013" s="503"/>
    </row>
    <row r="42014" spans="23:23">
      <c r="W42014" s="503"/>
    </row>
    <row r="42015" spans="23:23">
      <c r="W42015" s="503"/>
    </row>
    <row r="42016" spans="23:23">
      <c r="W42016" s="503"/>
    </row>
    <row r="42017" spans="23:23">
      <c r="W42017" s="503"/>
    </row>
    <row r="42018" spans="23:23">
      <c r="W42018" s="503"/>
    </row>
    <row r="42019" spans="23:23">
      <c r="W42019" s="503"/>
    </row>
    <row r="42020" spans="23:23">
      <c r="W42020" s="503"/>
    </row>
    <row r="42021" spans="23:23">
      <c r="W42021" s="503"/>
    </row>
    <row r="42022" spans="23:23">
      <c r="W42022" s="503"/>
    </row>
    <row r="42023" spans="23:23">
      <c r="W42023" s="503"/>
    </row>
    <row r="42024" spans="23:23">
      <c r="W42024" s="503"/>
    </row>
    <row r="42025" spans="23:23">
      <c r="W42025" s="503"/>
    </row>
    <row r="42026" spans="23:23">
      <c r="W42026" s="503"/>
    </row>
    <row r="42027" spans="23:23">
      <c r="W42027" s="503"/>
    </row>
    <row r="42028" spans="23:23">
      <c r="W42028" s="503"/>
    </row>
    <row r="42029" spans="23:23">
      <c r="W42029" s="503"/>
    </row>
    <row r="42030" spans="23:23">
      <c r="W42030" s="503"/>
    </row>
    <row r="42031" spans="23:23">
      <c r="W42031" s="503"/>
    </row>
    <row r="42032" spans="23:23">
      <c r="W42032" s="503"/>
    </row>
    <row r="42033" spans="23:23">
      <c r="W42033" s="503"/>
    </row>
    <row r="42034" spans="23:23">
      <c r="W42034" s="503"/>
    </row>
    <row r="42035" spans="23:23">
      <c r="W42035" s="503"/>
    </row>
    <row r="42036" spans="23:23">
      <c r="W42036" s="503"/>
    </row>
    <row r="42037" spans="23:23">
      <c r="W42037" s="503"/>
    </row>
    <row r="42038" spans="23:23">
      <c r="W42038" s="503"/>
    </row>
    <row r="42039" spans="23:23">
      <c r="W42039" s="503"/>
    </row>
    <row r="42040" spans="23:23">
      <c r="W42040" s="503"/>
    </row>
    <row r="42041" spans="23:23">
      <c r="W42041" s="503"/>
    </row>
    <row r="42042" spans="23:23">
      <c r="W42042" s="503"/>
    </row>
    <row r="42043" spans="23:23">
      <c r="W42043" s="503"/>
    </row>
    <row r="42044" spans="23:23">
      <c r="W42044" s="503"/>
    </row>
    <row r="42045" spans="23:23">
      <c r="W42045" s="503"/>
    </row>
    <row r="42046" spans="23:23">
      <c r="W42046" s="503"/>
    </row>
    <row r="42047" spans="23:23">
      <c r="W42047" s="503"/>
    </row>
    <row r="42048" spans="23:23">
      <c r="W42048" s="503"/>
    </row>
    <row r="42049" spans="23:23">
      <c r="W42049" s="503"/>
    </row>
    <row r="42050" spans="23:23">
      <c r="W42050" s="503"/>
    </row>
    <row r="42051" spans="23:23">
      <c r="W42051" s="503"/>
    </row>
    <row r="42052" spans="23:23">
      <c r="W42052" s="503"/>
    </row>
    <row r="42053" spans="23:23">
      <c r="W42053" s="503"/>
    </row>
    <row r="42054" spans="23:23">
      <c r="W42054" s="503"/>
    </row>
    <row r="42055" spans="23:23">
      <c r="W42055" s="503"/>
    </row>
    <row r="42056" spans="23:23">
      <c r="W42056" s="503"/>
    </row>
    <row r="42057" spans="23:23">
      <c r="W42057" s="503"/>
    </row>
    <row r="42058" spans="23:23">
      <c r="W42058" s="503"/>
    </row>
    <row r="42059" spans="23:23">
      <c r="W42059" s="503"/>
    </row>
    <row r="42060" spans="23:23">
      <c r="W42060" s="503"/>
    </row>
    <row r="42061" spans="23:23">
      <c r="W42061" s="503"/>
    </row>
    <row r="42062" spans="23:23">
      <c r="W42062" s="503"/>
    </row>
    <row r="42063" spans="23:23">
      <c r="W42063" s="503"/>
    </row>
    <row r="42064" spans="23:23">
      <c r="W42064" s="503"/>
    </row>
    <row r="42065" spans="23:23">
      <c r="W42065" s="503"/>
    </row>
    <row r="42066" spans="23:23">
      <c r="W42066" s="503"/>
    </row>
    <row r="42067" spans="23:23">
      <c r="W42067" s="503"/>
    </row>
    <row r="42068" spans="23:23">
      <c r="W42068" s="503"/>
    </row>
    <row r="42069" spans="23:23">
      <c r="W42069" s="503"/>
    </row>
    <row r="42070" spans="23:23">
      <c r="W42070" s="503"/>
    </row>
    <row r="42071" spans="23:23">
      <c r="W42071" s="503"/>
    </row>
    <row r="42072" spans="23:23">
      <c r="W42072" s="503"/>
    </row>
    <row r="42073" spans="23:23">
      <c r="W42073" s="503"/>
    </row>
    <row r="42074" spans="23:23">
      <c r="W42074" s="503"/>
    </row>
    <row r="42075" spans="23:23">
      <c r="W42075" s="503"/>
    </row>
    <row r="42076" spans="23:23">
      <c r="W42076" s="503"/>
    </row>
    <row r="42077" spans="23:23">
      <c r="W42077" s="503"/>
    </row>
    <row r="42078" spans="23:23">
      <c r="W42078" s="503"/>
    </row>
    <row r="42079" spans="23:23">
      <c r="W42079" s="503"/>
    </row>
    <row r="42080" spans="23:23">
      <c r="W42080" s="503"/>
    </row>
    <row r="42081" spans="23:23">
      <c r="W42081" s="503"/>
    </row>
    <row r="42082" spans="23:23">
      <c r="W42082" s="503"/>
    </row>
    <row r="42083" spans="23:23">
      <c r="W42083" s="503"/>
    </row>
    <row r="42084" spans="23:23">
      <c r="W42084" s="503"/>
    </row>
    <row r="42085" spans="23:23">
      <c r="W42085" s="503"/>
    </row>
    <row r="42086" spans="23:23">
      <c r="W42086" s="503"/>
    </row>
    <row r="42087" spans="23:23">
      <c r="W42087" s="503"/>
    </row>
    <row r="42088" spans="23:23">
      <c r="W42088" s="503"/>
    </row>
    <row r="42089" spans="23:23">
      <c r="W42089" s="503"/>
    </row>
    <row r="42090" spans="23:23">
      <c r="W42090" s="503"/>
    </row>
    <row r="42091" spans="23:23">
      <c r="W42091" s="503"/>
    </row>
    <row r="42092" spans="23:23">
      <c r="W42092" s="503"/>
    </row>
    <row r="42093" spans="23:23">
      <c r="W42093" s="503"/>
    </row>
    <row r="42094" spans="23:23">
      <c r="W42094" s="503"/>
    </row>
    <row r="42095" spans="23:23">
      <c r="W42095" s="503"/>
    </row>
    <row r="42096" spans="23:23">
      <c r="W42096" s="503"/>
    </row>
    <row r="42097" spans="23:23">
      <c r="W42097" s="503"/>
    </row>
    <row r="42098" spans="23:23">
      <c r="W42098" s="503"/>
    </row>
    <row r="42099" spans="23:23">
      <c r="W42099" s="503"/>
    </row>
    <row r="42100" spans="23:23">
      <c r="W42100" s="503"/>
    </row>
    <row r="42101" spans="23:23">
      <c r="W42101" s="503"/>
    </row>
    <row r="42102" spans="23:23">
      <c r="W42102" s="503"/>
    </row>
    <row r="42103" spans="23:23">
      <c r="W42103" s="503"/>
    </row>
    <row r="42104" spans="23:23">
      <c r="W42104" s="503"/>
    </row>
    <row r="42105" spans="23:23">
      <c r="W42105" s="503"/>
    </row>
    <row r="42106" spans="23:23">
      <c r="W42106" s="503"/>
    </row>
    <row r="42107" spans="23:23">
      <c r="W42107" s="503"/>
    </row>
    <row r="42108" spans="23:23">
      <c r="W42108" s="503"/>
    </row>
    <row r="42109" spans="23:23">
      <c r="W42109" s="503"/>
    </row>
    <row r="42110" spans="23:23">
      <c r="W42110" s="503"/>
    </row>
    <row r="42111" spans="23:23">
      <c r="W42111" s="503"/>
    </row>
    <row r="42112" spans="23:23">
      <c r="W42112" s="503"/>
    </row>
    <row r="42113" spans="23:23">
      <c r="W42113" s="503"/>
    </row>
    <row r="42114" spans="23:23">
      <c r="W42114" s="503"/>
    </row>
    <row r="42115" spans="23:23">
      <c r="W42115" s="503"/>
    </row>
    <row r="42116" spans="23:23">
      <c r="W42116" s="503"/>
    </row>
    <row r="42117" spans="23:23">
      <c r="W42117" s="503"/>
    </row>
    <row r="42118" spans="23:23">
      <c r="W42118" s="503"/>
    </row>
    <row r="42119" spans="23:23">
      <c r="W42119" s="503"/>
    </row>
    <row r="42120" spans="23:23">
      <c r="W42120" s="503"/>
    </row>
    <row r="42121" spans="23:23">
      <c r="W42121" s="503"/>
    </row>
    <row r="42122" spans="23:23">
      <c r="W42122" s="503"/>
    </row>
    <row r="42123" spans="23:23">
      <c r="W42123" s="503"/>
    </row>
    <row r="42124" spans="23:23">
      <c r="W42124" s="503"/>
    </row>
    <row r="42125" spans="23:23">
      <c r="W42125" s="503"/>
    </row>
    <row r="42126" spans="23:23">
      <c r="W42126" s="503"/>
    </row>
    <row r="42127" spans="23:23">
      <c r="W42127" s="503"/>
    </row>
    <row r="42128" spans="23:23">
      <c r="W42128" s="503"/>
    </row>
    <row r="42129" spans="23:23">
      <c r="W42129" s="503"/>
    </row>
    <row r="42130" spans="23:23">
      <c r="W42130" s="503"/>
    </row>
    <row r="42131" spans="23:23">
      <c r="W42131" s="503"/>
    </row>
    <row r="42132" spans="23:23">
      <c r="W42132" s="503"/>
    </row>
    <row r="42133" spans="23:23">
      <c r="W42133" s="503"/>
    </row>
    <row r="42134" spans="23:23">
      <c r="W42134" s="503"/>
    </row>
    <row r="42135" spans="23:23">
      <c r="W42135" s="503"/>
    </row>
    <row r="42136" spans="23:23">
      <c r="W42136" s="503"/>
    </row>
    <row r="42137" spans="23:23">
      <c r="W42137" s="503"/>
    </row>
    <row r="42138" spans="23:23">
      <c r="W42138" s="503"/>
    </row>
    <row r="42139" spans="23:23">
      <c r="W42139" s="503"/>
    </row>
    <row r="42140" spans="23:23">
      <c r="W42140" s="503"/>
    </row>
    <row r="42141" spans="23:23">
      <c r="W42141" s="503"/>
    </row>
    <row r="42142" spans="23:23">
      <c r="W42142" s="503"/>
    </row>
    <row r="42143" spans="23:23">
      <c r="W42143" s="503"/>
    </row>
    <row r="42144" spans="23:23">
      <c r="W42144" s="503"/>
    </row>
    <row r="42145" spans="23:23">
      <c r="W42145" s="503"/>
    </row>
    <row r="42146" spans="23:23">
      <c r="W42146" s="503"/>
    </row>
    <row r="42147" spans="23:23">
      <c r="W42147" s="503"/>
    </row>
    <row r="42148" spans="23:23">
      <c r="W42148" s="503"/>
    </row>
    <row r="42149" spans="23:23">
      <c r="W42149" s="503"/>
    </row>
    <row r="42150" spans="23:23">
      <c r="W42150" s="503"/>
    </row>
    <row r="42151" spans="23:23">
      <c r="W42151" s="503"/>
    </row>
    <row r="42152" spans="23:23">
      <c r="W42152" s="503"/>
    </row>
    <row r="42153" spans="23:23">
      <c r="W42153" s="503"/>
    </row>
    <row r="42154" spans="23:23">
      <c r="W42154" s="503"/>
    </row>
    <row r="42155" spans="23:23">
      <c r="W42155" s="503"/>
    </row>
    <row r="42156" spans="23:23">
      <c r="W42156" s="503"/>
    </row>
    <row r="42157" spans="23:23">
      <c r="W42157" s="503"/>
    </row>
    <row r="42158" spans="23:23">
      <c r="W42158" s="503"/>
    </row>
    <row r="42159" spans="23:23">
      <c r="W42159" s="503"/>
    </row>
    <row r="42160" spans="23:23">
      <c r="W42160" s="503"/>
    </row>
    <row r="42161" spans="23:23">
      <c r="W42161" s="503"/>
    </row>
    <row r="42162" spans="23:23">
      <c r="W42162" s="503"/>
    </row>
    <row r="42163" spans="23:23">
      <c r="W42163" s="503"/>
    </row>
    <row r="42164" spans="23:23">
      <c r="W42164" s="503"/>
    </row>
    <row r="42165" spans="23:23">
      <c r="W42165" s="503"/>
    </row>
    <row r="42166" spans="23:23">
      <c r="W42166" s="503"/>
    </row>
    <row r="42167" spans="23:23">
      <c r="W42167" s="503"/>
    </row>
    <row r="42168" spans="23:23">
      <c r="W42168" s="503"/>
    </row>
    <row r="42169" spans="23:23">
      <c r="W42169" s="503"/>
    </row>
    <row r="42170" spans="23:23">
      <c r="W42170" s="503"/>
    </row>
    <row r="42171" spans="23:23">
      <c r="W42171" s="503"/>
    </row>
    <row r="42172" spans="23:23">
      <c r="W42172" s="503"/>
    </row>
    <row r="42173" spans="23:23">
      <c r="W42173" s="503"/>
    </row>
    <row r="42174" spans="23:23">
      <c r="W42174" s="503"/>
    </row>
    <row r="42175" spans="23:23">
      <c r="W42175" s="503"/>
    </row>
    <row r="42176" spans="23:23">
      <c r="W42176" s="503"/>
    </row>
    <row r="42177" spans="23:23">
      <c r="W42177" s="503"/>
    </row>
    <row r="42178" spans="23:23">
      <c r="W42178" s="503"/>
    </row>
    <row r="42179" spans="23:23">
      <c r="W42179" s="503"/>
    </row>
    <row r="42180" spans="23:23">
      <c r="W42180" s="503"/>
    </row>
    <row r="42181" spans="23:23">
      <c r="W42181" s="503"/>
    </row>
    <row r="42182" spans="23:23">
      <c r="W42182" s="503"/>
    </row>
    <row r="42183" spans="23:23">
      <c r="W42183" s="503"/>
    </row>
    <row r="42184" spans="23:23">
      <c r="W42184" s="503"/>
    </row>
    <row r="42185" spans="23:23">
      <c r="W42185" s="503"/>
    </row>
    <row r="42186" spans="23:23">
      <c r="W42186" s="503"/>
    </row>
    <row r="42187" spans="23:23">
      <c r="W42187" s="503"/>
    </row>
    <row r="42188" spans="23:23">
      <c r="W42188" s="503"/>
    </row>
    <row r="42189" spans="23:23">
      <c r="W42189" s="503"/>
    </row>
    <row r="42190" spans="23:23">
      <c r="W42190" s="503"/>
    </row>
    <row r="42191" spans="23:23">
      <c r="W42191" s="503"/>
    </row>
    <row r="42192" spans="23:23">
      <c r="W42192" s="503"/>
    </row>
    <row r="42193" spans="23:23">
      <c r="W42193" s="503"/>
    </row>
    <row r="42194" spans="23:23">
      <c r="W42194" s="503"/>
    </row>
    <row r="42195" spans="23:23">
      <c r="W42195" s="503"/>
    </row>
    <row r="42196" spans="23:23">
      <c r="W42196" s="503"/>
    </row>
    <row r="42197" spans="23:23">
      <c r="W42197" s="503"/>
    </row>
    <row r="42198" spans="23:23">
      <c r="W42198" s="503"/>
    </row>
    <row r="42199" spans="23:23">
      <c r="W42199" s="503"/>
    </row>
    <row r="42200" spans="23:23">
      <c r="W42200" s="503"/>
    </row>
    <row r="42201" spans="23:23">
      <c r="W42201" s="503"/>
    </row>
    <row r="42202" spans="23:23">
      <c r="W42202" s="503"/>
    </row>
    <row r="42203" spans="23:23">
      <c r="W42203" s="503"/>
    </row>
    <row r="42204" spans="23:23">
      <c r="W42204" s="503"/>
    </row>
    <row r="42205" spans="23:23">
      <c r="W42205" s="503"/>
    </row>
    <row r="42206" spans="23:23">
      <c r="W42206" s="503"/>
    </row>
    <row r="42207" spans="23:23">
      <c r="W42207" s="503"/>
    </row>
    <row r="42208" spans="23:23">
      <c r="W42208" s="503"/>
    </row>
    <row r="42209" spans="23:23">
      <c r="W42209" s="503"/>
    </row>
    <row r="42210" spans="23:23">
      <c r="W42210" s="503"/>
    </row>
    <row r="42211" spans="23:23">
      <c r="W42211" s="503"/>
    </row>
    <row r="42212" spans="23:23">
      <c r="W42212" s="503"/>
    </row>
    <row r="42213" spans="23:23">
      <c r="W42213" s="503"/>
    </row>
    <row r="42214" spans="23:23">
      <c r="W42214" s="503"/>
    </row>
    <row r="42215" spans="23:23">
      <c r="W42215" s="503"/>
    </row>
    <row r="42216" spans="23:23">
      <c r="W42216" s="503"/>
    </row>
    <row r="42217" spans="23:23">
      <c r="W42217" s="503"/>
    </row>
    <row r="42218" spans="23:23">
      <c r="W42218" s="503"/>
    </row>
    <row r="42219" spans="23:23">
      <c r="W42219" s="503"/>
    </row>
    <row r="42220" spans="23:23">
      <c r="W42220" s="503"/>
    </row>
    <row r="42221" spans="23:23">
      <c r="W42221" s="503"/>
    </row>
    <row r="42222" spans="23:23">
      <c r="W42222" s="503"/>
    </row>
    <row r="42223" spans="23:23">
      <c r="W42223" s="503"/>
    </row>
    <row r="42224" spans="23:23">
      <c r="W42224" s="503"/>
    </row>
    <row r="42225" spans="23:23">
      <c r="W42225" s="503"/>
    </row>
    <row r="42226" spans="23:23">
      <c r="W42226" s="503"/>
    </row>
    <row r="42227" spans="23:23">
      <c r="W42227" s="503"/>
    </row>
    <row r="42228" spans="23:23">
      <c r="W42228" s="503"/>
    </row>
    <row r="42229" spans="23:23">
      <c r="W42229" s="503"/>
    </row>
    <row r="42230" spans="23:23">
      <c r="W42230" s="503"/>
    </row>
    <row r="42231" spans="23:23">
      <c r="W42231" s="503"/>
    </row>
    <row r="42232" spans="23:23">
      <c r="W42232" s="503"/>
    </row>
    <row r="42233" spans="23:23">
      <c r="W42233" s="503"/>
    </row>
    <row r="42234" spans="23:23">
      <c r="W42234" s="503"/>
    </row>
    <row r="42235" spans="23:23">
      <c r="W42235" s="503"/>
    </row>
    <row r="42236" spans="23:23">
      <c r="W42236" s="503"/>
    </row>
    <row r="42237" spans="23:23">
      <c r="W42237" s="503"/>
    </row>
    <row r="42238" spans="23:23">
      <c r="W42238" s="503"/>
    </row>
    <row r="42239" spans="23:23">
      <c r="W42239" s="503"/>
    </row>
    <row r="42240" spans="23:23">
      <c r="W42240" s="503"/>
    </row>
    <row r="42241" spans="23:23">
      <c r="W42241" s="503"/>
    </row>
    <row r="42242" spans="23:23">
      <c r="W42242" s="503"/>
    </row>
    <row r="42243" spans="23:23">
      <c r="W42243" s="503"/>
    </row>
    <row r="42244" spans="23:23">
      <c r="W42244" s="503"/>
    </row>
    <row r="42245" spans="23:23">
      <c r="W42245" s="503"/>
    </row>
    <row r="42246" spans="23:23">
      <c r="W42246" s="503"/>
    </row>
    <row r="42247" spans="23:23">
      <c r="W42247" s="503"/>
    </row>
    <row r="42248" spans="23:23">
      <c r="W42248" s="503"/>
    </row>
    <row r="42249" spans="23:23">
      <c r="W42249" s="503"/>
    </row>
    <row r="42250" spans="23:23">
      <c r="W42250" s="503"/>
    </row>
    <row r="42251" spans="23:23">
      <c r="W42251" s="503"/>
    </row>
    <row r="42252" spans="23:23">
      <c r="W42252" s="503"/>
    </row>
    <row r="42253" spans="23:23">
      <c r="W42253" s="503"/>
    </row>
    <row r="42254" spans="23:23">
      <c r="W42254" s="503"/>
    </row>
    <row r="42255" spans="23:23">
      <c r="W42255" s="503"/>
    </row>
    <row r="42256" spans="23:23">
      <c r="W42256" s="503"/>
    </row>
    <row r="42257" spans="23:23">
      <c r="W42257" s="503"/>
    </row>
    <row r="42258" spans="23:23">
      <c r="W42258" s="503"/>
    </row>
    <row r="42259" spans="23:23">
      <c r="W42259" s="503"/>
    </row>
    <row r="42260" spans="23:23">
      <c r="W42260" s="503"/>
    </row>
    <row r="42261" spans="23:23">
      <c r="W42261" s="503"/>
    </row>
    <row r="42262" spans="23:23">
      <c r="W42262" s="503"/>
    </row>
    <row r="42263" spans="23:23">
      <c r="W42263" s="503"/>
    </row>
    <row r="42264" spans="23:23">
      <c r="W42264" s="503"/>
    </row>
    <row r="42265" spans="23:23">
      <c r="W42265" s="503"/>
    </row>
    <row r="42266" spans="23:23">
      <c r="W42266" s="503"/>
    </row>
    <row r="42267" spans="23:23">
      <c r="W42267" s="503"/>
    </row>
    <row r="42268" spans="23:23">
      <c r="W42268" s="503"/>
    </row>
    <row r="42269" spans="23:23">
      <c r="W42269" s="503"/>
    </row>
    <row r="42270" spans="23:23">
      <c r="W42270" s="503"/>
    </row>
    <row r="42271" spans="23:23">
      <c r="W42271" s="503"/>
    </row>
    <row r="42272" spans="23:23">
      <c r="W42272" s="503"/>
    </row>
    <row r="42273" spans="23:23">
      <c r="W42273" s="503"/>
    </row>
    <row r="42274" spans="23:23">
      <c r="W42274" s="503"/>
    </row>
    <row r="42275" spans="23:23">
      <c r="W42275" s="503"/>
    </row>
    <row r="42276" spans="23:23">
      <c r="W42276" s="503"/>
    </row>
    <row r="42277" spans="23:23">
      <c r="W42277" s="503"/>
    </row>
    <row r="42278" spans="23:23">
      <c r="W42278" s="503"/>
    </row>
    <row r="42279" spans="23:23">
      <c r="W42279" s="503"/>
    </row>
    <row r="42280" spans="23:23">
      <c r="W42280" s="503"/>
    </row>
    <row r="42281" spans="23:23">
      <c r="W42281" s="503"/>
    </row>
    <row r="42282" spans="23:23">
      <c r="W42282" s="503"/>
    </row>
    <row r="42283" spans="23:23">
      <c r="W42283" s="503"/>
    </row>
    <row r="42284" spans="23:23">
      <c r="W42284" s="503"/>
    </row>
    <row r="42285" spans="23:23">
      <c r="W42285" s="503"/>
    </row>
    <row r="42286" spans="23:23">
      <c r="W42286" s="503"/>
    </row>
    <row r="42287" spans="23:23">
      <c r="W42287" s="503"/>
    </row>
    <row r="42288" spans="23:23">
      <c r="W42288" s="503"/>
    </row>
    <row r="42289" spans="23:23">
      <c r="W42289" s="503"/>
    </row>
    <row r="42290" spans="23:23">
      <c r="W42290" s="503"/>
    </row>
    <row r="42291" spans="23:23">
      <c r="W42291" s="503"/>
    </row>
    <row r="42292" spans="23:23">
      <c r="W42292" s="503"/>
    </row>
    <row r="42293" spans="23:23">
      <c r="W42293" s="503"/>
    </row>
    <row r="42294" spans="23:23">
      <c r="W42294" s="503"/>
    </row>
    <row r="42295" spans="23:23">
      <c r="W42295" s="503"/>
    </row>
    <row r="42296" spans="23:23">
      <c r="W42296" s="503"/>
    </row>
    <row r="42297" spans="23:23">
      <c r="W42297" s="503"/>
    </row>
    <row r="42298" spans="23:23">
      <c r="W42298" s="503"/>
    </row>
    <row r="42299" spans="23:23">
      <c r="W42299" s="503"/>
    </row>
    <row r="42300" spans="23:23">
      <c r="W42300" s="503"/>
    </row>
    <row r="42301" spans="23:23">
      <c r="W42301" s="503"/>
    </row>
    <row r="42302" spans="23:23">
      <c r="W42302" s="503"/>
    </row>
    <row r="42303" spans="23:23">
      <c r="W42303" s="503"/>
    </row>
    <row r="42304" spans="23:23">
      <c r="W42304" s="503"/>
    </row>
    <row r="42305" spans="23:23">
      <c r="W42305" s="503"/>
    </row>
    <row r="42306" spans="23:23">
      <c r="W42306" s="503"/>
    </row>
    <row r="42307" spans="23:23">
      <c r="W42307" s="503"/>
    </row>
    <row r="42308" spans="23:23">
      <c r="W42308" s="503"/>
    </row>
    <row r="42309" spans="23:23">
      <c r="W42309" s="503"/>
    </row>
    <row r="42310" spans="23:23">
      <c r="W42310" s="503"/>
    </row>
    <row r="42311" spans="23:23">
      <c r="W42311" s="503"/>
    </row>
    <row r="42312" spans="23:23">
      <c r="W42312" s="503"/>
    </row>
    <row r="42313" spans="23:23">
      <c r="W42313" s="503"/>
    </row>
    <row r="42314" spans="23:23">
      <c r="W42314" s="503"/>
    </row>
    <row r="42315" spans="23:23">
      <c r="W42315" s="503"/>
    </row>
    <row r="42316" spans="23:23">
      <c r="W42316" s="503"/>
    </row>
    <row r="42317" spans="23:23">
      <c r="W42317" s="503"/>
    </row>
    <row r="42318" spans="23:23">
      <c r="W42318" s="503"/>
    </row>
    <row r="42319" spans="23:23">
      <c r="W42319" s="503"/>
    </row>
    <row r="42320" spans="23:23">
      <c r="W42320" s="503"/>
    </row>
    <row r="42321" spans="23:23">
      <c r="W42321" s="503"/>
    </row>
    <row r="42322" spans="23:23">
      <c r="W42322" s="503"/>
    </row>
    <row r="42323" spans="23:23">
      <c r="W42323" s="503"/>
    </row>
    <row r="42324" spans="23:23">
      <c r="W42324" s="503"/>
    </row>
    <row r="42325" spans="23:23">
      <c r="W42325" s="503"/>
    </row>
    <row r="42326" spans="23:23">
      <c r="W42326" s="503"/>
    </row>
    <row r="42327" spans="23:23">
      <c r="W42327" s="503"/>
    </row>
    <row r="42328" spans="23:23">
      <c r="W42328" s="503"/>
    </row>
    <row r="42329" spans="23:23">
      <c r="W42329" s="503"/>
    </row>
    <row r="42330" spans="23:23">
      <c r="W42330" s="503"/>
    </row>
    <row r="42331" spans="23:23">
      <c r="W42331" s="503"/>
    </row>
    <row r="42332" spans="23:23">
      <c r="W42332" s="503"/>
    </row>
    <row r="42333" spans="23:23">
      <c r="W42333" s="503"/>
    </row>
    <row r="42334" spans="23:23">
      <c r="W42334" s="503"/>
    </row>
    <row r="42335" spans="23:23">
      <c r="W42335" s="503"/>
    </row>
    <row r="42336" spans="23:23">
      <c r="W42336" s="503"/>
    </row>
    <row r="42337" spans="23:23">
      <c r="W42337" s="503"/>
    </row>
    <row r="42338" spans="23:23">
      <c r="W42338" s="503"/>
    </row>
    <row r="42339" spans="23:23">
      <c r="W42339" s="503"/>
    </row>
    <row r="42340" spans="23:23">
      <c r="W42340" s="503"/>
    </row>
    <row r="42341" spans="23:23">
      <c r="W42341" s="503"/>
    </row>
    <row r="42342" spans="23:23">
      <c r="W42342" s="503"/>
    </row>
    <row r="42343" spans="23:23">
      <c r="W42343" s="503"/>
    </row>
    <row r="42344" spans="23:23">
      <c r="W42344" s="503"/>
    </row>
    <row r="42345" spans="23:23">
      <c r="W42345" s="503"/>
    </row>
    <row r="42346" spans="23:23">
      <c r="W42346" s="503"/>
    </row>
    <row r="42347" spans="23:23">
      <c r="W42347" s="503"/>
    </row>
    <row r="42348" spans="23:23">
      <c r="W42348" s="503"/>
    </row>
    <row r="42349" spans="23:23">
      <c r="W42349" s="503"/>
    </row>
    <row r="42350" spans="23:23">
      <c r="W42350" s="503"/>
    </row>
    <row r="42351" spans="23:23">
      <c r="W42351" s="503"/>
    </row>
    <row r="42352" spans="23:23">
      <c r="W42352" s="503"/>
    </row>
    <row r="42353" spans="23:23">
      <c r="W42353" s="503"/>
    </row>
    <row r="42354" spans="23:23">
      <c r="W42354" s="503"/>
    </row>
    <row r="42355" spans="23:23">
      <c r="W42355" s="503"/>
    </row>
    <row r="42356" spans="23:23">
      <c r="W42356" s="503"/>
    </row>
    <row r="42357" spans="23:23">
      <c r="W42357" s="503"/>
    </row>
    <row r="42358" spans="23:23">
      <c r="W42358" s="503"/>
    </row>
    <row r="42359" spans="23:23">
      <c r="W42359" s="503"/>
    </row>
    <row r="42360" spans="23:23">
      <c r="W42360" s="503"/>
    </row>
    <row r="42361" spans="23:23">
      <c r="W42361" s="503"/>
    </row>
    <row r="42362" spans="23:23">
      <c r="W42362" s="503"/>
    </row>
    <row r="42363" spans="23:23">
      <c r="W42363" s="503"/>
    </row>
    <row r="42364" spans="23:23">
      <c r="W42364" s="503"/>
    </row>
    <row r="42365" spans="23:23">
      <c r="W42365" s="503"/>
    </row>
    <row r="42366" spans="23:23">
      <c r="W42366" s="503"/>
    </row>
    <row r="42367" spans="23:23">
      <c r="W42367" s="503"/>
    </row>
    <row r="42368" spans="23:23">
      <c r="W42368" s="503"/>
    </row>
    <row r="42369" spans="23:23">
      <c r="W42369" s="503"/>
    </row>
    <row r="42370" spans="23:23">
      <c r="W42370" s="503"/>
    </row>
    <row r="42371" spans="23:23">
      <c r="W42371" s="503"/>
    </row>
    <row r="42372" spans="23:23">
      <c r="W42372" s="503"/>
    </row>
    <row r="42373" spans="23:23">
      <c r="W42373" s="503"/>
    </row>
    <row r="42374" spans="23:23">
      <c r="W42374" s="503"/>
    </row>
    <row r="42375" spans="23:23">
      <c r="W42375" s="503"/>
    </row>
    <row r="42376" spans="23:23">
      <c r="W42376" s="503"/>
    </row>
    <row r="42377" spans="23:23">
      <c r="W42377" s="503"/>
    </row>
    <row r="42378" spans="23:23">
      <c r="W42378" s="503"/>
    </row>
    <row r="42379" spans="23:23">
      <c r="W42379" s="503"/>
    </row>
    <row r="42380" spans="23:23">
      <c r="W42380" s="503"/>
    </row>
    <row r="42381" spans="23:23">
      <c r="W42381" s="503"/>
    </row>
    <row r="42382" spans="23:23">
      <c r="W42382" s="503"/>
    </row>
    <row r="42383" spans="23:23">
      <c r="W42383" s="503"/>
    </row>
    <row r="42384" spans="23:23">
      <c r="W42384" s="503"/>
    </row>
    <row r="42385" spans="23:23">
      <c r="W42385" s="503"/>
    </row>
    <row r="42386" spans="23:23">
      <c r="W42386" s="503"/>
    </row>
    <row r="42387" spans="23:23">
      <c r="W42387" s="503"/>
    </row>
    <row r="42388" spans="23:23">
      <c r="W42388" s="503"/>
    </row>
    <row r="42389" spans="23:23">
      <c r="W42389" s="503"/>
    </row>
    <row r="42390" spans="23:23">
      <c r="W42390" s="503"/>
    </row>
    <row r="42391" spans="23:23">
      <c r="W42391" s="503"/>
    </row>
    <row r="42392" spans="23:23">
      <c r="W42392" s="503"/>
    </row>
    <row r="42393" spans="23:23">
      <c r="W42393" s="503"/>
    </row>
    <row r="42394" spans="23:23">
      <c r="W42394" s="503"/>
    </row>
    <row r="42395" spans="23:23">
      <c r="W42395" s="503"/>
    </row>
    <row r="42396" spans="23:23">
      <c r="W42396" s="503"/>
    </row>
    <row r="42397" spans="23:23">
      <c r="W42397" s="503"/>
    </row>
    <row r="42398" spans="23:23">
      <c r="W42398" s="503"/>
    </row>
    <row r="42399" spans="23:23">
      <c r="W42399" s="503"/>
    </row>
    <row r="42400" spans="23:23">
      <c r="W42400" s="503"/>
    </row>
    <row r="42401" spans="23:23">
      <c r="W42401" s="503"/>
    </row>
    <row r="42402" spans="23:23">
      <c r="W42402" s="503"/>
    </row>
    <row r="42403" spans="23:23">
      <c r="W42403" s="503"/>
    </row>
    <row r="42404" spans="23:23">
      <c r="W42404" s="503"/>
    </row>
    <row r="42405" spans="23:23">
      <c r="W42405" s="503"/>
    </row>
    <row r="42406" spans="23:23">
      <c r="W42406" s="503"/>
    </row>
    <row r="42407" spans="23:23">
      <c r="W42407" s="503"/>
    </row>
    <row r="42408" spans="23:23">
      <c r="W42408" s="503"/>
    </row>
    <row r="42409" spans="23:23">
      <c r="W42409" s="503"/>
    </row>
    <row r="42410" spans="23:23">
      <c r="W42410" s="503"/>
    </row>
    <row r="42411" spans="23:23">
      <c r="W42411" s="503"/>
    </row>
    <row r="42412" spans="23:23">
      <c r="W42412" s="503"/>
    </row>
    <row r="42413" spans="23:23">
      <c r="W42413" s="503"/>
    </row>
    <row r="42414" spans="23:23">
      <c r="W42414" s="503"/>
    </row>
    <row r="42415" spans="23:23">
      <c r="W42415" s="503"/>
    </row>
    <row r="42416" spans="23:23">
      <c r="W42416" s="503"/>
    </row>
    <row r="42417" spans="23:23">
      <c r="W42417" s="503"/>
    </row>
    <row r="42418" spans="23:23">
      <c r="W42418" s="503"/>
    </row>
    <row r="42419" spans="23:23">
      <c r="W42419" s="503"/>
    </row>
    <row r="42420" spans="23:23">
      <c r="W42420" s="503"/>
    </row>
    <row r="42421" spans="23:23">
      <c r="W42421" s="503"/>
    </row>
    <row r="42422" spans="23:23">
      <c r="W42422" s="503"/>
    </row>
    <row r="42423" spans="23:23">
      <c r="W42423" s="503"/>
    </row>
    <row r="42424" spans="23:23">
      <c r="W42424" s="503"/>
    </row>
    <row r="42425" spans="23:23">
      <c r="W42425" s="503"/>
    </row>
    <row r="42426" spans="23:23">
      <c r="W42426" s="503"/>
    </row>
    <row r="42427" spans="23:23">
      <c r="W42427" s="503"/>
    </row>
    <row r="42428" spans="23:23">
      <c r="W42428" s="503"/>
    </row>
    <row r="42429" spans="23:23">
      <c r="W42429" s="503"/>
    </row>
    <row r="42430" spans="23:23">
      <c r="W42430" s="503"/>
    </row>
    <row r="42431" spans="23:23">
      <c r="W42431" s="503"/>
    </row>
    <row r="42432" spans="23:23">
      <c r="W42432" s="503"/>
    </row>
    <row r="42433" spans="23:23">
      <c r="W42433" s="503"/>
    </row>
    <row r="42434" spans="23:23">
      <c r="W42434" s="503"/>
    </row>
    <row r="42435" spans="23:23">
      <c r="W42435" s="503"/>
    </row>
    <row r="42436" spans="23:23">
      <c r="W42436" s="503"/>
    </row>
    <row r="42437" spans="23:23">
      <c r="W42437" s="503"/>
    </row>
    <row r="42438" spans="23:23">
      <c r="W42438" s="503"/>
    </row>
    <row r="42439" spans="23:23">
      <c r="W42439" s="503"/>
    </row>
    <row r="42440" spans="23:23">
      <c r="W42440" s="503"/>
    </row>
    <row r="42441" spans="23:23">
      <c r="W42441" s="503"/>
    </row>
    <row r="42442" spans="23:23">
      <c r="W42442" s="503"/>
    </row>
    <row r="42443" spans="23:23">
      <c r="W42443" s="503"/>
    </row>
    <row r="42444" spans="23:23">
      <c r="W42444" s="503"/>
    </row>
    <row r="42445" spans="23:23">
      <c r="W42445" s="503"/>
    </row>
    <row r="42446" spans="23:23">
      <c r="W42446" s="503"/>
    </row>
    <row r="42447" spans="23:23">
      <c r="W42447" s="503"/>
    </row>
    <row r="42448" spans="23:23">
      <c r="W42448" s="503"/>
    </row>
    <row r="42449" spans="23:23">
      <c r="W42449" s="503"/>
    </row>
    <row r="42450" spans="23:23">
      <c r="W42450" s="503"/>
    </row>
    <row r="42451" spans="23:23">
      <c r="W42451" s="503"/>
    </row>
    <row r="42452" spans="23:23">
      <c r="W42452" s="503"/>
    </row>
    <row r="42453" spans="23:23">
      <c r="W42453" s="503"/>
    </row>
    <row r="42454" spans="23:23">
      <c r="W42454" s="503"/>
    </row>
    <row r="42455" spans="23:23">
      <c r="W42455" s="503"/>
    </row>
    <row r="42456" spans="23:23">
      <c r="W42456" s="503"/>
    </row>
    <row r="42457" spans="23:23">
      <c r="W42457" s="503"/>
    </row>
    <row r="42458" spans="23:23">
      <c r="W42458" s="503"/>
    </row>
    <row r="42459" spans="23:23">
      <c r="W42459" s="503"/>
    </row>
    <row r="42460" spans="23:23">
      <c r="W42460" s="503"/>
    </row>
    <row r="42461" spans="23:23">
      <c r="W42461" s="503"/>
    </row>
    <row r="42462" spans="23:23">
      <c r="W42462" s="503"/>
    </row>
    <row r="42463" spans="23:23">
      <c r="W42463" s="503"/>
    </row>
    <row r="42464" spans="23:23">
      <c r="W42464" s="503"/>
    </row>
    <row r="42465" spans="23:23">
      <c r="W42465" s="503"/>
    </row>
    <row r="42466" spans="23:23">
      <c r="W42466" s="503"/>
    </row>
    <row r="42467" spans="23:23">
      <c r="W42467" s="503"/>
    </row>
    <row r="42468" spans="23:23">
      <c r="W42468" s="503"/>
    </row>
    <row r="42469" spans="23:23">
      <c r="W42469" s="503"/>
    </row>
    <row r="42470" spans="23:23">
      <c r="W42470" s="503"/>
    </row>
    <row r="42471" spans="23:23">
      <c r="W42471" s="503"/>
    </row>
    <row r="42472" spans="23:23">
      <c r="W42472" s="503"/>
    </row>
    <row r="42473" spans="23:23">
      <c r="W42473" s="503"/>
    </row>
    <row r="42474" spans="23:23">
      <c r="W42474" s="503"/>
    </row>
    <row r="42475" spans="23:23">
      <c r="W42475" s="503"/>
    </row>
    <row r="42476" spans="23:23">
      <c r="W42476" s="503"/>
    </row>
    <row r="42477" spans="23:23">
      <c r="W42477" s="503"/>
    </row>
    <row r="42478" spans="23:23">
      <c r="W42478" s="503"/>
    </row>
    <row r="42479" spans="23:23">
      <c r="W42479" s="503"/>
    </row>
    <row r="42480" spans="23:23">
      <c r="W42480" s="503"/>
    </row>
    <row r="42481" spans="23:23">
      <c r="W42481" s="503"/>
    </row>
    <row r="42482" spans="23:23">
      <c r="W42482" s="503"/>
    </row>
    <row r="42483" spans="23:23">
      <c r="W42483" s="503"/>
    </row>
    <row r="42484" spans="23:23">
      <c r="W42484" s="503"/>
    </row>
    <row r="42485" spans="23:23">
      <c r="W42485" s="503"/>
    </row>
    <row r="42486" spans="23:23">
      <c r="W42486" s="503"/>
    </row>
    <row r="42487" spans="23:23">
      <c r="W42487" s="503"/>
    </row>
    <row r="42488" spans="23:23">
      <c r="W42488" s="503"/>
    </row>
    <row r="42489" spans="23:23">
      <c r="W42489" s="503"/>
    </row>
    <row r="42490" spans="23:23">
      <c r="W42490" s="503"/>
    </row>
    <row r="42491" spans="23:23">
      <c r="W42491" s="503"/>
    </row>
    <row r="42492" spans="23:23">
      <c r="W42492" s="503"/>
    </row>
    <row r="42493" spans="23:23">
      <c r="W42493" s="503"/>
    </row>
    <row r="42494" spans="23:23">
      <c r="W42494" s="503"/>
    </row>
    <row r="42495" spans="23:23">
      <c r="W42495" s="503"/>
    </row>
    <row r="42496" spans="23:23">
      <c r="W42496" s="503"/>
    </row>
    <row r="42497" spans="23:23">
      <c r="W42497" s="503"/>
    </row>
    <row r="42498" spans="23:23">
      <c r="W42498" s="503"/>
    </row>
    <row r="42499" spans="23:23">
      <c r="W42499" s="503"/>
    </row>
    <row r="42500" spans="23:23">
      <c r="W42500" s="503"/>
    </row>
    <row r="42501" spans="23:23">
      <c r="W42501" s="503"/>
    </row>
    <row r="42502" spans="23:23">
      <c r="W42502" s="503"/>
    </row>
    <row r="42503" spans="23:23">
      <c r="W42503" s="503"/>
    </row>
    <row r="42504" spans="23:23">
      <c r="W42504" s="503"/>
    </row>
    <row r="42505" spans="23:23">
      <c r="W42505" s="503"/>
    </row>
    <row r="42506" spans="23:23">
      <c r="W42506" s="503"/>
    </row>
    <row r="42507" spans="23:23">
      <c r="W42507" s="503"/>
    </row>
    <row r="42508" spans="23:23">
      <c r="W42508" s="503"/>
    </row>
    <row r="42509" spans="23:23">
      <c r="W42509" s="503"/>
    </row>
    <row r="42510" spans="23:23">
      <c r="W42510" s="503"/>
    </row>
    <row r="42511" spans="23:23">
      <c r="W42511" s="503"/>
    </row>
    <row r="42512" spans="23:23">
      <c r="W42512" s="503"/>
    </row>
    <row r="42513" spans="23:23">
      <c r="W42513" s="503"/>
    </row>
    <row r="42514" spans="23:23">
      <c r="W42514" s="503"/>
    </row>
    <row r="42515" spans="23:23">
      <c r="W42515" s="503"/>
    </row>
    <row r="42516" spans="23:23">
      <c r="W42516" s="503"/>
    </row>
    <row r="42517" spans="23:23">
      <c r="W42517" s="503"/>
    </row>
    <row r="42518" spans="23:23">
      <c r="W42518" s="503"/>
    </row>
    <row r="42519" spans="23:23">
      <c r="W42519" s="503"/>
    </row>
    <row r="42520" spans="23:23">
      <c r="W42520" s="503"/>
    </row>
    <row r="42521" spans="23:23">
      <c r="W42521" s="503"/>
    </row>
    <row r="42522" spans="23:23">
      <c r="W42522" s="503"/>
    </row>
    <row r="42523" spans="23:23">
      <c r="W42523" s="503"/>
    </row>
    <row r="42524" spans="23:23">
      <c r="W42524" s="503"/>
    </row>
    <row r="42525" spans="23:23">
      <c r="W42525" s="503"/>
    </row>
    <row r="42526" spans="23:23">
      <c r="W42526" s="503"/>
    </row>
    <row r="42527" spans="23:23">
      <c r="W42527" s="503"/>
    </row>
    <row r="42528" spans="23:23">
      <c r="W42528" s="503"/>
    </row>
    <row r="42529" spans="23:23">
      <c r="W42529" s="503"/>
    </row>
    <row r="42530" spans="23:23">
      <c r="W42530" s="503"/>
    </row>
    <row r="42531" spans="23:23">
      <c r="W42531" s="503"/>
    </row>
    <row r="42532" spans="23:23">
      <c r="W42532" s="503"/>
    </row>
    <row r="42533" spans="23:23">
      <c r="W42533" s="503"/>
    </row>
    <row r="42534" spans="23:23">
      <c r="W42534" s="503"/>
    </row>
    <row r="42535" spans="23:23">
      <c r="W42535" s="503"/>
    </row>
    <row r="42536" spans="23:23">
      <c r="W42536" s="503"/>
    </row>
    <row r="42537" spans="23:23">
      <c r="W42537" s="503"/>
    </row>
    <row r="42538" spans="23:23">
      <c r="W42538" s="503"/>
    </row>
    <row r="42539" spans="23:23">
      <c r="W42539" s="503"/>
    </row>
    <row r="42540" spans="23:23">
      <c r="W42540" s="503"/>
    </row>
    <row r="42541" spans="23:23">
      <c r="W42541" s="503"/>
    </row>
    <row r="42542" spans="23:23">
      <c r="W42542" s="503"/>
    </row>
    <row r="42543" spans="23:23">
      <c r="W42543" s="503"/>
    </row>
    <row r="42544" spans="23:23">
      <c r="W42544" s="503"/>
    </row>
    <row r="42545" spans="23:23">
      <c r="W42545" s="503"/>
    </row>
    <row r="42546" spans="23:23">
      <c r="W42546" s="503"/>
    </row>
    <row r="42547" spans="23:23">
      <c r="W42547" s="503"/>
    </row>
    <row r="42548" spans="23:23">
      <c r="W42548" s="503"/>
    </row>
    <row r="42549" spans="23:23">
      <c r="W42549" s="503"/>
    </row>
    <row r="42550" spans="23:23">
      <c r="W42550" s="503"/>
    </row>
    <row r="42551" spans="23:23">
      <c r="W42551" s="503"/>
    </row>
    <row r="42552" spans="23:23">
      <c r="W42552" s="503"/>
    </row>
    <row r="42553" spans="23:23">
      <c r="W42553" s="503"/>
    </row>
    <row r="42554" spans="23:23">
      <c r="W42554" s="503"/>
    </row>
    <row r="42555" spans="23:23">
      <c r="W42555" s="503"/>
    </row>
    <row r="42556" spans="23:23">
      <c r="W42556" s="503"/>
    </row>
    <row r="42557" spans="23:23">
      <c r="W42557" s="503"/>
    </row>
    <row r="42558" spans="23:23">
      <c r="W42558" s="503"/>
    </row>
    <row r="42559" spans="23:23">
      <c r="W42559" s="503"/>
    </row>
    <row r="42560" spans="23:23">
      <c r="W42560" s="503"/>
    </row>
    <row r="42561" spans="23:23">
      <c r="W42561" s="503"/>
    </row>
    <row r="42562" spans="23:23">
      <c r="W42562" s="503"/>
    </row>
    <row r="42563" spans="23:23">
      <c r="W42563" s="503"/>
    </row>
    <row r="42564" spans="23:23">
      <c r="W42564" s="503"/>
    </row>
    <row r="42565" spans="23:23">
      <c r="W42565" s="503"/>
    </row>
    <row r="42566" spans="23:23">
      <c r="W42566" s="503"/>
    </row>
    <row r="42567" spans="23:23">
      <c r="W42567" s="503"/>
    </row>
    <row r="42568" spans="23:23">
      <c r="W42568" s="503"/>
    </row>
    <row r="42569" spans="23:23">
      <c r="W42569" s="503"/>
    </row>
    <row r="42570" spans="23:23">
      <c r="W42570" s="503"/>
    </row>
    <row r="42571" spans="23:23">
      <c r="W42571" s="503"/>
    </row>
    <row r="42572" spans="23:23">
      <c r="W42572" s="503"/>
    </row>
    <row r="42573" spans="23:23">
      <c r="W42573" s="503"/>
    </row>
    <row r="42574" spans="23:23">
      <c r="W42574" s="503"/>
    </row>
    <row r="42575" spans="23:23">
      <c r="W42575" s="503"/>
    </row>
    <row r="42576" spans="23:23">
      <c r="W42576" s="503"/>
    </row>
    <row r="42577" spans="23:23">
      <c r="W42577" s="503"/>
    </row>
    <row r="42578" spans="23:23">
      <c r="W42578" s="503"/>
    </row>
    <row r="42579" spans="23:23">
      <c r="W42579" s="503"/>
    </row>
    <row r="42580" spans="23:23">
      <c r="W42580" s="503"/>
    </row>
    <row r="42581" spans="23:23">
      <c r="W42581" s="503"/>
    </row>
    <row r="42582" spans="23:23">
      <c r="W42582" s="503"/>
    </row>
    <row r="42583" spans="23:23">
      <c r="W42583" s="503"/>
    </row>
    <row r="42584" spans="23:23">
      <c r="W42584" s="503"/>
    </row>
    <row r="42585" spans="23:23">
      <c r="W42585" s="503"/>
    </row>
    <row r="42586" spans="23:23">
      <c r="W42586" s="503"/>
    </row>
    <row r="42587" spans="23:23">
      <c r="W42587" s="503"/>
    </row>
    <row r="42588" spans="23:23">
      <c r="W42588" s="503"/>
    </row>
    <row r="42589" spans="23:23">
      <c r="W42589" s="503"/>
    </row>
    <row r="42590" spans="23:23">
      <c r="W42590" s="503"/>
    </row>
    <row r="42591" spans="23:23">
      <c r="W42591" s="503"/>
    </row>
    <row r="42592" spans="23:23">
      <c r="W42592" s="503"/>
    </row>
    <row r="42593" spans="23:23">
      <c r="W42593" s="503"/>
    </row>
    <row r="42594" spans="23:23">
      <c r="W42594" s="503"/>
    </row>
    <row r="42595" spans="23:23">
      <c r="W42595" s="503"/>
    </row>
    <row r="42596" spans="23:23">
      <c r="W42596" s="503"/>
    </row>
    <row r="42597" spans="23:23">
      <c r="W42597" s="503"/>
    </row>
    <row r="42598" spans="23:23">
      <c r="W42598" s="503"/>
    </row>
    <row r="42599" spans="23:23">
      <c r="W42599" s="503"/>
    </row>
    <row r="42600" spans="23:23">
      <c r="W42600" s="503"/>
    </row>
    <row r="42601" spans="23:23">
      <c r="W42601" s="503"/>
    </row>
    <row r="42602" spans="23:23">
      <c r="W42602" s="503"/>
    </row>
    <row r="42603" spans="23:23">
      <c r="W42603" s="503"/>
    </row>
    <row r="42604" spans="23:23">
      <c r="W42604" s="503"/>
    </row>
    <row r="42605" spans="23:23">
      <c r="W42605" s="503"/>
    </row>
    <row r="42606" spans="23:23">
      <c r="W42606" s="503"/>
    </row>
    <row r="42607" spans="23:23">
      <c r="W42607" s="503"/>
    </row>
    <row r="42608" spans="23:23">
      <c r="W42608" s="503"/>
    </row>
    <row r="42609" spans="23:23">
      <c r="W42609" s="503"/>
    </row>
    <row r="42610" spans="23:23">
      <c r="W42610" s="503"/>
    </row>
    <row r="42611" spans="23:23">
      <c r="W42611" s="503"/>
    </row>
    <row r="42612" spans="23:23">
      <c r="W42612" s="503"/>
    </row>
    <row r="42613" spans="23:23">
      <c r="W42613" s="503"/>
    </row>
    <row r="42614" spans="23:23">
      <c r="W42614" s="503"/>
    </row>
    <row r="42615" spans="23:23">
      <c r="W42615" s="503"/>
    </row>
    <row r="42616" spans="23:23">
      <c r="W42616" s="503"/>
    </row>
    <row r="42617" spans="23:23">
      <c r="W42617" s="503"/>
    </row>
    <row r="42618" spans="23:23">
      <c r="W42618" s="503"/>
    </row>
    <row r="42619" spans="23:23">
      <c r="W42619" s="503"/>
    </row>
    <row r="42620" spans="23:23">
      <c r="W42620" s="503"/>
    </row>
    <row r="42621" spans="23:23">
      <c r="W42621" s="503"/>
    </row>
    <row r="42622" spans="23:23">
      <c r="W42622" s="503"/>
    </row>
    <row r="42623" spans="23:23">
      <c r="W42623" s="503"/>
    </row>
    <row r="42624" spans="23:23">
      <c r="W42624" s="503"/>
    </row>
    <row r="42625" spans="23:23">
      <c r="W42625" s="503"/>
    </row>
    <row r="42626" spans="23:23">
      <c r="W42626" s="503"/>
    </row>
    <row r="42627" spans="23:23">
      <c r="W42627" s="503"/>
    </row>
    <row r="42628" spans="23:23">
      <c r="W42628" s="503"/>
    </row>
    <row r="42629" spans="23:23">
      <c r="W42629" s="503"/>
    </row>
    <row r="42630" spans="23:23">
      <c r="W42630" s="503"/>
    </row>
    <row r="42631" spans="23:23">
      <c r="W42631" s="503"/>
    </row>
    <row r="42632" spans="23:23">
      <c r="W42632" s="503"/>
    </row>
    <row r="42633" spans="23:23">
      <c r="W42633" s="503"/>
    </row>
    <row r="42634" spans="23:23">
      <c r="W42634" s="503"/>
    </row>
    <row r="42635" spans="23:23">
      <c r="W42635" s="503"/>
    </row>
    <row r="42636" spans="23:23">
      <c r="W42636" s="503"/>
    </row>
    <row r="42637" spans="23:23">
      <c r="W42637" s="503"/>
    </row>
    <row r="42638" spans="23:23">
      <c r="W42638" s="503"/>
    </row>
    <row r="42639" spans="23:23">
      <c r="W42639" s="503"/>
    </row>
    <row r="42640" spans="23:23">
      <c r="W42640" s="503"/>
    </row>
    <row r="42641" spans="23:23">
      <c r="W42641" s="503"/>
    </row>
    <row r="42642" spans="23:23">
      <c r="W42642" s="503"/>
    </row>
    <row r="42643" spans="23:23">
      <c r="W42643" s="503"/>
    </row>
    <row r="42644" spans="23:23">
      <c r="W42644" s="503"/>
    </row>
    <row r="42645" spans="23:23">
      <c r="W42645" s="503"/>
    </row>
    <row r="42646" spans="23:23">
      <c r="W42646" s="503"/>
    </row>
    <row r="42647" spans="23:23">
      <c r="W42647" s="503"/>
    </row>
    <row r="42648" spans="23:23">
      <c r="W42648" s="503"/>
    </row>
    <row r="42649" spans="23:23">
      <c r="W42649" s="503"/>
    </row>
    <row r="42650" spans="23:23">
      <c r="W42650" s="503"/>
    </row>
    <row r="42651" spans="23:23">
      <c r="W42651" s="503"/>
    </row>
    <row r="42652" spans="23:23">
      <c r="W42652" s="503"/>
    </row>
    <row r="42653" spans="23:23">
      <c r="W42653" s="503"/>
    </row>
    <row r="42654" spans="23:23">
      <c r="W42654" s="503"/>
    </row>
    <row r="42655" spans="23:23">
      <c r="W42655" s="503"/>
    </row>
    <row r="42656" spans="23:23">
      <c r="W42656" s="503"/>
    </row>
    <row r="42657" spans="23:23">
      <c r="W42657" s="503"/>
    </row>
    <row r="42658" spans="23:23">
      <c r="W42658" s="503"/>
    </row>
    <row r="42659" spans="23:23">
      <c r="W42659" s="503"/>
    </row>
    <row r="42660" spans="23:23">
      <c r="W42660" s="503"/>
    </row>
    <row r="42661" spans="23:23">
      <c r="W42661" s="503"/>
    </row>
    <row r="42662" spans="23:23">
      <c r="W42662" s="503"/>
    </row>
    <row r="42663" spans="23:23">
      <c r="W42663" s="503"/>
    </row>
    <row r="42664" spans="23:23">
      <c r="W42664" s="503"/>
    </row>
    <row r="42665" spans="23:23">
      <c r="W42665" s="503"/>
    </row>
    <row r="42666" spans="23:23">
      <c r="W42666" s="503"/>
    </row>
    <row r="42667" spans="23:23">
      <c r="W42667" s="503"/>
    </row>
    <row r="42668" spans="23:23">
      <c r="W42668" s="503"/>
    </row>
    <row r="42669" spans="23:23">
      <c r="W42669" s="503"/>
    </row>
    <row r="42670" spans="23:23">
      <c r="W42670" s="503"/>
    </row>
    <row r="42671" spans="23:23">
      <c r="W42671" s="503"/>
    </row>
    <row r="42672" spans="23:23">
      <c r="W42672" s="503"/>
    </row>
    <row r="42673" spans="23:23">
      <c r="W42673" s="503"/>
    </row>
    <row r="42674" spans="23:23">
      <c r="W42674" s="503"/>
    </row>
    <row r="42675" spans="23:23">
      <c r="W42675" s="503"/>
    </row>
    <row r="42676" spans="23:23">
      <c r="W42676" s="503"/>
    </row>
    <row r="42677" spans="23:23">
      <c r="W42677" s="503"/>
    </row>
    <row r="42678" spans="23:23">
      <c r="W42678" s="503"/>
    </row>
    <row r="42679" spans="23:23">
      <c r="W42679" s="503"/>
    </row>
    <row r="42680" spans="23:23">
      <c r="W42680" s="503"/>
    </row>
    <row r="42681" spans="23:23">
      <c r="W42681" s="503"/>
    </row>
    <row r="42682" spans="23:23">
      <c r="W42682" s="503"/>
    </row>
    <row r="42683" spans="23:23">
      <c r="W42683" s="503"/>
    </row>
    <row r="42684" spans="23:23">
      <c r="W42684" s="503"/>
    </row>
    <row r="42685" spans="23:23">
      <c r="W42685" s="503"/>
    </row>
    <row r="42686" spans="23:23">
      <c r="W42686" s="503"/>
    </row>
    <row r="42687" spans="23:23">
      <c r="W42687" s="503"/>
    </row>
    <row r="42688" spans="23:23">
      <c r="W42688" s="503"/>
    </row>
    <row r="42689" spans="23:23">
      <c r="W42689" s="503"/>
    </row>
    <row r="42690" spans="23:23">
      <c r="W42690" s="503"/>
    </row>
    <row r="42691" spans="23:23">
      <c r="W42691" s="503"/>
    </row>
    <row r="42692" spans="23:23">
      <c r="W42692" s="503"/>
    </row>
    <row r="42693" spans="23:23">
      <c r="W42693" s="503"/>
    </row>
    <row r="42694" spans="23:23">
      <c r="W42694" s="503"/>
    </row>
    <row r="42695" spans="23:23">
      <c r="W42695" s="503"/>
    </row>
    <row r="42696" spans="23:23">
      <c r="W42696" s="503"/>
    </row>
    <row r="42697" spans="23:23">
      <c r="W42697" s="503"/>
    </row>
    <row r="42698" spans="23:23">
      <c r="W42698" s="503"/>
    </row>
    <row r="42699" spans="23:23">
      <c r="W42699" s="503"/>
    </row>
    <row r="42700" spans="23:23">
      <c r="W42700" s="503"/>
    </row>
    <row r="42701" spans="23:23">
      <c r="W42701" s="503"/>
    </row>
    <row r="42702" spans="23:23">
      <c r="W42702" s="503"/>
    </row>
    <row r="42703" spans="23:23">
      <c r="W42703" s="503"/>
    </row>
    <row r="42704" spans="23:23">
      <c r="W42704" s="503"/>
    </row>
    <row r="42705" spans="23:23">
      <c r="W42705" s="503"/>
    </row>
    <row r="42706" spans="23:23">
      <c r="W42706" s="503"/>
    </row>
    <row r="42707" spans="23:23">
      <c r="W42707" s="503"/>
    </row>
    <row r="42708" spans="23:23">
      <c r="W42708" s="503"/>
    </row>
    <row r="42709" spans="23:23">
      <c r="W42709" s="503"/>
    </row>
    <row r="42710" spans="23:23">
      <c r="W42710" s="503"/>
    </row>
    <row r="42711" spans="23:23">
      <c r="W42711" s="503"/>
    </row>
    <row r="42712" spans="23:23">
      <c r="W42712" s="503"/>
    </row>
    <row r="42713" spans="23:23">
      <c r="W42713" s="503"/>
    </row>
    <row r="42714" spans="23:23">
      <c r="W42714" s="503"/>
    </row>
    <row r="42715" spans="23:23">
      <c r="W42715" s="503"/>
    </row>
    <row r="42716" spans="23:23">
      <c r="W42716" s="503"/>
    </row>
    <row r="42717" spans="23:23">
      <c r="W42717" s="503"/>
    </row>
    <row r="42718" spans="23:23">
      <c r="W42718" s="503"/>
    </row>
    <row r="42719" spans="23:23">
      <c r="W42719" s="503"/>
    </row>
    <row r="42720" spans="23:23">
      <c r="W42720" s="503"/>
    </row>
    <row r="42721" spans="23:23">
      <c r="W42721" s="503"/>
    </row>
    <row r="42722" spans="23:23">
      <c r="W42722" s="503"/>
    </row>
    <row r="42723" spans="23:23">
      <c r="W42723" s="503"/>
    </row>
    <row r="42724" spans="23:23">
      <c r="W42724" s="503"/>
    </row>
    <row r="42725" spans="23:23">
      <c r="W42725" s="503"/>
    </row>
    <row r="42726" spans="23:23">
      <c r="W42726" s="503"/>
    </row>
    <row r="42727" spans="23:23">
      <c r="W42727" s="503"/>
    </row>
    <row r="42728" spans="23:23">
      <c r="W42728" s="503"/>
    </row>
    <row r="42729" spans="23:23">
      <c r="W42729" s="503"/>
    </row>
    <row r="42730" spans="23:23">
      <c r="W42730" s="503"/>
    </row>
    <row r="42731" spans="23:23">
      <c r="W42731" s="503"/>
    </row>
    <row r="42732" spans="23:23">
      <c r="W42732" s="503"/>
    </row>
    <row r="42733" spans="23:23">
      <c r="W42733" s="503"/>
    </row>
    <row r="42734" spans="23:23">
      <c r="W42734" s="503"/>
    </row>
    <row r="42735" spans="23:23">
      <c r="W42735" s="503"/>
    </row>
    <row r="42736" spans="23:23">
      <c r="W42736" s="503"/>
    </row>
    <row r="42737" spans="23:23">
      <c r="W42737" s="503"/>
    </row>
    <row r="42738" spans="23:23">
      <c r="W42738" s="503"/>
    </row>
    <row r="42739" spans="23:23">
      <c r="W42739" s="503"/>
    </row>
    <row r="42740" spans="23:23">
      <c r="W42740" s="503"/>
    </row>
    <row r="42741" spans="23:23">
      <c r="W42741" s="503"/>
    </row>
    <row r="42742" spans="23:23">
      <c r="W42742" s="503"/>
    </row>
    <row r="42743" spans="23:23">
      <c r="W42743" s="503"/>
    </row>
    <row r="42744" spans="23:23">
      <c r="W42744" s="503"/>
    </row>
    <row r="42745" spans="23:23">
      <c r="W42745" s="503"/>
    </row>
    <row r="42746" spans="23:23">
      <c r="W42746" s="503"/>
    </row>
    <row r="42747" spans="23:23">
      <c r="W42747" s="503"/>
    </row>
    <row r="42748" spans="23:23">
      <c r="W42748" s="503"/>
    </row>
    <row r="42749" spans="23:23">
      <c r="W42749" s="503"/>
    </row>
    <row r="42750" spans="23:23">
      <c r="W42750" s="503"/>
    </row>
    <row r="42751" spans="23:23">
      <c r="W42751" s="503"/>
    </row>
    <row r="42752" spans="23:23">
      <c r="W42752" s="503"/>
    </row>
    <row r="42753" spans="23:23">
      <c r="W42753" s="503"/>
    </row>
    <row r="42754" spans="23:23">
      <c r="W42754" s="503"/>
    </row>
    <row r="42755" spans="23:23">
      <c r="W42755" s="503"/>
    </row>
    <row r="42756" spans="23:23">
      <c r="W42756" s="503"/>
    </row>
    <row r="42757" spans="23:23">
      <c r="W42757" s="503"/>
    </row>
    <row r="42758" spans="23:23">
      <c r="W42758" s="503"/>
    </row>
    <row r="42759" spans="23:23">
      <c r="W42759" s="503"/>
    </row>
    <row r="42760" spans="23:23">
      <c r="W42760" s="503"/>
    </row>
    <row r="42761" spans="23:23">
      <c r="W42761" s="503"/>
    </row>
    <row r="42762" spans="23:23">
      <c r="W42762" s="503"/>
    </row>
    <row r="42763" spans="23:23">
      <c r="W42763" s="503"/>
    </row>
    <row r="42764" spans="23:23">
      <c r="W42764" s="503"/>
    </row>
    <row r="42765" spans="23:23">
      <c r="W42765" s="503"/>
    </row>
    <row r="42766" spans="23:23">
      <c r="W42766" s="503"/>
    </row>
    <row r="42767" spans="23:23">
      <c r="W42767" s="503"/>
    </row>
    <row r="42768" spans="23:23">
      <c r="W42768" s="503"/>
    </row>
    <row r="42769" spans="23:23">
      <c r="W42769" s="503"/>
    </row>
    <row r="42770" spans="23:23">
      <c r="W42770" s="503"/>
    </row>
    <row r="42771" spans="23:23">
      <c r="W42771" s="503"/>
    </row>
    <row r="42772" spans="23:23">
      <c r="W42772" s="503"/>
    </row>
    <row r="42773" spans="23:23">
      <c r="W42773" s="503"/>
    </row>
    <row r="42774" spans="23:23">
      <c r="W42774" s="503"/>
    </row>
    <row r="42775" spans="23:23">
      <c r="W42775" s="503"/>
    </row>
    <row r="42776" spans="23:23">
      <c r="W42776" s="503"/>
    </row>
    <row r="42777" spans="23:23">
      <c r="W42777" s="503"/>
    </row>
    <row r="42778" spans="23:23">
      <c r="W42778" s="503"/>
    </row>
    <row r="42779" spans="23:23">
      <c r="W42779" s="503"/>
    </row>
    <row r="42780" spans="23:23">
      <c r="W42780" s="503"/>
    </row>
    <row r="42781" spans="23:23">
      <c r="W42781" s="503"/>
    </row>
    <row r="42782" spans="23:23">
      <c r="W42782" s="503"/>
    </row>
    <row r="42783" spans="23:23">
      <c r="W42783" s="503"/>
    </row>
    <row r="42784" spans="23:23">
      <c r="W42784" s="503"/>
    </row>
    <row r="42785" spans="23:23">
      <c r="W42785" s="503"/>
    </row>
    <row r="42786" spans="23:23">
      <c r="W42786" s="503"/>
    </row>
    <row r="42787" spans="23:23">
      <c r="W42787" s="503"/>
    </row>
    <row r="42788" spans="23:23">
      <c r="W42788" s="503"/>
    </row>
    <row r="42789" spans="23:23">
      <c r="W42789" s="503"/>
    </row>
    <row r="42790" spans="23:23">
      <c r="W42790" s="503"/>
    </row>
    <row r="42791" spans="23:23">
      <c r="W42791" s="503"/>
    </row>
    <row r="42792" spans="23:23">
      <c r="W42792" s="503"/>
    </row>
    <row r="42793" spans="23:23">
      <c r="W42793" s="503"/>
    </row>
    <row r="42794" spans="23:23">
      <c r="W42794" s="503"/>
    </row>
    <row r="42795" spans="23:23">
      <c r="W42795" s="503"/>
    </row>
    <row r="42796" spans="23:23">
      <c r="W42796" s="503"/>
    </row>
    <row r="42797" spans="23:23">
      <c r="W42797" s="503"/>
    </row>
    <row r="42798" spans="23:23">
      <c r="W42798" s="503"/>
    </row>
    <row r="42799" spans="23:23">
      <c r="W42799" s="503"/>
    </row>
    <row r="42800" spans="23:23">
      <c r="W42800" s="503"/>
    </row>
    <row r="42801" spans="23:23">
      <c r="W42801" s="503"/>
    </row>
    <row r="42802" spans="23:23">
      <c r="W42802" s="503"/>
    </row>
    <row r="42803" spans="23:23">
      <c r="W42803" s="503"/>
    </row>
    <row r="42804" spans="23:23">
      <c r="W42804" s="503"/>
    </row>
    <row r="42805" spans="23:23">
      <c r="W42805" s="503"/>
    </row>
    <row r="42806" spans="23:23">
      <c r="W42806" s="503"/>
    </row>
    <row r="42807" spans="23:23">
      <c r="W42807" s="503"/>
    </row>
    <row r="42808" spans="23:23">
      <c r="W42808" s="503"/>
    </row>
    <row r="42809" spans="23:23">
      <c r="W42809" s="503"/>
    </row>
    <row r="42810" spans="23:23">
      <c r="W42810" s="503"/>
    </row>
    <row r="42811" spans="23:23">
      <c r="W42811" s="503"/>
    </row>
    <row r="42812" spans="23:23">
      <c r="W42812" s="503"/>
    </row>
    <row r="42813" spans="23:23">
      <c r="W42813" s="503"/>
    </row>
    <row r="42814" spans="23:23">
      <c r="W42814" s="503"/>
    </row>
    <row r="42815" spans="23:23">
      <c r="W42815" s="503"/>
    </row>
    <row r="42816" spans="23:23">
      <c r="W42816" s="503"/>
    </row>
    <row r="42817" spans="23:23">
      <c r="W42817" s="503"/>
    </row>
    <row r="42818" spans="23:23">
      <c r="W42818" s="503"/>
    </row>
    <row r="42819" spans="23:23">
      <c r="W42819" s="503"/>
    </row>
    <row r="42820" spans="23:23">
      <c r="W42820" s="503"/>
    </row>
    <row r="42821" spans="23:23">
      <c r="W42821" s="503"/>
    </row>
    <row r="42822" spans="23:23">
      <c r="W42822" s="503"/>
    </row>
    <row r="42823" spans="23:23">
      <c r="W42823" s="503"/>
    </row>
    <row r="42824" spans="23:23">
      <c r="W42824" s="503"/>
    </row>
    <row r="42825" spans="23:23">
      <c r="W42825" s="503"/>
    </row>
    <row r="42826" spans="23:23">
      <c r="W42826" s="503"/>
    </row>
    <row r="42827" spans="23:23">
      <c r="W42827" s="503"/>
    </row>
    <row r="42828" spans="23:23">
      <c r="W42828" s="503"/>
    </row>
    <row r="42829" spans="23:23">
      <c r="W42829" s="503"/>
    </row>
    <row r="42830" spans="23:23">
      <c r="W42830" s="503"/>
    </row>
    <row r="42831" spans="23:23">
      <c r="W42831" s="503"/>
    </row>
    <row r="42832" spans="23:23">
      <c r="W42832" s="503"/>
    </row>
    <row r="42833" spans="23:23">
      <c r="W42833" s="503"/>
    </row>
    <row r="42834" spans="23:23">
      <c r="W42834" s="503"/>
    </row>
    <row r="42835" spans="23:23">
      <c r="W42835" s="503"/>
    </row>
    <row r="42836" spans="23:23">
      <c r="W42836" s="503"/>
    </row>
    <row r="42837" spans="23:23">
      <c r="W42837" s="503"/>
    </row>
    <row r="42838" spans="23:23">
      <c r="W42838" s="503"/>
    </row>
    <row r="42839" spans="23:23">
      <c r="W42839" s="503"/>
    </row>
    <row r="42840" spans="23:23">
      <c r="W42840" s="503"/>
    </row>
    <row r="42841" spans="23:23">
      <c r="W42841" s="503"/>
    </row>
    <row r="42842" spans="23:23">
      <c r="W42842" s="503"/>
    </row>
    <row r="42843" spans="23:23">
      <c r="W42843" s="503"/>
    </row>
    <row r="42844" spans="23:23">
      <c r="W42844" s="503"/>
    </row>
    <row r="42845" spans="23:23">
      <c r="W42845" s="503"/>
    </row>
    <row r="42846" spans="23:23">
      <c r="W42846" s="503"/>
    </row>
    <row r="42847" spans="23:23">
      <c r="W42847" s="503"/>
    </row>
    <row r="42848" spans="23:23">
      <c r="W42848" s="503"/>
    </row>
    <row r="42849" spans="23:23">
      <c r="W42849" s="503"/>
    </row>
    <row r="42850" spans="23:23">
      <c r="W42850" s="503"/>
    </row>
    <row r="42851" spans="23:23">
      <c r="W42851" s="503"/>
    </row>
    <row r="42852" spans="23:23">
      <c r="W42852" s="503"/>
    </row>
    <row r="42853" spans="23:23">
      <c r="W42853" s="503"/>
    </row>
    <row r="42854" spans="23:23">
      <c r="W42854" s="503"/>
    </row>
    <row r="42855" spans="23:23">
      <c r="W42855" s="503"/>
    </row>
    <row r="42856" spans="23:23">
      <c r="W42856" s="503"/>
    </row>
    <row r="42857" spans="23:23">
      <c r="W42857" s="503"/>
    </row>
    <row r="42858" spans="23:23">
      <c r="W42858" s="503"/>
    </row>
    <row r="42859" spans="23:23">
      <c r="W42859" s="503"/>
    </row>
    <row r="42860" spans="23:23">
      <c r="W42860" s="503"/>
    </row>
    <row r="42861" spans="23:23">
      <c r="W42861" s="503"/>
    </row>
    <row r="42862" spans="23:23">
      <c r="W42862" s="503"/>
    </row>
    <row r="42863" spans="23:23">
      <c r="W42863" s="503"/>
    </row>
    <row r="42864" spans="23:23">
      <c r="W42864" s="503"/>
    </row>
    <row r="42865" spans="23:23">
      <c r="W42865" s="503"/>
    </row>
    <row r="42866" spans="23:23">
      <c r="W42866" s="503"/>
    </row>
    <row r="42867" spans="23:23">
      <c r="W42867" s="503"/>
    </row>
    <row r="42868" spans="23:23">
      <c r="W42868" s="503"/>
    </row>
    <row r="42869" spans="23:23">
      <c r="W42869" s="503"/>
    </row>
    <row r="42870" spans="23:23">
      <c r="W42870" s="503"/>
    </row>
    <row r="42871" spans="23:23">
      <c r="W42871" s="503"/>
    </row>
    <row r="42872" spans="23:23">
      <c r="W42872" s="503"/>
    </row>
    <row r="42873" spans="23:23">
      <c r="W42873" s="503"/>
    </row>
    <row r="42874" spans="23:23">
      <c r="W42874" s="503"/>
    </row>
    <row r="42875" spans="23:23">
      <c r="W42875" s="503"/>
    </row>
    <row r="42876" spans="23:23">
      <c r="W42876" s="503"/>
    </row>
    <row r="42877" spans="23:23">
      <c r="W42877" s="503"/>
    </row>
    <row r="42878" spans="23:23">
      <c r="W42878" s="503"/>
    </row>
    <row r="42879" spans="23:23">
      <c r="W42879" s="503"/>
    </row>
    <row r="42880" spans="23:23">
      <c r="W42880" s="503"/>
    </row>
    <row r="42881" spans="23:23">
      <c r="W42881" s="503"/>
    </row>
    <row r="42882" spans="23:23">
      <c r="W42882" s="503"/>
    </row>
    <row r="42883" spans="23:23">
      <c r="W42883" s="503"/>
    </row>
    <row r="42884" spans="23:23">
      <c r="W42884" s="503"/>
    </row>
    <row r="42885" spans="23:23">
      <c r="W42885" s="503"/>
    </row>
    <row r="42886" spans="23:23">
      <c r="W42886" s="503"/>
    </row>
    <row r="42887" spans="23:23">
      <c r="W42887" s="503"/>
    </row>
    <row r="42888" spans="23:23">
      <c r="W42888" s="503"/>
    </row>
    <row r="42889" spans="23:23">
      <c r="W42889" s="503"/>
    </row>
    <row r="42890" spans="23:23">
      <c r="W42890" s="503"/>
    </row>
    <row r="42891" spans="23:23">
      <c r="W42891" s="503"/>
    </row>
    <row r="42892" spans="23:23">
      <c r="W42892" s="503"/>
    </row>
    <row r="42893" spans="23:23">
      <c r="W42893" s="503"/>
    </row>
    <row r="42894" spans="23:23">
      <c r="W42894" s="503"/>
    </row>
    <row r="42895" spans="23:23">
      <c r="W42895" s="503"/>
    </row>
    <row r="42896" spans="23:23">
      <c r="W42896" s="503"/>
    </row>
    <row r="42897" spans="23:23">
      <c r="W42897" s="503"/>
    </row>
    <row r="42898" spans="23:23">
      <c r="W42898" s="503"/>
    </row>
    <row r="42899" spans="23:23">
      <c r="W42899" s="503"/>
    </row>
    <row r="42900" spans="23:23">
      <c r="W42900" s="503"/>
    </row>
    <row r="42901" spans="23:23">
      <c r="W42901" s="503"/>
    </row>
    <row r="42902" spans="23:23">
      <c r="W42902" s="503"/>
    </row>
    <row r="42903" spans="23:23">
      <c r="W42903" s="503"/>
    </row>
    <row r="42904" spans="23:23">
      <c r="W42904" s="503"/>
    </row>
    <row r="42905" spans="23:23">
      <c r="W42905" s="503"/>
    </row>
    <row r="42906" spans="23:23">
      <c r="W42906" s="503"/>
    </row>
    <row r="42907" spans="23:23">
      <c r="W42907" s="503"/>
    </row>
    <row r="42908" spans="23:23">
      <c r="W42908" s="503"/>
    </row>
    <row r="42909" spans="23:23">
      <c r="W42909" s="503"/>
    </row>
    <row r="42910" spans="23:23">
      <c r="W42910" s="503"/>
    </row>
    <row r="42911" spans="23:23">
      <c r="W42911" s="503"/>
    </row>
    <row r="42912" spans="23:23">
      <c r="W42912" s="503"/>
    </row>
    <row r="42913" spans="23:23">
      <c r="W42913" s="503"/>
    </row>
    <row r="42914" spans="23:23">
      <c r="W42914" s="503"/>
    </row>
    <row r="42915" spans="23:23">
      <c r="W42915" s="503"/>
    </row>
    <row r="42916" spans="23:23">
      <c r="W42916" s="503"/>
    </row>
    <row r="42917" spans="23:23">
      <c r="W42917" s="503"/>
    </row>
    <row r="42918" spans="23:23">
      <c r="W42918" s="503"/>
    </row>
    <row r="42919" spans="23:23">
      <c r="W42919" s="503"/>
    </row>
    <row r="42920" spans="23:23">
      <c r="W42920" s="503"/>
    </row>
    <row r="42921" spans="23:23">
      <c r="W42921" s="503"/>
    </row>
    <row r="42922" spans="23:23">
      <c r="W42922" s="503"/>
    </row>
    <row r="42923" spans="23:23">
      <c r="W42923" s="503"/>
    </row>
    <row r="42924" spans="23:23">
      <c r="W42924" s="503"/>
    </row>
    <row r="42925" spans="23:23">
      <c r="W42925" s="503"/>
    </row>
    <row r="42926" spans="23:23">
      <c r="W42926" s="503"/>
    </row>
    <row r="42927" spans="23:23">
      <c r="W42927" s="503"/>
    </row>
    <row r="42928" spans="23:23">
      <c r="W42928" s="503"/>
    </row>
    <row r="42929" spans="23:23">
      <c r="W42929" s="503"/>
    </row>
    <row r="42930" spans="23:23">
      <c r="W42930" s="503"/>
    </row>
    <row r="42931" spans="23:23">
      <c r="W42931" s="503"/>
    </row>
    <row r="42932" spans="23:23">
      <c r="W42932" s="503"/>
    </row>
    <row r="42933" spans="23:23">
      <c r="W42933" s="503"/>
    </row>
    <row r="42934" spans="23:23">
      <c r="W42934" s="503"/>
    </row>
    <row r="42935" spans="23:23">
      <c r="W42935" s="503"/>
    </row>
    <row r="42936" spans="23:23">
      <c r="W42936" s="503"/>
    </row>
    <row r="42937" spans="23:23">
      <c r="W42937" s="503"/>
    </row>
    <row r="42938" spans="23:23">
      <c r="W42938" s="503"/>
    </row>
    <row r="42939" spans="23:23">
      <c r="W42939" s="503"/>
    </row>
    <row r="42940" spans="23:23">
      <c r="W42940" s="503"/>
    </row>
    <row r="42941" spans="23:23">
      <c r="W42941" s="503"/>
    </row>
    <row r="42942" spans="23:23">
      <c r="W42942" s="503"/>
    </row>
    <row r="42943" spans="23:23">
      <c r="W42943" s="503"/>
    </row>
    <row r="42944" spans="23:23">
      <c r="W42944" s="503"/>
    </row>
    <row r="42945" spans="23:23">
      <c r="W42945" s="503"/>
    </row>
    <row r="42946" spans="23:23">
      <c r="W42946" s="503"/>
    </row>
    <row r="42947" spans="23:23">
      <c r="W42947" s="503"/>
    </row>
    <row r="42948" spans="23:23">
      <c r="W42948" s="503"/>
    </row>
    <row r="42949" spans="23:23">
      <c r="W42949" s="503"/>
    </row>
    <row r="42950" spans="23:23">
      <c r="W42950" s="503"/>
    </row>
    <row r="42951" spans="23:23">
      <c r="W42951" s="503"/>
    </row>
    <row r="42952" spans="23:23">
      <c r="W42952" s="503"/>
    </row>
    <row r="42953" spans="23:23">
      <c r="W42953" s="503"/>
    </row>
    <row r="42954" spans="23:23">
      <c r="W42954" s="503"/>
    </row>
    <row r="42955" spans="23:23">
      <c r="W42955" s="503"/>
    </row>
    <row r="42956" spans="23:23">
      <c r="W42956" s="503"/>
    </row>
    <row r="42957" spans="23:23">
      <c r="W42957" s="503"/>
    </row>
    <row r="42958" spans="23:23">
      <c r="W42958" s="503"/>
    </row>
    <row r="42959" spans="23:23">
      <c r="W42959" s="503"/>
    </row>
    <row r="42960" spans="23:23">
      <c r="W42960" s="503"/>
    </row>
    <row r="42961" spans="23:23">
      <c r="W42961" s="503"/>
    </row>
    <row r="42962" spans="23:23">
      <c r="W42962" s="503"/>
    </row>
    <row r="42963" spans="23:23">
      <c r="W42963" s="503"/>
    </row>
    <row r="42964" spans="23:23">
      <c r="W42964" s="503"/>
    </row>
    <row r="42965" spans="23:23">
      <c r="W42965" s="503"/>
    </row>
    <row r="42966" spans="23:23">
      <c r="W42966" s="503"/>
    </row>
    <row r="42967" spans="23:23">
      <c r="W42967" s="503"/>
    </row>
    <row r="42968" spans="23:23">
      <c r="W42968" s="503"/>
    </row>
    <row r="42969" spans="23:23">
      <c r="W42969" s="503"/>
    </row>
    <row r="42970" spans="23:23">
      <c r="W42970" s="503"/>
    </row>
    <row r="42971" spans="23:23">
      <c r="W42971" s="503"/>
    </row>
    <row r="42972" spans="23:23">
      <c r="W42972" s="503"/>
    </row>
    <row r="42973" spans="23:23">
      <c r="W42973" s="503"/>
    </row>
    <row r="42974" spans="23:23">
      <c r="W42974" s="503"/>
    </row>
    <row r="42975" spans="23:23">
      <c r="W42975" s="503"/>
    </row>
    <row r="42976" spans="23:23">
      <c r="W42976" s="503"/>
    </row>
    <row r="42977" spans="23:23">
      <c r="W42977" s="503"/>
    </row>
    <row r="42978" spans="23:23">
      <c r="W42978" s="503"/>
    </row>
    <row r="42979" spans="23:23">
      <c r="W42979" s="503"/>
    </row>
    <row r="42980" spans="23:23">
      <c r="W42980" s="503"/>
    </row>
    <row r="42981" spans="23:23">
      <c r="W42981" s="503"/>
    </row>
    <row r="42982" spans="23:23">
      <c r="W42982" s="503"/>
    </row>
    <row r="42983" spans="23:23">
      <c r="W42983" s="503"/>
    </row>
    <row r="42984" spans="23:23">
      <c r="W42984" s="503"/>
    </row>
    <row r="42985" spans="23:23">
      <c r="W42985" s="503"/>
    </row>
    <row r="42986" spans="23:23">
      <c r="W42986" s="503"/>
    </row>
    <row r="42987" spans="23:23">
      <c r="W42987" s="503"/>
    </row>
    <row r="42988" spans="23:23">
      <c r="W42988" s="503"/>
    </row>
    <row r="42989" spans="23:23">
      <c r="W42989" s="503"/>
    </row>
    <row r="42990" spans="23:23">
      <c r="W42990" s="503"/>
    </row>
    <row r="42991" spans="23:23">
      <c r="W42991" s="503"/>
    </row>
    <row r="42992" spans="23:23">
      <c r="W42992" s="503"/>
    </row>
    <row r="42993" spans="23:23">
      <c r="W42993" s="503"/>
    </row>
    <row r="42994" spans="23:23">
      <c r="W42994" s="503"/>
    </row>
    <row r="42995" spans="23:23">
      <c r="W42995" s="503"/>
    </row>
    <row r="42996" spans="23:23">
      <c r="W42996" s="503"/>
    </row>
    <row r="42997" spans="23:23">
      <c r="W42997" s="503"/>
    </row>
    <row r="42998" spans="23:23">
      <c r="W42998" s="503"/>
    </row>
    <row r="42999" spans="23:23">
      <c r="W42999" s="503"/>
    </row>
    <row r="43000" spans="23:23">
      <c r="W43000" s="503"/>
    </row>
    <row r="43001" spans="23:23">
      <c r="W43001" s="503"/>
    </row>
    <row r="43002" spans="23:23">
      <c r="W43002" s="503"/>
    </row>
    <row r="43003" spans="23:23">
      <c r="W43003" s="503"/>
    </row>
    <row r="43004" spans="23:23">
      <c r="W43004" s="503"/>
    </row>
    <row r="43005" spans="23:23">
      <c r="W43005" s="503"/>
    </row>
    <row r="43006" spans="23:23">
      <c r="W43006" s="503"/>
    </row>
    <row r="43007" spans="23:23">
      <c r="W43007" s="503"/>
    </row>
    <row r="43008" spans="23:23">
      <c r="W43008" s="503"/>
    </row>
    <row r="43009" spans="23:23">
      <c r="W43009" s="503"/>
    </row>
    <row r="43010" spans="23:23">
      <c r="W43010" s="503"/>
    </row>
    <row r="43011" spans="23:23">
      <c r="W43011" s="503"/>
    </row>
    <row r="43012" spans="23:23">
      <c r="W43012" s="503"/>
    </row>
    <row r="43013" spans="23:23">
      <c r="W43013" s="503"/>
    </row>
    <row r="43014" spans="23:23">
      <c r="W43014" s="503"/>
    </row>
    <row r="43015" spans="23:23">
      <c r="W43015" s="503"/>
    </row>
    <row r="43016" spans="23:23">
      <c r="W43016" s="503"/>
    </row>
    <row r="43017" spans="23:23">
      <c r="W43017" s="503"/>
    </row>
    <row r="43018" spans="23:23">
      <c r="W43018" s="503"/>
    </row>
    <row r="43019" spans="23:23">
      <c r="W43019" s="503"/>
    </row>
    <row r="43020" spans="23:23">
      <c r="W43020" s="503"/>
    </row>
    <row r="43021" spans="23:23">
      <c r="W43021" s="503"/>
    </row>
    <row r="43022" spans="23:23">
      <c r="W43022" s="503"/>
    </row>
    <row r="43023" spans="23:23">
      <c r="W43023" s="503"/>
    </row>
    <row r="43024" spans="23:23">
      <c r="W43024" s="503"/>
    </row>
    <row r="43025" spans="23:23">
      <c r="W43025" s="503"/>
    </row>
    <row r="43026" spans="23:23">
      <c r="W43026" s="503"/>
    </row>
    <row r="43027" spans="23:23">
      <c r="W43027" s="503"/>
    </row>
    <row r="43028" spans="23:23">
      <c r="W43028" s="503"/>
    </row>
    <row r="43029" spans="23:23">
      <c r="W43029" s="503"/>
    </row>
    <row r="43030" spans="23:23">
      <c r="W43030" s="503"/>
    </row>
    <row r="43031" spans="23:23">
      <c r="W43031" s="503"/>
    </row>
    <row r="43032" spans="23:23">
      <c r="W43032" s="503"/>
    </row>
    <row r="43033" spans="23:23">
      <c r="W43033" s="503"/>
    </row>
    <row r="43034" spans="23:23">
      <c r="W43034" s="503"/>
    </row>
    <row r="43035" spans="23:23">
      <c r="W43035" s="503"/>
    </row>
    <row r="43036" spans="23:23">
      <c r="W43036" s="503"/>
    </row>
    <row r="43037" spans="23:23">
      <c r="W43037" s="503"/>
    </row>
    <row r="43038" spans="23:23">
      <c r="W43038" s="503"/>
    </row>
    <row r="43039" spans="23:23">
      <c r="W43039" s="503"/>
    </row>
    <row r="43040" spans="23:23">
      <c r="W43040" s="503"/>
    </row>
    <row r="43041" spans="23:23">
      <c r="W43041" s="503"/>
    </row>
    <row r="43042" spans="23:23">
      <c r="W43042" s="503"/>
    </row>
    <row r="43043" spans="23:23">
      <c r="W43043" s="503"/>
    </row>
    <row r="43044" spans="23:23">
      <c r="W43044" s="503"/>
    </row>
    <row r="43045" spans="23:23">
      <c r="W43045" s="503"/>
    </row>
    <row r="43046" spans="23:23">
      <c r="W43046" s="503"/>
    </row>
    <row r="43047" spans="23:23">
      <c r="W43047" s="503"/>
    </row>
    <row r="43048" spans="23:23">
      <c r="W43048" s="503"/>
    </row>
    <row r="43049" spans="23:23">
      <c r="W43049" s="503"/>
    </row>
    <row r="43050" spans="23:23">
      <c r="W43050" s="503"/>
    </row>
    <row r="43051" spans="23:23">
      <c r="W43051" s="503"/>
    </row>
    <row r="43052" spans="23:23">
      <c r="W43052" s="503"/>
    </row>
    <row r="43053" spans="23:23">
      <c r="W43053" s="503"/>
    </row>
    <row r="43054" spans="23:23">
      <c r="W43054" s="503"/>
    </row>
    <row r="43055" spans="23:23">
      <c r="W43055" s="503"/>
    </row>
    <row r="43056" spans="23:23">
      <c r="W43056" s="503"/>
    </row>
    <row r="43057" spans="23:23">
      <c r="W43057" s="503"/>
    </row>
    <row r="43058" spans="23:23">
      <c r="W43058" s="503"/>
    </row>
    <row r="43059" spans="23:23">
      <c r="W43059" s="503"/>
    </row>
    <row r="43060" spans="23:23">
      <c r="W43060" s="503"/>
    </row>
    <row r="43061" spans="23:23">
      <c r="W43061" s="503"/>
    </row>
    <row r="43062" spans="23:23">
      <c r="W43062" s="503"/>
    </row>
    <row r="43063" spans="23:23">
      <c r="W43063" s="503"/>
    </row>
    <row r="43064" spans="23:23">
      <c r="W43064" s="503"/>
    </row>
    <row r="43065" spans="23:23">
      <c r="W43065" s="503"/>
    </row>
    <row r="43066" spans="23:23">
      <c r="W43066" s="503"/>
    </row>
    <row r="43067" spans="23:23">
      <c r="W43067" s="503"/>
    </row>
    <row r="43068" spans="23:23">
      <c r="W43068" s="503"/>
    </row>
    <row r="43069" spans="23:23">
      <c r="W43069" s="503"/>
    </row>
    <row r="43070" spans="23:23">
      <c r="W43070" s="503"/>
    </row>
    <row r="43071" spans="23:23">
      <c r="W43071" s="503"/>
    </row>
    <row r="43072" spans="23:23">
      <c r="W43072" s="503"/>
    </row>
    <row r="43073" spans="23:23">
      <c r="W43073" s="503"/>
    </row>
    <row r="43074" spans="23:23">
      <c r="W43074" s="503"/>
    </row>
    <row r="43075" spans="23:23">
      <c r="W43075" s="503"/>
    </row>
    <row r="43076" spans="23:23">
      <c r="W43076" s="503"/>
    </row>
    <row r="43077" spans="23:23">
      <c r="W43077" s="503"/>
    </row>
    <row r="43078" spans="23:23">
      <c r="W43078" s="503"/>
    </row>
    <row r="43079" spans="23:23">
      <c r="W43079" s="503"/>
    </row>
    <row r="43080" spans="23:23">
      <c r="W43080" s="503"/>
    </row>
    <row r="43081" spans="23:23">
      <c r="W43081" s="503"/>
    </row>
    <row r="43082" spans="23:23">
      <c r="W43082" s="503"/>
    </row>
    <row r="43083" spans="23:23">
      <c r="W43083" s="503"/>
    </row>
    <row r="43084" spans="23:23">
      <c r="W43084" s="503"/>
    </row>
    <row r="43085" spans="23:23">
      <c r="W43085" s="503"/>
    </row>
    <row r="43086" spans="23:23">
      <c r="W43086" s="503"/>
    </row>
    <row r="43087" spans="23:23">
      <c r="W43087" s="503"/>
    </row>
    <row r="43088" spans="23:23">
      <c r="W43088" s="503"/>
    </row>
    <row r="43089" spans="23:23">
      <c r="W43089" s="503"/>
    </row>
    <row r="43090" spans="23:23">
      <c r="W43090" s="503"/>
    </row>
    <row r="43091" spans="23:23">
      <c r="W43091" s="503"/>
    </row>
    <row r="43092" spans="23:23">
      <c r="W43092" s="503"/>
    </row>
    <row r="43093" spans="23:23">
      <c r="W43093" s="503"/>
    </row>
    <row r="43094" spans="23:23">
      <c r="W43094" s="503"/>
    </row>
    <row r="43095" spans="23:23">
      <c r="W43095" s="503"/>
    </row>
    <row r="43096" spans="23:23">
      <c r="W43096" s="503"/>
    </row>
    <row r="43097" spans="23:23">
      <c r="W43097" s="503"/>
    </row>
    <row r="43098" spans="23:23">
      <c r="W43098" s="503"/>
    </row>
    <row r="43099" spans="23:23">
      <c r="W43099" s="503"/>
    </row>
    <row r="43100" spans="23:23">
      <c r="W43100" s="503"/>
    </row>
    <row r="43101" spans="23:23">
      <c r="W43101" s="503"/>
    </row>
    <row r="43102" spans="23:23">
      <c r="W43102" s="503"/>
    </row>
    <row r="43103" spans="23:23">
      <c r="W43103" s="503"/>
    </row>
    <row r="43104" spans="23:23">
      <c r="W43104" s="503"/>
    </row>
    <row r="43105" spans="23:23">
      <c r="W43105" s="503"/>
    </row>
    <row r="43106" spans="23:23">
      <c r="W43106" s="503"/>
    </row>
    <row r="43107" spans="23:23">
      <c r="W43107" s="503"/>
    </row>
    <row r="43108" spans="23:23">
      <c r="W43108" s="503"/>
    </row>
    <row r="43109" spans="23:23">
      <c r="W43109" s="503"/>
    </row>
    <row r="43110" spans="23:23">
      <c r="W43110" s="503"/>
    </row>
    <row r="43111" spans="23:23">
      <c r="W43111" s="503"/>
    </row>
    <row r="43112" spans="23:23">
      <c r="W43112" s="503"/>
    </row>
    <row r="43113" spans="23:23">
      <c r="W43113" s="503"/>
    </row>
    <row r="43114" spans="23:23">
      <c r="W43114" s="503"/>
    </row>
    <row r="43115" spans="23:23">
      <c r="W43115" s="503"/>
    </row>
    <row r="43116" spans="23:23">
      <c r="W43116" s="503"/>
    </row>
    <row r="43117" spans="23:23">
      <c r="W43117" s="503"/>
    </row>
    <row r="43118" spans="23:23">
      <c r="W43118" s="503"/>
    </row>
    <row r="43119" spans="23:23">
      <c r="W43119" s="503"/>
    </row>
    <row r="43120" spans="23:23">
      <c r="W43120" s="503"/>
    </row>
    <row r="43121" spans="23:23">
      <c r="W43121" s="503"/>
    </row>
    <row r="43122" spans="23:23">
      <c r="W43122" s="503"/>
    </row>
    <row r="43123" spans="23:23">
      <c r="W43123" s="503"/>
    </row>
    <row r="43124" spans="23:23">
      <c r="W43124" s="503"/>
    </row>
    <row r="43125" spans="23:23">
      <c r="W43125" s="503"/>
    </row>
    <row r="43126" spans="23:23">
      <c r="W43126" s="503"/>
    </row>
    <row r="43127" spans="23:23">
      <c r="W43127" s="503"/>
    </row>
    <row r="43128" spans="23:23">
      <c r="W43128" s="503"/>
    </row>
    <row r="43129" spans="23:23">
      <c r="W43129" s="503"/>
    </row>
    <row r="43130" spans="23:23">
      <c r="W43130" s="503"/>
    </row>
    <row r="43131" spans="23:23">
      <c r="W43131" s="503"/>
    </row>
    <row r="43132" spans="23:23">
      <c r="W43132" s="503"/>
    </row>
    <row r="43133" spans="23:23">
      <c r="W43133" s="503"/>
    </row>
    <row r="43134" spans="23:23">
      <c r="W43134" s="503"/>
    </row>
    <row r="43135" spans="23:23">
      <c r="W43135" s="503"/>
    </row>
    <row r="43136" spans="23:23">
      <c r="W43136" s="503"/>
    </row>
    <row r="43137" spans="23:23">
      <c r="W43137" s="503"/>
    </row>
    <row r="43138" spans="23:23">
      <c r="W43138" s="503"/>
    </row>
    <row r="43139" spans="23:23">
      <c r="W43139" s="503"/>
    </row>
    <row r="43140" spans="23:23">
      <c r="W43140" s="503"/>
    </row>
    <row r="43141" spans="23:23">
      <c r="W43141" s="503"/>
    </row>
    <row r="43142" spans="23:23">
      <c r="W43142" s="503"/>
    </row>
    <row r="43143" spans="23:23">
      <c r="W43143" s="503"/>
    </row>
    <row r="43144" spans="23:23">
      <c r="W43144" s="503"/>
    </row>
    <row r="43145" spans="23:23">
      <c r="W43145" s="503"/>
    </row>
    <row r="43146" spans="23:23">
      <c r="W43146" s="503"/>
    </row>
    <row r="43147" spans="23:23">
      <c r="W43147" s="503"/>
    </row>
    <row r="43148" spans="23:23">
      <c r="W43148" s="503"/>
    </row>
    <row r="43149" spans="23:23">
      <c r="W43149" s="503"/>
    </row>
    <row r="43150" spans="23:23">
      <c r="W43150" s="503"/>
    </row>
    <row r="43151" spans="23:23">
      <c r="W43151" s="503"/>
    </row>
    <row r="43152" spans="23:23">
      <c r="W43152" s="503"/>
    </row>
    <row r="43153" spans="23:23">
      <c r="W43153" s="503"/>
    </row>
    <row r="43154" spans="23:23">
      <c r="W43154" s="503"/>
    </row>
    <row r="43155" spans="23:23">
      <c r="W43155" s="503"/>
    </row>
    <row r="43156" spans="23:23">
      <c r="W43156" s="503"/>
    </row>
    <row r="43157" spans="23:23">
      <c r="W43157" s="503"/>
    </row>
    <row r="43158" spans="23:23">
      <c r="W43158" s="503"/>
    </row>
    <row r="43159" spans="23:23">
      <c r="W43159" s="503"/>
    </row>
    <row r="43160" spans="23:23">
      <c r="W43160" s="503"/>
    </row>
    <row r="43161" spans="23:23">
      <c r="W43161" s="503"/>
    </row>
    <row r="43162" spans="23:23">
      <c r="W43162" s="503"/>
    </row>
    <row r="43163" spans="23:23">
      <c r="W43163" s="503"/>
    </row>
    <row r="43164" spans="23:23">
      <c r="W43164" s="503"/>
    </row>
    <row r="43165" spans="23:23">
      <c r="W43165" s="503"/>
    </row>
    <row r="43166" spans="23:23">
      <c r="W43166" s="503"/>
    </row>
    <row r="43167" spans="23:23">
      <c r="W43167" s="503"/>
    </row>
    <row r="43168" spans="23:23">
      <c r="W43168" s="503"/>
    </row>
    <row r="43169" spans="23:23">
      <c r="W43169" s="503"/>
    </row>
    <row r="43170" spans="23:23">
      <c r="W43170" s="503"/>
    </row>
    <row r="43171" spans="23:23">
      <c r="W43171" s="503"/>
    </row>
    <row r="43172" spans="23:23">
      <c r="W43172" s="503"/>
    </row>
    <row r="43173" spans="23:23">
      <c r="W43173" s="503"/>
    </row>
    <row r="43174" spans="23:23">
      <c r="W43174" s="503"/>
    </row>
    <row r="43175" spans="23:23">
      <c r="W43175" s="503"/>
    </row>
    <row r="43176" spans="23:23">
      <c r="W43176" s="503"/>
    </row>
    <row r="43177" spans="23:23">
      <c r="W43177" s="503"/>
    </row>
    <row r="43178" spans="23:23">
      <c r="W43178" s="503"/>
    </row>
    <row r="43179" spans="23:23">
      <c r="W43179" s="503"/>
    </row>
    <row r="43180" spans="23:23">
      <c r="W43180" s="503"/>
    </row>
    <row r="43181" spans="23:23">
      <c r="W43181" s="503"/>
    </row>
    <row r="43182" spans="23:23">
      <c r="W43182" s="503"/>
    </row>
    <row r="43183" spans="23:23">
      <c r="W43183" s="503"/>
    </row>
    <row r="43184" spans="23:23">
      <c r="W43184" s="503"/>
    </row>
    <row r="43185" spans="23:23">
      <c r="W43185" s="503"/>
    </row>
    <row r="43186" spans="23:23">
      <c r="W43186" s="503"/>
    </row>
    <row r="43187" spans="23:23">
      <c r="W43187" s="503"/>
    </row>
    <row r="43188" spans="23:23">
      <c r="W43188" s="503"/>
    </row>
    <row r="43189" spans="23:23">
      <c r="W43189" s="503"/>
    </row>
    <row r="43190" spans="23:23">
      <c r="W43190" s="503"/>
    </row>
    <row r="43191" spans="23:23">
      <c r="W43191" s="503"/>
    </row>
    <row r="43192" spans="23:23">
      <c r="W43192" s="503"/>
    </row>
    <row r="43193" spans="23:23">
      <c r="W43193" s="503"/>
    </row>
    <row r="43194" spans="23:23">
      <c r="W43194" s="503"/>
    </row>
    <row r="43195" spans="23:23">
      <c r="W43195" s="503"/>
    </row>
    <row r="43196" spans="23:23">
      <c r="W43196" s="503"/>
    </row>
    <row r="43197" spans="23:23">
      <c r="W43197" s="503"/>
    </row>
    <row r="43198" spans="23:23">
      <c r="W43198" s="503"/>
    </row>
    <row r="43199" spans="23:23">
      <c r="W43199" s="503"/>
    </row>
    <row r="43200" spans="23:23">
      <c r="W43200" s="503"/>
    </row>
    <row r="43201" spans="23:23">
      <c r="W43201" s="503"/>
    </row>
    <row r="43202" spans="23:23">
      <c r="W43202" s="503"/>
    </row>
    <row r="43203" spans="23:23">
      <c r="W43203" s="503"/>
    </row>
    <row r="43204" spans="23:23">
      <c r="W43204" s="503"/>
    </row>
    <row r="43205" spans="23:23">
      <c r="W43205" s="503"/>
    </row>
    <row r="43206" spans="23:23">
      <c r="W43206" s="503"/>
    </row>
    <row r="43207" spans="23:23">
      <c r="W43207" s="503"/>
    </row>
    <row r="43208" spans="23:23">
      <c r="W43208" s="503"/>
    </row>
    <row r="43209" spans="23:23">
      <c r="W43209" s="503"/>
    </row>
    <row r="43210" spans="23:23">
      <c r="W43210" s="503"/>
    </row>
    <row r="43211" spans="23:23">
      <c r="W43211" s="503"/>
    </row>
    <row r="43212" spans="23:23">
      <c r="W43212" s="503"/>
    </row>
    <row r="43213" spans="23:23">
      <c r="W43213" s="503"/>
    </row>
    <row r="43214" spans="23:23">
      <c r="W43214" s="503"/>
    </row>
    <row r="43215" spans="23:23">
      <c r="W43215" s="503"/>
    </row>
    <row r="43216" spans="23:23">
      <c r="W43216" s="503"/>
    </row>
    <row r="43217" spans="23:23">
      <c r="W43217" s="503"/>
    </row>
    <row r="43218" spans="23:23">
      <c r="W43218" s="503"/>
    </row>
    <row r="43219" spans="23:23">
      <c r="W43219" s="503"/>
    </row>
    <row r="43220" spans="23:23">
      <c r="W43220" s="503"/>
    </row>
    <row r="43221" spans="23:23">
      <c r="W43221" s="503"/>
    </row>
    <row r="43222" spans="23:23">
      <c r="W43222" s="503"/>
    </row>
    <row r="43223" spans="23:23">
      <c r="W43223" s="503"/>
    </row>
    <row r="43224" spans="23:23">
      <c r="W43224" s="503"/>
    </row>
    <row r="43225" spans="23:23">
      <c r="W43225" s="503"/>
    </row>
    <row r="43226" spans="23:23">
      <c r="W43226" s="503"/>
    </row>
    <row r="43227" spans="23:23">
      <c r="W43227" s="503"/>
    </row>
    <row r="43228" spans="23:23">
      <c r="W43228" s="503"/>
    </row>
    <row r="43229" spans="23:23">
      <c r="W43229" s="503"/>
    </row>
    <row r="43230" spans="23:23">
      <c r="W43230" s="503"/>
    </row>
    <row r="43231" spans="23:23">
      <c r="W43231" s="503"/>
    </row>
    <row r="43232" spans="23:23">
      <c r="W43232" s="503"/>
    </row>
    <row r="43233" spans="23:23">
      <c r="W43233" s="503"/>
    </row>
    <row r="43234" spans="23:23">
      <c r="W43234" s="503"/>
    </row>
    <row r="43235" spans="23:23">
      <c r="W43235" s="503"/>
    </row>
    <row r="43236" spans="23:23">
      <c r="W43236" s="503"/>
    </row>
    <row r="43237" spans="23:23">
      <c r="W43237" s="503"/>
    </row>
    <row r="43238" spans="23:23">
      <c r="W43238" s="503"/>
    </row>
    <row r="43239" spans="23:23">
      <c r="W43239" s="503"/>
    </row>
    <row r="43240" spans="23:23">
      <c r="W43240" s="503"/>
    </row>
    <row r="43241" spans="23:23">
      <c r="W43241" s="503"/>
    </row>
    <row r="43242" spans="23:23">
      <c r="W43242" s="503"/>
    </row>
    <row r="43243" spans="23:23">
      <c r="W43243" s="503"/>
    </row>
    <row r="43244" spans="23:23">
      <c r="W43244" s="503"/>
    </row>
    <row r="43245" spans="23:23">
      <c r="W43245" s="503"/>
    </row>
    <row r="43246" spans="23:23">
      <c r="W43246" s="503"/>
    </row>
    <row r="43247" spans="23:23">
      <c r="W43247" s="503"/>
    </row>
    <row r="43248" spans="23:23">
      <c r="W43248" s="503"/>
    </row>
    <row r="43249" spans="23:23">
      <c r="W43249" s="503"/>
    </row>
    <row r="43250" spans="23:23">
      <c r="W43250" s="503"/>
    </row>
    <row r="43251" spans="23:23">
      <c r="W43251" s="503"/>
    </row>
    <row r="43252" spans="23:23">
      <c r="W43252" s="503"/>
    </row>
    <row r="43253" spans="23:23">
      <c r="W43253" s="503"/>
    </row>
    <row r="43254" spans="23:23">
      <c r="W43254" s="503"/>
    </row>
    <row r="43255" spans="23:23">
      <c r="W43255" s="503"/>
    </row>
    <row r="43256" spans="23:23">
      <c r="W43256" s="503"/>
    </row>
    <row r="43257" spans="23:23">
      <c r="W43257" s="503"/>
    </row>
    <row r="43258" spans="23:23">
      <c r="W43258" s="503"/>
    </row>
    <row r="43259" spans="23:23">
      <c r="W43259" s="503"/>
    </row>
    <row r="43260" spans="23:23">
      <c r="W43260" s="503"/>
    </row>
    <row r="43261" spans="23:23">
      <c r="W43261" s="503"/>
    </row>
    <row r="43262" spans="23:23">
      <c r="W43262" s="503"/>
    </row>
    <row r="43263" spans="23:23">
      <c r="W43263" s="503"/>
    </row>
    <row r="43264" spans="23:23">
      <c r="W43264" s="503"/>
    </row>
    <row r="43265" spans="23:23">
      <c r="W43265" s="503"/>
    </row>
    <row r="43266" spans="23:23">
      <c r="W43266" s="503"/>
    </row>
    <row r="43267" spans="23:23">
      <c r="W43267" s="503"/>
    </row>
    <row r="43268" spans="23:23">
      <c r="W43268" s="503"/>
    </row>
    <row r="43269" spans="23:23">
      <c r="W43269" s="503"/>
    </row>
    <row r="43270" spans="23:23">
      <c r="W43270" s="503"/>
    </row>
    <row r="43271" spans="23:23">
      <c r="W43271" s="503"/>
    </row>
    <row r="43272" spans="23:23">
      <c r="W43272" s="503"/>
    </row>
    <row r="43273" spans="23:23">
      <c r="W43273" s="503"/>
    </row>
    <row r="43274" spans="23:23">
      <c r="W43274" s="503"/>
    </row>
    <row r="43275" spans="23:23">
      <c r="W43275" s="503"/>
    </row>
    <row r="43276" spans="23:23">
      <c r="W43276" s="503"/>
    </row>
    <row r="43277" spans="23:23">
      <c r="W43277" s="503"/>
    </row>
    <row r="43278" spans="23:23">
      <c r="W43278" s="503"/>
    </row>
    <row r="43279" spans="23:23">
      <c r="W43279" s="503"/>
    </row>
    <row r="43280" spans="23:23">
      <c r="W43280" s="503"/>
    </row>
    <row r="43281" spans="23:23">
      <c r="W43281" s="503"/>
    </row>
    <row r="43282" spans="23:23">
      <c r="W43282" s="503"/>
    </row>
    <row r="43283" spans="23:23">
      <c r="W43283" s="503"/>
    </row>
    <row r="43284" spans="23:23">
      <c r="W43284" s="503"/>
    </row>
    <row r="43285" spans="23:23">
      <c r="W43285" s="503"/>
    </row>
    <row r="43286" spans="23:23">
      <c r="W43286" s="503"/>
    </row>
    <row r="43287" spans="23:23">
      <c r="W43287" s="503"/>
    </row>
    <row r="43288" spans="23:23">
      <c r="W43288" s="503"/>
    </row>
    <row r="43289" spans="23:23">
      <c r="W43289" s="503"/>
    </row>
    <row r="43290" spans="23:23">
      <c r="W43290" s="503"/>
    </row>
    <row r="43291" spans="23:23">
      <c r="W43291" s="503"/>
    </row>
    <row r="43292" spans="23:23">
      <c r="W43292" s="503"/>
    </row>
    <row r="43293" spans="23:23">
      <c r="W43293" s="503"/>
    </row>
    <row r="43294" spans="23:23">
      <c r="W43294" s="503"/>
    </row>
    <row r="43295" spans="23:23">
      <c r="W43295" s="503"/>
    </row>
    <row r="43296" spans="23:23">
      <c r="W43296" s="503"/>
    </row>
    <row r="43297" spans="23:23">
      <c r="W43297" s="503"/>
    </row>
    <row r="43298" spans="23:23">
      <c r="W43298" s="503"/>
    </row>
    <row r="43299" spans="23:23">
      <c r="W43299" s="503"/>
    </row>
    <row r="43300" spans="23:23">
      <c r="W43300" s="503"/>
    </row>
    <row r="43301" spans="23:23">
      <c r="W43301" s="503"/>
    </row>
    <row r="43302" spans="23:23">
      <c r="W43302" s="503"/>
    </row>
    <row r="43303" spans="23:23">
      <c r="W43303" s="503"/>
    </row>
    <row r="43304" spans="23:23">
      <c r="W43304" s="503"/>
    </row>
    <row r="43305" spans="23:23">
      <c r="W43305" s="503"/>
    </row>
    <row r="43306" spans="23:23">
      <c r="W43306" s="503"/>
    </row>
    <row r="43307" spans="23:23">
      <c r="W43307" s="503"/>
    </row>
    <row r="43308" spans="23:23">
      <c r="W43308" s="503"/>
    </row>
    <row r="43309" spans="23:23">
      <c r="W43309" s="503"/>
    </row>
    <row r="43310" spans="23:23">
      <c r="W43310" s="503"/>
    </row>
    <row r="43311" spans="23:23">
      <c r="W43311" s="503"/>
    </row>
    <row r="43312" spans="23:23">
      <c r="W43312" s="503"/>
    </row>
    <row r="43313" spans="23:23">
      <c r="W43313" s="503"/>
    </row>
    <row r="43314" spans="23:23">
      <c r="W43314" s="503"/>
    </row>
    <row r="43315" spans="23:23">
      <c r="W43315" s="503"/>
    </row>
    <row r="43316" spans="23:23">
      <c r="W43316" s="503"/>
    </row>
    <row r="43317" spans="23:23">
      <c r="W43317" s="503"/>
    </row>
    <row r="43318" spans="23:23">
      <c r="W43318" s="503"/>
    </row>
    <row r="43319" spans="23:23">
      <c r="W43319" s="503"/>
    </row>
    <row r="43320" spans="23:23">
      <c r="W43320" s="503"/>
    </row>
    <row r="43321" spans="23:23">
      <c r="W43321" s="503"/>
    </row>
    <row r="43322" spans="23:23">
      <c r="W43322" s="503"/>
    </row>
    <row r="43323" spans="23:23">
      <c r="W43323" s="503"/>
    </row>
    <row r="43324" spans="23:23">
      <c r="W43324" s="503"/>
    </row>
    <row r="43325" spans="23:23">
      <c r="W43325" s="503"/>
    </row>
    <row r="43326" spans="23:23">
      <c r="W43326" s="503"/>
    </row>
    <row r="43327" spans="23:23">
      <c r="W43327" s="503"/>
    </row>
    <row r="43328" spans="23:23">
      <c r="W43328" s="503"/>
    </row>
    <row r="43329" spans="23:23">
      <c r="W43329" s="503"/>
    </row>
    <row r="43330" spans="23:23">
      <c r="W43330" s="503"/>
    </row>
    <row r="43331" spans="23:23">
      <c r="W43331" s="503"/>
    </row>
    <row r="43332" spans="23:23">
      <c r="W43332" s="503"/>
    </row>
    <row r="43333" spans="23:23">
      <c r="W43333" s="503"/>
    </row>
    <row r="43334" spans="23:23">
      <c r="W43334" s="503"/>
    </row>
    <row r="43335" spans="23:23">
      <c r="W43335" s="503"/>
    </row>
    <row r="43336" spans="23:23">
      <c r="W43336" s="503"/>
    </row>
    <row r="43337" spans="23:23">
      <c r="W43337" s="503"/>
    </row>
    <row r="43338" spans="23:23">
      <c r="W43338" s="503"/>
    </row>
    <row r="43339" spans="23:23">
      <c r="W43339" s="503"/>
    </row>
    <row r="43340" spans="23:23">
      <c r="W43340" s="503"/>
    </row>
    <row r="43341" spans="23:23">
      <c r="W43341" s="503"/>
    </row>
    <row r="43342" spans="23:23">
      <c r="W43342" s="503"/>
    </row>
    <row r="43343" spans="23:23">
      <c r="W43343" s="503"/>
    </row>
    <row r="43344" spans="23:23">
      <c r="W43344" s="503"/>
    </row>
    <row r="43345" spans="23:23">
      <c r="W43345" s="503"/>
    </row>
    <row r="43346" spans="23:23">
      <c r="W43346" s="503"/>
    </row>
    <row r="43347" spans="23:23">
      <c r="W43347" s="503"/>
    </row>
    <row r="43348" spans="23:23">
      <c r="W43348" s="503"/>
    </row>
    <row r="43349" spans="23:23">
      <c r="W43349" s="503"/>
    </row>
    <row r="43350" spans="23:23">
      <c r="W43350" s="503"/>
    </row>
    <row r="43351" spans="23:23">
      <c r="W43351" s="503"/>
    </row>
    <row r="43352" spans="23:23">
      <c r="W43352" s="503"/>
    </row>
    <row r="43353" spans="23:23">
      <c r="W43353" s="503"/>
    </row>
    <row r="43354" spans="23:23">
      <c r="W43354" s="503"/>
    </row>
    <row r="43355" spans="23:23">
      <c r="W43355" s="503"/>
    </row>
    <row r="43356" spans="23:23">
      <c r="W43356" s="503"/>
    </row>
    <row r="43357" spans="23:23">
      <c r="W43357" s="503"/>
    </row>
    <row r="43358" spans="23:23">
      <c r="W43358" s="503"/>
    </row>
    <row r="43359" spans="23:23">
      <c r="W43359" s="503"/>
    </row>
    <row r="43360" spans="23:23">
      <c r="W43360" s="503"/>
    </row>
    <row r="43361" spans="23:23">
      <c r="W43361" s="503"/>
    </row>
    <row r="43362" spans="23:23">
      <c r="W43362" s="503"/>
    </row>
    <row r="43363" spans="23:23">
      <c r="W43363" s="503"/>
    </row>
    <row r="43364" spans="23:23">
      <c r="W43364" s="503"/>
    </row>
    <row r="43365" spans="23:23">
      <c r="W43365" s="503"/>
    </row>
    <row r="43366" spans="23:23">
      <c r="W43366" s="503"/>
    </row>
    <row r="43367" spans="23:23">
      <c r="W43367" s="503"/>
    </row>
    <row r="43368" spans="23:23">
      <c r="W43368" s="503"/>
    </row>
    <row r="43369" spans="23:23">
      <c r="W43369" s="503"/>
    </row>
    <row r="43370" spans="23:23">
      <c r="W43370" s="503"/>
    </row>
    <row r="43371" spans="23:23">
      <c r="W43371" s="503"/>
    </row>
    <row r="43372" spans="23:23">
      <c r="W43372" s="503"/>
    </row>
    <row r="43373" spans="23:23">
      <c r="W43373" s="503"/>
    </row>
    <row r="43374" spans="23:23">
      <c r="W43374" s="503"/>
    </row>
    <row r="43375" spans="23:23">
      <c r="W43375" s="503"/>
    </row>
    <row r="43376" spans="23:23">
      <c r="W43376" s="503"/>
    </row>
    <row r="43377" spans="23:23">
      <c r="W43377" s="503"/>
    </row>
    <row r="43378" spans="23:23">
      <c r="W43378" s="503"/>
    </row>
    <row r="43379" spans="23:23">
      <c r="W43379" s="503"/>
    </row>
    <row r="43380" spans="23:23">
      <c r="W43380" s="503"/>
    </row>
    <row r="43381" spans="23:23">
      <c r="W43381" s="503"/>
    </row>
    <row r="43382" spans="23:23">
      <c r="W43382" s="503"/>
    </row>
    <row r="43383" spans="23:23">
      <c r="W43383" s="503"/>
    </row>
    <row r="43384" spans="23:23">
      <c r="W43384" s="503"/>
    </row>
    <row r="43385" spans="23:23">
      <c r="W43385" s="503"/>
    </row>
    <row r="43386" spans="23:23">
      <c r="W43386" s="503"/>
    </row>
    <row r="43387" spans="23:23">
      <c r="W43387" s="503"/>
    </row>
    <row r="43388" spans="23:23">
      <c r="W43388" s="503"/>
    </row>
    <row r="43389" spans="23:23">
      <c r="W43389" s="503"/>
    </row>
    <row r="43390" spans="23:23">
      <c r="W43390" s="503"/>
    </row>
    <row r="43391" spans="23:23">
      <c r="W43391" s="503"/>
    </row>
    <row r="43392" spans="23:23">
      <c r="W43392" s="503"/>
    </row>
    <row r="43393" spans="23:23">
      <c r="W43393" s="503"/>
    </row>
    <row r="43394" spans="23:23">
      <c r="W43394" s="503"/>
    </row>
    <row r="43395" spans="23:23">
      <c r="W43395" s="503"/>
    </row>
    <row r="43396" spans="23:23">
      <c r="W43396" s="503"/>
    </row>
    <row r="43397" spans="23:23">
      <c r="W43397" s="503"/>
    </row>
    <row r="43398" spans="23:23">
      <c r="W43398" s="503"/>
    </row>
    <row r="43399" spans="23:23">
      <c r="W43399" s="503"/>
    </row>
    <row r="43400" spans="23:23">
      <c r="W43400" s="503"/>
    </row>
    <row r="43401" spans="23:23">
      <c r="W43401" s="503"/>
    </row>
    <row r="43402" spans="23:23">
      <c r="W43402" s="503"/>
    </row>
    <row r="43403" spans="23:23">
      <c r="W43403" s="503"/>
    </row>
    <row r="43404" spans="23:23">
      <c r="W43404" s="503"/>
    </row>
    <row r="43405" spans="23:23">
      <c r="W43405" s="503"/>
    </row>
    <row r="43406" spans="23:23">
      <c r="W43406" s="503"/>
    </row>
    <row r="43407" spans="23:23">
      <c r="W43407" s="503"/>
    </row>
    <row r="43408" spans="23:23">
      <c r="W43408" s="503"/>
    </row>
    <row r="43409" spans="23:23">
      <c r="W43409" s="503"/>
    </row>
    <row r="43410" spans="23:23">
      <c r="W43410" s="503"/>
    </row>
    <row r="43411" spans="23:23">
      <c r="W43411" s="503"/>
    </row>
    <row r="43412" spans="23:23">
      <c r="W43412" s="503"/>
    </row>
    <row r="43413" spans="23:23">
      <c r="W43413" s="503"/>
    </row>
    <row r="43414" spans="23:23">
      <c r="W43414" s="503"/>
    </row>
    <row r="43415" spans="23:23">
      <c r="W43415" s="503"/>
    </row>
    <row r="43416" spans="23:23">
      <c r="W43416" s="503"/>
    </row>
    <row r="43417" spans="23:23">
      <c r="W43417" s="503"/>
    </row>
    <row r="43418" spans="23:23">
      <c r="W43418" s="503"/>
    </row>
    <row r="43419" spans="23:23">
      <c r="W43419" s="503"/>
    </row>
    <row r="43420" spans="23:23">
      <c r="W43420" s="503"/>
    </row>
    <row r="43421" spans="23:23">
      <c r="W43421" s="503"/>
    </row>
    <row r="43422" spans="23:23">
      <c r="W43422" s="503"/>
    </row>
    <row r="43423" spans="23:23">
      <c r="W43423" s="503"/>
    </row>
    <row r="43424" spans="23:23">
      <c r="W43424" s="503"/>
    </row>
    <row r="43425" spans="23:23">
      <c r="W43425" s="503"/>
    </row>
    <row r="43426" spans="23:23">
      <c r="W43426" s="503"/>
    </row>
    <row r="43427" spans="23:23">
      <c r="W43427" s="503"/>
    </row>
    <row r="43428" spans="23:23">
      <c r="W43428" s="503"/>
    </row>
    <row r="43429" spans="23:23">
      <c r="W43429" s="503"/>
    </row>
    <row r="43430" spans="23:23">
      <c r="W43430" s="503"/>
    </row>
    <row r="43431" spans="23:23">
      <c r="W43431" s="503"/>
    </row>
    <row r="43432" spans="23:23">
      <c r="W43432" s="503"/>
    </row>
    <row r="43433" spans="23:23">
      <c r="W43433" s="503"/>
    </row>
    <row r="43434" spans="23:23">
      <c r="W43434" s="503"/>
    </row>
    <row r="43435" spans="23:23">
      <c r="W43435" s="503"/>
    </row>
    <row r="43436" spans="23:23">
      <c r="W43436" s="503"/>
    </row>
    <row r="43437" spans="23:23">
      <c r="W43437" s="503"/>
    </row>
    <row r="43438" spans="23:23">
      <c r="W43438" s="503"/>
    </row>
    <row r="43439" spans="23:23">
      <c r="W43439" s="503"/>
    </row>
    <row r="43440" spans="23:23">
      <c r="W43440" s="503"/>
    </row>
    <row r="43441" spans="23:23">
      <c r="W43441" s="503"/>
    </row>
    <row r="43442" spans="23:23">
      <c r="W43442" s="503"/>
    </row>
    <row r="43443" spans="23:23">
      <c r="W43443" s="503"/>
    </row>
    <row r="43444" spans="23:23">
      <c r="W43444" s="503"/>
    </row>
    <row r="43445" spans="23:23">
      <c r="W43445" s="503"/>
    </row>
    <row r="43446" spans="23:23">
      <c r="W43446" s="503"/>
    </row>
    <row r="43447" spans="23:23">
      <c r="W43447" s="503"/>
    </row>
    <row r="43448" spans="23:23">
      <c r="W43448" s="503"/>
    </row>
    <row r="43449" spans="23:23">
      <c r="W43449" s="503"/>
    </row>
    <row r="43450" spans="23:23">
      <c r="W43450" s="503"/>
    </row>
    <row r="43451" spans="23:23">
      <c r="W43451" s="503"/>
    </row>
    <row r="43452" spans="23:23">
      <c r="W43452" s="503"/>
    </row>
    <row r="43453" spans="23:23">
      <c r="W43453" s="503"/>
    </row>
    <row r="43454" spans="23:23">
      <c r="W43454" s="503"/>
    </row>
    <row r="43455" spans="23:23">
      <c r="W43455" s="503"/>
    </row>
    <row r="43456" spans="23:23">
      <c r="W43456" s="503"/>
    </row>
    <row r="43457" spans="23:23">
      <c r="W43457" s="503"/>
    </row>
    <row r="43458" spans="23:23">
      <c r="W43458" s="503"/>
    </row>
    <row r="43459" spans="23:23">
      <c r="W43459" s="503"/>
    </row>
    <row r="43460" spans="23:23">
      <c r="W43460" s="503"/>
    </row>
    <row r="43461" spans="23:23">
      <c r="W43461" s="503"/>
    </row>
    <row r="43462" spans="23:23">
      <c r="W43462" s="503"/>
    </row>
    <row r="43463" spans="23:23">
      <c r="W43463" s="503"/>
    </row>
    <row r="43464" spans="23:23">
      <c r="W43464" s="503"/>
    </row>
    <row r="43465" spans="23:23">
      <c r="W43465" s="503"/>
    </row>
    <row r="43466" spans="23:23">
      <c r="W43466" s="503"/>
    </row>
    <row r="43467" spans="23:23">
      <c r="W43467" s="503"/>
    </row>
    <row r="43468" spans="23:23">
      <c r="W43468" s="503"/>
    </row>
    <row r="43469" spans="23:23">
      <c r="W43469" s="503"/>
    </row>
    <row r="43470" spans="23:23">
      <c r="W43470" s="503"/>
    </row>
    <row r="43471" spans="23:23">
      <c r="W43471" s="503"/>
    </row>
    <row r="43472" spans="23:23">
      <c r="W43472" s="503"/>
    </row>
    <row r="43473" spans="23:23">
      <c r="W43473" s="503"/>
    </row>
    <row r="43474" spans="23:23">
      <c r="W43474" s="503"/>
    </row>
    <row r="43475" spans="23:23">
      <c r="W43475" s="503"/>
    </row>
    <row r="43476" spans="23:23">
      <c r="W43476" s="503"/>
    </row>
    <row r="43477" spans="23:23">
      <c r="W43477" s="503"/>
    </row>
    <row r="43478" spans="23:23">
      <c r="W43478" s="503"/>
    </row>
    <row r="43479" spans="23:23">
      <c r="W43479" s="503"/>
    </row>
    <row r="43480" spans="23:23">
      <c r="W43480" s="503"/>
    </row>
    <row r="43481" spans="23:23">
      <c r="W43481" s="503"/>
    </row>
    <row r="43482" spans="23:23">
      <c r="W43482" s="503"/>
    </row>
    <row r="43483" spans="23:23">
      <c r="W43483" s="503"/>
    </row>
    <row r="43484" spans="23:23">
      <c r="W43484" s="503"/>
    </row>
    <row r="43485" spans="23:23">
      <c r="W43485" s="503"/>
    </row>
    <row r="43486" spans="23:23">
      <c r="W43486" s="503"/>
    </row>
    <row r="43487" spans="23:23">
      <c r="W43487" s="503"/>
    </row>
    <row r="43488" spans="23:23">
      <c r="W43488" s="503"/>
    </row>
    <row r="43489" spans="23:23">
      <c r="W43489" s="503"/>
    </row>
    <row r="43490" spans="23:23">
      <c r="W43490" s="503"/>
    </row>
    <row r="43491" spans="23:23">
      <c r="W43491" s="503"/>
    </row>
    <row r="43492" spans="23:23">
      <c r="W43492" s="503"/>
    </row>
    <row r="43493" spans="23:23">
      <c r="W43493" s="503"/>
    </row>
    <row r="43494" spans="23:23">
      <c r="W43494" s="503"/>
    </row>
    <row r="43495" spans="23:23">
      <c r="W43495" s="503"/>
    </row>
    <row r="43496" spans="23:23">
      <c r="W43496" s="503"/>
    </row>
    <row r="43497" spans="23:23">
      <c r="W43497" s="503"/>
    </row>
    <row r="43498" spans="23:23">
      <c r="W43498" s="503"/>
    </row>
    <row r="43499" spans="23:23">
      <c r="W43499" s="503"/>
    </row>
    <row r="43500" spans="23:23">
      <c r="W43500" s="503"/>
    </row>
    <row r="43501" spans="23:23">
      <c r="W43501" s="503"/>
    </row>
    <row r="43502" spans="23:23">
      <c r="W43502" s="503"/>
    </row>
    <row r="43503" spans="23:23">
      <c r="W43503" s="503"/>
    </row>
    <row r="43504" spans="23:23">
      <c r="W43504" s="503"/>
    </row>
    <row r="43505" spans="23:23">
      <c r="W43505" s="503"/>
    </row>
    <row r="43506" spans="23:23">
      <c r="W43506" s="503"/>
    </row>
    <row r="43507" spans="23:23">
      <c r="W43507" s="503"/>
    </row>
    <row r="43508" spans="23:23">
      <c r="W43508" s="503"/>
    </row>
    <row r="43509" spans="23:23">
      <c r="W43509" s="503"/>
    </row>
    <row r="43510" spans="23:23">
      <c r="W43510" s="503"/>
    </row>
    <row r="43511" spans="23:23">
      <c r="W43511" s="503"/>
    </row>
    <row r="43512" spans="23:23">
      <c r="W43512" s="503"/>
    </row>
    <row r="43513" spans="23:23">
      <c r="W43513" s="503"/>
    </row>
    <row r="43514" spans="23:23">
      <c r="W43514" s="503"/>
    </row>
    <row r="43515" spans="23:23">
      <c r="W43515" s="503"/>
    </row>
    <row r="43516" spans="23:23">
      <c r="W43516" s="503"/>
    </row>
    <row r="43517" spans="23:23">
      <c r="W43517" s="503"/>
    </row>
    <row r="43518" spans="23:23">
      <c r="W43518" s="503"/>
    </row>
    <row r="43519" spans="23:23">
      <c r="W43519" s="503"/>
    </row>
    <row r="43520" spans="23:23">
      <c r="W43520" s="503"/>
    </row>
    <row r="43521" spans="23:23">
      <c r="W43521" s="503"/>
    </row>
    <row r="43522" spans="23:23">
      <c r="W43522" s="503"/>
    </row>
    <row r="43523" spans="23:23">
      <c r="W43523" s="503"/>
    </row>
    <row r="43524" spans="23:23">
      <c r="W43524" s="503"/>
    </row>
    <row r="43525" spans="23:23">
      <c r="W43525" s="503"/>
    </row>
    <row r="43526" spans="23:23">
      <c r="W43526" s="503"/>
    </row>
    <row r="43527" spans="23:23">
      <c r="W43527" s="503"/>
    </row>
    <row r="43528" spans="23:23">
      <c r="W43528" s="503"/>
    </row>
    <row r="43529" spans="23:23">
      <c r="W43529" s="503"/>
    </row>
    <row r="43530" spans="23:23">
      <c r="W43530" s="503"/>
    </row>
    <row r="43531" spans="23:23">
      <c r="W43531" s="503"/>
    </row>
    <row r="43532" spans="23:23">
      <c r="W43532" s="503"/>
    </row>
    <row r="43533" spans="23:23">
      <c r="W43533" s="503"/>
    </row>
    <row r="43534" spans="23:23">
      <c r="W43534" s="503"/>
    </row>
    <row r="43535" spans="23:23">
      <c r="W43535" s="503"/>
    </row>
    <row r="43536" spans="23:23">
      <c r="W43536" s="503"/>
    </row>
    <row r="43537" spans="23:23">
      <c r="W43537" s="503"/>
    </row>
    <row r="43538" spans="23:23">
      <c r="W43538" s="503"/>
    </row>
    <row r="43539" spans="23:23">
      <c r="W43539" s="503"/>
    </row>
    <row r="43540" spans="23:23">
      <c r="W43540" s="503"/>
    </row>
    <row r="43541" spans="23:23">
      <c r="W43541" s="503"/>
    </row>
    <row r="43542" spans="23:23">
      <c r="W43542" s="503"/>
    </row>
    <row r="43543" spans="23:23">
      <c r="W43543" s="503"/>
    </row>
    <row r="43544" spans="23:23">
      <c r="W43544" s="503"/>
    </row>
    <row r="43545" spans="23:23">
      <c r="W43545" s="503"/>
    </row>
    <row r="43546" spans="23:23">
      <c r="W43546" s="503"/>
    </row>
    <row r="43547" spans="23:23">
      <c r="W43547" s="503"/>
    </row>
    <row r="43548" spans="23:23">
      <c r="W43548" s="503"/>
    </row>
    <row r="43549" spans="23:23">
      <c r="W43549" s="503"/>
    </row>
    <row r="43550" spans="23:23">
      <c r="W43550" s="503"/>
    </row>
    <row r="43551" spans="23:23">
      <c r="W43551" s="503"/>
    </row>
    <row r="43552" spans="23:23">
      <c r="W43552" s="503"/>
    </row>
    <row r="43553" spans="23:23">
      <c r="W43553" s="503"/>
    </row>
    <row r="43554" spans="23:23">
      <c r="W43554" s="503"/>
    </row>
    <row r="43555" spans="23:23">
      <c r="W43555" s="503"/>
    </row>
    <row r="43556" spans="23:23">
      <c r="W43556" s="503"/>
    </row>
    <row r="43557" spans="23:23">
      <c r="W43557" s="503"/>
    </row>
    <row r="43558" spans="23:23">
      <c r="W43558" s="503"/>
    </row>
    <row r="43559" spans="23:23">
      <c r="W43559" s="503"/>
    </row>
    <row r="43560" spans="23:23">
      <c r="W43560" s="503"/>
    </row>
    <row r="43561" spans="23:23">
      <c r="W43561" s="503"/>
    </row>
    <row r="43562" spans="23:23">
      <c r="W43562" s="503"/>
    </row>
    <row r="43563" spans="23:23">
      <c r="W43563" s="503"/>
    </row>
    <row r="43564" spans="23:23">
      <c r="W43564" s="503"/>
    </row>
    <row r="43565" spans="23:23">
      <c r="W43565" s="503"/>
    </row>
    <row r="43566" spans="23:23">
      <c r="W43566" s="503"/>
    </row>
    <row r="43567" spans="23:23">
      <c r="W43567" s="503"/>
    </row>
    <row r="43568" spans="23:23">
      <c r="W43568" s="503"/>
    </row>
    <row r="43569" spans="23:23">
      <c r="W43569" s="503"/>
    </row>
    <row r="43570" spans="23:23">
      <c r="W43570" s="503"/>
    </row>
    <row r="43571" spans="23:23">
      <c r="W43571" s="503"/>
    </row>
    <row r="43572" spans="23:23">
      <c r="W43572" s="503"/>
    </row>
    <row r="43573" spans="23:23">
      <c r="W43573" s="503"/>
    </row>
    <row r="43574" spans="23:23">
      <c r="W43574" s="503"/>
    </row>
    <row r="43575" spans="23:23">
      <c r="W43575" s="503"/>
    </row>
    <row r="43576" spans="23:23">
      <c r="W43576" s="503"/>
    </row>
    <row r="43577" spans="23:23">
      <c r="W43577" s="503"/>
    </row>
    <row r="43578" spans="23:23">
      <c r="W43578" s="503"/>
    </row>
    <row r="43579" spans="23:23">
      <c r="W43579" s="503"/>
    </row>
    <row r="43580" spans="23:23">
      <c r="W43580" s="503"/>
    </row>
    <row r="43581" spans="23:23">
      <c r="W43581" s="503"/>
    </row>
    <row r="43582" spans="23:23">
      <c r="W43582" s="503"/>
    </row>
    <row r="43583" spans="23:23">
      <c r="W43583" s="503"/>
    </row>
    <row r="43584" spans="23:23">
      <c r="W43584" s="503"/>
    </row>
    <row r="43585" spans="23:23">
      <c r="W43585" s="503"/>
    </row>
    <row r="43586" spans="23:23">
      <c r="W43586" s="503"/>
    </row>
    <row r="43587" spans="23:23">
      <c r="W43587" s="503"/>
    </row>
    <row r="43588" spans="23:23">
      <c r="W43588" s="503"/>
    </row>
    <row r="43589" spans="23:23">
      <c r="W43589" s="503"/>
    </row>
    <row r="43590" spans="23:23">
      <c r="W43590" s="503"/>
    </row>
    <row r="43591" spans="23:23">
      <c r="W43591" s="503"/>
    </row>
    <row r="43592" spans="23:23">
      <c r="W43592" s="503"/>
    </row>
    <row r="43593" spans="23:23">
      <c r="W43593" s="503"/>
    </row>
    <row r="43594" spans="23:23">
      <c r="W43594" s="503"/>
    </row>
    <row r="43595" spans="23:23">
      <c r="W43595" s="503"/>
    </row>
    <row r="43596" spans="23:23">
      <c r="W43596" s="503"/>
    </row>
    <row r="43597" spans="23:23">
      <c r="W43597" s="503"/>
    </row>
    <row r="43598" spans="23:23">
      <c r="W43598" s="503"/>
    </row>
    <row r="43599" spans="23:23">
      <c r="W43599" s="503"/>
    </row>
    <row r="43600" spans="23:23">
      <c r="W43600" s="503"/>
    </row>
    <row r="43601" spans="23:23">
      <c r="W43601" s="503"/>
    </row>
    <row r="43602" spans="23:23">
      <c r="W43602" s="503"/>
    </row>
    <row r="43603" spans="23:23">
      <c r="W43603" s="503"/>
    </row>
    <row r="43604" spans="23:23">
      <c r="W43604" s="503"/>
    </row>
    <row r="43605" spans="23:23">
      <c r="W43605" s="503"/>
    </row>
    <row r="43606" spans="23:23">
      <c r="W43606" s="503"/>
    </row>
    <row r="43607" spans="23:23">
      <c r="W43607" s="503"/>
    </row>
    <row r="43608" spans="23:23">
      <c r="W43608" s="503"/>
    </row>
    <row r="43609" spans="23:23">
      <c r="W43609" s="503"/>
    </row>
    <row r="43610" spans="23:23">
      <c r="W43610" s="503"/>
    </row>
    <row r="43611" spans="23:23">
      <c r="W43611" s="503"/>
    </row>
    <row r="43612" spans="23:23">
      <c r="W43612" s="503"/>
    </row>
    <row r="43613" spans="23:23">
      <c r="W43613" s="503"/>
    </row>
    <row r="43614" spans="23:23">
      <c r="W43614" s="503"/>
    </row>
    <row r="43615" spans="23:23">
      <c r="W43615" s="503"/>
    </row>
    <row r="43616" spans="23:23">
      <c r="W43616" s="503"/>
    </row>
    <row r="43617" spans="23:23">
      <c r="W43617" s="503"/>
    </row>
    <row r="43618" spans="23:23">
      <c r="W43618" s="503"/>
    </row>
    <row r="43619" spans="23:23">
      <c r="W43619" s="503"/>
    </row>
    <row r="43620" spans="23:23">
      <c r="W43620" s="503"/>
    </row>
    <row r="43621" spans="23:23">
      <c r="W43621" s="503"/>
    </row>
    <row r="43622" spans="23:23">
      <c r="W43622" s="503"/>
    </row>
    <row r="43623" spans="23:23">
      <c r="W43623" s="503"/>
    </row>
    <row r="43624" spans="23:23">
      <c r="W43624" s="503"/>
    </row>
    <row r="43625" spans="23:23">
      <c r="W43625" s="503"/>
    </row>
    <row r="43626" spans="23:23">
      <c r="W43626" s="503"/>
    </row>
    <row r="43627" spans="23:23">
      <c r="W43627" s="503"/>
    </row>
    <row r="43628" spans="23:23">
      <c r="W43628" s="503"/>
    </row>
    <row r="43629" spans="23:23">
      <c r="W43629" s="503"/>
    </row>
    <row r="43630" spans="23:23">
      <c r="W43630" s="503"/>
    </row>
    <row r="43631" spans="23:23">
      <c r="W43631" s="503"/>
    </row>
    <row r="43632" spans="23:23">
      <c r="W43632" s="503"/>
    </row>
    <row r="43633" spans="23:23">
      <c r="W43633" s="503"/>
    </row>
    <row r="43634" spans="23:23">
      <c r="W43634" s="503"/>
    </row>
    <row r="43635" spans="23:23">
      <c r="W43635" s="503"/>
    </row>
    <row r="43636" spans="23:23">
      <c r="W43636" s="503"/>
    </row>
    <row r="43637" spans="23:23">
      <c r="W43637" s="503"/>
    </row>
    <row r="43638" spans="23:23">
      <c r="W43638" s="503"/>
    </row>
    <row r="43639" spans="23:23">
      <c r="W43639" s="503"/>
    </row>
    <row r="43640" spans="23:23">
      <c r="W43640" s="503"/>
    </row>
    <row r="43641" spans="23:23">
      <c r="W43641" s="503"/>
    </row>
    <row r="43642" spans="23:23">
      <c r="W43642" s="503"/>
    </row>
    <row r="43643" spans="23:23">
      <c r="W43643" s="503"/>
    </row>
    <row r="43644" spans="23:23">
      <c r="W43644" s="503"/>
    </row>
    <row r="43645" spans="23:23">
      <c r="W43645" s="503"/>
    </row>
    <row r="43646" spans="23:23">
      <c r="W43646" s="503"/>
    </row>
    <row r="43647" spans="23:23">
      <c r="W43647" s="503"/>
    </row>
    <row r="43648" spans="23:23">
      <c r="W43648" s="503"/>
    </row>
    <row r="43649" spans="23:23">
      <c r="W43649" s="503"/>
    </row>
    <row r="43650" spans="23:23">
      <c r="W43650" s="503"/>
    </row>
    <row r="43651" spans="23:23">
      <c r="W43651" s="503"/>
    </row>
    <row r="43652" spans="23:23">
      <c r="W43652" s="503"/>
    </row>
    <row r="43653" spans="23:23">
      <c r="W43653" s="503"/>
    </row>
    <row r="43654" spans="23:23">
      <c r="W43654" s="503"/>
    </row>
    <row r="43655" spans="23:23">
      <c r="W43655" s="503"/>
    </row>
    <row r="43656" spans="23:23">
      <c r="W43656" s="503"/>
    </row>
    <row r="43657" spans="23:23">
      <c r="W43657" s="503"/>
    </row>
    <row r="43658" spans="23:23">
      <c r="W43658" s="503"/>
    </row>
    <row r="43659" spans="23:23">
      <c r="W43659" s="503"/>
    </row>
    <row r="43660" spans="23:23">
      <c r="W43660" s="503"/>
    </row>
    <row r="43661" spans="23:23">
      <c r="W43661" s="503"/>
    </row>
    <row r="43662" spans="23:23">
      <c r="W43662" s="503"/>
    </row>
    <row r="43663" spans="23:23">
      <c r="W43663" s="503"/>
    </row>
    <row r="43664" spans="23:23">
      <c r="W43664" s="503"/>
    </row>
    <row r="43665" spans="23:23">
      <c r="W43665" s="503"/>
    </row>
    <row r="43666" spans="23:23">
      <c r="W43666" s="503"/>
    </row>
    <row r="43667" spans="23:23">
      <c r="W43667" s="503"/>
    </row>
    <row r="43668" spans="23:23">
      <c r="W43668" s="503"/>
    </row>
    <row r="43669" spans="23:23">
      <c r="W43669" s="503"/>
    </row>
    <row r="43670" spans="23:23">
      <c r="W43670" s="503"/>
    </row>
    <row r="43671" spans="23:23">
      <c r="W43671" s="503"/>
    </row>
    <row r="43672" spans="23:23">
      <c r="W43672" s="503"/>
    </row>
    <row r="43673" spans="23:23">
      <c r="W43673" s="503"/>
    </row>
    <row r="43674" spans="23:23">
      <c r="W43674" s="503"/>
    </row>
    <row r="43675" spans="23:23">
      <c r="W43675" s="503"/>
    </row>
    <row r="43676" spans="23:23">
      <c r="W43676" s="503"/>
    </row>
    <row r="43677" spans="23:23">
      <c r="W43677" s="503"/>
    </row>
    <row r="43678" spans="23:23">
      <c r="W43678" s="503"/>
    </row>
    <row r="43679" spans="23:23">
      <c r="W43679" s="503"/>
    </row>
    <row r="43680" spans="23:23">
      <c r="W43680" s="503"/>
    </row>
    <row r="43681" spans="23:23">
      <c r="W43681" s="503"/>
    </row>
    <row r="43682" spans="23:23">
      <c r="W43682" s="503"/>
    </row>
    <row r="43683" spans="23:23">
      <c r="W43683" s="503"/>
    </row>
    <row r="43684" spans="23:23">
      <c r="W43684" s="503"/>
    </row>
    <row r="43685" spans="23:23">
      <c r="W43685" s="503"/>
    </row>
    <row r="43686" spans="23:23">
      <c r="W43686" s="503"/>
    </row>
    <row r="43687" spans="23:23">
      <c r="W43687" s="503"/>
    </row>
    <row r="43688" spans="23:23">
      <c r="W43688" s="503"/>
    </row>
    <row r="43689" spans="23:23">
      <c r="W43689" s="503"/>
    </row>
    <row r="43690" spans="23:23">
      <c r="W43690" s="503"/>
    </row>
    <row r="43691" spans="23:23">
      <c r="W43691" s="503"/>
    </row>
    <row r="43692" spans="23:23">
      <c r="W43692" s="503"/>
    </row>
    <row r="43693" spans="23:23">
      <c r="W43693" s="503"/>
    </row>
    <row r="43694" spans="23:23">
      <c r="W43694" s="503"/>
    </row>
    <row r="43695" spans="23:23">
      <c r="W43695" s="503"/>
    </row>
    <row r="43696" spans="23:23">
      <c r="W43696" s="503"/>
    </row>
    <row r="43697" spans="23:23">
      <c r="W43697" s="503"/>
    </row>
    <row r="43698" spans="23:23">
      <c r="W43698" s="503"/>
    </row>
    <row r="43699" spans="23:23">
      <c r="W43699" s="503"/>
    </row>
    <row r="43700" spans="23:23">
      <c r="W43700" s="503"/>
    </row>
    <row r="43701" spans="23:23">
      <c r="W43701" s="503"/>
    </row>
    <row r="43702" spans="23:23">
      <c r="W43702" s="503"/>
    </row>
    <row r="43703" spans="23:23">
      <c r="W43703" s="503"/>
    </row>
    <row r="43704" spans="23:23">
      <c r="W43704" s="503"/>
    </row>
    <row r="43705" spans="23:23">
      <c r="W43705" s="503"/>
    </row>
    <row r="43706" spans="23:23">
      <c r="W43706" s="503"/>
    </row>
    <row r="43707" spans="23:23">
      <c r="W43707" s="503"/>
    </row>
    <row r="43708" spans="23:23">
      <c r="W43708" s="503"/>
    </row>
    <row r="43709" spans="23:23">
      <c r="W43709" s="503"/>
    </row>
    <row r="43710" spans="23:23">
      <c r="W43710" s="503"/>
    </row>
    <row r="43711" spans="23:23">
      <c r="W43711" s="503"/>
    </row>
    <row r="43712" spans="23:23">
      <c r="W43712" s="503"/>
    </row>
    <row r="43713" spans="23:23">
      <c r="W43713" s="503"/>
    </row>
    <row r="43714" spans="23:23">
      <c r="W43714" s="503"/>
    </row>
    <row r="43715" spans="23:23">
      <c r="W43715" s="503"/>
    </row>
    <row r="43716" spans="23:23">
      <c r="W43716" s="503"/>
    </row>
    <row r="43717" spans="23:23">
      <c r="W43717" s="503"/>
    </row>
    <row r="43718" spans="23:23">
      <c r="W43718" s="503"/>
    </row>
    <row r="43719" spans="23:23">
      <c r="W43719" s="503"/>
    </row>
    <row r="43720" spans="23:23">
      <c r="W43720" s="503"/>
    </row>
    <row r="43721" spans="23:23">
      <c r="W43721" s="503"/>
    </row>
    <row r="43722" spans="23:23">
      <c r="W43722" s="503"/>
    </row>
    <row r="43723" spans="23:23">
      <c r="W43723" s="503"/>
    </row>
    <row r="43724" spans="23:23">
      <c r="W43724" s="503"/>
    </row>
    <row r="43725" spans="23:23">
      <c r="W43725" s="503"/>
    </row>
    <row r="43726" spans="23:23">
      <c r="W43726" s="503"/>
    </row>
    <row r="43727" spans="23:23">
      <c r="W43727" s="503"/>
    </row>
    <row r="43728" spans="23:23">
      <c r="W43728" s="503"/>
    </row>
    <row r="43729" spans="23:23">
      <c r="W43729" s="503"/>
    </row>
    <row r="43730" spans="23:23">
      <c r="W43730" s="503"/>
    </row>
    <row r="43731" spans="23:23">
      <c r="W43731" s="503"/>
    </row>
    <row r="43732" spans="23:23">
      <c r="W43732" s="503"/>
    </row>
    <row r="43733" spans="23:23">
      <c r="W43733" s="503"/>
    </row>
    <row r="43734" spans="23:23">
      <c r="W43734" s="503"/>
    </row>
    <row r="43735" spans="23:23">
      <c r="W43735" s="503"/>
    </row>
    <row r="43736" spans="23:23">
      <c r="W43736" s="503"/>
    </row>
    <row r="43737" spans="23:23">
      <c r="W43737" s="503"/>
    </row>
    <row r="43738" spans="23:23">
      <c r="W43738" s="503"/>
    </row>
    <row r="43739" spans="23:23">
      <c r="W43739" s="503"/>
    </row>
    <row r="43740" spans="23:23">
      <c r="W43740" s="503"/>
    </row>
    <row r="43741" spans="23:23">
      <c r="W43741" s="503"/>
    </row>
    <row r="43742" spans="23:23">
      <c r="W43742" s="503"/>
    </row>
    <row r="43743" spans="23:23">
      <c r="W43743" s="503"/>
    </row>
    <row r="43744" spans="23:23">
      <c r="W43744" s="503"/>
    </row>
    <row r="43745" spans="23:23">
      <c r="W43745" s="503"/>
    </row>
    <row r="43746" spans="23:23">
      <c r="W43746" s="503"/>
    </row>
    <row r="43747" spans="23:23">
      <c r="W43747" s="503"/>
    </row>
    <row r="43748" spans="23:23">
      <c r="W43748" s="503"/>
    </row>
    <row r="43749" spans="23:23">
      <c r="W43749" s="503"/>
    </row>
    <row r="43750" spans="23:23">
      <c r="W43750" s="503"/>
    </row>
    <row r="43751" spans="23:23">
      <c r="W43751" s="503"/>
    </row>
    <row r="43752" spans="23:23">
      <c r="W43752" s="503"/>
    </row>
    <row r="43753" spans="23:23">
      <c r="W43753" s="503"/>
    </row>
    <row r="43754" spans="23:23">
      <c r="W43754" s="503"/>
    </row>
    <row r="43755" spans="23:23">
      <c r="W43755" s="503"/>
    </row>
    <row r="43756" spans="23:23">
      <c r="W43756" s="503"/>
    </row>
    <row r="43757" spans="23:23">
      <c r="W43757" s="503"/>
    </row>
    <row r="43758" spans="23:23">
      <c r="W43758" s="503"/>
    </row>
    <row r="43759" spans="23:23">
      <c r="W43759" s="503"/>
    </row>
    <row r="43760" spans="23:23">
      <c r="W43760" s="503"/>
    </row>
    <row r="43761" spans="23:23">
      <c r="W43761" s="503"/>
    </row>
    <row r="43762" spans="23:23">
      <c r="W43762" s="503"/>
    </row>
    <row r="43763" spans="23:23">
      <c r="W43763" s="503"/>
    </row>
    <row r="43764" spans="23:23">
      <c r="W43764" s="503"/>
    </row>
    <row r="43765" spans="23:23">
      <c r="W43765" s="503"/>
    </row>
    <row r="43766" spans="23:23">
      <c r="W43766" s="503"/>
    </row>
    <row r="43767" spans="23:23">
      <c r="W43767" s="503"/>
    </row>
    <row r="43768" spans="23:23">
      <c r="W43768" s="503"/>
    </row>
    <row r="43769" spans="23:23">
      <c r="W43769" s="503"/>
    </row>
    <row r="43770" spans="23:23">
      <c r="W43770" s="503"/>
    </row>
    <row r="43771" spans="23:23">
      <c r="W43771" s="503"/>
    </row>
    <row r="43772" spans="23:23">
      <c r="W43772" s="503"/>
    </row>
    <row r="43773" spans="23:23">
      <c r="W43773" s="503"/>
    </row>
    <row r="43774" spans="23:23">
      <c r="W43774" s="503"/>
    </row>
    <row r="43775" spans="23:23">
      <c r="W43775" s="503"/>
    </row>
    <row r="43776" spans="23:23">
      <c r="W43776" s="503"/>
    </row>
    <row r="43777" spans="23:23">
      <c r="W43777" s="503"/>
    </row>
    <row r="43778" spans="23:23">
      <c r="W43778" s="503"/>
    </row>
    <row r="43779" spans="23:23">
      <c r="W43779" s="503"/>
    </row>
    <row r="43780" spans="23:23">
      <c r="W43780" s="503"/>
    </row>
    <row r="43781" spans="23:23">
      <c r="W43781" s="503"/>
    </row>
    <row r="43782" spans="23:23">
      <c r="W43782" s="503"/>
    </row>
    <row r="43783" spans="23:23">
      <c r="W43783" s="503"/>
    </row>
    <row r="43784" spans="23:23">
      <c r="W43784" s="503"/>
    </row>
    <row r="43785" spans="23:23">
      <c r="W43785" s="503"/>
    </row>
    <row r="43786" spans="23:23">
      <c r="W43786" s="503"/>
    </row>
    <row r="43787" spans="23:23">
      <c r="W43787" s="503"/>
    </row>
    <row r="43788" spans="23:23">
      <c r="W43788" s="503"/>
    </row>
    <row r="43789" spans="23:23">
      <c r="W43789" s="503"/>
    </row>
    <row r="43790" spans="23:23">
      <c r="W43790" s="503"/>
    </row>
    <row r="43791" spans="23:23">
      <c r="W43791" s="503"/>
    </row>
    <row r="43792" spans="23:23">
      <c r="W43792" s="503"/>
    </row>
    <row r="43793" spans="23:23">
      <c r="W43793" s="503"/>
    </row>
    <row r="43794" spans="23:23">
      <c r="W43794" s="503"/>
    </row>
    <row r="43795" spans="23:23">
      <c r="W43795" s="503"/>
    </row>
    <row r="43796" spans="23:23">
      <c r="W43796" s="503"/>
    </row>
    <row r="43797" spans="23:23">
      <c r="W43797" s="503"/>
    </row>
    <row r="43798" spans="23:23">
      <c r="W43798" s="503"/>
    </row>
    <row r="43799" spans="23:23">
      <c r="W43799" s="503"/>
    </row>
    <row r="43800" spans="23:23">
      <c r="W43800" s="503"/>
    </row>
    <row r="43801" spans="23:23">
      <c r="W43801" s="503"/>
    </row>
    <row r="43802" spans="23:23">
      <c r="W43802" s="503"/>
    </row>
    <row r="43803" spans="23:23">
      <c r="W43803" s="503"/>
    </row>
    <row r="43804" spans="23:23">
      <c r="W43804" s="503"/>
    </row>
    <row r="43805" spans="23:23">
      <c r="W43805" s="503"/>
    </row>
    <row r="43806" spans="23:23">
      <c r="W43806" s="503"/>
    </row>
    <row r="43807" spans="23:23">
      <c r="W43807" s="503"/>
    </row>
    <row r="43808" spans="23:23">
      <c r="W43808" s="503"/>
    </row>
    <row r="43809" spans="23:23">
      <c r="W43809" s="503"/>
    </row>
    <row r="43810" spans="23:23">
      <c r="W43810" s="503"/>
    </row>
    <row r="43811" spans="23:23">
      <c r="W43811" s="503"/>
    </row>
    <row r="43812" spans="23:23">
      <c r="W43812" s="503"/>
    </row>
    <row r="43813" spans="23:23">
      <c r="W43813" s="503"/>
    </row>
    <row r="43814" spans="23:23">
      <c r="W43814" s="503"/>
    </row>
    <row r="43815" spans="23:23">
      <c r="W43815" s="503"/>
    </row>
    <row r="43816" spans="23:23">
      <c r="W43816" s="503"/>
    </row>
    <row r="43817" spans="23:23">
      <c r="W43817" s="503"/>
    </row>
    <row r="43818" spans="23:23">
      <c r="W43818" s="503"/>
    </row>
    <row r="43819" spans="23:23">
      <c r="W43819" s="503"/>
    </row>
    <row r="43820" spans="23:23">
      <c r="W43820" s="503"/>
    </row>
    <row r="43821" spans="23:23">
      <c r="W43821" s="503"/>
    </row>
    <row r="43822" spans="23:23">
      <c r="W43822" s="503"/>
    </row>
    <row r="43823" spans="23:23">
      <c r="W43823" s="503"/>
    </row>
    <row r="43824" spans="23:23">
      <c r="W43824" s="503"/>
    </row>
    <row r="43825" spans="23:23">
      <c r="W43825" s="503"/>
    </row>
    <row r="43826" spans="23:23">
      <c r="W43826" s="503"/>
    </row>
    <row r="43827" spans="23:23">
      <c r="W43827" s="503"/>
    </row>
    <row r="43828" spans="23:23">
      <c r="W43828" s="503"/>
    </row>
    <row r="43829" spans="23:23">
      <c r="W43829" s="503"/>
    </row>
    <row r="43830" spans="23:23">
      <c r="W43830" s="503"/>
    </row>
    <row r="43831" spans="23:23">
      <c r="W43831" s="503"/>
    </row>
    <row r="43832" spans="23:23">
      <c r="W43832" s="503"/>
    </row>
    <row r="43833" spans="23:23">
      <c r="W43833" s="503"/>
    </row>
    <row r="43834" spans="23:23">
      <c r="W43834" s="503"/>
    </row>
    <row r="43835" spans="23:23">
      <c r="W43835" s="503"/>
    </row>
    <row r="43836" spans="23:23">
      <c r="W43836" s="503"/>
    </row>
    <row r="43837" spans="23:23">
      <c r="W43837" s="503"/>
    </row>
    <row r="43838" spans="23:23">
      <c r="W43838" s="503"/>
    </row>
    <row r="43839" spans="23:23">
      <c r="W43839" s="503"/>
    </row>
    <row r="43840" spans="23:23">
      <c r="W43840" s="503"/>
    </row>
    <row r="43841" spans="23:23">
      <c r="W43841" s="503"/>
    </row>
    <row r="43842" spans="23:23">
      <c r="W43842" s="503"/>
    </row>
    <row r="43843" spans="23:23">
      <c r="W43843" s="503"/>
    </row>
    <row r="43844" spans="23:23">
      <c r="W43844" s="503"/>
    </row>
    <row r="43845" spans="23:23">
      <c r="W43845" s="503"/>
    </row>
    <row r="43846" spans="23:23">
      <c r="W43846" s="503"/>
    </row>
    <row r="43847" spans="23:23">
      <c r="W43847" s="503"/>
    </row>
    <row r="43848" spans="23:23">
      <c r="W43848" s="503"/>
    </row>
    <row r="43849" spans="23:23">
      <c r="W43849" s="503"/>
    </row>
    <row r="43850" spans="23:23">
      <c r="W43850" s="503"/>
    </row>
    <row r="43851" spans="23:23">
      <c r="W43851" s="503"/>
    </row>
    <row r="43852" spans="23:23">
      <c r="W43852" s="503"/>
    </row>
    <row r="43853" spans="23:23">
      <c r="W43853" s="503"/>
    </row>
    <row r="43854" spans="23:23">
      <c r="W43854" s="503"/>
    </row>
    <row r="43855" spans="23:23">
      <c r="W43855" s="503"/>
    </row>
    <row r="43856" spans="23:23">
      <c r="W43856" s="503"/>
    </row>
    <row r="43857" spans="23:23">
      <c r="W43857" s="503"/>
    </row>
    <row r="43858" spans="23:23">
      <c r="W43858" s="503"/>
    </row>
    <row r="43859" spans="23:23">
      <c r="W43859" s="503"/>
    </row>
    <row r="43860" spans="23:23">
      <c r="W43860" s="503"/>
    </row>
    <row r="43861" spans="23:23">
      <c r="W43861" s="503"/>
    </row>
    <row r="43862" spans="23:23">
      <c r="W43862" s="503"/>
    </row>
    <row r="43863" spans="23:23">
      <c r="W43863" s="503"/>
    </row>
    <row r="43864" spans="23:23">
      <c r="W43864" s="503"/>
    </row>
    <row r="43865" spans="23:23">
      <c r="W43865" s="503"/>
    </row>
    <row r="43866" spans="23:23">
      <c r="W43866" s="503"/>
    </row>
    <row r="43867" spans="23:23">
      <c r="W43867" s="503"/>
    </row>
    <row r="43868" spans="23:23">
      <c r="W43868" s="503"/>
    </row>
    <row r="43869" spans="23:23">
      <c r="W43869" s="503"/>
    </row>
    <row r="43870" spans="23:23">
      <c r="W43870" s="503"/>
    </row>
    <row r="43871" spans="23:23">
      <c r="W43871" s="503"/>
    </row>
    <row r="43872" spans="23:23">
      <c r="W43872" s="503"/>
    </row>
    <row r="43873" spans="23:23">
      <c r="W43873" s="503"/>
    </row>
    <row r="43874" spans="23:23">
      <c r="W43874" s="503"/>
    </row>
    <row r="43875" spans="23:23">
      <c r="W43875" s="503"/>
    </row>
    <row r="43876" spans="23:23">
      <c r="W43876" s="503"/>
    </row>
    <row r="43877" spans="23:23">
      <c r="W43877" s="503"/>
    </row>
    <row r="43878" spans="23:23">
      <c r="W43878" s="503"/>
    </row>
    <row r="43879" spans="23:23">
      <c r="W43879" s="503"/>
    </row>
    <row r="43880" spans="23:23">
      <c r="W43880" s="503"/>
    </row>
    <row r="43881" spans="23:23">
      <c r="W43881" s="503"/>
    </row>
    <row r="43882" spans="23:23">
      <c r="W43882" s="503"/>
    </row>
    <row r="43883" spans="23:23">
      <c r="W43883" s="503"/>
    </row>
    <row r="43884" spans="23:23">
      <c r="W43884" s="503"/>
    </row>
    <row r="43885" spans="23:23">
      <c r="W43885" s="503"/>
    </row>
    <row r="43886" spans="23:23">
      <c r="W43886" s="503"/>
    </row>
    <row r="43887" spans="23:23">
      <c r="W43887" s="503"/>
    </row>
    <row r="43888" spans="23:23">
      <c r="W43888" s="503"/>
    </row>
    <row r="43889" spans="23:23">
      <c r="W43889" s="503"/>
    </row>
    <row r="43890" spans="23:23">
      <c r="W43890" s="503"/>
    </row>
    <row r="43891" spans="23:23">
      <c r="W43891" s="503"/>
    </row>
    <row r="43892" spans="23:23">
      <c r="W43892" s="503"/>
    </row>
    <row r="43893" spans="23:23">
      <c r="W43893" s="503"/>
    </row>
    <row r="43894" spans="23:23">
      <c r="W43894" s="503"/>
    </row>
    <row r="43895" spans="23:23">
      <c r="W43895" s="503"/>
    </row>
    <row r="43896" spans="23:23">
      <c r="W43896" s="503"/>
    </row>
    <row r="43897" spans="23:23">
      <c r="W43897" s="503"/>
    </row>
    <row r="43898" spans="23:23">
      <c r="W43898" s="503"/>
    </row>
    <row r="43899" spans="23:23">
      <c r="W43899" s="503"/>
    </row>
    <row r="43900" spans="23:23">
      <c r="W43900" s="503"/>
    </row>
    <row r="43901" spans="23:23">
      <c r="W43901" s="503"/>
    </row>
    <row r="43902" spans="23:23">
      <c r="W43902" s="503"/>
    </row>
    <row r="43903" spans="23:23">
      <c r="W43903" s="503"/>
    </row>
    <row r="43904" spans="23:23">
      <c r="W43904" s="503"/>
    </row>
    <row r="43905" spans="23:23">
      <c r="W43905" s="503"/>
    </row>
    <row r="43906" spans="23:23">
      <c r="W43906" s="503"/>
    </row>
    <row r="43907" spans="23:23">
      <c r="W43907" s="503"/>
    </row>
    <row r="43908" spans="23:23">
      <c r="W43908" s="503"/>
    </row>
    <row r="43909" spans="23:23">
      <c r="W43909" s="503"/>
    </row>
    <row r="43910" spans="23:23">
      <c r="W43910" s="503"/>
    </row>
    <row r="43911" spans="23:23">
      <c r="W43911" s="503"/>
    </row>
    <row r="43912" spans="23:23">
      <c r="W43912" s="503"/>
    </row>
    <row r="43913" spans="23:23">
      <c r="W43913" s="503"/>
    </row>
    <row r="43914" spans="23:23">
      <c r="W43914" s="503"/>
    </row>
    <row r="43915" spans="23:23">
      <c r="W43915" s="503"/>
    </row>
    <row r="43916" spans="23:23">
      <c r="W43916" s="503"/>
    </row>
    <row r="43917" spans="23:23">
      <c r="W43917" s="503"/>
    </row>
    <row r="43918" spans="23:23">
      <c r="W43918" s="503"/>
    </row>
    <row r="43919" spans="23:23">
      <c r="W43919" s="503"/>
    </row>
    <row r="43920" spans="23:23">
      <c r="W43920" s="503"/>
    </row>
    <row r="43921" spans="23:23">
      <c r="W43921" s="503"/>
    </row>
    <row r="43922" spans="23:23">
      <c r="W43922" s="503"/>
    </row>
    <row r="43923" spans="23:23">
      <c r="W43923" s="503"/>
    </row>
    <row r="43924" spans="23:23">
      <c r="W43924" s="503"/>
    </row>
    <row r="43925" spans="23:23">
      <c r="W43925" s="503"/>
    </row>
    <row r="43926" spans="23:23">
      <c r="W43926" s="503"/>
    </row>
    <row r="43927" spans="23:23">
      <c r="W43927" s="503"/>
    </row>
    <row r="43928" spans="23:23">
      <c r="W43928" s="503"/>
    </row>
    <row r="43929" spans="23:23">
      <c r="W43929" s="503"/>
    </row>
    <row r="43930" spans="23:23">
      <c r="W43930" s="503"/>
    </row>
    <row r="43931" spans="23:23">
      <c r="W43931" s="503"/>
    </row>
    <row r="43932" spans="23:23">
      <c r="W43932" s="503"/>
    </row>
    <row r="43933" spans="23:23">
      <c r="W43933" s="503"/>
    </row>
    <row r="43934" spans="23:23">
      <c r="W43934" s="503"/>
    </row>
    <row r="43935" spans="23:23">
      <c r="W43935" s="503"/>
    </row>
    <row r="43936" spans="23:23">
      <c r="W43936" s="503"/>
    </row>
    <row r="43937" spans="23:23">
      <c r="W43937" s="503"/>
    </row>
    <row r="43938" spans="23:23">
      <c r="W43938" s="503"/>
    </row>
    <row r="43939" spans="23:23">
      <c r="W43939" s="503"/>
    </row>
    <row r="43940" spans="23:23">
      <c r="W43940" s="503"/>
    </row>
    <row r="43941" spans="23:23">
      <c r="W43941" s="503"/>
    </row>
    <row r="43942" spans="23:23">
      <c r="W43942" s="503"/>
    </row>
    <row r="43943" spans="23:23">
      <c r="W43943" s="503"/>
    </row>
    <row r="43944" spans="23:23">
      <c r="W43944" s="503"/>
    </row>
    <row r="43945" spans="23:23">
      <c r="W43945" s="503"/>
    </row>
    <row r="43946" spans="23:23">
      <c r="W43946" s="503"/>
    </row>
    <row r="43947" spans="23:23">
      <c r="W43947" s="503"/>
    </row>
    <row r="43948" spans="23:23">
      <c r="W43948" s="503"/>
    </row>
    <row r="43949" spans="23:23">
      <c r="W43949" s="503"/>
    </row>
    <row r="43950" spans="23:23">
      <c r="W43950" s="503"/>
    </row>
    <row r="43951" spans="23:23">
      <c r="W43951" s="503"/>
    </row>
    <row r="43952" spans="23:23">
      <c r="W43952" s="503"/>
    </row>
    <row r="43953" spans="23:23">
      <c r="W43953" s="503"/>
    </row>
    <row r="43954" spans="23:23">
      <c r="W43954" s="503"/>
    </row>
    <row r="43955" spans="23:23">
      <c r="W43955" s="503"/>
    </row>
    <row r="43956" spans="23:23">
      <c r="W43956" s="503"/>
    </row>
    <row r="43957" spans="23:23">
      <c r="W43957" s="503"/>
    </row>
    <row r="43958" spans="23:23">
      <c r="W43958" s="503"/>
    </row>
    <row r="43959" spans="23:23">
      <c r="W43959" s="503"/>
    </row>
    <row r="43960" spans="23:23">
      <c r="W43960" s="503"/>
    </row>
    <row r="43961" spans="23:23">
      <c r="W43961" s="503"/>
    </row>
    <row r="43962" spans="23:23">
      <c r="W43962" s="503"/>
    </row>
    <row r="43963" spans="23:23">
      <c r="W43963" s="503"/>
    </row>
    <row r="43964" spans="23:23">
      <c r="W43964" s="503"/>
    </row>
    <row r="43965" spans="23:23">
      <c r="W43965" s="503"/>
    </row>
    <row r="43966" spans="23:23">
      <c r="W43966" s="503"/>
    </row>
    <row r="43967" spans="23:23">
      <c r="W43967" s="503"/>
    </row>
    <row r="43968" spans="23:23">
      <c r="W43968" s="503"/>
    </row>
    <row r="43969" spans="23:23">
      <c r="W43969" s="503"/>
    </row>
    <row r="43970" spans="23:23">
      <c r="W43970" s="503"/>
    </row>
    <row r="43971" spans="23:23">
      <c r="W43971" s="503"/>
    </row>
    <row r="43972" spans="23:23">
      <c r="W43972" s="503"/>
    </row>
    <row r="43973" spans="23:23">
      <c r="W43973" s="503"/>
    </row>
    <row r="43974" spans="23:23">
      <c r="W43974" s="503"/>
    </row>
    <row r="43975" spans="23:23">
      <c r="W43975" s="503"/>
    </row>
    <row r="43976" spans="23:23">
      <c r="W43976" s="503"/>
    </row>
    <row r="43977" spans="23:23">
      <c r="W43977" s="503"/>
    </row>
    <row r="43978" spans="23:23">
      <c r="W43978" s="503"/>
    </row>
    <row r="43979" spans="23:23">
      <c r="W43979" s="503"/>
    </row>
    <row r="43980" spans="23:23">
      <c r="W43980" s="503"/>
    </row>
    <row r="43981" spans="23:23">
      <c r="W43981" s="503"/>
    </row>
    <row r="43982" spans="23:23">
      <c r="W43982" s="503"/>
    </row>
    <row r="43983" spans="23:23">
      <c r="W43983" s="503"/>
    </row>
    <row r="43984" spans="23:23">
      <c r="W43984" s="503"/>
    </row>
    <row r="43985" spans="23:23">
      <c r="W43985" s="503"/>
    </row>
    <row r="43986" spans="23:23">
      <c r="W43986" s="503"/>
    </row>
    <row r="43987" spans="23:23">
      <c r="W43987" s="503"/>
    </row>
    <row r="43988" spans="23:23">
      <c r="W43988" s="503"/>
    </row>
    <row r="43989" spans="23:23">
      <c r="W43989" s="503"/>
    </row>
    <row r="43990" spans="23:23">
      <c r="W43990" s="503"/>
    </row>
    <row r="43991" spans="23:23">
      <c r="W43991" s="503"/>
    </row>
    <row r="43992" spans="23:23">
      <c r="W43992" s="503"/>
    </row>
    <row r="43993" spans="23:23">
      <c r="W43993" s="503"/>
    </row>
    <row r="43994" spans="23:23">
      <c r="W43994" s="503"/>
    </row>
    <row r="43995" spans="23:23">
      <c r="W43995" s="503"/>
    </row>
    <row r="43996" spans="23:23">
      <c r="W43996" s="503"/>
    </row>
    <row r="43997" spans="23:23">
      <c r="W43997" s="503"/>
    </row>
    <row r="43998" spans="23:23">
      <c r="W43998" s="503"/>
    </row>
    <row r="43999" spans="23:23">
      <c r="W43999" s="503"/>
    </row>
    <row r="44000" spans="23:23">
      <c r="W44000" s="503"/>
    </row>
    <row r="44001" spans="23:23">
      <c r="W44001" s="503"/>
    </row>
    <row r="44002" spans="23:23">
      <c r="W44002" s="503"/>
    </row>
    <row r="44003" spans="23:23">
      <c r="W44003" s="503"/>
    </row>
    <row r="44004" spans="23:23">
      <c r="W44004" s="503"/>
    </row>
    <row r="44005" spans="23:23">
      <c r="W44005" s="503"/>
    </row>
    <row r="44006" spans="23:23">
      <c r="W44006" s="503"/>
    </row>
    <row r="44007" spans="23:23">
      <c r="W44007" s="503"/>
    </row>
    <row r="44008" spans="23:23">
      <c r="W44008" s="503"/>
    </row>
    <row r="44009" spans="23:23">
      <c r="W44009" s="503"/>
    </row>
    <row r="44010" spans="23:23">
      <c r="W44010" s="503"/>
    </row>
    <row r="44011" spans="23:23">
      <c r="W44011" s="503"/>
    </row>
    <row r="44012" spans="23:23">
      <c r="W44012" s="503"/>
    </row>
    <row r="44013" spans="23:23">
      <c r="W44013" s="503"/>
    </row>
    <row r="44014" spans="23:23">
      <c r="W44014" s="503"/>
    </row>
    <row r="44015" spans="23:23">
      <c r="W44015" s="503"/>
    </row>
    <row r="44016" spans="23:23">
      <c r="W44016" s="503"/>
    </row>
    <row r="44017" spans="23:23">
      <c r="W44017" s="503"/>
    </row>
    <row r="44018" spans="23:23">
      <c r="W44018" s="503"/>
    </row>
    <row r="44019" spans="23:23">
      <c r="W44019" s="503"/>
    </row>
    <row r="44020" spans="23:23">
      <c r="W44020" s="503"/>
    </row>
    <row r="44021" spans="23:23">
      <c r="W44021" s="503"/>
    </row>
    <row r="44022" spans="23:23">
      <c r="W44022" s="503"/>
    </row>
    <row r="44023" spans="23:23">
      <c r="W44023" s="503"/>
    </row>
    <row r="44024" spans="23:23">
      <c r="W44024" s="503"/>
    </row>
    <row r="44025" spans="23:23">
      <c r="W44025" s="503"/>
    </row>
    <row r="44026" spans="23:23">
      <c r="W44026" s="503"/>
    </row>
    <row r="44027" spans="23:23">
      <c r="W44027" s="503"/>
    </row>
    <row r="44028" spans="23:23">
      <c r="W44028" s="503"/>
    </row>
    <row r="44029" spans="23:23">
      <c r="W44029" s="503"/>
    </row>
    <row r="44030" spans="23:23">
      <c r="W44030" s="503"/>
    </row>
    <row r="44031" spans="23:23">
      <c r="W44031" s="503"/>
    </row>
    <row r="44032" spans="23:23">
      <c r="W44032" s="503"/>
    </row>
    <row r="44033" spans="23:23">
      <c r="W44033" s="503"/>
    </row>
    <row r="44034" spans="23:23">
      <c r="W44034" s="503"/>
    </row>
    <row r="44035" spans="23:23">
      <c r="W44035" s="503"/>
    </row>
    <row r="44036" spans="23:23">
      <c r="W44036" s="503"/>
    </row>
    <row r="44037" spans="23:23">
      <c r="W44037" s="503"/>
    </row>
    <row r="44038" spans="23:23">
      <c r="W44038" s="503"/>
    </row>
    <row r="44039" spans="23:23">
      <c r="W44039" s="503"/>
    </row>
    <row r="44040" spans="23:23">
      <c r="W44040" s="503"/>
    </row>
    <row r="44041" spans="23:23">
      <c r="W44041" s="503"/>
    </row>
    <row r="44042" spans="23:23">
      <c r="W44042" s="503"/>
    </row>
    <row r="44043" spans="23:23">
      <c r="W44043" s="503"/>
    </row>
    <row r="44044" spans="23:23">
      <c r="W44044" s="503"/>
    </row>
    <row r="44045" spans="23:23">
      <c r="W44045" s="503"/>
    </row>
    <row r="44046" spans="23:23">
      <c r="W44046" s="503"/>
    </row>
    <row r="44047" spans="23:23">
      <c r="W44047" s="503"/>
    </row>
    <row r="44048" spans="23:23">
      <c r="W44048" s="503"/>
    </row>
    <row r="44049" spans="23:23">
      <c r="W44049" s="503"/>
    </row>
    <row r="44050" spans="23:23">
      <c r="W44050" s="503"/>
    </row>
    <row r="44051" spans="23:23">
      <c r="W44051" s="503"/>
    </row>
    <row r="44052" spans="23:23">
      <c r="W44052" s="503"/>
    </row>
    <row r="44053" spans="23:23">
      <c r="W44053" s="503"/>
    </row>
    <row r="44054" spans="23:23">
      <c r="W44054" s="503"/>
    </row>
    <row r="44055" spans="23:23">
      <c r="W44055" s="503"/>
    </row>
    <row r="44056" spans="23:23">
      <c r="W44056" s="503"/>
    </row>
    <row r="44057" spans="23:23">
      <c r="W44057" s="503"/>
    </row>
    <row r="44058" spans="23:23">
      <c r="W44058" s="503"/>
    </row>
    <row r="44059" spans="23:23">
      <c r="W44059" s="503"/>
    </row>
    <row r="44060" spans="23:23">
      <c r="W44060" s="503"/>
    </row>
    <row r="44061" spans="23:23">
      <c r="W44061" s="503"/>
    </row>
    <row r="44062" spans="23:23">
      <c r="W44062" s="503"/>
    </row>
    <row r="44063" spans="23:23">
      <c r="W44063" s="503"/>
    </row>
    <row r="44064" spans="23:23">
      <c r="W44064" s="503"/>
    </row>
    <row r="44065" spans="23:23">
      <c r="W44065" s="503"/>
    </row>
    <row r="44066" spans="23:23">
      <c r="W44066" s="503"/>
    </row>
    <row r="44067" spans="23:23">
      <c r="W44067" s="503"/>
    </row>
    <row r="44068" spans="23:23">
      <c r="W44068" s="503"/>
    </row>
    <row r="44069" spans="23:23">
      <c r="W44069" s="503"/>
    </row>
    <row r="44070" spans="23:23">
      <c r="W44070" s="503"/>
    </row>
    <row r="44071" spans="23:23">
      <c r="W44071" s="503"/>
    </row>
    <row r="44072" spans="23:23">
      <c r="W44072" s="503"/>
    </row>
    <row r="44073" spans="23:23">
      <c r="W44073" s="503"/>
    </row>
    <row r="44074" spans="23:23">
      <c r="W44074" s="503"/>
    </row>
    <row r="44075" spans="23:23">
      <c r="W44075" s="503"/>
    </row>
    <row r="44076" spans="23:23">
      <c r="W44076" s="503"/>
    </row>
    <row r="44077" spans="23:23">
      <c r="W44077" s="503"/>
    </row>
    <row r="44078" spans="23:23">
      <c r="W44078" s="503"/>
    </row>
    <row r="44079" spans="23:23">
      <c r="W44079" s="503"/>
    </row>
    <row r="44080" spans="23:23">
      <c r="W44080" s="503"/>
    </row>
    <row r="44081" spans="23:23">
      <c r="W44081" s="503"/>
    </row>
    <row r="44082" spans="23:23">
      <c r="W44082" s="503"/>
    </row>
    <row r="44083" spans="23:23">
      <c r="W44083" s="503"/>
    </row>
    <row r="44084" spans="23:23">
      <c r="W44084" s="503"/>
    </row>
    <row r="44085" spans="23:23">
      <c r="W44085" s="503"/>
    </row>
    <row r="44086" spans="23:23">
      <c r="W44086" s="503"/>
    </row>
    <row r="44087" spans="23:23">
      <c r="W44087" s="503"/>
    </row>
    <row r="44088" spans="23:23">
      <c r="W44088" s="503"/>
    </row>
    <row r="44089" spans="23:23">
      <c r="W44089" s="503"/>
    </row>
    <row r="44090" spans="23:23">
      <c r="W44090" s="503"/>
    </row>
    <row r="44091" spans="23:23">
      <c r="W44091" s="503"/>
    </row>
    <row r="44092" spans="23:23">
      <c r="W44092" s="503"/>
    </row>
    <row r="44093" spans="23:23">
      <c r="W44093" s="503"/>
    </row>
    <row r="44094" spans="23:23">
      <c r="W44094" s="503"/>
    </row>
    <row r="44095" spans="23:23">
      <c r="W44095" s="503"/>
    </row>
    <row r="44096" spans="23:23">
      <c r="W44096" s="503"/>
    </row>
    <row r="44097" spans="23:23">
      <c r="W44097" s="503"/>
    </row>
    <row r="44098" spans="23:23">
      <c r="W44098" s="503"/>
    </row>
    <row r="44099" spans="23:23">
      <c r="W44099" s="503"/>
    </row>
    <row r="44100" spans="23:23">
      <c r="W44100" s="503"/>
    </row>
    <row r="44101" spans="23:23">
      <c r="W44101" s="503"/>
    </row>
    <row r="44102" spans="23:23">
      <c r="W44102" s="503"/>
    </row>
    <row r="44103" spans="23:23">
      <c r="W44103" s="503"/>
    </row>
    <row r="44104" spans="23:23">
      <c r="W44104" s="503"/>
    </row>
    <row r="44105" spans="23:23">
      <c r="W44105" s="503"/>
    </row>
    <row r="44106" spans="23:23">
      <c r="W44106" s="503"/>
    </row>
    <row r="44107" spans="23:23">
      <c r="W44107" s="503"/>
    </row>
    <row r="44108" spans="23:23">
      <c r="W44108" s="503"/>
    </row>
    <row r="44109" spans="23:23">
      <c r="W44109" s="503"/>
    </row>
    <row r="44110" spans="23:23">
      <c r="W44110" s="503"/>
    </row>
    <row r="44111" spans="23:23">
      <c r="W44111" s="503"/>
    </row>
    <row r="44112" spans="23:23">
      <c r="W44112" s="503"/>
    </row>
    <row r="44113" spans="23:23">
      <c r="W44113" s="503"/>
    </row>
    <row r="44114" spans="23:23">
      <c r="W44114" s="503"/>
    </row>
    <row r="44115" spans="23:23">
      <c r="W44115" s="503"/>
    </row>
    <row r="44116" spans="23:23">
      <c r="W44116" s="503"/>
    </row>
    <row r="44117" spans="23:23">
      <c r="W44117" s="503"/>
    </row>
    <row r="44118" spans="23:23">
      <c r="W44118" s="503"/>
    </row>
    <row r="44119" spans="23:23">
      <c r="W44119" s="503"/>
    </row>
    <row r="44120" spans="23:23">
      <c r="W44120" s="503"/>
    </row>
    <row r="44121" spans="23:23">
      <c r="W44121" s="503"/>
    </row>
    <row r="44122" spans="23:23">
      <c r="W44122" s="503"/>
    </row>
    <row r="44123" spans="23:23">
      <c r="W44123" s="503"/>
    </row>
    <row r="44124" spans="23:23">
      <c r="W44124" s="503"/>
    </row>
    <row r="44125" spans="23:23">
      <c r="W44125" s="503"/>
    </row>
    <row r="44126" spans="23:23">
      <c r="W44126" s="503"/>
    </row>
    <row r="44127" spans="23:23">
      <c r="W44127" s="503"/>
    </row>
    <row r="44128" spans="23:23">
      <c r="W44128" s="503"/>
    </row>
    <row r="44129" spans="23:23">
      <c r="W44129" s="503"/>
    </row>
    <row r="44130" spans="23:23">
      <c r="W44130" s="503"/>
    </row>
    <row r="44131" spans="23:23">
      <c r="W44131" s="503"/>
    </row>
    <row r="44132" spans="23:23">
      <c r="W44132" s="503"/>
    </row>
    <row r="44133" spans="23:23">
      <c r="W44133" s="503"/>
    </row>
    <row r="44134" spans="23:23">
      <c r="W44134" s="503"/>
    </row>
    <row r="44135" spans="23:23">
      <c r="W44135" s="503"/>
    </row>
    <row r="44136" spans="23:23">
      <c r="W44136" s="503"/>
    </row>
    <row r="44137" spans="23:23">
      <c r="W44137" s="503"/>
    </row>
    <row r="44138" spans="23:23">
      <c r="W44138" s="503"/>
    </row>
    <row r="44139" spans="23:23">
      <c r="W44139" s="503"/>
    </row>
    <row r="44140" spans="23:23">
      <c r="W44140" s="503"/>
    </row>
    <row r="44141" spans="23:23">
      <c r="W44141" s="503"/>
    </row>
    <row r="44142" spans="23:23">
      <c r="W44142" s="503"/>
    </row>
    <row r="44143" spans="23:23">
      <c r="W44143" s="503"/>
    </row>
    <row r="44144" spans="23:23">
      <c r="W44144" s="503"/>
    </row>
    <row r="44145" spans="23:23">
      <c r="W44145" s="503"/>
    </row>
    <row r="44146" spans="23:23">
      <c r="W44146" s="503"/>
    </row>
    <row r="44147" spans="23:23">
      <c r="W44147" s="503"/>
    </row>
    <row r="44148" spans="23:23">
      <c r="W44148" s="503"/>
    </row>
    <row r="44149" spans="23:23">
      <c r="W44149" s="503"/>
    </row>
    <row r="44150" spans="23:23">
      <c r="W44150" s="503"/>
    </row>
    <row r="44151" spans="23:23">
      <c r="W44151" s="503"/>
    </row>
    <row r="44152" spans="23:23">
      <c r="W44152" s="503"/>
    </row>
    <row r="44153" spans="23:23">
      <c r="W44153" s="503"/>
    </row>
    <row r="44154" spans="23:23">
      <c r="W44154" s="503"/>
    </row>
    <row r="44155" spans="23:23">
      <c r="W44155" s="503"/>
    </row>
    <row r="44156" spans="23:23">
      <c r="W44156" s="503"/>
    </row>
    <row r="44157" spans="23:23">
      <c r="W44157" s="503"/>
    </row>
    <row r="44158" spans="23:23">
      <c r="W44158" s="503"/>
    </row>
    <row r="44159" spans="23:23">
      <c r="W44159" s="503"/>
    </row>
    <row r="44160" spans="23:23">
      <c r="W44160" s="503"/>
    </row>
    <row r="44161" spans="23:23">
      <c r="W44161" s="503"/>
    </row>
    <row r="44162" spans="23:23">
      <c r="W44162" s="503"/>
    </row>
    <row r="44163" spans="23:23">
      <c r="W44163" s="503"/>
    </row>
    <row r="44164" spans="23:23">
      <c r="W44164" s="503"/>
    </row>
    <row r="44165" spans="23:23">
      <c r="W44165" s="503"/>
    </row>
    <row r="44166" spans="23:23">
      <c r="W44166" s="503"/>
    </row>
    <row r="44167" spans="23:23">
      <c r="W44167" s="503"/>
    </row>
    <row r="44168" spans="23:23">
      <c r="W44168" s="503"/>
    </row>
    <row r="44169" spans="23:23">
      <c r="W44169" s="503"/>
    </row>
    <row r="44170" spans="23:23">
      <c r="W44170" s="503"/>
    </row>
    <row r="44171" spans="23:23">
      <c r="W44171" s="503"/>
    </row>
    <row r="44172" spans="23:23">
      <c r="W44172" s="503"/>
    </row>
    <row r="44173" spans="23:23">
      <c r="W44173" s="503"/>
    </row>
    <row r="44174" spans="23:23">
      <c r="W44174" s="503"/>
    </row>
    <row r="44175" spans="23:23">
      <c r="W44175" s="503"/>
    </row>
    <row r="44176" spans="23:23">
      <c r="W44176" s="503"/>
    </row>
    <row r="44177" spans="23:23">
      <c r="W44177" s="503"/>
    </row>
    <row r="44178" spans="23:23">
      <c r="W44178" s="503"/>
    </row>
    <row r="44179" spans="23:23">
      <c r="W44179" s="503"/>
    </row>
    <row r="44180" spans="23:23">
      <c r="W44180" s="503"/>
    </row>
    <row r="44181" spans="23:23">
      <c r="W44181" s="503"/>
    </row>
    <row r="44182" spans="23:23">
      <c r="W44182" s="503"/>
    </row>
    <row r="44183" spans="23:23">
      <c r="W44183" s="503"/>
    </row>
    <row r="44184" spans="23:23">
      <c r="W44184" s="503"/>
    </row>
    <row r="44185" spans="23:23">
      <c r="W44185" s="503"/>
    </row>
    <row r="44186" spans="23:23">
      <c r="W44186" s="503"/>
    </row>
    <row r="44187" spans="23:23">
      <c r="W44187" s="503"/>
    </row>
    <row r="44188" spans="23:23">
      <c r="W44188" s="503"/>
    </row>
    <row r="44189" spans="23:23">
      <c r="W44189" s="503"/>
    </row>
    <row r="44190" spans="23:23">
      <c r="W44190" s="503"/>
    </row>
    <row r="44191" spans="23:23">
      <c r="W44191" s="503"/>
    </row>
    <row r="44192" spans="23:23">
      <c r="W44192" s="503"/>
    </row>
    <row r="44193" spans="23:23">
      <c r="W44193" s="503"/>
    </row>
    <row r="44194" spans="23:23">
      <c r="W44194" s="503"/>
    </row>
    <row r="44195" spans="23:23">
      <c r="W44195" s="503"/>
    </row>
    <row r="44196" spans="23:23">
      <c r="W44196" s="503"/>
    </row>
    <row r="44197" spans="23:23">
      <c r="W44197" s="503"/>
    </row>
    <row r="44198" spans="23:23">
      <c r="W44198" s="503"/>
    </row>
    <row r="44199" spans="23:23">
      <c r="W44199" s="503"/>
    </row>
    <row r="44200" spans="23:23">
      <c r="W44200" s="503"/>
    </row>
    <row r="44201" spans="23:23">
      <c r="W44201" s="503"/>
    </row>
    <row r="44202" spans="23:23">
      <c r="W44202" s="503"/>
    </row>
    <row r="44203" spans="23:23">
      <c r="W44203" s="503"/>
    </row>
    <row r="44204" spans="23:23">
      <c r="W44204" s="503"/>
    </row>
    <row r="44205" spans="23:23">
      <c r="W44205" s="503"/>
    </row>
    <row r="44206" spans="23:23">
      <c r="W44206" s="503"/>
    </row>
    <row r="44207" spans="23:23">
      <c r="W44207" s="503"/>
    </row>
    <row r="44208" spans="23:23">
      <c r="W44208" s="503"/>
    </row>
    <row r="44209" spans="23:23">
      <c r="W44209" s="503"/>
    </row>
    <row r="44210" spans="23:23">
      <c r="W44210" s="503"/>
    </row>
    <row r="44211" spans="23:23">
      <c r="W44211" s="503"/>
    </row>
    <row r="44212" spans="23:23">
      <c r="W44212" s="503"/>
    </row>
    <row r="44213" spans="23:23">
      <c r="W44213" s="503"/>
    </row>
    <row r="44214" spans="23:23">
      <c r="W44214" s="503"/>
    </row>
    <row r="44215" spans="23:23">
      <c r="W44215" s="503"/>
    </row>
    <row r="44216" spans="23:23">
      <c r="W44216" s="503"/>
    </row>
    <row r="44217" spans="23:23">
      <c r="W44217" s="503"/>
    </row>
    <row r="44218" spans="23:23">
      <c r="W44218" s="503"/>
    </row>
    <row r="44219" spans="23:23">
      <c r="W44219" s="503"/>
    </row>
    <row r="44220" spans="23:23">
      <c r="W44220" s="503"/>
    </row>
    <row r="44221" spans="23:23">
      <c r="W44221" s="503"/>
    </row>
    <row r="44222" spans="23:23">
      <c r="W44222" s="503"/>
    </row>
    <row r="44223" spans="23:23">
      <c r="W44223" s="503"/>
    </row>
    <row r="44224" spans="23:23">
      <c r="W44224" s="503"/>
    </row>
    <row r="44225" spans="23:23">
      <c r="W44225" s="503"/>
    </row>
    <row r="44226" spans="23:23">
      <c r="W44226" s="503"/>
    </row>
    <row r="44227" spans="23:23">
      <c r="W44227" s="503"/>
    </row>
    <row r="44228" spans="23:23">
      <c r="W44228" s="503"/>
    </row>
    <row r="44229" spans="23:23">
      <c r="W44229" s="503"/>
    </row>
    <row r="44230" spans="23:23">
      <c r="W44230" s="503"/>
    </row>
    <row r="44231" spans="23:23">
      <c r="W44231" s="503"/>
    </row>
    <row r="44232" spans="23:23">
      <c r="W44232" s="503"/>
    </row>
    <row r="44233" spans="23:23">
      <c r="W44233" s="503"/>
    </row>
    <row r="44234" spans="23:23">
      <c r="W44234" s="503"/>
    </row>
    <row r="44235" spans="23:23">
      <c r="W44235" s="503"/>
    </row>
    <row r="44236" spans="23:23">
      <c r="W44236" s="503"/>
    </row>
    <row r="44237" spans="23:23">
      <c r="W44237" s="503"/>
    </row>
    <row r="44238" spans="23:23">
      <c r="W44238" s="503"/>
    </row>
    <row r="44239" spans="23:23">
      <c r="W44239" s="503"/>
    </row>
    <row r="44240" spans="23:23">
      <c r="W44240" s="503"/>
    </row>
    <row r="44241" spans="23:23">
      <c r="W44241" s="503"/>
    </row>
    <row r="44242" spans="23:23">
      <c r="W44242" s="503"/>
    </row>
    <row r="44243" spans="23:23">
      <c r="W44243" s="503"/>
    </row>
    <row r="44244" spans="23:23">
      <c r="W44244" s="503"/>
    </row>
    <row r="44245" spans="23:23">
      <c r="W44245" s="503"/>
    </row>
    <row r="44246" spans="23:23">
      <c r="W44246" s="503"/>
    </row>
    <row r="44247" spans="23:23">
      <c r="W44247" s="503"/>
    </row>
    <row r="44248" spans="23:23">
      <c r="W44248" s="503"/>
    </row>
    <row r="44249" spans="23:23">
      <c r="W44249" s="503"/>
    </row>
    <row r="44250" spans="23:23">
      <c r="W44250" s="503"/>
    </row>
    <row r="44251" spans="23:23">
      <c r="W44251" s="503"/>
    </row>
    <row r="44252" spans="23:23">
      <c r="W44252" s="503"/>
    </row>
    <row r="44253" spans="23:23">
      <c r="W44253" s="503"/>
    </row>
    <row r="44254" spans="23:23">
      <c r="W44254" s="503"/>
    </row>
    <row r="44255" spans="23:23">
      <c r="W44255" s="503"/>
    </row>
    <row r="44256" spans="23:23">
      <c r="W44256" s="503"/>
    </row>
    <row r="44257" spans="23:23">
      <c r="W44257" s="503"/>
    </row>
    <row r="44258" spans="23:23">
      <c r="W44258" s="503"/>
    </row>
    <row r="44259" spans="23:23">
      <c r="W44259" s="503"/>
    </row>
    <row r="44260" spans="23:23">
      <c r="W44260" s="503"/>
    </row>
    <row r="44261" spans="23:23">
      <c r="W44261" s="503"/>
    </row>
    <row r="44262" spans="23:23">
      <c r="W44262" s="503"/>
    </row>
    <row r="44263" spans="23:23">
      <c r="W44263" s="503"/>
    </row>
    <row r="44264" spans="23:23">
      <c r="W44264" s="503"/>
    </row>
    <row r="44265" spans="23:23">
      <c r="W44265" s="503"/>
    </row>
    <row r="44266" spans="23:23">
      <c r="W44266" s="503"/>
    </row>
    <row r="44267" spans="23:23">
      <c r="W44267" s="503"/>
    </row>
    <row r="44268" spans="23:23">
      <c r="W44268" s="503"/>
    </row>
    <row r="44269" spans="23:23">
      <c r="W44269" s="503"/>
    </row>
    <row r="44270" spans="23:23">
      <c r="W44270" s="503"/>
    </row>
    <row r="44271" spans="23:23">
      <c r="W44271" s="503"/>
    </row>
    <row r="44272" spans="23:23">
      <c r="W44272" s="503"/>
    </row>
    <row r="44273" spans="23:23">
      <c r="W44273" s="503"/>
    </row>
    <row r="44274" spans="23:23">
      <c r="W44274" s="503"/>
    </row>
    <row r="44275" spans="23:23">
      <c r="W44275" s="503"/>
    </row>
    <row r="44276" spans="23:23">
      <c r="W44276" s="503"/>
    </row>
    <row r="44277" spans="23:23">
      <c r="W44277" s="503"/>
    </row>
    <row r="44278" spans="23:23">
      <c r="W44278" s="503"/>
    </row>
    <row r="44279" spans="23:23">
      <c r="W44279" s="503"/>
    </row>
    <row r="44280" spans="23:23">
      <c r="W44280" s="503"/>
    </row>
    <row r="44281" spans="23:23">
      <c r="W44281" s="503"/>
    </row>
    <row r="44282" spans="23:23">
      <c r="W44282" s="503"/>
    </row>
    <row r="44283" spans="23:23">
      <c r="W44283" s="503"/>
    </row>
    <row r="44284" spans="23:23">
      <c r="W44284" s="503"/>
    </row>
    <row r="44285" spans="23:23">
      <c r="W44285" s="503"/>
    </row>
    <row r="44286" spans="23:23">
      <c r="W44286" s="503"/>
    </row>
    <row r="44287" spans="23:23">
      <c r="W44287" s="503"/>
    </row>
    <row r="44288" spans="23:23">
      <c r="W44288" s="503"/>
    </row>
    <row r="44289" spans="23:23">
      <c r="W44289" s="503"/>
    </row>
    <row r="44290" spans="23:23">
      <c r="W44290" s="503"/>
    </row>
    <row r="44291" spans="23:23">
      <c r="W44291" s="503"/>
    </row>
    <row r="44292" spans="23:23">
      <c r="W44292" s="503"/>
    </row>
    <row r="44293" spans="23:23">
      <c r="W44293" s="503"/>
    </row>
    <row r="44294" spans="23:23">
      <c r="W44294" s="503"/>
    </row>
    <row r="44295" spans="23:23">
      <c r="W44295" s="503"/>
    </row>
    <row r="44296" spans="23:23">
      <c r="W44296" s="503"/>
    </row>
    <row r="44297" spans="23:23">
      <c r="W44297" s="503"/>
    </row>
    <row r="44298" spans="23:23">
      <c r="W44298" s="503"/>
    </row>
    <row r="44299" spans="23:23">
      <c r="W44299" s="503"/>
    </row>
    <row r="44300" spans="23:23">
      <c r="W44300" s="503"/>
    </row>
    <row r="44301" spans="23:23">
      <c r="W44301" s="503"/>
    </row>
    <row r="44302" spans="23:23">
      <c r="W44302" s="503"/>
    </row>
    <row r="44303" spans="23:23">
      <c r="W44303" s="503"/>
    </row>
    <row r="44304" spans="23:23">
      <c r="W44304" s="503"/>
    </row>
    <row r="44305" spans="23:23">
      <c r="W44305" s="503"/>
    </row>
    <row r="44306" spans="23:23">
      <c r="W44306" s="503"/>
    </row>
    <row r="44307" spans="23:23">
      <c r="W44307" s="503"/>
    </row>
    <row r="44308" spans="23:23">
      <c r="W44308" s="503"/>
    </row>
    <row r="44309" spans="23:23">
      <c r="W44309" s="503"/>
    </row>
    <row r="44310" spans="23:23">
      <c r="W44310" s="503"/>
    </row>
    <row r="44311" spans="23:23">
      <c r="W44311" s="503"/>
    </row>
    <row r="44312" spans="23:23">
      <c r="W44312" s="503"/>
    </row>
    <row r="44313" spans="23:23">
      <c r="W44313" s="503"/>
    </row>
    <row r="44314" spans="23:23">
      <c r="W44314" s="503"/>
    </row>
    <row r="44315" spans="23:23">
      <c r="W44315" s="503"/>
    </row>
    <row r="44316" spans="23:23">
      <c r="W44316" s="503"/>
    </row>
    <row r="44317" spans="23:23">
      <c r="W44317" s="503"/>
    </row>
    <row r="44318" spans="23:23">
      <c r="W44318" s="503"/>
    </row>
    <row r="44319" spans="23:23">
      <c r="W44319" s="503"/>
    </row>
    <row r="44320" spans="23:23">
      <c r="W44320" s="503"/>
    </row>
    <row r="44321" spans="23:23">
      <c r="W44321" s="503"/>
    </row>
    <row r="44322" spans="23:23">
      <c r="W44322" s="503"/>
    </row>
    <row r="44323" spans="23:23">
      <c r="W44323" s="503"/>
    </row>
    <row r="44324" spans="23:23">
      <c r="W44324" s="503"/>
    </row>
    <row r="44325" spans="23:23">
      <c r="W44325" s="503"/>
    </row>
    <row r="44326" spans="23:23">
      <c r="W44326" s="503"/>
    </row>
    <row r="44327" spans="23:23">
      <c r="W44327" s="503"/>
    </row>
    <row r="44328" spans="23:23">
      <c r="W44328" s="503"/>
    </row>
    <row r="44329" spans="23:23">
      <c r="W44329" s="503"/>
    </row>
    <row r="44330" spans="23:23">
      <c r="W44330" s="503"/>
    </row>
    <row r="44331" spans="23:23">
      <c r="W44331" s="503"/>
    </row>
    <row r="44332" spans="23:23">
      <c r="W44332" s="503"/>
    </row>
    <row r="44333" spans="23:23">
      <c r="W44333" s="503"/>
    </row>
    <row r="44334" spans="23:23">
      <c r="W44334" s="503"/>
    </row>
    <row r="44335" spans="23:23">
      <c r="W44335" s="503"/>
    </row>
    <row r="44336" spans="23:23">
      <c r="W44336" s="503"/>
    </row>
    <row r="44337" spans="23:23">
      <c r="W44337" s="503"/>
    </row>
    <row r="44338" spans="23:23">
      <c r="W44338" s="503"/>
    </row>
    <row r="44339" spans="23:23">
      <c r="W44339" s="503"/>
    </row>
    <row r="44340" spans="23:23">
      <c r="W44340" s="503"/>
    </row>
    <row r="44341" spans="23:23">
      <c r="W44341" s="503"/>
    </row>
    <row r="44342" spans="23:23">
      <c r="W44342" s="503"/>
    </row>
    <row r="44343" spans="23:23">
      <c r="W44343" s="503"/>
    </row>
    <row r="44344" spans="23:23">
      <c r="W44344" s="503"/>
    </row>
    <row r="44345" spans="23:23">
      <c r="W44345" s="503"/>
    </row>
    <row r="44346" spans="23:23">
      <c r="W44346" s="503"/>
    </row>
    <row r="44347" spans="23:23">
      <c r="W44347" s="503"/>
    </row>
    <row r="44348" spans="23:23">
      <c r="W44348" s="503"/>
    </row>
    <row r="44349" spans="23:23">
      <c r="W44349" s="503"/>
    </row>
    <row r="44350" spans="23:23">
      <c r="W44350" s="503"/>
    </row>
    <row r="44351" spans="23:23">
      <c r="W44351" s="503"/>
    </row>
    <row r="44352" spans="23:23">
      <c r="W44352" s="503"/>
    </row>
    <row r="44353" spans="23:23">
      <c r="W44353" s="503"/>
    </row>
    <row r="44354" spans="23:23">
      <c r="W44354" s="503"/>
    </row>
    <row r="44355" spans="23:23">
      <c r="W44355" s="503"/>
    </row>
    <row r="44356" spans="23:23">
      <c r="W44356" s="503"/>
    </row>
    <row r="44357" spans="23:23">
      <c r="W44357" s="503"/>
    </row>
    <row r="44358" spans="23:23">
      <c r="W44358" s="503"/>
    </row>
    <row r="44359" spans="23:23">
      <c r="W44359" s="503"/>
    </row>
    <row r="44360" spans="23:23">
      <c r="W44360" s="503"/>
    </row>
    <row r="44361" spans="23:23">
      <c r="W44361" s="503"/>
    </row>
    <row r="44362" spans="23:23">
      <c r="W44362" s="503"/>
    </row>
    <row r="44363" spans="23:23">
      <c r="W44363" s="503"/>
    </row>
    <row r="44364" spans="23:23">
      <c r="W44364" s="503"/>
    </row>
    <row r="44365" spans="23:23">
      <c r="W44365" s="503"/>
    </row>
    <row r="44366" spans="23:23">
      <c r="W44366" s="503"/>
    </row>
    <row r="44367" spans="23:23">
      <c r="W44367" s="503"/>
    </row>
    <row r="44368" spans="23:23">
      <c r="W44368" s="503"/>
    </row>
    <row r="44369" spans="23:23">
      <c r="W44369" s="503"/>
    </row>
    <row r="44370" spans="23:23">
      <c r="W44370" s="503"/>
    </row>
    <row r="44371" spans="23:23">
      <c r="W44371" s="503"/>
    </row>
    <row r="44372" spans="23:23">
      <c r="W44372" s="503"/>
    </row>
    <row r="44373" spans="23:23">
      <c r="W44373" s="503"/>
    </row>
    <row r="44374" spans="23:23">
      <c r="W44374" s="503"/>
    </row>
    <row r="44375" spans="23:23">
      <c r="W44375" s="503"/>
    </row>
    <row r="44376" spans="23:23">
      <c r="W44376" s="503"/>
    </row>
    <row r="44377" spans="23:23">
      <c r="W44377" s="503"/>
    </row>
    <row r="44378" spans="23:23">
      <c r="W44378" s="503"/>
    </row>
    <row r="44379" spans="23:23">
      <c r="W44379" s="503"/>
    </row>
    <row r="44380" spans="23:23">
      <c r="W44380" s="503"/>
    </row>
    <row r="44381" spans="23:23">
      <c r="W44381" s="503"/>
    </row>
    <row r="44382" spans="23:23">
      <c r="W44382" s="503"/>
    </row>
    <row r="44383" spans="23:23">
      <c r="W44383" s="503"/>
    </row>
    <row r="44384" spans="23:23">
      <c r="W44384" s="503"/>
    </row>
    <row r="44385" spans="23:23">
      <c r="W44385" s="503"/>
    </row>
    <row r="44386" spans="23:23">
      <c r="W44386" s="503"/>
    </row>
    <row r="44387" spans="23:23">
      <c r="W44387" s="503"/>
    </row>
    <row r="44388" spans="23:23">
      <c r="W44388" s="503"/>
    </row>
    <row r="44389" spans="23:23">
      <c r="W44389" s="503"/>
    </row>
    <row r="44390" spans="23:23">
      <c r="W44390" s="503"/>
    </row>
    <row r="44391" spans="23:23">
      <c r="W44391" s="503"/>
    </row>
    <row r="44392" spans="23:23">
      <c r="W44392" s="503"/>
    </row>
    <row r="44393" spans="23:23">
      <c r="W44393" s="503"/>
    </row>
    <row r="44394" spans="23:23">
      <c r="W44394" s="503"/>
    </row>
    <row r="44395" spans="23:23">
      <c r="W44395" s="503"/>
    </row>
    <row r="44396" spans="23:23">
      <c r="W44396" s="503"/>
    </row>
    <row r="44397" spans="23:23">
      <c r="W44397" s="503"/>
    </row>
    <row r="44398" spans="23:23">
      <c r="W44398" s="503"/>
    </row>
    <row r="44399" spans="23:23">
      <c r="W44399" s="503"/>
    </row>
    <row r="44400" spans="23:23">
      <c r="W44400" s="503"/>
    </row>
    <row r="44401" spans="23:23">
      <c r="W44401" s="503"/>
    </row>
    <row r="44402" spans="23:23">
      <c r="W44402" s="503"/>
    </row>
    <row r="44403" spans="23:23">
      <c r="W44403" s="503"/>
    </row>
    <row r="44404" spans="23:23">
      <c r="W44404" s="503"/>
    </row>
    <row r="44405" spans="23:23">
      <c r="W44405" s="503"/>
    </row>
    <row r="44406" spans="23:23">
      <c r="W44406" s="503"/>
    </row>
    <row r="44407" spans="23:23">
      <c r="W44407" s="503"/>
    </row>
    <row r="44408" spans="23:23">
      <c r="W44408" s="503"/>
    </row>
    <row r="44409" spans="23:23">
      <c r="W44409" s="503"/>
    </row>
    <row r="44410" spans="23:23">
      <c r="W44410" s="503"/>
    </row>
    <row r="44411" spans="23:23">
      <c r="W44411" s="503"/>
    </row>
    <row r="44412" spans="23:23">
      <c r="W44412" s="503"/>
    </row>
    <row r="44413" spans="23:23">
      <c r="W44413" s="503"/>
    </row>
    <row r="44414" spans="23:23">
      <c r="W44414" s="503"/>
    </row>
    <row r="44415" spans="23:23">
      <c r="W44415" s="503"/>
    </row>
    <row r="44416" spans="23:23">
      <c r="W44416" s="503"/>
    </row>
    <row r="44417" spans="23:23">
      <c r="W44417" s="503"/>
    </row>
    <row r="44418" spans="23:23">
      <c r="W44418" s="503"/>
    </row>
    <row r="44419" spans="23:23">
      <c r="W44419" s="503"/>
    </row>
    <row r="44420" spans="23:23">
      <c r="W44420" s="503"/>
    </row>
    <row r="44421" spans="23:23">
      <c r="W44421" s="503"/>
    </row>
    <row r="44422" spans="23:23">
      <c r="W44422" s="503"/>
    </row>
    <row r="44423" spans="23:23">
      <c r="W44423" s="503"/>
    </row>
    <row r="44424" spans="23:23">
      <c r="W44424" s="503"/>
    </row>
    <row r="44425" spans="23:23">
      <c r="W44425" s="503"/>
    </row>
    <row r="44426" spans="23:23">
      <c r="W44426" s="503"/>
    </row>
    <row r="44427" spans="23:23">
      <c r="W44427" s="503"/>
    </row>
    <row r="44428" spans="23:23">
      <c r="W44428" s="503"/>
    </row>
    <row r="44429" spans="23:23">
      <c r="W44429" s="503"/>
    </row>
    <row r="44430" spans="23:23">
      <c r="W44430" s="503"/>
    </row>
    <row r="44431" spans="23:23">
      <c r="W44431" s="503"/>
    </row>
    <row r="44432" spans="23:23">
      <c r="W44432" s="503"/>
    </row>
    <row r="44433" spans="23:23">
      <c r="W44433" s="503"/>
    </row>
    <row r="44434" spans="23:23">
      <c r="W44434" s="503"/>
    </row>
    <row r="44435" spans="23:23">
      <c r="W44435" s="503"/>
    </row>
    <row r="44436" spans="23:23">
      <c r="W44436" s="503"/>
    </row>
    <row r="44437" spans="23:23">
      <c r="W44437" s="503"/>
    </row>
    <row r="44438" spans="23:23">
      <c r="W44438" s="503"/>
    </row>
    <row r="44439" spans="23:23">
      <c r="W44439" s="503"/>
    </row>
    <row r="44440" spans="23:23">
      <c r="W44440" s="503"/>
    </row>
    <row r="44441" spans="23:23">
      <c r="W44441" s="503"/>
    </row>
    <row r="44442" spans="23:23">
      <c r="W44442" s="503"/>
    </row>
    <row r="44443" spans="23:23">
      <c r="W44443" s="503"/>
    </row>
    <row r="44444" spans="23:23">
      <c r="W44444" s="503"/>
    </row>
    <row r="44445" spans="23:23">
      <c r="W44445" s="503"/>
    </row>
    <row r="44446" spans="23:23">
      <c r="W44446" s="503"/>
    </row>
    <row r="44447" spans="23:23">
      <c r="W44447" s="503"/>
    </row>
    <row r="44448" spans="23:23">
      <c r="W44448" s="503"/>
    </row>
    <row r="44449" spans="23:23">
      <c r="W44449" s="503"/>
    </row>
    <row r="44450" spans="23:23">
      <c r="W44450" s="503"/>
    </row>
    <row r="44451" spans="23:23">
      <c r="W44451" s="503"/>
    </row>
    <row r="44452" spans="23:23">
      <c r="W44452" s="503"/>
    </row>
    <row r="44453" spans="23:23">
      <c r="W44453" s="503"/>
    </row>
    <row r="44454" spans="23:23">
      <c r="W44454" s="503"/>
    </row>
    <row r="44455" spans="23:23">
      <c r="W44455" s="503"/>
    </row>
    <row r="44456" spans="23:23">
      <c r="W44456" s="503"/>
    </row>
    <row r="44457" spans="23:23">
      <c r="W44457" s="503"/>
    </row>
    <row r="44458" spans="23:23">
      <c r="W44458" s="503"/>
    </row>
    <row r="44459" spans="23:23">
      <c r="W44459" s="503"/>
    </row>
    <row r="44460" spans="23:23">
      <c r="W44460" s="503"/>
    </row>
    <row r="44461" spans="23:23">
      <c r="W44461" s="503"/>
    </row>
    <row r="44462" spans="23:23">
      <c r="W44462" s="503"/>
    </row>
    <row r="44463" spans="23:23">
      <c r="W44463" s="503"/>
    </row>
    <row r="44464" spans="23:23">
      <c r="W44464" s="503"/>
    </row>
    <row r="44465" spans="23:23">
      <c r="W44465" s="503"/>
    </row>
    <row r="44466" spans="23:23">
      <c r="W44466" s="503"/>
    </row>
    <row r="44467" spans="23:23">
      <c r="W44467" s="503"/>
    </row>
    <row r="44468" spans="23:23">
      <c r="W44468" s="503"/>
    </row>
    <row r="44469" spans="23:23">
      <c r="W44469" s="503"/>
    </row>
    <row r="44470" spans="23:23">
      <c r="W44470" s="503"/>
    </row>
    <row r="44471" spans="23:23">
      <c r="W44471" s="503"/>
    </row>
    <row r="44472" spans="23:23">
      <c r="W44472" s="503"/>
    </row>
    <row r="44473" spans="23:23">
      <c r="W44473" s="503"/>
    </row>
    <row r="44474" spans="23:23">
      <c r="W44474" s="503"/>
    </row>
    <row r="44475" spans="23:23">
      <c r="W44475" s="503"/>
    </row>
    <row r="44476" spans="23:23">
      <c r="W44476" s="503"/>
    </row>
    <row r="44477" spans="23:23">
      <c r="W44477" s="503"/>
    </row>
    <row r="44478" spans="23:23">
      <c r="W44478" s="503"/>
    </row>
    <row r="44479" spans="23:23">
      <c r="W44479" s="503"/>
    </row>
    <row r="44480" spans="23:23">
      <c r="W44480" s="503"/>
    </row>
    <row r="44481" spans="23:23">
      <c r="W44481" s="503"/>
    </row>
    <row r="44482" spans="23:23">
      <c r="W44482" s="503"/>
    </row>
    <row r="44483" spans="23:23">
      <c r="W44483" s="503"/>
    </row>
    <row r="44484" spans="23:23">
      <c r="W44484" s="503"/>
    </row>
    <row r="44485" spans="23:23">
      <c r="W44485" s="503"/>
    </row>
    <row r="44486" spans="23:23">
      <c r="W44486" s="503"/>
    </row>
    <row r="44487" spans="23:23">
      <c r="W44487" s="503"/>
    </row>
    <row r="44488" spans="23:23">
      <c r="W44488" s="503"/>
    </row>
    <row r="44489" spans="23:23">
      <c r="W44489" s="503"/>
    </row>
    <row r="44490" spans="23:23">
      <c r="W44490" s="503"/>
    </row>
    <row r="44491" spans="23:23">
      <c r="W44491" s="503"/>
    </row>
    <row r="44492" spans="23:23">
      <c r="W44492" s="503"/>
    </row>
    <row r="44493" spans="23:23">
      <c r="W44493" s="503"/>
    </row>
    <row r="44494" spans="23:23">
      <c r="W44494" s="503"/>
    </row>
    <row r="44495" spans="23:23">
      <c r="W44495" s="503"/>
    </row>
    <row r="44496" spans="23:23">
      <c r="W44496" s="503"/>
    </row>
    <row r="44497" spans="23:23">
      <c r="W44497" s="503"/>
    </row>
    <row r="44498" spans="23:23">
      <c r="W44498" s="503"/>
    </row>
    <row r="44499" spans="23:23">
      <c r="W44499" s="503"/>
    </row>
    <row r="44500" spans="23:23">
      <c r="W44500" s="503"/>
    </row>
    <row r="44501" spans="23:23">
      <c r="W44501" s="503"/>
    </row>
    <row r="44502" spans="23:23">
      <c r="W44502" s="503"/>
    </row>
    <row r="44503" spans="23:23">
      <c r="W44503" s="503"/>
    </row>
    <row r="44504" spans="23:23">
      <c r="W44504" s="503"/>
    </row>
    <row r="44505" spans="23:23">
      <c r="W44505" s="503"/>
    </row>
    <row r="44506" spans="23:23">
      <c r="W44506" s="503"/>
    </row>
    <row r="44507" spans="23:23">
      <c r="W44507" s="503"/>
    </row>
    <row r="44508" spans="23:23">
      <c r="W44508" s="503"/>
    </row>
    <row r="44509" spans="23:23">
      <c r="W44509" s="503"/>
    </row>
    <row r="44510" spans="23:23">
      <c r="W44510" s="503"/>
    </row>
    <row r="44511" spans="23:23">
      <c r="W44511" s="503"/>
    </row>
    <row r="44512" spans="23:23">
      <c r="W44512" s="503"/>
    </row>
    <row r="44513" spans="23:23">
      <c r="W44513" s="503"/>
    </row>
    <row r="44514" spans="23:23">
      <c r="W44514" s="503"/>
    </row>
    <row r="44515" spans="23:23">
      <c r="W44515" s="503"/>
    </row>
    <row r="44516" spans="23:23">
      <c r="W44516" s="503"/>
    </row>
    <row r="44517" spans="23:23">
      <c r="W44517" s="503"/>
    </row>
    <row r="44518" spans="23:23">
      <c r="W44518" s="503"/>
    </row>
    <row r="44519" spans="23:23">
      <c r="W44519" s="503"/>
    </row>
    <row r="44520" spans="23:23">
      <c r="W44520" s="503"/>
    </row>
    <row r="44521" spans="23:23">
      <c r="W44521" s="503"/>
    </row>
    <row r="44522" spans="23:23">
      <c r="W44522" s="503"/>
    </row>
    <row r="44523" spans="23:23">
      <c r="W44523" s="503"/>
    </row>
    <row r="44524" spans="23:23">
      <c r="W44524" s="503"/>
    </row>
    <row r="44525" spans="23:23">
      <c r="W44525" s="503"/>
    </row>
    <row r="44526" spans="23:23">
      <c r="W44526" s="503"/>
    </row>
    <row r="44527" spans="23:23">
      <c r="W44527" s="503"/>
    </row>
    <row r="44528" spans="23:23">
      <c r="W44528" s="503"/>
    </row>
    <row r="44529" spans="23:23">
      <c r="W44529" s="503"/>
    </row>
    <row r="44530" spans="23:23">
      <c r="W44530" s="503"/>
    </row>
    <row r="44531" spans="23:23">
      <c r="W44531" s="503"/>
    </row>
    <row r="44532" spans="23:23">
      <c r="W44532" s="503"/>
    </row>
    <row r="44533" spans="23:23">
      <c r="W44533" s="503"/>
    </row>
    <row r="44534" spans="23:23">
      <c r="W44534" s="503"/>
    </row>
    <row r="44535" spans="23:23">
      <c r="W44535" s="503"/>
    </row>
    <row r="44536" spans="23:23">
      <c r="W44536" s="503"/>
    </row>
    <row r="44537" spans="23:23">
      <c r="W44537" s="503"/>
    </row>
    <row r="44538" spans="23:23">
      <c r="W44538" s="503"/>
    </row>
    <row r="44539" spans="23:23">
      <c r="W44539" s="503"/>
    </row>
    <row r="44540" spans="23:23">
      <c r="W44540" s="503"/>
    </row>
    <row r="44541" spans="23:23">
      <c r="W44541" s="503"/>
    </row>
    <row r="44542" spans="23:23">
      <c r="W44542" s="503"/>
    </row>
    <row r="44543" spans="23:23">
      <c r="W44543" s="503"/>
    </row>
    <row r="44544" spans="23:23">
      <c r="W44544" s="503"/>
    </row>
    <row r="44545" spans="23:23">
      <c r="W44545" s="503"/>
    </row>
    <row r="44546" spans="23:23">
      <c r="W44546" s="503"/>
    </row>
    <row r="44547" spans="23:23">
      <c r="W44547" s="503"/>
    </row>
    <row r="44548" spans="23:23">
      <c r="W44548" s="503"/>
    </row>
    <row r="44549" spans="23:23">
      <c r="W44549" s="503"/>
    </row>
    <row r="44550" spans="23:23">
      <c r="W44550" s="503"/>
    </row>
    <row r="44551" spans="23:23">
      <c r="W44551" s="503"/>
    </row>
    <row r="44552" spans="23:23">
      <c r="W44552" s="503"/>
    </row>
    <row r="44553" spans="23:23">
      <c r="W44553" s="503"/>
    </row>
    <row r="44554" spans="23:23">
      <c r="W44554" s="503"/>
    </row>
    <row r="44555" spans="23:23">
      <c r="W44555" s="503"/>
    </row>
    <row r="44556" spans="23:23">
      <c r="W44556" s="503"/>
    </row>
    <row r="44557" spans="23:23">
      <c r="W44557" s="503"/>
    </row>
    <row r="44558" spans="23:23">
      <c r="W44558" s="503"/>
    </row>
    <row r="44559" spans="23:23">
      <c r="W44559" s="503"/>
    </row>
    <row r="44560" spans="23:23">
      <c r="W44560" s="503"/>
    </row>
    <row r="44561" spans="23:23">
      <c r="W44561" s="503"/>
    </row>
    <row r="44562" spans="23:23">
      <c r="W44562" s="503"/>
    </row>
    <row r="44563" spans="23:23">
      <c r="W44563" s="503"/>
    </row>
    <row r="44564" spans="23:23">
      <c r="W44564" s="503"/>
    </row>
    <row r="44565" spans="23:23">
      <c r="W44565" s="503"/>
    </row>
    <row r="44566" spans="23:23">
      <c r="W44566" s="503"/>
    </row>
    <row r="44567" spans="23:23">
      <c r="W44567" s="503"/>
    </row>
    <row r="44568" spans="23:23">
      <c r="W44568" s="503"/>
    </row>
    <row r="44569" spans="23:23">
      <c r="W44569" s="503"/>
    </row>
    <row r="44570" spans="23:23">
      <c r="W44570" s="503"/>
    </row>
    <row r="44571" spans="23:23">
      <c r="W44571" s="503"/>
    </row>
    <row r="44572" spans="23:23">
      <c r="W44572" s="503"/>
    </row>
    <row r="44573" spans="23:23">
      <c r="W44573" s="503"/>
    </row>
    <row r="44574" spans="23:23">
      <c r="W44574" s="503"/>
    </row>
    <row r="44575" spans="23:23">
      <c r="W44575" s="503"/>
    </row>
    <row r="44576" spans="23:23">
      <c r="W44576" s="503"/>
    </row>
    <row r="44577" spans="23:23">
      <c r="W44577" s="503"/>
    </row>
    <row r="44578" spans="23:23">
      <c r="W44578" s="503"/>
    </row>
    <row r="44579" spans="23:23">
      <c r="W44579" s="503"/>
    </row>
    <row r="44580" spans="23:23">
      <c r="W44580" s="503"/>
    </row>
    <row r="44581" spans="23:23">
      <c r="W44581" s="503"/>
    </row>
    <row r="44582" spans="23:23">
      <c r="W44582" s="503"/>
    </row>
    <row r="44583" spans="23:23">
      <c r="W44583" s="503"/>
    </row>
    <row r="44584" spans="23:23">
      <c r="W44584" s="503"/>
    </row>
    <row r="44585" spans="23:23">
      <c r="W44585" s="503"/>
    </row>
    <row r="44586" spans="23:23">
      <c r="W44586" s="503"/>
    </row>
    <row r="44587" spans="23:23">
      <c r="W44587" s="503"/>
    </row>
    <row r="44588" spans="23:23">
      <c r="W44588" s="503"/>
    </row>
    <row r="44589" spans="23:23">
      <c r="W44589" s="503"/>
    </row>
    <row r="44590" spans="23:23">
      <c r="W44590" s="503"/>
    </row>
    <row r="44591" spans="23:23">
      <c r="W44591" s="503"/>
    </row>
    <row r="44592" spans="23:23">
      <c r="W44592" s="503"/>
    </row>
    <row r="44593" spans="23:23">
      <c r="W44593" s="503"/>
    </row>
    <row r="44594" spans="23:23">
      <c r="W44594" s="503"/>
    </row>
    <row r="44595" spans="23:23">
      <c r="W44595" s="503"/>
    </row>
    <row r="44596" spans="23:23">
      <c r="W44596" s="503"/>
    </row>
    <row r="44597" spans="23:23">
      <c r="W44597" s="503"/>
    </row>
    <row r="44598" spans="23:23">
      <c r="W44598" s="503"/>
    </row>
    <row r="44599" spans="23:23">
      <c r="W44599" s="503"/>
    </row>
    <row r="44600" spans="23:23">
      <c r="W44600" s="503"/>
    </row>
    <row r="44601" spans="23:23">
      <c r="W44601" s="503"/>
    </row>
    <row r="44602" spans="23:23">
      <c r="W44602" s="503"/>
    </row>
    <row r="44603" spans="23:23">
      <c r="W44603" s="503"/>
    </row>
    <row r="44604" spans="23:23">
      <c r="W44604" s="503"/>
    </row>
    <row r="44605" spans="23:23">
      <c r="W44605" s="503"/>
    </row>
    <row r="44606" spans="23:23">
      <c r="W44606" s="503"/>
    </row>
    <row r="44607" spans="23:23">
      <c r="W44607" s="503"/>
    </row>
    <row r="44608" spans="23:23">
      <c r="W44608" s="503"/>
    </row>
    <row r="44609" spans="23:23">
      <c r="W44609" s="503"/>
    </row>
    <row r="44610" spans="23:23">
      <c r="W44610" s="503"/>
    </row>
    <row r="44611" spans="23:23">
      <c r="W44611" s="503"/>
    </row>
    <row r="44612" spans="23:23">
      <c r="W44612" s="503"/>
    </row>
    <row r="44613" spans="23:23">
      <c r="W44613" s="503"/>
    </row>
    <row r="44614" spans="23:23">
      <c r="W44614" s="503"/>
    </row>
    <row r="44615" spans="23:23">
      <c r="W44615" s="503"/>
    </row>
    <row r="44616" spans="23:23">
      <c r="W44616" s="503"/>
    </row>
    <row r="44617" spans="23:23">
      <c r="W44617" s="503"/>
    </row>
    <row r="44618" spans="23:23">
      <c r="W44618" s="503"/>
    </row>
    <row r="44619" spans="23:23">
      <c r="W44619" s="503"/>
    </row>
    <row r="44620" spans="23:23">
      <c r="W44620" s="503"/>
    </row>
    <row r="44621" spans="23:23">
      <c r="W44621" s="503"/>
    </row>
    <row r="44622" spans="23:23">
      <c r="W44622" s="503"/>
    </row>
    <row r="44623" spans="23:23">
      <c r="W44623" s="503"/>
    </row>
    <row r="44624" spans="23:23">
      <c r="W44624" s="503"/>
    </row>
    <row r="44625" spans="23:23">
      <c r="W44625" s="503"/>
    </row>
    <row r="44626" spans="23:23">
      <c r="W44626" s="503"/>
    </row>
    <row r="44627" spans="23:23">
      <c r="W44627" s="503"/>
    </row>
    <row r="44628" spans="23:23">
      <c r="W44628" s="503"/>
    </row>
    <row r="44629" spans="23:23">
      <c r="W44629" s="503"/>
    </row>
    <row r="44630" spans="23:23">
      <c r="W44630" s="503"/>
    </row>
    <row r="44631" spans="23:23">
      <c r="W44631" s="503"/>
    </row>
    <row r="44632" spans="23:23">
      <c r="W44632" s="503"/>
    </row>
    <row r="44633" spans="23:23">
      <c r="W44633" s="503"/>
    </row>
    <row r="44634" spans="23:23">
      <c r="W44634" s="503"/>
    </row>
    <row r="44635" spans="23:23">
      <c r="W44635" s="503"/>
    </row>
    <row r="44636" spans="23:23">
      <c r="W44636" s="503"/>
    </row>
    <row r="44637" spans="23:23">
      <c r="W44637" s="503"/>
    </row>
    <row r="44638" spans="23:23">
      <c r="W44638" s="503"/>
    </row>
    <row r="44639" spans="23:23">
      <c r="W44639" s="503"/>
    </row>
    <row r="44640" spans="23:23">
      <c r="W44640" s="503"/>
    </row>
    <row r="44641" spans="23:23">
      <c r="W44641" s="503"/>
    </row>
    <row r="44642" spans="23:23">
      <c r="W44642" s="503"/>
    </row>
    <row r="44643" spans="23:23">
      <c r="W44643" s="503"/>
    </row>
    <row r="44644" spans="23:23">
      <c r="W44644" s="503"/>
    </row>
    <row r="44645" spans="23:23">
      <c r="W44645" s="503"/>
    </row>
    <row r="44646" spans="23:23">
      <c r="W44646" s="503"/>
    </row>
    <row r="44647" spans="23:23">
      <c r="W44647" s="503"/>
    </row>
    <row r="44648" spans="23:23">
      <c r="W44648" s="503"/>
    </row>
    <row r="44649" spans="23:23">
      <c r="W44649" s="503"/>
    </row>
    <row r="44650" spans="23:23">
      <c r="W44650" s="503"/>
    </row>
    <row r="44651" spans="23:23">
      <c r="W44651" s="503"/>
    </row>
    <row r="44652" spans="23:23">
      <c r="W44652" s="503"/>
    </row>
    <row r="44653" spans="23:23">
      <c r="W44653" s="503"/>
    </row>
    <row r="44654" spans="23:23">
      <c r="W44654" s="503"/>
    </row>
    <row r="44655" spans="23:23">
      <c r="W44655" s="503"/>
    </row>
    <row r="44656" spans="23:23">
      <c r="W44656" s="503"/>
    </row>
    <row r="44657" spans="23:23">
      <c r="W44657" s="503"/>
    </row>
    <row r="44658" spans="23:23">
      <c r="W44658" s="503"/>
    </row>
    <row r="44659" spans="23:23">
      <c r="W44659" s="503"/>
    </row>
    <row r="44660" spans="23:23">
      <c r="W44660" s="503"/>
    </row>
    <row r="44661" spans="23:23">
      <c r="W44661" s="503"/>
    </row>
    <row r="44662" spans="23:23">
      <c r="W44662" s="503"/>
    </row>
    <row r="44663" spans="23:23">
      <c r="W44663" s="503"/>
    </row>
    <row r="44664" spans="23:23">
      <c r="W44664" s="503"/>
    </row>
    <row r="44665" spans="23:23">
      <c r="W44665" s="503"/>
    </row>
    <row r="44666" spans="23:23">
      <c r="W44666" s="503"/>
    </row>
    <row r="44667" spans="23:23">
      <c r="W44667" s="503"/>
    </row>
    <row r="44668" spans="23:23">
      <c r="W44668" s="503"/>
    </row>
    <row r="44669" spans="23:23">
      <c r="W44669" s="503"/>
    </row>
    <row r="44670" spans="23:23">
      <c r="W44670" s="503"/>
    </row>
    <row r="44671" spans="23:23">
      <c r="W44671" s="503"/>
    </row>
    <row r="44672" spans="23:23">
      <c r="W44672" s="503"/>
    </row>
    <row r="44673" spans="23:23">
      <c r="W44673" s="503"/>
    </row>
    <row r="44674" spans="23:23">
      <c r="W44674" s="503"/>
    </row>
    <row r="44675" spans="23:23">
      <c r="W44675" s="503"/>
    </row>
    <row r="44676" spans="23:23">
      <c r="W44676" s="503"/>
    </row>
    <row r="44677" spans="23:23">
      <c r="W44677" s="503"/>
    </row>
    <row r="44678" spans="23:23">
      <c r="W44678" s="503"/>
    </row>
    <row r="44679" spans="23:23">
      <c r="W44679" s="503"/>
    </row>
    <row r="44680" spans="23:23">
      <c r="W44680" s="503"/>
    </row>
    <row r="44681" spans="23:23">
      <c r="W44681" s="503"/>
    </row>
    <row r="44682" spans="23:23">
      <c r="W44682" s="503"/>
    </row>
    <row r="44683" spans="23:23">
      <c r="W44683" s="503"/>
    </row>
    <row r="44684" spans="23:23">
      <c r="W44684" s="503"/>
    </row>
    <row r="44685" spans="23:23">
      <c r="W44685" s="503"/>
    </row>
    <row r="44686" spans="23:23">
      <c r="W44686" s="503"/>
    </row>
    <row r="44687" spans="23:23">
      <c r="W44687" s="503"/>
    </row>
    <row r="44688" spans="23:23">
      <c r="W44688" s="503"/>
    </row>
    <row r="44689" spans="23:23">
      <c r="W44689" s="503"/>
    </row>
    <row r="44690" spans="23:23">
      <c r="W44690" s="503"/>
    </row>
    <row r="44691" spans="23:23">
      <c r="W44691" s="503"/>
    </row>
    <row r="44692" spans="23:23">
      <c r="W44692" s="503"/>
    </row>
    <row r="44693" spans="23:23">
      <c r="W44693" s="503"/>
    </row>
    <row r="44694" spans="23:23">
      <c r="W44694" s="503"/>
    </row>
    <row r="44695" spans="23:23">
      <c r="W44695" s="503"/>
    </row>
    <row r="44696" spans="23:23">
      <c r="W44696" s="503"/>
    </row>
    <row r="44697" spans="23:23">
      <c r="W44697" s="503"/>
    </row>
    <row r="44698" spans="23:23">
      <c r="W44698" s="503"/>
    </row>
    <row r="44699" spans="23:23">
      <c r="W44699" s="503"/>
    </row>
    <row r="44700" spans="23:23">
      <c r="W44700" s="503"/>
    </row>
    <row r="44701" spans="23:23">
      <c r="W44701" s="503"/>
    </row>
    <row r="44702" spans="23:23">
      <c r="W44702" s="503"/>
    </row>
    <row r="44703" spans="23:23">
      <c r="W44703" s="503"/>
    </row>
    <row r="44704" spans="23:23">
      <c r="W44704" s="503"/>
    </row>
    <row r="44705" spans="23:23">
      <c r="W44705" s="503"/>
    </row>
    <row r="44706" spans="23:23">
      <c r="W44706" s="503"/>
    </row>
    <row r="44707" spans="23:23">
      <c r="W44707" s="503"/>
    </row>
    <row r="44708" spans="23:23">
      <c r="W44708" s="503"/>
    </row>
    <row r="44709" spans="23:23">
      <c r="W44709" s="503"/>
    </row>
    <row r="44710" spans="23:23">
      <c r="W44710" s="503"/>
    </row>
    <row r="44711" spans="23:23">
      <c r="W44711" s="503"/>
    </row>
    <row r="44712" spans="23:23">
      <c r="W44712" s="503"/>
    </row>
    <row r="44713" spans="23:23">
      <c r="W44713" s="503"/>
    </row>
    <row r="44714" spans="23:23">
      <c r="W44714" s="503"/>
    </row>
    <row r="44715" spans="23:23">
      <c r="W44715" s="503"/>
    </row>
    <row r="44716" spans="23:23">
      <c r="W44716" s="503"/>
    </row>
    <row r="44717" spans="23:23">
      <c r="W44717" s="503"/>
    </row>
    <row r="44718" spans="23:23">
      <c r="W44718" s="503"/>
    </row>
    <row r="44719" spans="23:23">
      <c r="W44719" s="503"/>
    </row>
    <row r="44720" spans="23:23">
      <c r="W44720" s="503"/>
    </row>
    <row r="44721" spans="23:23">
      <c r="W44721" s="503"/>
    </row>
    <row r="44722" spans="23:23">
      <c r="W44722" s="503"/>
    </row>
    <row r="44723" spans="23:23">
      <c r="W44723" s="503"/>
    </row>
    <row r="44724" spans="23:23">
      <c r="W44724" s="503"/>
    </row>
    <row r="44725" spans="23:23">
      <c r="W44725" s="503"/>
    </row>
    <row r="44726" spans="23:23">
      <c r="W44726" s="503"/>
    </row>
    <row r="44727" spans="23:23">
      <c r="W44727" s="503"/>
    </row>
    <row r="44728" spans="23:23">
      <c r="W44728" s="503"/>
    </row>
    <row r="44729" spans="23:23">
      <c r="W44729" s="503"/>
    </row>
    <row r="44730" spans="23:23">
      <c r="W44730" s="503"/>
    </row>
    <row r="44731" spans="23:23">
      <c r="W44731" s="503"/>
    </row>
    <row r="44732" spans="23:23">
      <c r="W44732" s="503"/>
    </row>
    <row r="44733" spans="23:23">
      <c r="W44733" s="503"/>
    </row>
    <row r="44734" spans="23:23">
      <c r="W44734" s="503"/>
    </row>
    <row r="44735" spans="23:23">
      <c r="W44735" s="503"/>
    </row>
    <row r="44736" spans="23:23">
      <c r="W44736" s="503"/>
    </row>
    <row r="44737" spans="23:23">
      <c r="W44737" s="503"/>
    </row>
    <row r="44738" spans="23:23">
      <c r="W44738" s="503"/>
    </row>
    <row r="44739" spans="23:23">
      <c r="W44739" s="503"/>
    </row>
    <row r="44740" spans="23:23">
      <c r="W44740" s="503"/>
    </row>
    <row r="44741" spans="23:23">
      <c r="W44741" s="503"/>
    </row>
    <row r="44742" spans="23:23">
      <c r="W44742" s="503"/>
    </row>
    <row r="44743" spans="23:23">
      <c r="W44743" s="503"/>
    </row>
    <row r="44744" spans="23:23">
      <c r="W44744" s="503"/>
    </row>
    <row r="44745" spans="23:23">
      <c r="W44745" s="503"/>
    </row>
    <row r="44746" spans="23:23">
      <c r="W44746" s="503"/>
    </row>
    <row r="44747" spans="23:23">
      <c r="W44747" s="503"/>
    </row>
    <row r="44748" spans="23:23">
      <c r="W44748" s="503"/>
    </row>
    <row r="44749" spans="23:23">
      <c r="W44749" s="503"/>
    </row>
    <row r="44750" spans="23:23">
      <c r="W44750" s="503"/>
    </row>
    <row r="44751" spans="23:23">
      <c r="W44751" s="503"/>
    </row>
    <row r="44752" spans="23:23">
      <c r="W44752" s="503"/>
    </row>
    <row r="44753" spans="23:23">
      <c r="W44753" s="503"/>
    </row>
    <row r="44754" spans="23:23">
      <c r="W44754" s="503"/>
    </row>
    <row r="44755" spans="23:23">
      <c r="W44755" s="503"/>
    </row>
    <row r="44756" spans="23:23">
      <c r="W44756" s="503"/>
    </row>
    <row r="44757" spans="23:23">
      <c r="W44757" s="503"/>
    </row>
    <row r="44758" spans="23:23">
      <c r="W44758" s="503"/>
    </row>
    <row r="44759" spans="23:23">
      <c r="W44759" s="503"/>
    </row>
    <row r="44760" spans="23:23">
      <c r="W44760" s="503"/>
    </row>
    <row r="44761" spans="23:23">
      <c r="W44761" s="503"/>
    </row>
    <row r="44762" spans="23:23">
      <c r="W44762" s="503"/>
    </row>
    <row r="44763" spans="23:23">
      <c r="W44763" s="503"/>
    </row>
    <row r="44764" spans="23:23">
      <c r="W44764" s="503"/>
    </row>
    <row r="44765" spans="23:23">
      <c r="W44765" s="503"/>
    </row>
    <row r="44766" spans="23:23">
      <c r="W44766" s="503"/>
    </row>
    <row r="44767" spans="23:23">
      <c r="W44767" s="503"/>
    </row>
    <row r="44768" spans="23:23">
      <c r="W44768" s="503"/>
    </row>
    <row r="44769" spans="23:23">
      <c r="W44769" s="503"/>
    </row>
    <row r="44770" spans="23:23">
      <c r="W44770" s="503"/>
    </row>
    <row r="44771" spans="23:23">
      <c r="W44771" s="503"/>
    </row>
    <row r="44772" spans="23:23">
      <c r="W44772" s="503"/>
    </row>
    <row r="44773" spans="23:23">
      <c r="W44773" s="503"/>
    </row>
    <row r="44774" spans="23:23">
      <c r="W44774" s="503"/>
    </row>
    <row r="44775" spans="23:23">
      <c r="W44775" s="503"/>
    </row>
    <row r="44776" spans="23:23">
      <c r="W44776" s="503"/>
    </row>
    <row r="44777" spans="23:23">
      <c r="W44777" s="503"/>
    </row>
    <row r="44778" spans="23:23">
      <c r="W44778" s="503"/>
    </row>
    <row r="44779" spans="23:23">
      <c r="W44779" s="503"/>
    </row>
    <row r="44780" spans="23:23">
      <c r="W44780" s="503"/>
    </row>
    <row r="44781" spans="23:23">
      <c r="W44781" s="503"/>
    </row>
    <row r="44782" spans="23:23">
      <c r="W44782" s="503"/>
    </row>
    <row r="44783" spans="23:23">
      <c r="W44783" s="503"/>
    </row>
    <row r="44784" spans="23:23">
      <c r="W44784" s="503"/>
    </row>
    <row r="44785" spans="23:23">
      <c r="W44785" s="503"/>
    </row>
    <row r="44786" spans="23:23">
      <c r="W44786" s="503"/>
    </row>
    <row r="44787" spans="23:23">
      <c r="W44787" s="503"/>
    </row>
    <row r="44788" spans="23:23">
      <c r="W44788" s="503"/>
    </row>
    <row r="44789" spans="23:23">
      <c r="W44789" s="503"/>
    </row>
    <row r="44790" spans="23:23">
      <c r="W44790" s="503"/>
    </row>
    <row r="44791" spans="23:23">
      <c r="W44791" s="503"/>
    </row>
    <row r="44792" spans="23:23">
      <c r="W44792" s="503"/>
    </row>
    <row r="44793" spans="23:23">
      <c r="W44793" s="503"/>
    </row>
    <row r="44794" spans="23:23">
      <c r="W44794" s="503"/>
    </row>
    <row r="44795" spans="23:23">
      <c r="W44795" s="503"/>
    </row>
    <row r="44796" spans="23:23">
      <c r="W44796" s="503"/>
    </row>
    <row r="44797" spans="23:23">
      <c r="W44797" s="503"/>
    </row>
    <row r="44798" spans="23:23">
      <c r="W44798" s="503"/>
    </row>
    <row r="44799" spans="23:23">
      <c r="W44799" s="503"/>
    </row>
    <row r="44800" spans="23:23">
      <c r="W44800" s="503"/>
    </row>
    <row r="44801" spans="23:23">
      <c r="W44801" s="503"/>
    </row>
    <row r="44802" spans="23:23">
      <c r="W44802" s="503"/>
    </row>
    <row r="44803" spans="23:23">
      <c r="W44803" s="503"/>
    </row>
    <row r="44804" spans="23:23">
      <c r="W44804" s="503"/>
    </row>
    <row r="44805" spans="23:23">
      <c r="W44805" s="503"/>
    </row>
    <row r="44806" spans="23:23">
      <c r="W44806" s="503"/>
    </row>
    <row r="44807" spans="23:23">
      <c r="W44807" s="503"/>
    </row>
    <row r="44808" spans="23:23">
      <c r="W44808" s="503"/>
    </row>
    <row r="44809" spans="23:23">
      <c r="W44809" s="503"/>
    </row>
    <row r="44810" spans="23:23">
      <c r="W44810" s="503"/>
    </row>
    <row r="44811" spans="23:23">
      <c r="W44811" s="503"/>
    </row>
    <row r="44812" spans="23:23">
      <c r="W44812" s="503"/>
    </row>
    <row r="44813" spans="23:23">
      <c r="W44813" s="503"/>
    </row>
    <row r="44814" spans="23:23">
      <c r="W44814" s="503"/>
    </row>
    <row r="44815" spans="23:23">
      <c r="W44815" s="503"/>
    </row>
    <row r="44816" spans="23:23">
      <c r="W44816" s="503"/>
    </row>
    <row r="44817" spans="23:23">
      <c r="W44817" s="503"/>
    </row>
    <row r="44818" spans="23:23">
      <c r="W44818" s="503"/>
    </row>
    <row r="44819" spans="23:23">
      <c r="W44819" s="503"/>
    </row>
    <row r="44820" spans="23:23">
      <c r="W44820" s="503"/>
    </row>
    <row r="44821" spans="23:23">
      <c r="W44821" s="503"/>
    </row>
    <row r="44822" spans="23:23">
      <c r="W44822" s="503"/>
    </row>
    <row r="44823" spans="23:23">
      <c r="W44823" s="503"/>
    </row>
    <row r="44824" spans="23:23">
      <c r="W44824" s="503"/>
    </row>
    <row r="44825" spans="23:23">
      <c r="W44825" s="503"/>
    </row>
    <row r="44826" spans="23:23">
      <c r="W44826" s="503"/>
    </row>
    <row r="44827" spans="23:23">
      <c r="W44827" s="503"/>
    </row>
    <row r="44828" spans="23:23">
      <c r="W44828" s="503"/>
    </row>
    <row r="44829" spans="23:23">
      <c r="W44829" s="503"/>
    </row>
    <row r="44830" spans="23:23">
      <c r="W44830" s="503"/>
    </row>
    <row r="44831" spans="23:23">
      <c r="W44831" s="503"/>
    </row>
    <row r="44832" spans="23:23">
      <c r="W44832" s="503"/>
    </row>
    <row r="44833" spans="23:23">
      <c r="W44833" s="503"/>
    </row>
    <row r="44834" spans="23:23">
      <c r="W44834" s="503"/>
    </row>
    <row r="44835" spans="23:23">
      <c r="W44835" s="503"/>
    </row>
    <row r="44836" spans="23:23">
      <c r="W44836" s="503"/>
    </row>
    <row r="44837" spans="23:23">
      <c r="W44837" s="503"/>
    </row>
    <row r="44838" spans="23:23">
      <c r="W44838" s="503"/>
    </row>
    <row r="44839" spans="23:23">
      <c r="W44839" s="503"/>
    </row>
    <row r="44840" spans="23:23">
      <c r="W44840" s="503"/>
    </row>
    <row r="44841" spans="23:23">
      <c r="W44841" s="503"/>
    </row>
    <row r="44842" spans="23:23">
      <c r="W44842" s="503"/>
    </row>
    <row r="44843" spans="23:23">
      <c r="W44843" s="503"/>
    </row>
    <row r="44844" spans="23:23">
      <c r="W44844" s="503"/>
    </row>
    <row r="44845" spans="23:23">
      <c r="W44845" s="503"/>
    </row>
    <row r="44846" spans="23:23">
      <c r="W44846" s="503"/>
    </row>
    <row r="44847" spans="23:23">
      <c r="W44847" s="503"/>
    </row>
    <row r="44848" spans="23:23">
      <c r="W44848" s="503"/>
    </row>
    <row r="44849" spans="23:23">
      <c r="W44849" s="503"/>
    </row>
    <row r="44850" spans="23:23">
      <c r="W44850" s="503"/>
    </row>
    <row r="44851" spans="23:23">
      <c r="W44851" s="503"/>
    </row>
    <row r="44852" spans="23:23">
      <c r="W44852" s="503"/>
    </row>
    <row r="44853" spans="23:23">
      <c r="W44853" s="503"/>
    </row>
    <row r="44854" spans="23:23">
      <c r="W44854" s="503"/>
    </row>
    <row r="44855" spans="23:23">
      <c r="W44855" s="503"/>
    </row>
    <row r="44856" spans="23:23">
      <c r="W44856" s="503"/>
    </row>
    <row r="44857" spans="23:23">
      <c r="W44857" s="503"/>
    </row>
    <row r="44858" spans="23:23">
      <c r="W44858" s="503"/>
    </row>
    <row r="44859" spans="23:23">
      <c r="W44859" s="503"/>
    </row>
    <row r="44860" spans="23:23">
      <c r="W44860" s="503"/>
    </row>
    <row r="44861" spans="23:23">
      <c r="W44861" s="503"/>
    </row>
    <row r="44862" spans="23:23">
      <c r="W44862" s="503"/>
    </row>
    <row r="44863" spans="23:23">
      <c r="W44863" s="503"/>
    </row>
    <row r="44864" spans="23:23">
      <c r="W44864" s="503"/>
    </row>
    <row r="44865" spans="23:23">
      <c r="W44865" s="503"/>
    </row>
    <row r="44866" spans="23:23">
      <c r="W44866" s="503"/>
    </row>
    <row r="44867" spans="23:23">
      <c r="W44867" s="503"/>
    </row>
    <row r="44868" spans="23:23">
      <c r="W44868" s="503"/>
    </row>
    <row r="44869" spans="23:23">
      <c r="W44869" s="503"/>
    </row>
    <row r="44870" spans="23:23">
      <c r="W44870" s="503"/>
    </row>
    <row r="44871" spans="23:23">
      <c r="W44871" s="503"/>
    </row>
    <row r="44872" spans="23:23">
      <c r="W44872" s="503"/>
    </row>
    <row r="44873" spans="23:23">
      <c r="W44873" s="503"/>
    </row>
    <row r="44874" spans="23:23">
      <c r="W44874" s="503"/>
    </row>
    <row r="44875" spans="23:23">
      <c r="W44875" s="503"/>
    </row>
    <row r="44876" spans="23:23">
      <c r="W44876" s="503"/>
    </row>
    <row r="44877" spans="23:23">
      <c r="W44877" s="503"/>
    </row>
    <row r="44878" spans="23:23">
      <c r="W44878" s="503"/>
    </row>
    <row r="44879" spans="23:23">
      <c r="W44879" s="503"/>
    </row>
    <row r="44880" spans="23:23">
      <c r="W44880" s="503"/>
    </row>
    <row r="44881" spans="23:23">
      <c r="W44881" s="503"/>
    </row>
    <row r="44882" spans="23:23">
      <c r="W44882" s="503"/>
    </row>
    <row r="44883" spans="23:23">
      <c r="W44883" s="503"/>
    </row>
    <row r="44884" spans="23:23">
      <c r="W44884" s="503"/>
    </row>
    <row r="44885" spans="23:23">
      <c r="W44885" s="503"/>
    </row>
    <row r="44886" spans="23:23">
      <c r="W44886" s="503"/>
    </row>
    <row r="44887" spans="23:23">
      <c r="W44887" s="503"/>
    </row>
    <row r="44888" spans="23:23">
      <c r="W44888" s="503"/>
    </row>
    <row r="44889" spans="23:23">
      <c r="W44889" s="503"/>
    </row>
    <row r="44890" spans="23:23">
      <c r="W44890" s="503"/>
    </row>
    <row r="44891" spans="23:23">
      <c r="W44891" s="503"/>
    </row>
    <row r="44892" spans="23:23">
      <c r="W44892" s="503"/>
    </row>
    <row r="44893" spans="23:23">
      <c r="W44893" s="503"/>
    </row>
    <row r="44894" spans="23:23">
      <c r="W44894" s="503"/>
    </row>
    <row r="44895" spans="23:23">
      <c r="W44895" s="503"/>
    </row>
    <row r="44896" spans="23:23">
      <c r="W44896" s="503"/>
    </row>
    <row r="44897" spans="23:23">
      <c r="W44897" s="503"/>
    </row>
    <row r="44898" spans="23:23">
      <c r="W44898" s="503"/>
    </row>
    <row r="44899" spans="23:23">
      <c r="W44899" s="503"/>
    </row>
    <row r="44900" spans="23:23">
      <c r="W44900" s="503"/>
    </row>
    <row r="44901" spans="23:23">
      <c r="W44901" s="503"/>
    </row>
    <row r="44902" spans="23:23">
      <c r="W44902" s="503"/>
    </row>
    <row r="44903" spans="23:23">
      <c r="W44903" s="503"/>
    </row>
    <row r="44904" spans="23:23">
      <c r="W44904" s="503"/>
    </row>
    <row r="44905" spans="23:23">
      <c r="W44905" s="503"/>
    </row>
    <row r="44906" spans="23:23">
      <c r="W44906" s="503"/>
    </row>
    <row r="44907" spans="23:23">
      <c r="W44907" s="503"/>
    </row>
    <row r="44908" spans="23:23">
      <c r="W44908" s="503"/>
    </row>
    <row r="44909" spans="23:23">
      <c r="W44909" s="503"/>
    </row>
    <row r="44910" spans="23:23">
      <c r="W44910" s="503"/>
    </row>
    <row r="44911" spans="23:23">
      <c r="W44911" s="503"/>
    </row>
    <row r="44912" spans="23:23">
      <c r="W44912" s="503"/>
    </row>
    <row r="44913" spans="23:23">
      <c r="W44913" s="503"/>
    </row>
    <row r="44914" spans="23:23">
      <c r="W44914" s="503"/>
    </row>
    <row r="44915" spans="23:23">
      <c r="W44915" s="503"/>
    </row>
    <row r="44916" spans="23:23">
      <c r="W44916" s="503"/>
    </row>
    <row r="44917" spans="23:23">
      <c r="W44917" s="503"/>
    </row>
    <row r="44918" spans="23:23">
      <c r="W44918" s="503"/>
    </row>
    <row r="44919" spans="23:23">
      <c r="W44919" s="503"/>
    </row>
    <row r="44920" spans="23:23">
      <c r="W44920" s="503"/>
    </row>
    <row r="44921" spans="23:23">
      <c r="W44921" s="503"/>
    </row>
    <row r="44922" spans="23:23">
      <c r="W44922" s="503"/>
    </row>
    <row r="44923" spans="23:23">
      <c r="W44923" s="503"/>
    </row>
    <row r="44924" spans="23:23">
      <c r="W44924" s="503"/>
    </row>
    <row r="44925" spans="23:23">
      <c r="W44925" s="503"/>
    </row>
    <row r="44926" spans="23:23">
      <c r="W44926" s="503"/>
    </row>
    <row r="44927" spans="23:23">
      <c r="W44927" s="503"/>
    </row>
    <row r="44928" spans="23:23">
      <c r="W44928" s="503"/>
    </row>
    <row r="44929" spans="23:23">
      <c r="W44929" s="503"/>
    </row>
    <row r="44930" spans="23:23">
      <c r="W44930" s="503"/>
    </row>
    <row r="44931" spans="23:23">
      <c r="W44931" s="503"/>
    </row>
    <row r="44932" spans="23:23">
      <c r="W44932" s="503"/>
    </row>
    <row r="44933" spans="23:23">
      <c r="W44933" s="503"/>
    </row>
    <row r="44934" spans="23:23">
      <c r="W44934" s="503"/>
    </row>
    <row r="44935" spans="23:23">
      <c r="W44935" s="503"/>
    </row>
    <row r="44936" spans="23:23">
      <c r="W44936" s="503"/>
    </row>
    <row r="44937" spans="23:23">
      <c r="W44937" s="503"/>
    </row>
    <row r="44938" spans="23:23">
      <c r="W44938" s="503"/>
    </row>
    <row r="44939" spans="23:23">
      <c r="W44939" s="503"/>
    </row>
    <row r="44940" spans="23:23">
      <c r="W44940" s="503"/>
    </row>
    <row r="44941" spans="23:23">
      <c r="W44941" s="503"/>
    </row>
    <row r="44942" spans="23:23">
      <c r="W44942" s="503"/>
    </row>
    <row r="44943" spans="23:23">
      <c r="W44943" s="503"/>
    </row>
    <row r="44944" spans="23:23">
      <c r="W44944" s="503"/>
    </row>
    <row r="44945" spans="23:23">
      <c r="W44945" s="503"/>
    </row>
    <row r="44946" spans="23:23">
      <c r="W44946" s="503"/>
    </row>
    <row r="44947" spans="23:23">
      <c r="W44947" s="503"/>
    </row>
    <row r="44948" spans="23:23">
      <c r="W44948" s="503"/>
    </row>
    <row r="44949" spans="23:23">
      <c r="W44949" s="503"/>
    </row>
    <row r="44950" spans="23:23">
      <c r="W44950" s="503"/>
    </row>
    <row r="44951" spans="23:23">
      <c r="W44951" s="503"/>
    </row>
    <row r="44952" spans="23:23">
      <c r="W44952" s="503"/>
    </row>
    <row r="44953" spans="23:23">
      <c r="W44953" s="503"/>
    </row>
    <row r="44954" spans="23:23">
      <c r="W44954" s="503"/>
    </row>
    <row r="44955" spans="23:23">
      <c r="W44955" s="503"/>
    </row>
    <row r="44956" spans="23:23">
      <c r="W44956" s="503"/>
    </row>
    <row r="44957" spans="23:23">
      <c r="W44957" s="503"/>
    </row>
    <row r="44958" spans="23:23">
      <c r="W44958" s="503"/>
    </row>
    <row r="44959" spans="23:23">
      <c r="W44959" s="503"/>
    </row>
    <row r="44960" spans="23:23">
      <c r="W44960" s="503"/>
    </row>
    <row r="44961" spans="23:23">
      <c r="W44961" s="503"/>
    </row>
    <row r="44962" spans="23:23">
      <c r="W44962" s="503"/>
    </row>
    <row r="44963" spans="23:23">
      <c r="W44963" s="503"/>
    </row>
    <row r="44964" spans="23:23">
      <c r="W44964" s="503"/>
    </row>
    <row r="44965" spans="23:23">
      <c r="W44965" s="503"/>
    </row>
    <row r="44966" spans="23:23">
      <c r="W44966" s="503"/>
    </row>
    <row r="44967" spans="23:23">
      <c r="W44967" s="503"/>
    </row>
    <row r="44968" spans="23:23">
      <c r="W44968" s="503"/>
    </row>
    <row r="44969" spans="23:23">
      <c r="W44969" s="503"/>
    </row>
    <row r="44970" spans="23:23">
      <c r="W44970" s="503"/>
    </row>
    <row r="44971" spans="23:23">
      <c r="W44971" s="503"/>
    </row>
    <row r="44972" spans="23:23">
      <c r="W44972" s="503"/>
    </row>
    <row r="44973" spans="23:23">
      <c r="W44973" s="503"/>
    </row>
    <row r="44974" spans="23:23">
      <c r="W44974" s="503"/>
    </row>
    <row r="44975" spans="23:23">
      <c r="W44975" s="503"/>
    </row>
    <row r="44976" spans="23:23">
      <c r="W44976" s="503"/>
    </row>
    <row r="44977" spans="23:23">
      <c r="W44977" s="503"/>
    </row>
    <row r="44978" spans="23:23">
      <c r="W44978" s="503"/>
    </row>
    <row r="44979" spans="23:23">
      <c r="W44979" s="503"/>
    </row>
    <row r="44980" spans="23:23">
      <c r="W44980" s="503"/>
    </row>
    <row r="44981" spans="23:23">
      <c r="W44981" s="503"/>
    </row>
    <row r="44982" spans="23:23">
      <c r="W44982" s="503"/>
    </row>
    <row r="44983" spans="23:23">
      <c r="W44983" s="503"/>
    </row>
    <row r="44984" spans="23:23">
      <c r="W44984" s="503"/>
    </row>
    <row r="44985" spans="23:23">
      <c r="W44985" s="503"/>
    </row>
    <row r="44986" spans="23:23">
      <c r="W44986" s="503"/>
    </row>
    <row r="44987" spans="23:23">
      <c r="W44987" s="503"/>
    </row>
    <row r="44988" spans="23:23">
      <c r="W44988" s="503"/>
    </row>
    <row r="44989" spans="23:23">
      <c r="W44989" s="503"/>
    </row>
    <row r="44990" spans="23:23">
      <c r="W44990" s="503"/>
    </row>
    <row r="44991" spans="23:23">
      <c r="W44991" s="503"/>
    </row>
    <row r="44992" spans="23:23">
      <c r="W44992" s="503"/>
    </row>
    <row r="44993" spans="23:23">
      <c r="W44993" s="503"/>
    </row>
    <row r="44994" spans="23:23">
      <c r="W44994" s="503"/>
    </row>
    <row r="44995" spans="23:23">
      <c r="W44995" s="503"/>
    </row>
    <row r="44996" spans="23:23">
      <c r="W44996" s="503"/>
    </row>
    <row r="44997" spans="23:23">
      <c r="W44997" s="503"/>
    </row>
    <row r="44998" spans="23:23">
      <c r="W44998" s="503"/>
    </row>
    <row r="44999" spans="23:23">
      <c r="W44999" s="503"/>
    </row>
    <row r="45000" spans="23:23">
      <c r="W45000" s="503"/>
    </row>
    <row r="45001" spans="23:23">
      <c r="W45001" s="503"/>
    </row>
    <row r="45002" spans="23:23">
      <c r="W45002" s="503"/>
    </row>
    <row r="45003" spans="23:23">
      <c r="W45003" s="503"/>
    </row>
    <row r="45004" spans="23:23">
      <c r="W45004" s="503"/>
    </row>
    <row r="45005" spans="23:23">
      <c r="W45005" s="503"/>
    </row>
    <row r="45006" spans="23:23">
      <c r="W45006" s="503"/>
    </row>
    <row r="45007" spans="23:23">
      <c r="W45007" s="503"/>
    </row>
    <row r="45008" spans="23:23">
      <c r="W45008" s="503"/>
    </row>
    <row r="45009" spans="23:23">
      <c r="W45009" s="503"/>
    </row>
    <row r="45010" spans="23:23">
      <c r="W45010" s="503"/>
    </row>
    <row r="45011" spans="23:23">
      <c r="W45011" s="503"/>
    </row>
    <row r="45012" spans="23:23">
      <c r="W45012" s="503"/>
    </row>
    <row r="45013" spans="23:23">
      <c r="W45013" s="503"/>
    </row>
    <row r="45014" spans="23:23">
      <c r="W45014" s="503"/>
    </row>
    <row r="45015" spans="23:23">
      <c r="W45015" s="503"/>
    </row>
    <row r="45016" spans="23:23">
      <c r="W45016" s="503"/>
    </row>
    <row r="45017" spans="23:23">
      <c r="W45017" s="503"/>
    </row>
    <row r="45018" spans="23:23">
      <c r="W45018" s="503"/>
    </row>
    <row r="45019" spans="23:23">
      <c r="W45019" s="503"/>
    </row>
    <row r="45020" spans="23:23">
      <c r="W45020" s="503"/>
    </row>
    <row r="45021" spans="23:23">
      <c r="W45021" s="503"/>
    </row>
    <row r="45022" spans="23:23">
      <c r="W45022" s="503"/>
    </row>
    <row r="45023" spans="23:23">
      <c r="W45023" s="503"/>
    </row>
    <row r="45024" spans="23:23">
      <c r="W45024" s="503"/>
    </row>
    <row r="45025" spans="23:23">
      <c r="W45025" s="503"/>
    </row>
    <row r="45026" spans="23:23">
      <c r="W45026" s="503"/>
    </row>
    <row r="45027" spans="23:23">
      <c r="W45027" s="503"/>
    </row>
    <row r="45028" spans="23:23">
      <c r="W45028" s="503"/>
    </row>
    <row r="45029" spans="23:23">
      <c r="W45029" s="503"/>
    </row>
    <row r="45030" spans="23:23">
      <c r="W45030" s="503"/>
    </row>
    <row r="45031" spans="23:23">
      <c r="W45031" s="503"/>
    </row>
    <row r="45032" spans="23:23">
      <c r="W45032" s="503"/>
    </row>
    <row r="45033" spans="23:23">
      <c r="W45033" s="503"/>
    </row>
    <row r="45034" spans="23:23">
      <c r="W45034" s="503"/>
    </row>
    <row r="45035" spans="23:23">
      <c r="W45035" s="503"/>
    </row>
    <row r="45036" spans="23:23">
      <c r="W45036" s="503"/>
    </row>
    <row r="45037" spans="23:23">
      <c r="W45037" s="503"/>
    </row>
    <row r="45038" spans="23:23">
      <c r="W45038" s="503"/>
    </row>
    <row r="45039" spans="23:23">
      <c r="W45039" s="503"/>
    </row>
    <row r="45040" spans="23:23">
      <c r="W45040" s="503"/>
    </row>
    <row r="45041" spans="23:23">
      <c r="W45041" s="503"/>
    </row>
    <row r="45042" spans="23:23">
      <c r="W45042" s="503"/>
    </row>
    <row r="45043" spans="23:23">
      <c r="W45043" s="503"/>
    </row>
    <row r="45044" spans="23:23">
      <c r="W45044" s="503"/>
    </row>
    <row r="45045" spans="23:23">
      <c r="W45045" s="503"/>
    </row>
    <row r="45046" spans="23:23">
      <c r="W45046" s="503"/>
    </row>
    <row r="45047" spans="23:23">
      <c r="W45047" s="503"/>
    </row>
    <row r="45048" spans="23:23">
      <c r="W45048" s="503"/>
    </row>
    <row r="45049" spans="23:23">
      <c r="W45049" s="503"/>
    </row>
    <row r="45050" spans="23:23">
      <c r="W45050" s="503"/>
    </row>
    <row r="45051" spans="23:23">
      <c r="W45051" s="503"/>
    </row>
    <row r="45052" spans="23:23">
      <c r="W45052" s="503"/>
    </row>
    <row r="45053" spans="23:23">
      <c r="W45053" s="503"/>
    </row>
    <row r="45054" spans="23:23">
      <c r="W45054" s="503"/>
    </row>
    <row r="45055" spans="23:23">
      <c r="W45055" s="503"/>
    </row>
    <row r="45056" spans="23:23">
      <c r="W45056" s="503"/>
    </row>
    <row r="45057" spans="23:23">
      <c r="W45057" s="503"/>
    </row>
    <row r="45058" spans="23:23">
      <c r="W45058" s="503"/>
    </row>
    <row r="45059" spans="23:23">
      <c r="W45059" s="503"/>
    </row>
    <row r="45060" spans="23:23">
      <c r="W45060" s="503"/>
    </row>
    <row r="45061" spans="23:23">
      <c r="W45061" s="503"/>
    </row>
    <row r="45062" spans="23:23">
      <c r="W45062" s="503"/>
    </row>
    <row r="45063" spans="23:23">
      <c r="W45063" s="503"/>
    </row>
    <row r="45064" spans="23:23">
      <c r="W45064" s="503"/>
    </row>
    <row r="45065" spans="23:23">
      <c r="W45065" s="503"/>
    </row>
    <row r="45066" spans="23:23">
      <c r="W45066" s="503"/>
    </row>
    <row r="45067" spans="23:23">
      <c r="W45067" s="503"/>
    </row>
    <row r="45068" spans="23:23">
      <c r="W45068" s="503"/>
    </row>
    <row r="45069" spans="23:23">
      <c r="W45069" s="503"/>
    </row>
    <row r="45070" spans="23:23">
      <c r="W45070" s="503"/>
    </row>
    <row r="45071" spans="23:23">
      <c r="W45071" s="503"/>
    </row>
    <row r="45072" spans="23:23">
      <c r="W45072" s="503"/>
    </row>
    <row r="45073" spans="23:23">
      <c r="W45073" s="503"/>
    </row>
    <row r="45074" spans="23:23">
      <c r="W45074" s="503"/>
    </row>
    <row r="45075" spans="23:23">
      <c r="W45075" s="503"/>
    </row>
    <row r="45076" spans="23:23">
      <c r="W45076" s="503"/>
    </row>
    <row r="45077" spans="23:23">
      <c r="W45077" s="503"/>
    </row>
    <row r="45078" spans="23:23">
      <c r="W45078" s="503"/>
    </row>
    <row r="45079" spans="23:23">
      <c r="W45079" s="503"/>
    </row>
    <row r="45080" spans="23:23">
      <c r="W45080" s="503"/>
    </row>
    <row r="45081" spans="23:23">
      <c r="W45081" s="503"/>
    </row>
    <row r="45082" spans="23:23">
      <c r="W45082" s="503"/>
    </row>
    <row r="45083" spans="23:23">
      <c r="W45083" s="503"/>
    </row>
    <row r="45084" spans="23:23">
      <c r="W45084" s="503"/>
    </row>
    <row r="45085" spans="23:23">
      <c r="W45085" s="503"/>
    </row>
    <row r="45086" spans="23:23">
      <c r="W45086" s="503"/>
    </row>
    <row r="45087" spans="23:23">
      <c r="W45087" s="503"/>
    </row>
    <row r="45088" spans="23:23">
      <c r="W45088" s="503"/>
    </row>
    <row r="45089" spans="23:23">
      <c r="W45089" s="503"/>
    </row>
    <row r="45090" spans="23:23">
      <c r="W45090" s="503"/>
    </row>
    <row r="45091" spans="23:23">
      <c r="W45091" s="503"/>
    </row>
    <row r="45092" spans="23:23">
      <c r="W45092" s="503"/>
    </row>
    <row r="45093" spans="23:23">
      <c r="W45093" s="503"/>
    </row>
    <row r="45094" spans="23:23">
      <c r="W45094" s="503"/>
    </row>
    <row r="45095" spans="23:23">
      <c r="W45095" s="503"/>
    </row>
    <row r="45096" spans="23:23">
      <c r="W45096" s="503"/>
    </row>
    <row r="45097" spans="23:23">
      <c r="W45097" s="503"/>
    </row>
    <row r="45098" spans="23:23">
      <c r="W45098" s="503"/>
    </row>
    <row r="45099" spans="23:23">
      <c r="W45099" s="503"/>
    </row>
    <row r="45100" spans="23:23">
      <c r="W45100" s="503"/>
    </row>
    <row r="45101" spans="23:23">
      <c r="W45101" s="503"/>
    </row>
    <row r="45102" spans="23:23">
      <c r="W45102" s="503"/>
    </row>
    <row r="45103" spans="23:23">
      <c r="W45103" s="503"/>
    </row>
    <row r="45104" spans="23:23">
      <c r="W45104" s="503"/>
    </row>
    <row r="45105" spans="23:23">
      <c r="W45105" s="503"/>
    </row>
    <row r="45106" spans="23:23">
      <c r="W45106" s="503"/>
    </row>
    <row r="45107" spans="23:23">
      <c r="W45107" s="503"/>
    </row>
    <row r="45108" spans="23:23">
      <c r="W45108" s="503"/>
    </row>
    <row r="45109" spans="23:23">
      <c r="W45109" s="503"/>
    </row>
    <row r="45110" spans="23:23">
      <c r="W45110" s="503"/>
    </row>
    <row r="45111" spans="23:23">
      <c r="W45111" s="503"/>
    </row>
    <row r="45112" spans="23:23">
      <c r="W45112" s="503"/>
    </row>
    <row r="45113" spans="23:23">
      <c r="W45113" s="503"/>
    </row>
    <row r="45114" spans="23:23">
      <c r="W45114" s="503"/>
    </row>
    <row r="45115" spans="23:23">
      <c r="W45115" s="503"/>
    </row>
    <row r="45116" spans="23:23">
      <c r="W45116" s="503"/>
    </row>
    <row r="45117" spans="23:23">
      <c r="W45117" s="503"/>
    </row>
    <row r="45118" spans="23:23">
      <c r="W45118" s="503"/>
    </row>
    <row r="45119" spans="23:23">
      <c r="W45119" s="503"/>
    </row>
    <row r="45120" spans="23:23">
      <c r="W45120" s="503"/>
    </row>
    <row r="45121" spans="23:23">
      <c r="W45121" s="503"/>
    </row>
    <row r="45122" spans="23:23">
      <c r="W45122" s="503"/>
    </row>
    <row r="45123" spans="23:23">
      <c r="W45123" s="503"/>
    </row>
    <row r="45124" spans="23:23">
      <c r="W45124" s="503"/>
    </row>
    <row r="45125" spans="23:23">
      <c r="W45125" s="503"/>
    </row>
    <row r="45126" spans="23:23">
      <c r="W45126" s="503"/>
    </row>
    <row r="45127" spans="23:23">
      <c r="W45127" s="503"/>
    </row>
    <row r="45128" spans="23:23">
      <c r="W45128" s="503"/>
    </row>
    <row r="45129" spans="23:23">
      <c r="W45129" s="503"/>
    </row>
    <row r="45130" spans="23:23">
      <c r="W45130" s="503"/>
    </row>
    <row r="45131" spans="23:23">
      <c r="W45131" s="503"/>
    </row>
    <row r="45132" spans="23:23">
      <c r="W45132" s="503"/>
    </row>
    <row r="45133" spans="23:23">
      <c r="W45133" s="503"/>
    </row>
    <row r="45134" spans="23:23">
      <c r="W45134" s="503"/>
    </row>
    <row r="45135" spans="23:23">
      <c r="W45135" s="503"/>
    </row>
    <row r="45136" spans="23:23">
      <c r="W45136" s="503"/>
    </row>
    <row r="45137" spans="23:23">
      <c r="W45137" s="503"/>
    </row>
    <row r="45138" spans="23:23">
      <c r="W45138" s="503"/>
    </row>
    <row r="45139" spans="23:23">
      <c r="W45139" s="503"/>
    </row>
    <row r="45140" spans="23:23">
      <c r="W45140" s="503"/>
    </row>
    <row r="45141" spans="23:23">
      <c r="W45141" s="503"/>
    </row>
    <row r="45142" spans="23:23">
      <c r="W45142" s="503"/>
    </row>
    <row r="45143" spans="23:23">
      <c r="W45143" s="503"/>
    </row>
    <row r="45144" spans="23:23">
      <c r="W45144" s="503"/>
    </row>
    <row r="45145" spans="23:23">
      <c r="W45145" s="503"/>
    </row>
    <row r="45146" spans="23:23">
      <c r="W45146" s="503"/>
    </row>
    <row r="45147" spans="23:23">
      <c r="W45147" s="503"/>
    </row>
    <row r="45148" spans="23:23">
      <c r="W45148" s="503"/>
    </row>
    <row r="45149" spans="23:23">
      <c r="W45149" s="503"/>
    </row>
    <row r="45150" spans="23:23">
      <c r="W45150" s="503"/>
    </row>
    <row r="45151" spans="23:23">
      <c r="W45151" s="503"/>
    </row>
    <row r="45152" spans="23:23">
      <c r="W45152" s="503"/>
    </row>
    <row r="45153" spans="23:23">
      <c r="W45153" s="503"/>
    </row>
    <row r="45154" spans="23:23">
      <c r="W45154" s="503"/>
    </row>
    <row r="45155" spans="23:23">
      <c r="W45155" s="503"/>
    </row>
    <row r="45156" spans="23:23">
      <c r="W45156" s="503"/>
    </row>
    <row r="45157" spans="23:23">
      <c r="W45157" s="503"/>
    </row>
    <row r="45158" spans="23:23">
      <c r="W45158" s="503"/>
    </row>
    <row r="45159" spans="23:23">
      <c r="W45159" s="503"/>
    </row>
    <row r="45160" spans="23:23">
      <c r="W45160" s="503"/>
    </row>
    <row r="45161" spans="23:23">
      <c r="W45161" s="503"/>
    </row>
    <row r="45162" spans="23:23">
      <c r="W45162" s="503"/>
    </row>
    <row r="45163" spans="23:23">
      <c r="W45163" s="503"/>
    </row>
    <row r="45164" spans="23:23">
      <c r="W45164" s="503"/>
    </row>
    <row r="45165" spans="23:23">
      <c r="W45165" s="503"/>
    </row>
    <row r="45166" spans="23:23">
      <c r="W45166" s="503"/>
    </row>
    <row r="45167" spans="23:23">
      <c r="W45167" s="503"/>
    </row>
    <row r="45168" spans="23:23">
      <c r="W45168" s="503"/>
    </row>
    <row r="45169" spans="23:23">
      <c r="W45169" s="503"/>
    </row>
    <row r="45170" spans="23:23">
      <c r="W45170" s="503"/>
    </row>
    <row r="45171" spans="23:23">
      <c r="W45171" s="503"/>
    </row>
    <row r="45172" spans="23:23">
      <c r="W45172" s="503"/>
    </row>
    <row r="45173" spans="23:23">
      <c r="W45173" s="503"/>
    </row>
    <row r="45174" spans="23:23">
      <c r="W45174" s="503"/>
    </row>
    <row r="45175" spans="23:23">
      <c r="W45175" s="503"/>
    </row>
    <row r="45176" spans="23:23">
      <c r="W45176" s="503"/>
    </row>
    <row r="45177" spans="23:23">
      <c r="W45177" s="503"/>
    </row>
    <row r="45178" spans="23:23">
      <c r="W45178" s="503"/>
    </row>
    <row r="45179" spans="23:23">
      <c r="W45179" s="503"/>
    </row>
    <row r="45180" spans="23:23">
      <c r="W45180" s="503"/>
    </row>
    <row r="45181" spans="23:23">
      <c r="W45181" s="503"/>
    </row>
    <row r="45182" spans="23:23">
      <c r="W45182" s="503"/>
    </row>
    <row r="45183" spans="23:23">
      <c r="W45183" s="503"/>
    </row>
    <row r="45184" spans="23:23">
      <c r="W45184" s="503"/>
    </row>
    <row r="45185" spans="23:23">
      <c r="W45185" s="503"/>
    </row>
    <row r="45186" spans="23:23">
      <c r="W45186" s="503"/>
    </row>
    <row r="45187" spans="23:23">
      <c r="W45187" s="503"/>
    </row>
    <row r="45188" spans="23:23">
      <c r="W45188" s="503"/>
    </row>
    <row r="45189" spans="23:23">
      <c r="W45189" s="503"/>
    </row>
    <row r="45190" spans="23:23">
      <c r="W45190" s="503"/>
    </row>
    <row r="45191" spans="23:23">
      <c r="W45191" s="503"/>
    </row>
    <row r="45192" spans="23:23">
      <c r="W45192" s="503"/>
    </row>
    <row r="45193" spans="23:23">
      <c r="W45193" s="503"/>
    </row>
    <row r="45194" spans="23:23">
      <c r="W45194" s="503"/>
    </row>
    <row r="45195" spans="23:23">
      <c r="W45195" s="503"/>
    </row>
    <row r="45196" spans="23:23">
      <c r="W45196" s="503"/>
    </row>
    <row r="45197" spans="23:23">
      <c r="W45197" s="503"/>
    </row>
    <row r="45198" spans="23:23">
      <c r="W45198" s="503"/>
    </row>
    <row r="45199" spans="23:23">
      <c r="W45199" s="503"/>
    </row>
    <row r="45200" spans="23:23">
      <c r="W45200" s="503"/>
    </row>
    <row r="45201" spans="23:23">
      <c r="W45201" s="503"/>
    </row>
    <row r="45202" spans="23:23">
      <c r="W45202" s="503"/>
    </row>
    <row r="45203" spans="23:23">
      <c r="W45203" s="503"/>
    </row>
    <row r="45204" spans="23:23">
      <c r="W45204" s="503"/>
    </row>
    <row r="45205" spans="23:23">
      <c r="W45205" s="503"/>
    </row>
    <row r="45206" spans="23:23">
      <c r="W45206" s="503"/>
    </row>
    <row r="45207" spans="23:23">
      <c r="W45207" s="503"/>
    </row>
    <row r="45208" spans="23:23">
      <c r="W45208" s="503"/>
    </row>
    <row r="45209" spans="23:23">
      <c r="W45209" s="503"/>
    </row>
    <row r="45210" spans="23:23">
      <c r="W45210" s="503"/>
    </row>
    <row r="45211" spans="23:23">
      <c r="W45211" s="503"/>
    </row>
    <row r="45212" spans="23:23">
      <c r="W45212" s="503"/>
    </row>
    <row r="45213" spans="23:23">
      <c r="W45213" s="503"/>
    </row>
    <row r="45214" spans="23:23">
      <c r="W45214" s="503"/>
    </row>
    <row r="45215" spans="23:23">
      <c r="W45215" s="503"/>
    </row>
    <row r="45216" spans="23:23">
      <c r="W45216" s="503"/>
    </row>
    <row r="45217" spans="23:23">
      <c r="W45217" s="503"/>
    </row>
    <row r="45218" spans="23:23">
      <c r="W45218" s="503"/>
    </row>
    <row r="45219" spans="23:23">
      <c r="W45219" s="503"/>
    </row>
    <row r="45220" spans="23:23">
      <c r="W45220" s="503"/>
    </row>
    <row r="45221" spans="23:23">
      <c r="W45221" s="503"/>
    </row>
    <row r="45222" spans="23:23">
      <c r="W45222" s="503"/>
    </row>
    <row r="45223" spans="23:23">
      <c r="W45223" s="503"/>
    </row>
    <row r="45224" spans="23:23">
      <c r="W45224" s="503"/>
    </row>
    <row r="45225" spans="23:23">
      <c r="W45225" s="503"/>
    </row>
    <row r="45226" spans="23:23">
      <c r="W45226" s="503"/>
    </row>
    <row r="45227" spans="23:23">
      <c r="W45227" s="503"/>
    </row>
    <row r="45228" spans="23:23">
      <c r="W45228" s="503"/>
    </row>
    <row r="45229" spans="23:23">
      <c r="W45229" s="503"/>
    </row>
    <row r="45230" spans="23:23">
      <c r="W45230" s="503"/>
    </row>
    <row r="45231" spans="23:23">
      <c r="W45231" s="503"/>
    </row>
    <row r="45232" spans="23:23">
      <c r="W45232" s="503"/>
    </row>
    <row r="45233" spans="23:23">
      <c r="W45233" s="503"/>
    </row>
    <row r="45234" spans="23:23">
      <c r="W45234" s="503"/>
    </row>
    <row r="45235" spans="23:23">
      <c r="W45235" s="503"/>
    </row>
    <row r="45236" spans="23:23">
      <c r="W45236" s="503"/>
    </row>
    <row r="45237" spans="23:23">
      <c r="W45237" s="503"/>
    </row>
    <row r="45238" spans="23:23">
      <c r="W45238" s="503"/>
    </row>
    <row r="45239" spans="23:23">
      <c r="W45239" s="503"/>
    </row>
    <row r="45240" spans="23:23">
      <c r="W45240" s="503"/>
    </row>
    <row r="45241" spans="23:23">
      <c r="W45241" s="503"/>
    </row>
    <row r="45242" spans="23:23">
      <c r="W45242" s="503"/>
    </row>
    <row r="45243" spans="23:23">
      <c r="W45243" s="503"/>
    </row>
    <row r="45244" spans="23:23">
      <c r="W45244" s="503"/>
    </row>
    <row r="45245" spans="23:23">
      <c r="W45245" s="503"/>
    </row>
    <row r="45246" spans="23:23">
      <c r="W45246" s="503"/>
    </row>
    <row r="45247" spans="23:23">
      <c r="W45247" s="503"/>
    </row>
    <row r="45248" spans="23:23">
      <c r="W45248" s="503"/>
    </row>
    <row r="45249" spans="23:23">
      <c r="W45249" s="503"/>
    </row>
    <row r="45250" spans="23:23">
      <c r="W45250" s="503"/>
    </row>
    <row r="45251" spans="23:23">
      <c r="W45251" s="503"/>
    </row>
    <row r="45252" spans="23:23">
      <c r="W45252" s="503"/>
    </row>
    <row r="45253" spans="23:23">
      <c r="W45253" s="503"/>
    </row>
    <row r="45254" spans="23:23">
      <c r="W45254" s="503"/>
    </row>
    <row r="45255" spans="23:23">
      <c r="W45255" s="503"/>
    </row>
    <row r="45256" spans="23:23">
      <c r="W45256" s="503"/>
    </row>
    <row r="45257" spans="23:23">
      <c r="W45257" s="503"/>
    </row>
    <row r="45258" spans="23:23">
      <c r="W45258" s="503"/>
    </row>
    <row r="45259" spans="23:23">
      <c r="W45259" s="503"/>
    </row>
    <row r="45260" spans="23:23">
      <c r="W45260" s="503"/>
    </row>
    <row r="45261" spans="23:23">
      <c r="W45261" s="503"/>
    </row>
    <row r="45262" spans="23:23">
      <c r="W45262" s="503"/>
    </row>
    <row r="45263" spans="23:23">
      <c r="W45263" s="503"/>
    </row>
    <row r="45264" spans="23:23">
      <c r="W45264" s="503"/>
    </row>
    <row r="45265" spans="23:23">
      <c r="W45265" s="503"/>
    </row>
    <row r="45266" spans="23:23">
      <c r="W45266" s="503"/>
    </row>
    <row r="45267" spans="23:23">
      <c r="W45267" s="503"/>
    </row>
    <row r="45268" spans="23:23">
      <c r="W45268" s="503"/>
    </row>
    <row r="45269" spans="23:23">
      <c r="W45269" s="503"/>
    </row>
    <row r="45270" spans="23:23">
      <c r="W45270" s="503"/>
    </row>
    <row r="45271" spans="23:23">
      <c r="W45271" s="503"/>
    </row>
    <row r="45272" spans="23:23">
      <c r="W45272" s="503"/>
    </row>
    <row r="45273" spans="23:23">
      <c r="W45273" s="503"/>
    </row>
    <row r="45274" spans="23:23">
      <c r="W45274" s="503"/>
    </row>
    <row r="45275" spans="23:23">
      <c r="W45275" s="503"/>
    </row>
    <row r="45276" spans="23:23">
      <c r="W45276" s="503"/>
    </row>
    <row r="45277" spans="23:23">
      <c r="W45277" s="503"/>
    </row>
    <row r="45278" spans="23:23">
      <c r="W45278" s="503"/>
    </row>
    <row r="45279" spans="23:23">
      <c r="W45279" s="503"/>
    </row>
    <row r="45280" spans="23:23">
      <c r="W45280" s="503"/>
    </row>
    <row r="45281" spans="23:23">
      <c r="W45281" s="503"/>
    </row>
    <row r="45282" spans="23:23">
      <c r="W45282" s="503"/>
    </row>
    <row r="45283" spans="23:23">
      <c r="W45283" s="503"/>
    </row>
    <row r="45284" spans="23:23">
      <c r="W45284" s="503"/>
    </row>
    <row r="45285" spans="23:23">
      <c r="W45285" s="503"/>
    </row>
    <row r="45286" spans="23:23">
      <c r="W45286" s="503"/>
    </row>
    <row r="45287" spans="23:23">
      <c r="W45287" s="503"/>
    </row>
    <row r="45288" spans="23:23">
      <c r="W45288" s="503"/>
    </row>
    <row r="45289" spans="23:23">
      <c r="W45289" s="503"/>
    </row>
    <row r="45290" spans="23:23">
      <c r="W45290" s="503"/>
    </row>
    <row r="45291" spans="23:23">
      <c r="W45291" s="503"/>
    </row>
    <row r="45292" spans="23:23">
      <c r="W45292" s="503"/>
    </row>
    <row r="45293" spans="23:23">
      <c r="W45293" s="503"/>
    </row>
    <row r="45294" spans="23:23">
      <c r="W45294" s="503"/>
    </row>
    <row r="45295" spans="23:23">
      <c r="W45295" s="503"/>
    </row>
    <row r="45296" spans="23:23">
      <c r="W45296" s="503"/>
    </row>
    <row r="45297" spans="23:23">
      <c r="W45297" s="503"/>
    </row>
    <row r="45298" spans="23:23">
      <c r="W45298" s="503"/>
    </row>
    <row r="45299" spans="23:23">
      <c r="W45299" s="503"/>
    </row>
    <row r="45300" spans="23:23">
      <c r="W45300" s="503"/>
    </row>
    <row r="45301" spans="23:23">
      <c r="W45301" s="503"/>
    </row>
    <row r="45302" spans="23:23">
      <c r="W45302" s="503"/>
    </row>
    <row r="45303" spans="23:23">
      <c r="W45303" s="503"/>
    </row>
    <row r="45304" spans="23:23">
      <c r="W45304" s="503"/>
    </row>
    <row r="45305" spans="23:23">
      <c r="W45305" s="503"/>
    </row>
    <row r="45306" spans="23:23">
      <c r="W45306" s="503"/>
    </row>
    <row r="45307" spans="23:23">
      <c r="W45307" s="503"/>
    </row>
    <row r="45308" spans="23:23">
      <c r="W45308" s="503"/>
    </row>
    <row r="45309" spans="23:23">
      <c r="W45309" s="503"/>
    </row>
    <row r="45310" spans="23:23">
      <c r="W45310" s="503"/>
    </row>
    <row r="45311" spans="23:23">
      <c r="W45311" s="503"/>
    </row>
    <row r="45312" spans="23:23">
      <c r="W45312" s="503"/>
    </row>
    <row r="45313" spans="23:23">
      <c r="W45313" s="503"/>
    </row>
    <row r="45314" spans="23:23">
      <c r="W45314" s="503"/>
    </row>
    <row r="45315" spans="23:23">
      <c r="W45315" s="503"/>
    </row>
    <row r="45316" spans="23:23">
      <c r="W45316" s="503"/>
    </row>
    <row r="45317" spans="23:23">
      <c r="W45317" s="503"/>
    </row>
    <row r="45318" spans="23:23">
      <c r="W45318" s="503"/>
    </row>
    <row r="45319" spans="23:23">
      <c r="W45319" s="503"/>
    </row>
    <row r="45320" spans="23:23">
      <c r="W45320" s="503"/>
    </row>
    <row r="45321" spans="23:23">
      <c r="W45321" s="503"/>
    </row>
    <row r="45322" spans="23:23">
      <c r="W45322" s="503"/>
    </row>
    <row r="45323" spans="23:23">
      <c r="W45323" s="503"/>
    </row>
    <row r="45324" spans="23:23">
      <c r="W45324" s="503"/>
    </row>
    <row r="45325" spans="23:23">
      <c r="W45325" s="503"/>
    </row>
    <row r="45326" spans="23:23">
      <c r="W45326" s="503"/>
    </row>
    <row r="45327" spans="23:23">
      <c r="W45327" s="503"/>
    </row>
    <row r="45328" spans="23:23">
      <c r="W45328" s="503"/>
    </row>
    <row r="45329" spans="23:23">
      <c r="W45329" s="503"/>
    </row>
    <row r="45330" spans="23:23">
      <c r="W45330" s="503"/>
    </row>
    <row r="45331" spans="23:23">
      <c r="W45331" s="503"/>
    </row>
    <row r="45332" spans="23:23">
      <c r="W45332" s="503"/>
    </row>
    <row r="45333" spans="23:23">
      <c r="W45333" s="503"/>
    </row>
    <row r="45334" spans="23:23">
      <c r="W45334" s="503"/>
    </row>
    <row r="45335" spans="23:23">
      <c r="W45335" s="503"/>
    </row>
    <row r="45336" spans="23:23">
      <c r="W45336" s="503"/>
    </row>
    <row r="45337" spans="23:23">
      <c r="W45337" s="503"/>
    </row>
    <row r="45338" spans="23:23">
      <c r="W45338" s="503"/>
    </row>
    <row r="45339" spans="23:23">
      <c r="W45339" s="503"/>
    </row>
    <row r="45340" spans="23:23">
      <c r="W45340" s="503"/>
    </row>
    <row r="45341" spans="23:23">
      <c r="W45341" s="503"/>
    </row>
    <row r="45342" spans="23:23">
      <c r="W45342" s="503"/>
    </row>
    <row r="45343" spans="23:23">
      <c r="W45343" s="503"/>
    </row>
    <row r="45344" spans="23:23">
      <c r="W45344" s="503"/>
    </row>
    <row r="45345" spans="23:23">
      <c r="W45345" s="503"/>
    </row>
    <row r="45346" spans="23:23">
      <c r="W45346" s="503"/>
    </row>
    <row r="45347" spans="23:23">
      <c r="W45347" s="503"/>
    </row>
    <row r="45348" spans="23:23">
      <c r="W45348" s="503"/>
    </row>
    <row r="45349" spans="23:23">
      <c r="W45349" s="503"/>
    </row>
    <row r="45350" spans="23:23">
      <c r="W45350" s="503"/>
    </row>
    <row r="45351" spans="23:23">
      <c r="W45351" s="503"/>
    </row>
    <row r="45352" spans="23:23">
      <c r="W45352" s="503"/>
    </row>
    <row r="45353" spans="23:23">
      <c r="W45353" s="503"/>
    </row>
    <row r="45354" spans="23:23">
      <c r="W45354" s="503"/>
    </row>
    <row r="45355" spans="23:23">
      <c r="W45355" s="503"/>
    </row>
    <row r="45356" spans="23:23">
      <c r="W45356" s="503"/>
    </row>
    <row r="45357" spans="23:23">
      <c r="W45357" s="503"/>
    </row>
    <row r="45358" spans="23:23">
      <c r="W45358" s="503"/>
    </row>
    <row r="45359" spans="23:23">
      <c r="W45359" s="503"/>
    </row>
    <row r="45360" spans="23:23">
      <c r="W45360" s="503"/>
    </row>
    <row r="45361" spans="23:23">
      <c r="W45361" s="503"/>
    </row>
    <row r="45362" spans="23:23">
      <c r="W45362" s="503"/>
    </row>
    <row r="45363" spans="23:23">
      <c r="W45363" s="503"/>
    </row>
    <row r="45364" spans="23:23">
      <c r="W45364" s="503"/>
    </row>
    <row r="45365" spans="23:23">
      <c r="W45365" s="503"/>
    </row>
    <row r="45366" spans="23:23">
      <c r="W45366" s="503"/>
    </row>
    <row r="45367" spans="23:23">
      <c r="W45367" s="503"/>
    </row>
    <row r="45368" spans="23:23">
      <c r="W45368" s="503"/>
    </row>
    <row r="45369" spans="23:23">
      <c r="W45369" s="503"/>
    </row>
    <row r="45370" spans="23:23">
      <c r="W45370" s="503"/>
    </row>
    <row r="45371" spans="23:23">
      <c r="W45371" s="503"/>
    </row>
    <row r="45372" spans="23:23">
      <c r="W45372" s="503"/>
    </row>
    <row r="45373" spans="23:23">
      <c r="W45373" s="503"/>
    </row>
    <row r="45374" spans="23:23">
      <c r="W45374" s="503"/>
    </row>
    <row r="45375" spans="23:23">
      <c r="W45375" s="503"/>
    </row>
    <row r="45376" spans="23:23">
      <c r="W45376" s="503"/>
    </row>
    <row r="45377" spans="23:23">
      <c r="W45377" s="503"/>
    </row>
    <row r="45378" spans="23:23">
      <c r="W45378" s="503"/>
    </row>
    <row r="45379" spans="23:23">
      <c r="W45379" s="503"/>
    </row>
    <row r="45380" spans="23:23">
      <c r="W45380" s="503"/>
    </row>
    <row r="45381" spans="23:23">
      <c r="W45381" s="503"/>
    </row>
    <row r="45382" spans="23:23">
      <c r="W45382" s="503"/>
    </row>
    <row r="45383" spans="23:23">
      <c r="W45383" s="503"/>
    </row>
    <row r="45384" spans="23:23">
      <c r="W45384" s="503"/>
    </row>
    <row r="45385" spans="23:23">
      <c r="W45385" s="503"/>
    </row>
    <row r="45386" spans="23:23">
      <c r="W45386" s="503"/>
    </row>
    <row r="45387" spans="23:23">
      <c r="W45387" s="503"/>
    </row>
    <row r="45388" spans="23:23">
      <c r="W45388" s="503"/>
    </row>
    <row r="45389" spans="23:23">
      <c r="W45389" s="503"/>
    </row>
    <row r="45390" spans="23:23">
      <c r="W45390" s="503"/>
    </row>
    <row r="45391" spans="23:23">
      <c r="W45391" s="503"/>
    </row>
    <row r="45392" spans="23:23">
      <c r="W45392" s="503"/>
    </row>
    <row r="45393" spans="23:23">
      <c r="W45393" s="503"/>
    </row>
    <row r="45394" spans="23:23">
      <c r="W45394" s="503"/>
    </row>
    <row r="45395" spans="23:23">
      <c r="W45395" s="503"/>
    </row>
    <row r="45396" spans="23:23">
      <c r="W45396" s="503"/>
    </row>
    <row r="45397" spans="23:23">
      <c r="W45397" s="503"/>
    </row>
    <row r="45398" spans="23:23">
      <c r="W45398" s="503"/>
    </row>
    <row r="45399" spans="23:23">
      <c r="W45399" s="503"/>
    </row>
    <row r="45400" spans="23:23">
      <c r="W45400" s="503"/>
    </row>
    <row r="45401" spans="23:23">
      <c r="W45401" s="503"/>
    </row>
    <row r="45402" spans="23:23">
      <c r="W45402" s="503"/>
    </row>
    <row r="45403" spans="23:23">
      <c r="W45403" s="503"/>
    </row>
    <row r="45404" spans="23:23">
      <c r="W45404" s="503"/>
    </row>
    <row r="45405" spans="23:23">
      <c r="W45405" s="503"/>
    </row>
    <row r="45406" spans="23:23">
      <c r="W45406" s="503"/>
    </row>
    <row r="45407" spans="23:23">
      <c r="W45407" s="503"/>
    </row>
    <row r="45408" spans="23:23">
      <c r="W45408" s="503"/>
    </row>
    <row r="45409" spans="23:23">
      <c r="W45409" s="503"/>
    </row>
    <row r="45410" spans="23:23">
      <c r="W45410" s="503"/>
    </row>
    <row r="45411" spans="23:23">
      <c r="W45411" s="503"/>
    </row>
    <row r="45412" spans="23:23">
      <c r="W45412" s="503"/>
    </row>
    <row r="45413" spans="23:23">
      <c r="W45413" s="503"/>
    </row>
    <row r="45414" spans="23:23">
      <c r="W45414" s="503"/>
    </row>
    <row r="45415" spans="23:23">
      <c r="W45415" s="503"/>
    </row>
    <row r="45416" spans="23:23">
      <c r="W45416" s="503"/>
    </row>
    <row r="45417" spans="23:23">
      <c r="W45417" s="503"/>
    </row>
    <row r="45418" spans="23:23">
      <c r="W45418" s="503"/>
    </row>
    <row r="45419" spans="23:23">
      <c r="W45419" s="503"/>
    </row>
    <row r="45420" spans="23:23">
      <c r="W45420" s="503"/>
    </row>
    <row r="45421" spans="23:23">
      <c r="W45421" s="503"/>
    </row>
    <row r="45422" spans="23:23">
      <c r="W45422" s="503"/>
    </row>
    <row r="45423" spans="23:23">
      <c r="W45423" s="503"/>
    </row>
    <row r="45424" spans="23:23">
      <c r="W45424" s="503"/>
    </row>
    <row r="45425" spans="23:23">
      <c r="W45425" s="503"/>
    </row>
    <row r="45426" spans="23:23">
      <c r="W45426" s="503"/>
    </row>
    <row r="45427" spans="23:23">
      <c r="W45427" s="503"/>
    </row>
    <row r="45428" spans="23:23">
      <c r="W45428" s="503"/>
    </row>
    <row r="45429" spans="23:23">
      <c r="W45429" s="503"/>
    </row>
    <row r="45430" spans="23:23">
      <c r="W45430" s="503"/>
    </row>
    <row r="45431" spans="23:23">
      <c r="W45431" s="503"/>
    </row>
    <row r="45432" spans="23:23">
      <c r="W45432" s="503"/>
    </row>
    <row r="45433" spans="23:23">
      <c r="W45433" s="503"/>
    </row>
    <row r="45434" spans="23:23">
      <c r="W45434" s="503"/>
    </row>
    <row r="45435" spans="23:23">
      <c r="W45435" s="503"/>
    </row>
    <row r="45436" spans="23:23">
      <c r="W45436" s="503"/>
    </row>
    <row r="45437" spans="23:23">
      <c r="W45437" s="503"/>
    </row>
    <row r="45438" spans="23:23">
      <c r="W45438" s="503"/>
    </row>
    <row r="45439" spans="23:23">
      <c r="W45439" s="503"/>
    </row>
    <row r="45440" spans="23:23">
      <c r="W45440" s="503"/>
    </row>
    <row r="45441" spans="23:23">
      <c r="W45441" s="503"/>
    </row>
    <row r="45442" spans="23:23">
      <c r="W45442" s="503"/>
    </row>
    <row r="45443" spans="23:23">
      <c r="W45443" s="503"/>
    </row>
    <row r="45444" spans="23:23">
      <c r="W45444" s="503"/>
    </row>
    <row r="45445" spans="23:23">
      <c r="W45445" s="503"/>
    </row>
    <row r="45446" spans="23:23">
      <c r="W45446" s="503"/>
    </row>
    <row r="45447" spans="23:23">
      <c r="W45447" s="503"/>
    </row>
    <row r="45448" spans="23:23">
      <c r="W45448" s="503"/>
    </row>
    <row r="45449" spans="23:23">
      <c r="W45449" s="503"/>
    </row>
    <row r="45450" spans="23:23">
      <c r="W45450" s="503"/>
    </row>
    <row r="45451" spans="23:23">
      <c r="W45451" s="503"/>
    </row>
    <row r="45452" spans="23:23">
      <c r="W45452" s="503"/>
    </row>
    <row r="45453" spans="23:23">
      <c r="W45453" s="503"/>
    </row>
    <row r="45454" spans="23:23">
      <c r="W45454" s="503"/>
    </row>
    <row r="45455" spans="23:23">
      <c r="W45455" s="503"/>
    </row>
    <row r="45456" spans="23:23">
      <c r="W45456" s="503"/>
    </row>
    <row r="45457" spans="23:23">
      <c r="W45457" s="503"/>
    </row>
    <row r="45458" spans="23:23">
      <c r="W45458" s="503"/>
    </row>
    <row r="45459" spans="23:23">
      <c r="W45459" s="503"/>
    </row>
    <row r="45460" spans="23:23">
      <c r="W45460" s="503"/>
    </row>
    <row r="45461" spans="23:23">
      <c r="W45461" s="503"/>
    </row>
    <row r="45462" spans="23:23">
      <c r="W45462" s="503"/>
    </row>
    <row r="45463" spans="23:23">
      <c r="W45463" s="503"/>
    </row>
    <row r="45464" spans="23:23">
      <c r="W45464" s="503"/>
    </row>
    <row r="45465" spans="23:23">
      <c r="W45465" s="503"/>
    </row>
    <row r="45466" spans="23:23">
      <c r="W45466" s="503"/>
    </row>
    <row r="45467" spans="23:23">
      <c r="W45467" s="503"/>
    </row>
    <row r="45468" spans="23:23">
      <c r="W45468" s="503"/>
    </row>
    <row r="45469" spans="23:23">
      <c r="W45469" s="503"/>
    </row>
    <row r="45470" spans="23:23">
      <c r="W45470" s="503"/>
    </row>
    <row r="45471" spans="23:23">
      <c r="W45471" s="503"/>
    </row>
    <row r="45472" spans="23:23">
      <c r="W45472" s="503"/>
    </row>
    <row r="45473" spans="23:23">
      <c r="W45473" s="503"/>
    </row>
    <row r="45474" spans="23:23">
      <c r="W45474" s="503"/>
    </row>
    <row r="45475" spans="23:23">
      <c r="W45475" s="503"/>
    </row>
    <row r="45476" spans="23:23">
      <c r="W45476" s="503"/>
    </row>
    <row r="45477" spans="23:23">
      <c r="W45477" s="503"/>
    </row>
    <row r="45478" spans="23:23">
      <c r="W45478" s="503"/>
    </row>
    <row r="45479" spans="23:23">
      <c r="W45479" s="503"/>
    </row>
    <row r="45480" spans="23:23">
      <c r="W45480" s="503"/>
    </row>
    <row r="45481" spans="23:23">
      <c r="W45481" s="503"/>
    </row>
    <row r="45482" spans="23:23">
      <c r="W45482" s="503"/>
    </row>
    <row r="45483" spans="23:23">
      <c r="W45483" s="503"/>
    </row>
    <row r="45484" spans="23:23">
      <c r="W45484" s="503"/>
    </row>
    <row r="45485" spans="23:23">
      <c r="W45485" s="503"/>
    </row>
    <row r="45486" spans="23:23">
      <c r="W45486" s="503"/>
    </row>
    <row r="45487" spans="23:23">
      <c r="W45487" s="503"/>
    </row>
    <row r="45488" spans="23:23">
      <c r="W45488" s="503"/>
    </row>
    <row r="45489" spans="23:23">
      <c r="W45489" s="503"/>
    </row>
    <row r="45490" spans="23:23">
      <c r="W45490" s="503"/>
    </row>
    <row r="45491" spans="23:23">
      <c r="W45491" s="503"/>
    </row>
    <row r="45492" spans="23:23">
      <c r="W45492" s="503"/>
    </row>
    <row r="45493" spans="23:23">
      <c r="W45493" s="503"/>
    </row>
    <row r="45494" spans="23:23">
      <c r="W45494" s="503"/>
    </row>
    <row r="45495" spans="23:23">
      <c r="W45495" s="503"/>
    </row>
    <row r="45496" spans="23:23">
      <c r="W45496" s="503"/>
    </row>
    <row r="45497" spans="23:23">
      <c r="W45497" s="503"/>
    </row>
    <row r="45498" spans="23:23">
      <c r="W45498" s="503"/>
    </row>
    <row r="45499" spans="23:23">
      <c r="W45499" s="503"/>
    </row>
    <row r="45500" spans="23:23">
      <c r="W45500" s="503"/>
    </row>
    <row r="45501" spans="23:23">
      <c r="W45501" s="503"/>
    </row>
    <row r="45502" spans="23:23">
      <c r="W45502" s="503"/>
    </row>
    <row r="45503" spans="23:23">
      <c r="W45503" s="503"/>
    </row>
    <row r="45504" spans="23:23">
      <c r="W45504" s="503"/>
    </row>
    <row r="45505" spans="23:23">
      <c r="W45505" s="503"/>
    </row>
    <row r="45506" spans="23:23">
      <c r="W45506" s="503"/>
    </row>
    <row r="45507" spans="23:23">
      <c r="W45507" s="503"/>
    </row>
    <row r="45508" spans="23:23">
      <c r="W45508" s="503"/>
    </row>
    <row r="45509" spans="23:23">
      <c r="W45509" s="503"/>
    </row>
    <row r="45510" spans="23:23">
      <c r="W45510" s="503"/>
    </row>
    <row r="45511" spans="23:23">
      <c r="W45511" s="503"/>
    </row>
    <row r="45512" spans="23:23">
      <c r="W45512" s="503"/>
    </row>
    <row r="45513" spans="23:23">
      <c r="W45513" s="503"/>
    </row>
    <row r="45514" spans="23:23">
      <c r="W45514" s="503"/>
    </row>
    <row r="45515" spans="23:23">
      <c r="W45515" s="503"/>
    </row>
    <row r="45516" spans="23:23">
      <c r="W45516" s="503"/>
    </row>
    <row r="45517" spans="23:23">
      <c r="W45517" s="503"/>
    </row>
    <row r="45518" spans="23:23">
      <c r="W45518" s="503"/>
    </row>
    <row r="45519" spans="23:23">
      <c r="W45519" s="503"/>
    </row>
    <row r="45520" spans="23:23">
      <c r="W45520" s="503"/>
    </row>
    <row r="45521" spans="23:23">
      <c r="W45521" s="503"/>
    </row>
    <row r="45522" spans="23:23">
      <c r="W45522" s="503"/>
    </row>
    <row r="45523" spans="23:23">
      <c r="W45523" s="503"/>
    </row>
    <row r="45524" spans="23:23">
      <c r="W45524" s="503"/>
    </row>
    <row r="45525" spans="23:23">
      <c r="W45525" s="503"/>
    </row>
    <row r="45526" spans="23:23">
      <c r="W45526" s="503"/>
    </row>
    <row r="45527" spans="23:23">
      <c r="W45527" s="503"/>
    </row>
    <row r="45528" spans="23:23">
      <c r="W45528" s="503"/>
    </row>
    <row r="45529" spans="23:23">
      <c r="W45529" s="503"/>
    </row>
    <row r="45530" spans="23:23">
      <c r="W45530" s="503"/>
    </row>
    <row r="45531" spans="23:23">
      <c r="W45531" s="503"/>
    </row>
    <row r="45532" spans="23:23">
      <c r="W45532" s="503"/>
    </row>
    <row r="45533" spans="23:23">
      <c r="W45533" s="503"/>
    </row>
    <row r="45534" spans="23:23">
      <c r="W45534" s="503"/>
    </row>
    <row r="45535" spans="23:23">
      <c r="W45535" s="503"/>
    </row>
    <row r="45536" spans="23:23">
      <c r="W45536" s="503"/>
    </row>
    <row r="45537" spans="23:23">
      <c r="W45537" s="503"/>
    </row>
    <row r="45538" spans="23:23">
      <c r="W45538" s="503"/>
    </row>
    <row r="45539" spans="23:23">
      <c r="W45539" s="503"/>
    </row>
    <row r="45540" spans="23:23">
      <c r="W45540" s="503"/>
    </row>
    <row r="45541" spans="23:23">
      <c r="W45541" s="503"/>
    </row>
    <row r="45542" spans="23:23">
      <c r="W45542" s="503"/>
    </row>
    <row r="45543" spans="23:23">
      <c r="W45543" s="503"/>
    </row>
    <row r="45544" spans="23:23">
      <c r="W45544" s="503"/>
    </row>
    <row r="45545" spans="23:23">
      <c r="W45545" s="503"/>
    </row>
    <row r="45546" spans="23:23">
      <c r="W45546" s="503"/>
    </row>
    <row r="45547" spans="23:23">
      <c r="W45547" s="503"/>
    </row>
    <row r="45548" spans="23:23">
      <c r="W45548" s="503"/>
    </row>
    <row r="45549" spans="23:23">
      <c r="W45549" s="503"/>
    </row>
    <row r="45550" spans="23:23">
      <c r="W45550" s="503"/>
    </row>
    <row r="45551" spans="23:23">
      <c r="W45551" s="503"/>
    </row>
    <row r="45552" spans="23:23">
      <c r="W45552" s="503"/>
    </row>
    <row r="45553" spans="23:23">
      <c r="W45553" s="503"/>
    </row>
    <row r="45554" spans="23:23">
      <c r="W45554" s="503"/>
    </row>
    <row r="45555" spans="23:23">
      <c r="W45555" s="503"/>
    </row>
    <row r="45556" spans="23:23">
      <c r="W45556" s="503"/>
    </row>
    <row r="45557" spans="23:23">
      <c r="W45557" s="503"/>
    </row>
    <row r="45558" spans="23:23">
      <c r="W45558" s="503"/>
    </row>
    <row r="45559" spans="23:23">
      <c r="W45559" s="503"/>
    </row>
    <row r="45560" spans="23:23">
      <c r="W45560" s="503"/>
    </row>
    <row r="45561" spans="23:23">
      <c r="W45561" s="503"/>
    </row>
    <row r="45562" spans="23:23">
      <c r="W45562" s="503"/>
    </row>
    <row r="45563" spans="23:23">
      <c r="W45563" s="503"/>
    </row>
    <row r="45564" spans="23:23">
      <c r="W45564" s="503"/>
    </row>
    <row r="45565" spans="23:23">
      <c r="W45565" s="503"/>
    </row>
    <row r="45566" spans="23:23">
      <c r="W45566" s="503"/>
    </row>
    <row r="45567" spans="23:23">
      <c r="W45567" s="503"/>
    </row>
    <row r="45568" spans="23:23">
      <c r="W45568" s="503"/>
    </row>
    <row r="45569" spans="23:23">
      <c r="W45569" s="503"/>
    </row>
    <row r="45570" spans="23:23">
      <c r="W45570" s="503"/>
    </row>
    <row r="45571" spans="23:23">
      <c r="W45571" s="503"/>
    </row>
    <row r="45572" spans="23:23">
      <c r="W45572" s="503"/>
    </row>
    <row r="45573" spans="23:23">
      <c r="W45573" s="503"/>
    </row>
    <row r="45574" spans="23:23">
      <c r="W45574" s="503"/>
    </row>
    <row r="45575" spans="23:23">
      <c r="W45575" s="503"/>
    </row>
    <row r="45576" spans="23:23">
      <c r="W45576" s="503"/>
    </row>
    <row r="45577" spans="23:23">
      <c r="W45577" s="503"/>
    </row>
    <row r="45578" spans="23:23">
      <c r="W45578" s="503"/>
    </row>
    <row r="45579" spans="23:23">
      <c r="W45579" s="503"/>
    </row>
    <row r="45580" spans="23:23">
      <c r="W45580" s="503"/>
    </row>
    <row r="45581" spans="23:23">
      <c r="W45581" s="503"/>
    </row>
    <row r="45582" spans="23:23">
      <c r="W45582" s="503"/>
    </row>
    <row r="45583" spans="23:23">
      <c r="W45583" s="503"/>
    </row>
    <row r="45584" spans="23:23">
      <c r="W45584" s="503"/>
    </row>
    <row r="45585" spans="23:23">
      <c r="W45585" s="503"/>
    </row>
    <row r="45586" spans="23:23">
      <c r="W45586" s="503"/>
    </row>
    <row r="45587" spans="23:23">
      <c r="W45587" s="503"/>
    </row>
    <row r="45588" spans="23:23">
      <c r="W45588" s="503"/>
    </row>
    <row r="45589" spans="23:23">
      <c r="W45589" s="503"/>
    </row>
    <row r="45590" spans="23:23">
      <c r="W45590" s="503"/>
    </row>
    <row r="45591" spans="23:23">
      <c r="W45591" s="503"/>
    </row>
    <row r="45592" spans="23:23">
      <c r="W45592" s="503"/>
    </row>
    <row r="45593" spans="23:23">
      <c r="W45593" s="503"/>
    </row>
    <row r="45594" spans="23:23">
      <c r="W45594" s="503"/>
    </row>
    <row r="45595" spans="23:23">
      <c r="W45595" s="503"/>
    </row>
    <row r="45596" spans="23:23">
      <c r="W45596" s="503"/>
    </row>
    <row r="45597" spans="23:23">
      <c r="W45597" s="503"/>
    </row>
    <row r="45598" spans="23:23">
      <c r="W45598" s="503"/>
    </row>
    <row r="45599" spans="23:23">
      <c r="W45599" s="503"/>
    </row>
    <row r="45600" spans="23:23">
      <c r="W45600" s="503"/>
    </row>
    <row r="45601" spans="23:23">
      <c r="W45601" s="503"/>
    </row>
    <row r="45602" spans="23:23">
      <c r="W45602" s="503"/>
    </row>
    <row r="45603" spans="23:23">
      <c r="W45603" s="503"/>
    </row>
    <row r="45604" spans="23:23">
      <c r="W45604" s="503"/>
    </row>
    <row r="45605" spans="23:23">
      <c r="W45605" s="503"/>
    </row>
    <row r="45606" spans="23:23">
      <c r="W45606" s="503"/>
    </row>
    <row r="45607" spans="23:23">
      <c r="W45607" s="503"/>
    </row>
    <row r="45608" spans="23:23">
      <c r="W45608" s="503"/>
    </row>
    <row r="45609" spans="23:23">
      <c r="W45609" s="503"/>
    </row>
    <row r="45610" spans="23:23">
      <c r="W45610" s="503"/>
    </row>
    <row r="45611" spans="23:23">
      <c r="W45611" s="503"/>
    </row>
    <row r="45612" spans="23:23">
      <c r="W45612" s="503"/>
    </row>
    <row r="45613" spans="23:23">
      <c r="W45613" s="503"/>
    </row>
    <row r="45614" spans="23:23">
      <c r="W45614" s="503"/>
    </row>
    <row r="45615" spans="23:23">
      <c r="W45615" s="503"/>
    </row>
    <row r="45616" spans="23:23">
      <c r="W45616" s="503"/>
    </row>
    <row r="45617" spans="23:23">
      <c r="W45617" s="503"/>
    </row>
    <row r="45618" spans="23:23">
      <c r="W45618" s="503"/>
    </row>
    <row r="45619" spans="23:23">
      <c r="W45619" s="503"/>
    </row>
    <row r="45620" spans="23:23">
      <c r="W45620" s="503"/>
    </row>
    <row r="45621" spans="23:23">
      <c r="W45621" s="503"/>
    </row>
    <row r="45622" spans="23:23">
      <c r="W45622" s="503"/>
    </row>
    <row r="45623" spans="23:23">
      <c r="W45623" s="503"/>
    </row>
    <row r="45624" spans="23:23">
      <c r="W45624" s="503"/>
    </row>
    <row r="45625" spans="23:23">
      <c r="W45625" s="503"/>
    </row>
    <row r="45626" spans="23:23">
      <c r="W45626" s="503"/>
    </row>
    <row r="45627" spans="23:23">
      <c r="W45627" s="503"/>
    </row>
    <row r="45628" spans="23:23">
      <c r="W45628" s="503"/>
    </row>
    <row r="45629" spans="23:23">
      <c r="W45629" s="503"/>
    </row>
    <row r="45630" spans="23:23">
      <c r="W45630" s="503"/>
    </row>
    <row r="45631" spans="23:23">
      <c r="W45631" s="503"/>
    </row>
    <row r="45632" spans="23:23">
      <c r="W45632" s="503"/>
    </row>
    <row r="45633" spans="23:23">
      <c r="W45633" s="503"/>
    </row>
    <row r="45634" spans="23:23">
      <c r="W45634" s="503"/>
    </row>
    <row r="45635" spans="23:23">
      <c r="W45635" s="503"/>
    </row>
    <row r="45636" spans="23:23">
      <c r="W45636" s="503"/>
    </row>
    <row r="45637" spans="23:23">
      <c r="W45637" s="503"/>
    </row>
    <row r="45638" spans="23:23">
      <c r="W45638" s="503"/>
    </row>
    <row r="45639" spans="23:23">
      <c r="W45639" s="503"/>
    </row>
    <row r="45640" spans="23:23">
      <c r="W45640" s="503"/>
    </row>
    <row r="45641" spans="23:23">
      <c r="W45641" s="503"/>
    </row>
    <row r="45642" spans="23:23">
      <c r="W45642" s="503"/>
    </row>
    <row r="45643" spans="23:23">
      <c r="W45643" s="503"/>
    </row>
    <row r="45644" spans="23:23">
      <c r="W45644" s="503"/>
    </row>
    <row r="45645" spans="23:23">
      <c r="W45645" s="503"/>
    </row>
    <row r="45646" spans="23:23">
      <c r="W45646" s="503"/>
    </row>
    <row r="45647" spans="23:23">
      <c r="W45647" s="503"/>
    </row>
    <row r="45648" spans="23:23">
      <c r="W45648" s="503"/>
    </row>
    <row r="45649" spans="23:23">
      <c r="W45649" s="503"/>
    </row>
    <row r="45650" spans="23:23">
      <c r="W45650" s="503"/>
    </row>
    <row r="45651" spans="23:23">
      <c r="W45651" s="503"/>
    </row>
    <row r="45652" spans="23:23">
      <c r="W45652" s="503"/>
    </row>
    <row r="45653" spans="23:23">
      <c r="W45653" s="503"/>
    </row>
    <row r="45654" spans="23:23">
      <c r="W45654" s="503"/>
    </row>
    <row r="45655" spans="23:23">
      <c r="W45655" s="503"/>
    </row>
    <row r="45656" spans="23:23">
      <c r="W45656" s="503"/>
    </row>
    <row r="45657" spans="23:23">
      <c r="W45657" s="503"/>
    </row>
    <row r="45658" spans="23:23">
      <c r="W45658" s="503"/>
    </row>
    <row r="45659" spans="23:23">
      <c r="W45659" s="503"/>
    </row>
    <row r="45660" spans="23:23">
      <c r="W45660" s="503"/>
    </row>
    <row r="45661" spans="23:23">
      <c r="W45661" s="503"/>
    </row>
    <row r="45662" spans="23:23">
      <c r="W45662" s="503"/>
    </row>
    <row r="45663" spans="23:23">
      <c r="W45663" s="503"/>
    </row>
    <row r="45664" spans="23:23">
      <c r="W45664" s="503"/>
    </row>
    <row r="45665" spans="23:23">
      <c r="W45665" s="503"/>
    </row>
    <row r="45666" spans="23:23">
      <c r="W45666" s="503"/>
    </row>
    <row r="45667" spans="23:23">
      <c r="W45667" s="503"/>
    </row>
    <row r="45668" spans="23:23">
      <c r="W45668" s="503"/>
    </row>
    <row r="45669" spans="23:23">
      <c r="W45669" s="503"/>
    </row>
    <row r="45670" spans="23:23">
      <c r="W45670" s="503"/>
    </row>
    <row r="45671" spans="23:23">
      <c r="W45671" s="503"/>
    </row>
    <row r="45672" spans="23:23">
      <c r="W45672" s="503"/>
    </row>
    <row r="45673" spans="23:23">
      <c r="W45673" s="503"/>
    </row>
    <row r="45674" spans="23:23">
      <c r="W45674" s="503"/>
    </row>
    <row r="45675" spans="23:23">
      <c r="W45675" s="503"/>
    </row>
    <row r="45676" spans="23:23">
      <c r="W45676" s="503"/>
    </row>
    <row r="45677" spans="23:23">
      <c r="W45677" s="503"/>
    </row>
    <row r="45678" spans="23:23">
      <c r="W45678" s="503"/>
    </row>
    <row r="45679" spans="23:23">
      <c r="W45679" s="503"/>
    </row>
    <row r="45680" spans="23:23">
      <c r="W45680" s="503"/>
    </row>
    <row r="45681" spans="23:23">
      <c r="W45681" s="503"/>
    </row>
    <row r="45682" spans="23:23">
      <c r="W45682" s="503"/>
    </row>
    <row r="45683" spans="23:23">
      <c r="W45683" s="503"/>
    </row>
    <row r="45684" spans="23:23">
      <c r="W45684" s="503"/>
    </row>
    <row r="45685" spans="23:23">
      <c r="W45685" s="503"/>
    </row>
    <row r="45686" spans="23:23">
      <c r="W45686" s="503"/>
    </row>
    <row r="45687" spans="23:23">
      <c r="W45687" s="503"/>
    </row>
    <row r="45688" spans="23:23">
      <c r="W45688" s="503"/>
    </row>
    <row r="45689" spans="23:23">
      <c r="W45689" s="503"/>
    </row>
    <row r="45690" spans="23:23">
      <c r="W45690" s="503"/>
    </row>
    <row r="45691" spans="23:23">
      <c r="W45691" s="503"/>
    </row>
    <row r="45692" spans="23:23">
      <c r="W45692" s="503"/>
    </row>
    <row r="45693" spans="23:23">
      <c r="W45693" s="503"/>
    </row>
    <row r="45694" spans="23:23">
      <c r="W45694" s="503"/>
    </row>
    <row r="45695" spans="23:23">
      <c r="W45695" s="503"/>
    </row>
    <row r="45696" spans="23:23">
      <c r="W45696" s="503"/>
    </row>
    <row r="45697" spans="23:23">
      <c r="W45697" s="503"/>
    </row>
    <row r="45698" spans="23:23">
      <c r="W45698" s="503"/>
    </row>
    <row r="45699" spans="23:23">
      <c r="W45699" s="503"/>
    </row>
    <row r="45700" spans="23:23">
      <c r="W45700" s="503"/>
    </row>
    <row r="45701" spans="23:23">
      <c r="W45701" s="503"/>
    </row>
    <row r="45702" spans="23:23">
      <c r="W45702" s="503"/>
    </row>
    <row r="45703" spans="23:23">
      <c r="W45703" s="503"/>
    </row>
    <row r="45704" spans="23:23">
      <c r="W45704" s="503"/>
    </row>
    <row r="45705" spans="23:23">
      <c r="W45705" s="503"/>
    </row>
    <row r="45706" spans="23:23">
      <c r="W45706" s="503"/>
    </row>
    <row r="45707" spans="23:23">
      <c r="W45707" s="503"/>
    </row>
    <row r="45708" spans="23:23">
      <c r="W45708" s="503"/>
    </row>
    <row r="45709" spans="23:23">
      <c r="W45709" s="503"/>
    </row>
    <row r="45710" spans="23:23">
      <c r="W45710" s="503"/>
    </row>
    <row r="45711" spans="23:23">
      <c r="W45711" s="503"/>
    </row>
    <row r="45712" spans="23:23">
      <c r="W45712" s="503"/>
    </row>
    <row r="45713" spans="23:23">
      <c r="W45713" s="503"/>
    </row>
    <row r="45714" spans="23:23">
      <c r="W45714" s="503"/>
    </row>
    <row r="45715" spans="23:23">
      <c r="W45715" s="503"/>
    </row>
    <row r="45716" spans="23:23">
      <c r="W45716" s="503"/>
    </row>
    <row r="45717" spans="23:23">
      <c r="W45717" s="503"/>
    </row>
    <row r="45718" spans="23:23">
      <c r="W45718" s="503"/>
    </row>
    <row r="45719" spans="23:23">
      <c r="W45719" s="503"/>
    </row>
    <row r="45720" spans="23:23">
      <c r="W45720" s="503"/>
    </row>
    <row r="45721" spans="23:23">
      <c r="W45721" s="503"/>
    </row>
    <row r="45722" spans="23:23">
      <c r="W45722" s="503"/>
    </row>
    <row r="45723" spans="23:23">
      <c r="W45723" s="503"/>
    </row>
    <row r="45724" spans="23:23">
      <c r="W45724" s="503"/>
    </row>
    <row r="45725" spans="23:23">
      <c r="W45725" s="503"/>
    </row>
    <row r="45726" spans="23:23">
      <c r="W45726" s="503"/>
    </row>
    <row r="45727" spans="23:23">
      <c r="W45727" s="503"/>
    </row>
    <row r="45728" spans="23:23">
      <c r="W45728" s="503"/>
    </row>
    <row r="45729" spans="23:23">
      <c r="W45729" s="503"/>
    </row>
    <row r="45730" spans="23:23">
      <c r="W45730" s="503"/>
    </row>
    <row r="45731" spans="23:23">
      <c r="W45731" s="503"/>
    </row>
    <row r="45732" spans="23:23">
      <c r="W45732" s="503"/>
    </row>
    <row r="45733" spans="23:23">
      <c r="W45733" s="503"/>
    </row>
    <row r="45734" spans="23:23">
      <c r="W45734" s="503"/>
    </row>
    <row r="45735" spans="23:23">
      <c r="W45735" s="503"/>
    </row>
    <row r="45736" spans="23:23">
      <c r="W45736" s="503"/>
    </row>
    <row r="45737" spans="23:23">
      <c r="W45737" s="503"/>
    </row>
    <row r="45738" spans="23:23">
      <c r="W45738" s="503"/>
    </row>
    <row r="45739" spans="23:23">
      <c r="W45739" s="503"/>
    </row>
    <row r="45740" spans="23:23">
      <c r="W45740" s="503"/>
    </row>
    <row r="45741" spans="23:23">
      <c r="W45741" s="503"/>
    </row>
    <row r="45742" spans="23:23">
      <c r="W45742" s="503"/>
    </row>
    <row r="45743" spans="23:23">
      <c r="W45743" s="503"/>
    </row>
    <row r="45744" spans="23:23">
      <c r="W45744" s="503"/>
    </row>
    <row r="45745" spans="23:23">
      <c r="W45745" s="503"/>
    </row>
    <row r="45746" spans="23:23">
      <c r="W45746" s="503"/>
    </row>
    <row r="45747" spans="23:23">
      <c r="W45747" s="503"/>
    </row>
    <row r="45748" spans="23:23">
      <c r="W45748" s="503"/>
    </row>
    <row r="45749" spans="23:23">
      <c r="W45749" s="503"/>
    </row>
    <row r="45750" spans="23:23">
      <c r="W45750" s="503"/>
    </row>
    <row r="45751" spans="23:23">
      <c r="W45751" s="503"/>
    </row>
    <row r="45752" spans="23:23">
      <c r="W45752" s="503"/>
    </row>
    <row r="45753" spans="23:23">
      <c r="W45753" s="503"/>
    </row>
    <row r="45754" spans="23:23">
      <c r="W45754" s="503"/>
    </row>
    <row r="45755" spans="23:23">
      <c r="W45755" s="503"/>
    </row>
    <row r="45756" spans="23:23">
      <c r="W45756" s="503"/>
    </row>
    <row r="45757" spans="23:23">
      <c r="W45757" s="503"/>
    </row>
    <row r="45758" spans="23:23">
      <c r="W45758" s="503"/>
    </row>
    <row r="45759" spans="23:23">
      <c r="W45759" s="503"/>
    </row>
    <row r="45760" spans="23:23">
      <c r="W45760" s="503"/>
    </row>
    <row r="45761" spans="23:23">
      <c r="W45761" s="503"/>
    </row>
    <row r="45762" spans="23:23">
      <c r="W45762" s="503"/>
    </row>
    <row r="45763" spans="23:23">
      <c r="W45763" s="503"/>
    </row>
    <row r="45764" spans="23:23">
      <c r="W45764" s="503"/>
    </row>
    <row r="45765" spans="23:23">
      <c r="W45765" s="503"/>
    </row>
    <row r="45766" spans="23:23">
      <c r="W45766" s="503"/>
    </row>
    <row r="45767" spans="23:23">
      <c r="W45767" s="503"/>
    </row>
    <row r="45768" spans="23:23">
      <c r="W45768" s="503"/>
    </row>
    <row r="45769" spans="23:23">
      <c r="W45769" s="503"/>
    </row>
    <row r="45770" spans="23:23">
      <c r="W45770" s="503"/>
    </row>
    <row r="45771" spans="23:23">
      <c r="W45771" s="503"/>
    </row>
    <row r="45772" spans="23:23">
      <c r="W45772" s="503"/>
    </row>
    <row r="45773" spans="23:23">
      <c r="W45773" s="503"/>
    </row>
    <row r="45774" spans="23:23">
      <c r="W45774" s="503"/>
    </row>
    <row r="45775" spans="23:23">
      <c r="W45775" s="503"/>
    </row>
    <row r="45776" spans="23:23">
      <c r="W45776" s="503"/>
    </row>
    <row r="45777" spans="23:23">
      <c r="W45777" s="503"/>
    </row>
    <row r="45778" spans="23:23">
      <c r="W45778" s="503"/>
    </row>
    <row r="45779" spans="23:23">
      <c r="W45779" s="503"/>
    </row>
    <row r="45780" spans="23:23">
      <c r="W45780" s="503"/>
    </row>
    <row r="45781" spans="23:23">
      <c r="W45781" s="503"/>
    </row>
    <row r="45782" spans="23:23">
      <c r="W45782" s="503"/>
    </row>
    <row r="45783" spans="23:23">
      <c r="W45783" s="503"/>
    </row>
    <row r="45784" spans="23:23">
      <c r="W45784" s="503"/>
    </row>
    <row r="45785" spans="23:23">
      <c r="W45785" s="503"/>
    </row>
    <row r="45786" spans="23:23">
      <c r="W45786" s="503"/>
    </row>
    <row r="45787" spans="23:23">
      <c r="W45787" s="503"/>
    </row>
    <row r="45788" spans="23:23">
      <c r="W45788" s="503"/>
    </row>
    <row r="45789" spans="23:23">
      <c r="W45789" s="503"/>
    </row>
    <row r="45790" spans="23:23">
      <c r="W45790" s="503"/>
    </row>
    <row r="45791" spans="23:23">
      <c r="W45791" s="503"/>
    </row>
    <row r="45792" spans="23:23">
      <c r="W45792" s="503"/>
    </row>
    <row r="45793" spans="23:23">
      <c r="W45793" s="503"/>
    </row>
    <row r="45794" spans="23:23">
      <c r="W45794" s="503"/>
    </row>
    <row r="45795" spans="23:23">
      <c r="W45795" s="503"/>
    </row>
    <row r="45796" spans="23:23">
      <c r="W45796" s="503"/>
    </row>
    <row r="45797" spans="23:23">
      <c r="W45797" s="503"/>
    </row>
    <row r="45798" spans="23:23">
      <c r="W45798" s="503"/>
    </row>
    <row r="45799" spans="23:23">
      <c r="W45799" s="503"/>
    </row>
    <row r="45800" spans="23:23">
      <c r="W45800" s="503"/>
    </row>
    <row r="45801" spans="23:23">
      <c r="W45801" s="503"/>
    </row>
    <row r="45802" spans="23:23">
      <c r="W45802" s="503"/>
    </row>
    <row r="45803" spans="23:23">
      <c r="W45803" s="503"/>
    </row>
    <row r="45804" spans="23:23">
      <c r="W45804" s="503"/>
    </row>
    <row r="45805" spans="23:23">
      <c r="W45805" s="503"/>
    </row>
    <row r="45806" spans="23:23">
      <c r="W45806" s="503"/>
    </row>
    <row r="45807" spans="23:23">
      <c r="W45807" s="503"/>
    </row>
    <row r="45808" spans="23:23">
      <c r="W45808" s="503"/>
    </row>
    <row r="45809" spans="23:23">
      <c r="W45809" s="503"/>
    </row>
    <row r="45810" spans="23:23">
      <c r="W45810" s="503"/>
    </row>
    <row r="45811" spans="23:23">
      <c r="W45811" s="503"/>
    </row>
    <row r="45812" spans="23:23">
      <c r="W45812" s="503"/>
    </row>
    <row r="45813" spans="23:23">
      <c r="W45813" s="503"/>
    </row>
    <row r="45814" spans="23:23">
      <c r="W45814" s="503"/>
    </row>
    <row r="45815" spans="23:23">
      <c r="W45815" s="503"/>
    </row>
    <row r="45816" spans="23:23">
      <c r="W45816" s="503"/>
    </row>
    <row r="45817" spans="23:23">
      <c r="W45817" s="503"/>
    </row>
    <row r="45818" spans="23:23">
      <c r="W45818" s="503"/>
    </row>
    <row r="45819" spans="23:23">
      <c r="W45819" s="503"/>
    </row>
    <row r="45820" spans="23:23">
      <c r="W45820" s="503"/>
    </row>
    <row r="45821" spans="23:23">
      <c r="W45821" s="503"/>
    </row>
    <row r="45822" spans="23:23">
      <c r="W45822" s="503"/>
    </row>
    <row r="45823" spans="23:23">
      <c r="W45823" s="503"/>
    </row>
    <row r="45824" spans="23:23">
      <c r="W45824" s="503"/>
    </row>
    <row r="45825" spans="23:23">
      <c r="W45825" s="503"/>
    </row>
    <row r="45826" spans="23:23">
      <c r="W45826" s="503"/>
    </row>
    <row r="45827" spans="23:23">
      <c r="W45827" s="503"/>
    </row>
    <row r="45828" spans="23:23">
      <c r="W45828" s="503"/>
    </row>
    <row r="45829" spans="23:23">
      <c r="W45829" s="503"/>
    </row>
    <row r="45830" spans="23:23">
      <c r="W45830" s="503"/>
    </row>
    <row r="45831" spans="23:23">
      <c r="W45831" s="503"/>
    </row>
    <row r="45832" spans="23:23">
      <c r="W45832" s="503"/>
    </row>
    <row r="45833" spans="23:23">
      <c r="W45833" s="503"/>
    </row>
    <row r="45834" spans="23:23">
      <c r="W45834" s="503"/>
    </row>
    <row r="45835" spans="23:23">
      <c r="W45835" s="503"/>
    </row>
    <row r="45836" spans="23:23">
      <c r="W45836" s="503"/>
    </row>
    <row r="45837" spans="23:23">
      <c r="W45837" s="503"/>
    </row>
    <row r="45838" spans="23:23">
      <c r="W45838" s="503"/>
    </row>
    <row r="45839" spans="23:23">
      <c r="W45839" s="503"/>
    </row>
    <row r="45840" spans="23:23">
      <c r="W45840" s="503"/>
    </row>
    <row r="45841" spans="23:23">
      <c r="W45841" s="503"/>
    </row>
    <row r="45842" spans="23:23">
      <c r="W45842" s="503"/>
    </row>
    <row r="45843" spans="23:23">
      <c r="W45843" s="503"/>
    </row>
    <row r="45844" spans="23:23">
      <c r="W45844" s="503"/>
    </row>
    <row r="45845" spans="23:23">
      <c r="W45845" s="503"/>
    </row>
    <row r="45846" spans="23:23">
      <c r="W45846" s="503"/>
    </row>
    <row r="45847" spans="23:23">
      <c r="W45847" s="503"/>
    </row>
    <row r="45848" spans="23:23">
      <c r="W45848" s="503"/>
    </row>
    <row r="45849" spans="23:23">
      <c r="W45849" s="503"/>
    </row>
    <row r="45850" spans="23:23">
      <c r="W45850" s="503"/>
    </row>
    <row r="45851" spans="23:23">
      <c r="W45851" s="503"/>
    </row>
    <row r="45852" spans="23:23">
      <c r="W45852" s="503"/>
    </row>
    <row r="45853" spans="23:23">
      <c r="W45853" s="503"/>
    </row>
    <row r="45854" spans="23:23">
      <c r="W45854" s="503"/>
    </row>
    <row r="45855" spans="23:23">
      <c r="W45855" s="503"/>
    </row>
    <row r="45856" spans="23:23">
      <c r="W45856" s="503"/>
    </row>
    <row r="45857" spans="23:23">
      <c r="W45857" s="503"/>
    </row>
    <row r="45858" spans="23:23">
      <c r="W45858" s="503"/>
    </row>
    <row r="45859" spans="23:23">
      <c r="W45859" s="503"/>
    </row>
    <row r="45860" spans="23:23">
      <c r="W45860" s="503"/>
    </row>
    <row r="45861" spans="23:23">
      <c r="W45861" s="503"/>
    </row>
    <row r="45862" spans="23:23">
      <c r="W45862" s="503"/>
    </row>
    <row r="45863" spans="23:23">
      <c r="W45863" s="503"/>
    </row>
    <row r="45864" spans="23:23">
      <c r="W45864" s="503"/>
    </row>
    <row r="45865" spans="23:23">
      <c r="W45865" s="503"/>
    </row>
    <row r="45866" spans="23:23">
      <c r="W45866" s="503"/>
    </row>
    <row r="45867" spans="23:23">
      <c r="W45867" s="503"/>
    </row>
    <row r="45868" spans="23:23">
      <c r="W45868" s="503"/>
    </row>
    <row r="45869" spans="23:23">
      <c r="W45869" s="503"/>
    </row>
    <row r="45870" spans="23:23">
      <c r="W45870" s="503"/>
    </row>
    <row r="45871" spans="23:23">
      <c r="W45871" s="503"/>
    </row>
    <row r="45872" spans="23:23">
      <c r="W45872" s="503"/>
    </row>
    <row r="45873" spans="23:23">
      <c r="W45873" s="503"/>
    </row>
    <row r="45874" spans="23:23">
      <c r="W45874" s="503"/>
    </row>
    <row r="45875" spans="23:23">
      <c r="W45875" s="503"/>
    </row>
    <row r="45876" spans="23:23">
      <c r="W45876" s="503"/>
    </row>
    <row r="45877" spans="23:23">
      <c r="W45877" s="503"/>
    </row>
    <row r="45878" spans="23:23">
      <c r="W45878" s="503"/>
    </row>
    <row r="45879" spans="23:23">
      <c r="W45879" s="503"/>
    </row>
    <row r="45880" spans="23:23">
      <c r="W45880" s="503"/>
    </row>
    <row r="45881" spans="23:23">
      <c r="W45881" s="503"/>
    </row>
    <row r="45882" spans="23:23">
      <c r="W45882" s="503"/>
    </row>
    <row r="45883" spans="23:23">
      <c r="W45883" s="503"/>
    </row>
    <row r="45884" spans="23:23">
      <c r="W45884" s="503"/>
    </row>
    <row r="45885" spans="23:23">
      <c r="W45885" s="503"/>
    </row>
    <row r="45886" spans="23:23">
      <c r="W45886" s="503"/>
    </row>
    <row r="45887" spans="23:23">
      <c r="W45887" s="503"/>
    </row>
    <row r="45888" spans="23:23">
      <c r="W45888" s="503"/>
    </row>
    <row r="45889" spans="23:23">
      <c r="W45889" s="503"/>
    </row>
    <row r="45890" spans="23:23">
      <c r="W45890" s="503"/>
    </row>
    <row r="45891" spans="23:23">
      <c r="W45891" s="503"/>
    </row>
    <row r="45892" spans="23:23">
      <c r="W45892" s="503"/>
    </row>
    <row r="45893" spans="23:23">
      <c r="W45893" s="503"/>
    </row>
    <row r="45894" spans="23:23">
      <c r="W45894" s="503"/>
    </row>
    <row r="45895" spans="23:23">
      <c r="W45895" s="503"/>
    </row>
    <row r="45896" spans="23:23">
      <c r="W45896" s="503"/>
    </row>
    <row r="45897" spans="23:23">
      <c r="W45897" s="503"/>
    </row>
    <row r="45898" spans="23:23">
      <c r="W45898" s="503"/>
    </row>
    <row r="45899" spans="23:23">
      <c r="W45899" s="503"/>
    </row>
    <row r="45900" spans="23:23">
      <c r="W45900" s="503"/>
    </row>
    <row r="45901" spans="23:23">
      <c r="W45901" s="503"/>
    </row>
    <row r="45902" spans="23:23">
      <c r="W45902" s="503"/>
    </row>
    <row r="45903" spans="23:23">
      <c r="W45903" s="503"/>
    </row>
    <row r="45904" spans="23:23">
      <c r="W45904" s="503"/>
    </row>
    <row r="45905" spans="23:23">
      <c r="W45905" s="503"/>
    </row>
    <row r="45906" spans="23:23">
      <c r="W45906" s="503"/>
    </row>
    <row r="45907" spans="23:23">
      <c r="W45907" s="503"/>
    </row>
    <row r="45908" spans="23:23">
      <c r="W45908" s="503"/>
    </row>
    <row r="45909" spans="23:23">
      <c r="W45909" s="503"/>
    </row>
    <row r="45910" spans="23:23">
      <c r="W45910" s="503"/>
    </row>
    <row r="45911" spans="23:23">
      <c r="W45911" s="503"/>
    </row>
    <row r="45912" spans="23:23">
      <c r="W45912" s="503"/>
    </row>
    <row r="45913" spans="23:23">
      <c r="W45913" s="503"/>
    </row>
    <row r="45914" spans="23:23">
      <c r="W45914" s="503"/>
    </row>
    <row r="45915" spans="23:23">
      <c r="W45915" s="503"/>
    </row>
    <row r="45916" spans="23:23">
      <c r="W45916" s="503"/>
    </row>
    <row r="45917" spans="23:23">
      <c r="W45917" s="503"/>
    </row>
    <row r="45918" spans="23:23">
      <c r="W45918" s="503"/>
    </row>
    <row r="45919" spans="23:23">
      <c r="W45919" s="503"/>
    </row>
    <row r="45920" spans="23:23">
      <c r="W45920" s="503"/>
    </row>
    <row r="45921" spans="23:23">
      <c r="W45921" s="503"/>
    </row>
    <row r="45922" spans="23:23">
      <c r="W45922" s="503"/>
    </row>
    <row r="45923" spans="23:23">
      <c r="W45923" s="503"/>
    </row>
    <row r="45924" spans="23:23">
      <c r="W45924" s="503"/>
    </row>
    <row r="45925" spans="23:23">
      <c r="W45925" s="503"/>
    </row>
    <row r="45926" spans="23:23">
      <c r="W45926" s="503"/>
    </row>
    <row r="45927" spans="23:23">
      <c r="W45927" s="503"/>
    </row>
    <row r="45928" spans="23:23">
      <c r="W45928" s="503"/>
    </row>
    <row r="45929" spans="23:23">
      <c r="W45929" s="503"/>
    </row>
    <row r="45930" spans="23:23">
      <c r="W45930" s="503"/>
    </row>
    <row r="45931" spans="23:23">
      <c r="W45931" s="503"/>
    </row>
    <row r="45932" spans="23:23">
      <c r="W45932" s="503"/>
    </row>
    <row r="45933" spans="23:23">
      <c r="W45933" s="503"/>
    </row>
    <row r="45934" spans="23:23">
      <c r="W45934" s="503"/>
    </row>
    <row r="45935" spans="23:23">
      <c r="W45935" s="503"/>
    </row>
    <row r="45936" spans="23:23">
      <c r="W45936" s="503"/>
    </row>
    <row r="45937" spans="23:23">
      <c r="W45937" s="503"/>
    </row>
    <row r="45938" spans="23:23">
      <c r="W45938" s="503"/>
    </row>
    <row r="45939" spans="23:23">
      <c r="W45939" s="503"/>
    </row>
    <row r="45940" spans="23:23">
      <c r="W45940" s="503"/>
    </row>
    <row r="45941" spans="23:23">
      <c r="W45941" s="503"/>
    </row>
    <row r="45942" spans="23:23">
      <c r="W45942" s="503"/>
    </row>
    <row r="45943" spans="23:23">
      <c r="W45943" s="503"/>
    </row>
    <row r="45944" spans="23:23">
      <c r="W45944" s="503"/>
    </row>
    <row r="45945" spans="23:23">
      <c r="W45945" s="503"/>
    </row>
    <row r="45946" spans="23:23">
      <c r="W45946" s="503"/>
    </row>
    <row r="45947" spans="23:23">
      <c r="W45947" s="503"/>
    </row>
    <row r="45948" spans="23:23">
      <c r="W45948" s="503"/>
    </row>
    <row r="45949" spans="23:23">
      <c r="W45949" s="503"/>
    </row>
    <row r="45950" spans="23:23">
      <c r="W45950" s="503"/>
    </row>
    <row r="45951" spans="23:23">
      <c r="W45951" s="503"/>
    </row>
    <row r="45952" spans="23:23">
      <c r="W45952" s="503"/>
    </row>
    <row r="45953" spans="23:23">
      <c r="W45953" s="503"/>
    </row>
    <row r="45954" spans="23:23">
      <c r="W45954" s="503"/>
    </row>
    <row r="45955" spans="23:23">
      <c r="W45955" s="503"/>
    </row>
    <row r="45956" spans="23:23">
      <c r="W45956" s="503"/>
    </row>
    <row r="45957" spans="23:23">
      <c r="W45957" s="503"/>
    </row>
    <row r="45958" spans="23:23">
      <c r="W45958" s="503"/>
    </row>
    <row r="45959" spans="23:23">
      <c r="W45959" s="503"/>
    </row>
    <row r="45960" spans="23:23">
      <c r="W45960" s="503"/>
    </row>
    <row r="45961" spans="23:23">
      <c r="W45961" s="503"/>
    </row>
    <row r="45962" spans="23:23">
      <c r="W45962" s="503"/>
    </row>
    <row r="45963" spans="23:23">
      <c r="W45963" s="503"/>
    </row>
    <row r="45964" spans="23:23">
      <c r="W45964" s="503"/>
    </row>
    <row r="45965" spans="23:23">
      <c r="W45965" s="503"/>
    </row>
    <row r="45966" spans="23:23">
      <c r="W45966" s="503"/>
    </row>
    <row r="45967" spans="23:23">
      <c r="W45967" s="503"/>
    </row>
    <row r="45968" spans="23:23">
      <c r="W45968" s="503"/>
    </row>
    <row r="45969" spans="23:23">
      <c r="W45969" s="503"/>
    </row>
    <row r="45970" spans="23:23">
      <c r="W45970" s="503"/>
    </row>
    <row r="45971" spans="23:23">
      <c r="W45971" s="503"/>
    </row>
    <row r="45972" spans="23:23">
      <c r="W45972" s="503"/>
    </row>
    <row r="45973" spans="23:23">
      <c r="W45973" s="503"/>
    </row>
    <row r="45974" spans="23:23">
      <c r="W45974" s="503"/>
    </row>
    <row r="45975" spans="23:23">
      <c r="W45975" s="503"/>
    </row>
    <row r="45976" spans="23:23">
      <c r="W45976" s="503"/>
    </row>
    <row r="45977" spans="23:23">
      <c r="W45977" s="503"/>
    </row>
    <row r="45978" spans="23:23">
      <c r="W45978" s="503"/>
    </row>
    <row r="45979" spans="23:23">
      <c r="W45979" s="503"/>
    </row>
    <row r="45980" spans="23:23">
      <c r="W45980" s="503"/>
    </row>
    <row r="45981" spans="23:23">
      <c r="W45981" s="503"/>
    </row>
    <row r="45982" spans="23:23">
      <c r="W45982" s="503"/>
    </row>
    <row r="45983" spans="23:23">
      <c r="W45983" s="503"/>
    </row>
    <row r="45984" spans="23:23">
      <c r="W45984" s="503"/>
    </row>
    <row r="45985" spans="23:23">
      <c r="W45985" s="503"/>
    </row>
    <row r="45986" spans="23:23">
      <c r="W45986" s="503"/>
    </row>
    <row r="45987" spans="23:23">
      <c r="W45987" s="503"/>
    </row>
    <row r="45988" spans="23:23">
      <c r="W45988" s="503"/>
    </row>
    <row r="45989" spans="23:23">
      <c r="W45989" s="503"/>
    </row>
    <row r="45990" spans="23:23">
      <c r="W45990" s="503"/>
    </row>
    <row r="45991" spans="23:23">
      <c r="W45991" s="503"/>
    </row>
    <row r="45992" spans="23:23">
      <c r="W45992" s="503"/>
    </row>
    <row r="45993" spans="23:23">
      <c r="W45993" s="503"/>
    </row>
    <row r="45994" spans="23:23">
      <c r="W45994" s="503"/>
    </row>
    <row r="45995" spans="23:23">
      <c r="W45995" s="503"/>
    </row>
    <row r="45996" spans="23:23">
      <c r="W45996" s="503"/>
    </row>
    <row r="45997" spans="23:23">
      <c r="W45997" s="503"/>
    </row>
    <row r="45998" spans="23:23">
      <c r="W45998" s="503"/>
    </row>
    <row r="45999" spans="23:23">
      <c r="W45999" s="503"/>
    </row>
    <row r="46000" spans="23:23">
      <c r="W46000" s="503"/>
    </row>
    <row r="46001" spans="23:23">
      <c r="W46001" s="503"/>
    </row>
    <row r="46002" spans="23:23">
      <c r="W46002" s="503"/>
    </row>
    <row r="46003" spans="23:23">
      <c r="W46003" s="503"/>
    </row>
    <row r="46004" spans="23:23">
      <c r="W46004" s="503"/>
    </row>
    <row r="46005" spans="23:23">
      <c r="W46005" s="503"/>
    </row>
    <row r="46006" spans="23:23">
      <c r="W46006" s="503"/>
    </row>
    <row r="46007" spans="23:23">
      <c r="W46007" s="503"/>
    </row>
    <row r="46008" spans="23:23">
      <c r="W46008" s="503"/>
    </row>
    <row r="46009" spans="23:23">
      <c r="W46009" s="503"/>
    </row>
    <row r="46010" spans="23:23">
      <c r="W46010" s="503"/>
    </row>
    <row r="46011" spans="23:23">
      <c r="W46011" s="503"/>
    </row>
    <row r="46012" spans="23:23">
      <c r="W46012" s="503"/>
    </row>
    <row r="46013" spans="23:23">
      <c r="W46013" s="503"/>
    </row>
    <row r="46014" spans="23:23">
      <c r="W46014" s="503"/>
    </row>
    <row r="46015" spans="23:23">
      <c r="W46015" s="503"/>
    </row>
    <row r="46016" spans="23:23">
      <c r="W46016" s="503"/>
    </row>
    <row r="46017" spans="23:23">
      <c r="W46017" s="503"/>
    </row>
    <row r="46018" spans="23:23">
      <c r="W46018" s="503"/>
    </row>
    <row r="46019" spans="23:23">
      <c r="W46019" s="503"/>
    </row>
    <row r="46020" spans="23:23">
      <c r="W46020" s="503"/>
    </row>
    <row r="46021" spans="23:23">
      <c r="W46021" s="503"/>
    </row>
    <row r="46022" spans="23:23">
      <c r="W46022" s="503"/>
    </row>
    <row r="46023" spans="23:23">
      <c r="W46023" s="503"/>
    </row>
    <row r="46024" spans="23:23">
      <c r="W46024" s="503"/>
    </row>
    <row r="46025" spans="23:23">
      <c r="W46025" s="503"/>
    </row>
    <row r="46026" spans="23:23">
      <c r="W46026" s="503"/>
    </row>
    <row r="46027" spans="23:23">
      <c r="W46027" s="503"/>
    </row>
    <row r="46028" spans="23:23">
      <c r="W46028" s="503"/>
    </row>
    <row r="46029" spans="23:23">
      <c r="W46029" s="503"/>
    </row>
    <row r="46030" spans="23:23">
      <c r="W46030" s="503"/>
    </row>
    <row r="46031" spans="23:23">
      <c r="W46031" s="503"/>
    </row>
    <row r="46032" spans="23:23">
      <c r="W46032" s="503"/>
    </row>
    <row r="46033" spans="23:23">
      <c r="W46033" s="503"/>
    </row>
    <row r="46034" spans="23:23">
      <c r="W46034" s="503"/>
    </row>
    <row r="46035" spans="23:23">
      <c r="W46035" s="503"/>
    </row>
    <row r="46036" spans="23:23">
      <c r="W46036" s="503"/>
    </row>
    <row r="46037" spans="23:23">
      <c r="W46037" s="503"/>
    </row>
    <row r="46038" spans="23:23">
      <c r="W46038" s="503"/>
    </row>
    <row r="46039" spans="23:23">
      <c r="W46039" s="503"/>
    </row>
    <row r="46040" spans="23:23">
      <c r="W46040" s="503"/>
    </row>
    <row r="46041" spans="23:23">
      <c r="W46041" s="503"/>
    </row>
    <row r="46042" spans="23:23">
      <c r="W46042" s="503"/>
    </row>
    <row r="46043" spans="23:23">
      <c r="W46043" s="503"/>
    </row>
    <row r="46044" spans="23:23">
      <c r="W46044" s="503"/>
    </row>
    <row r="46045" spans="23:23">
      <c r="W46045" s="503"/>
    </row>
    <row r="46046" spans="23:23">
      <c r="W46046" s="503"/>
    </row>
    <row r="46047" spans="23:23">
      <c r="W46047" s="503"/>
    </row>
    <row r="46048" spans="23:23">
      <c r="W46048" s="503"/>
    </row>
    <row r="46049" spans="23:23">
      <c r="W46049" s="503"/>
    </row>
    <row r="46050" spans="23:23">
      <c r="W46050" s="503"/>
    </row>
    <row r="46051" spans="23:23">
      <c r="W46051" s="503"/>
    </row>
    <row r="46052" spans="23:23">
      <c r="W46052" s="503"/>
    </row>
    <row r="46053" spans="23:23">
      <c r="W46053" s="503"/>
    </row>
    <row r="46054" spans="23:23">
      <c r="W46054" s="503"/>
    </row>
    <row r="46055" spans="23:23">
      <c r="W46055" s="503"/>
    </row>
    <row r="46056" spans="23:23">
      <c r="W46056" s="503"/>
    </row>
    <row r="46057" spans="23:23">
      <c r="W46057" s="503"/>
    </row>
    <row r="46058" spans="23:23">
      <c r="W46058" s="503"/>
    </row>
    <row r="46059" spans="23:23">
      <c r="W46059" s="503"/>
    </row>
    <row r="46060" spans="23:23">
      <c r="W46060" s="503"/>
    </row>
    <row r="46061" spans="23:23">
      <c r="W46061" s="503"/>
    </row>
    <row r="46062" spans="23:23">
      <c r="W46062" s="503"/>
    </row>
    <row r="46063" spans="23:23">
      <c r="W46063" s="503"/>
    </row>
    <row r="46064" spans="23:23">
      <c r="W46064" s="503"/>
    </row>
    <row r="46065" spans="23:23">
      <c r="W46065" s="503"/>
    </row>
    <row r="46066" spans="23:23">
      <c r="W46066" s="503"/>
    </row>
    <row r="46067" spans="23:23">
      <c r="W46067" s="503"/>
    </row>
    <row r="46068" spans="23:23">
      <c r="W46068" s="503"/>
    </row>
    <row r="46069" spans="23:23">
      <c r="W46069" s="503"/>
    </row>
    <row r="46070" spans="23:23">
      <c r="W46070" s="503"/>
    </row>
    <row r="46071" spans="23:23">
      <c r="W46071" s="503"/>
    </row>
    <row r="46072" spans="23:23">
      <c r="W46072" s="503"/>
    </row>
    <row r="46073" spans="23:23">
      <c r="W46073" s="503"/>
    </row>
    <row r="46074" spans="23:23">
      <c r="W46074" s="503"/>
    </row>
    <row r="46075" spans="23:23">
      <c r="W46075" s="503"/>
    </row>
    <row r="46076" spans="23:23">
      <c r="W46076" s="503"/>
    </row>
    <row r="46077" spans="23:23">
      <c r="W46077" s="503"/>
    </row>
    <row r="46078" spans="23:23">
      <c r="W46078" s="503"/>
    </row>
    <row r="46079" spans="23:23">
      <c r="W46079" s="503"/>
    </row>
    <row r="46080" spans="23:23">
      <c r="W46080" s="503"/>
    </row>
    <row r="46081" spans="23:23">
      <c r="W46081" s="503"/>
    </row>
    <row r="46082" spans="23:23">
      <c r="W46082" s="503"/>
    </row>
    <row r="46083" spans="23:23">
      <c r="W46083" s="503"/>
    </row>
    <row r="46084" spans="23:23">
      <c r="W46084" s="503"/>
    </row>
    <row r="46085" spans="23:23">
      <c r="W46085" s="503"/>
    </row>
    <row r="46086" spans="23:23">
      <c r="W46086" s="503"/>
    </row>
    <row r="46087" spans="23:23">
      <c r="W46087" s="503"/>
    </row>
    <row r="46088" spans="23:23">
      <c r="W46088" s="503"/>
    </row>
    <row r="46089" spans="23:23">
      <c r="W46089" s="503"/>
    </row>
    <row r="46090" spans="23:23">
      <c r="W46090" s="503"/>
    </row>
    <row r="46091" spans="23:23">
      <c r="W46091" s="503"/>
    </row>
    <row r="46092" spans="23:23">
      <c r="W46092" s="503"/>
    </row>
    <row r="46093" spans="23:23">
      <c r="W46093" s="503"/>
    </row>
    <row r="46094" spans="23:23">
      <c r="W46094" s="503"/>
    </row>
    <row r="46095" spans="23:23">
      <c r="W46095" s="503"/>
    </row>
    <row r="46096" spans="23:23">
      <c r="W46096" s="503"/>
    </row>
    <row r="46097" spans="23:23">
      <c r="W46097" s="503"/>
    </row>
    <row r="46098" spans="23:23">
      <c r="W46098" s="503"/>
    </row>
    <row r="46099" spans="23:23">
      <c r="W46099" s="503"/>
    </row>
    <row r="46100" spans="23:23">
      <c r="W46100" s="503"/>
    </row>
    <row r="46101" spans="23:23">
      <c r="W46101" s="503"/>
    </row>
    <row r="46102" spans="23:23">
      <c r="W46102" s="503"/>
    </row>
    <row r="46103" spans="23:23">
      <c r="W46103" s="503"/>
    </row>
    <row r="46104" spans="23:23">
      <c r="W46104" s="503"/>
    </row>
    <row r="46105" spans="23:23">
      <c r="W46105" s="503"/>
    </row>
    <row r="46106" spans="23:23">
      <c r="W46106" s="503"/>
    </row>
    <row r="46107" spans="23:23">
      <c r="W46107" s="503"/>
    </row>
    <row r="46108" spans="23:23">
      <c r="W46108" s="503"/>
    </row>
    <row r="46109" spans="23:23">
      <c r="W46109" s="503"/>
    </row>
    <row r="46110" spans="23:23">
      <c r="W46110" s="503"/>
    </row>
    <row r="46111" spans="23:23">
      <c r="W46111" s="503"/>
    </row>
    <row r="46112" spans="23:23">
      <c r="W46112" s="503"/>
    </row>
    <row r="46113" spans="23:23">
      <c r="W46113" s="503"/>
    </row>
    <row r="46114" spans="23:23">
      <c r="W46114" s="503"/>
    </row>
    <row r="46115" spans="23:23">
      <c r="W46115" s="503"/>
    </row>
    <row r="46116" spans="23:23">
      <c r="W46116" s="503"/>
    </row>
    <row r="46117" spans="23:23">
      <c r="W46117" s="503"/>
    </row>
    <row r="46118" spans="23:23">
      <c r="W46118" s="503"/>
    </row>
    <row r="46119" spans="23:23">
      <c r="W46119" s="503"/>
    </row>
    <row r="46120" spans="23:23">
      <c r="W46120" s="503"/>
    </row>
    <row r="46121" spans="23:23">
      <c r="W46121" s="503"/>
    </row>
    <row r="46122" spans="23:23">
      <c r="W46122" s="503"/>
    </row>
    <row r="46123" spans="23:23">
      <c r="W46123" s="503"/>
    </row>
    <row r="46124" spans="23:23">
      <c r="W46124" s="503"/>
    </row>
    <row r="46125" spans="23:23">
      <c r="W46125" s="503"/>
    </row>
    <row r="46126" spans="23:23">
      <c r="W46126" s="503"/>
    </row>
    <row r="46127" spans="23:23">
      <c r="W46127" s="503"/>
    </row>
    <row r="46128" spans="23:23">
      <c r="W46128" s="503"/>
    </row>
    <row r="46129" spans="23:23">
      <c r="W46129" s="503"/>
    </row>
    <row r="46130" spans="23:23">
      <c r="W46130" s="503"/>
    </row>
    <row r="46131" spans="23:23">
      <c r="W46131" s="503"/>
    </row>
    <row r="46132" spans="23:23">
      <c r="W46132" s="503"/>
    </row>
    <row r="46133" spans="23:23">
      <c r="W46133" s="503"/>
    </row>
    <row r="46134" spans="23:23">
      <c r="W46134" s="503"/>
    </row>
    <row r="46135" spans="23:23">
      <c r="W46135" s="503"/>
    </row>
    <row r="46136" spans="23:23">
      <c r="W46136" s="503"/>
    </row>
    <row r="46137" spans="23:23">
      <c r="W46137" s="503"/>
    </row>
    <row r="46138" spans="23:23">
      <c r="W46138" s="503"/>
    </row>
    <row r="46139" spans="23:23">
      <c r="W46139" s="503"/>
    </row>
    <row r="46140" spans="23:23">
      <c r="W46140" s="503"/>
    </row>
    <row r="46141" spans="23:23">
      <c r="W46141" s="503"/>
    </row>
    <row r="46142" spans="23:23">
      <c r="W46142" s="503"/>
    </row>
    <row r="46143" spans="23:23">
      <c r="W46143" s="503"/>
    </row>
    <row r="46144" spans="23:23">
      <c r="W46144" s="503"/>
    </row>
    <row r="46145" spans="23:23">
      <c r="W46145" s="503"/>
    </row>
    <row r="46146" spans="23:23">
      <c r="W46146" s="503"/>
    </row>
    <row r="46147" spans="23:23">
      <c r="W46147" s="503"/>
    </row>
    <row r="46148" spans="23:23">
      <c r="W46148" s="503"/>
    </row>
    <row r="46149" spans="23:23">
      <c r="W46149" s="503"/>
    </row>
    <row r="46150" spans="23:23">
      <c r="W46150" s="503"/>
    </row>
    <row r="46151" spans="23:23">
      <c r="W46151" s="503"/>
    </row>
    <row r="46152" spans="23:23">
      <c r="W46152" s="503"/>
    </row>
    <row r="46153" spans="23:23">
      <c r="W46153" s="503"/>
    </row>
    <row r="46154" spans="23:23">
      <c r="W46154" s="503"/>
    </row>
    <row r="46155" spans="23:23">
      <c r="W46155" s="503"/>
    </row>
    <row r="46156" spans="23:23">
      <c r="W46156" s="503"/>
    </row>
    <row r="46157" spans="23:23">
      <c r="W46157" s="503"/>
    </row>
    <row r="46158" spans="23:23">
      <c r="W46158" s="503"/>
    </row>
    <row r="46159" spans="23:23">
      <c r="W46159" s="503"/>
    </row>
    <row r="46160" spans="23:23">
      <c r="W46160" s="503"/>
    </row>
    <row r="46161" spans="23:23">
      <c r="W46161" s="503"/>
    </row>
    <row r="46162" spans="23:23">
      <c r="W46162" s="503"/>
    </row>
    <row r="46163" spans="23:23">
      <c r="W46163" s="503"/>
    </row>
    <row r="46164" spans="23:23">
      <c r="W46164" s="503"/>
    </row>
    <row r="46165" spans="23:23">
      <c r="W46165" s="503"/>
    </row>
    <row r="46166" spans="23:23">
      <c r="W46166" s="503"/>
    </row>
    <row r="46167" spans="23:23">
      <c r="W46167" s="503"/>
    </row>
    <row r="46168" spans="23:23">
      <c r="W46168" s="503"/>
    </row>
    <row r="46169" spans="23:23">
      <c r="W46169" s="503"/>
    </row>
    <row r="46170" spans="23:23">
      <c r="W46170" s="503"/>
    </row>
    <row r="46171" spans="23:23">
      <c r="W46171" s="503"/>
    </row>
    <row r="46172" spans="23:23">
      <c r="W46172" s="503"/>
    </row>
    <row r="46173" spans="23:23">
      <c r="W46173" s="503"/>
    </row>
    <row r="46174" spans="23:23">
      <c r="W46174" s="503"/>
    </row>
    <row r="46175" spans="23:23">
      <c r="W46175" s="503"/>
    </row>
    <row r="46176" spans="23:23">
      <c r="W46176" s="503"/>
    </row>
    <row r="46177" spans="23:23">
      <c r="W46177" s="503"/>
    </row>
    <row r="46178" spans="23:23">
      <c r="W46178" s="503"/>
    </row>
    <row r="46179" spans="23:23">
      <c r="W46179" s="503"/>
    </row>
    <row r="46180" spans="23:23">
      <c r="W46180" s="503"/>
    </row>
    <row r="46181" spans="23:23">
      <c r="W46181" s="503"/>
    </row>
    <row r="46182" spans="23:23">
      <c r="W46182" s="503"/>
    </row>
    <row r="46183" spans="23:23">
      <c r="W46183" s="503"/>
    </row>
    <row r="46184" spans="23:23">
      <c r="W46184" s="503"/>
    </row>
    <row r="46185" spans="23:23">
      <c r="W46185" s="503"/>
    </row>
    <row r="46186" spans="23:23">
      <c r="W46186" s="503"/>
    </row>
    <row r="46187" spans="23:23">
      <c r="W46187" s="503"/>
    </row>
    <row r="46188" spans="23:23">
      <c r="W46188" s="503"/>
    </row>
    <row r="46189" spans="23:23">
      <c r="W46189" s="503"/>
    </row>
    <row r="46190" spans="23:23">
      <c r="W46190" s="503"/>
    </row>
    <row r="46191" spans="23:23">
      <c r="W46191" s="503"/>
    </row>
    <row r="46192" spans="23:23">
      <c r="W46192" s="503"/>
    </row>
    <row r="46193" spans="23:23">
      <c r="W46193" s="503"/>
    </row>
    <row r="46194" spans="23:23">
      <c r="W46194" s="503"/>
    </row>
    <row r="46195" spans="23:23">
      <c r="W46195" s="503"/>
    </row>
    <row r="46196" spans="23:23">
      <c r="W46196" s="503"/>
    </row>
    <row r="46197" spans="23:23">
      <c r="W46197" s="503"/>
    </row>
    <row r="46198" spans="23:23">
      <c r="W46198" s="503"/>
    </row>
    <row r="46199" spans="23:23">
      <c r="W46199" s="503"/>
    </row>
    <row r="46200" spans="23:23">
      <c r="W46200" s="503"/>
    </row>
    <row r="46201" spans="23:23">
      <c r="W46201" s="503"/>
    </row>
    <row r="46202" spans="23:23">
      <c r="W46202" s="503"/>
    </row>
    <row r="46203" spans="23:23">
      <c r="W46203" s="503"/>
    </row>
    <row r="46204" spans="23:23">
      <c r="W46204" s="503"/>
    </row>
    <row r="46205" spans="23:23">
      <c r="W46205" s="503"/>
    </row>
    <row r="46206" spans="23:23">
      <c r="W46206" s="503"/>
    </row>
    <row r="46207" spans="23:23">
      <c r="W46207" s="503"/>
    </row>
    <row r="46208" spans="23:23">
      <c r="W46208" s="503"/>
    </row>
    <row r="46209" spans="23:23">
      <c r="W46209" s="503"/>
    </row>
    <row r="46210" spans="23:23">
      <c r="W46210" s="503"/>
    </row>
    <row r="46211" spans="23:23">
      <c r="W46211" s="503"/>
    </row>
    <row r="46212" spans="23:23">
      <c r="W46212" s="503"/>
    </row>
    <row r="46213" spans="23:23">
      <c r="W46213" s="503"/>
    </row>
    <row r="46214" spans="23:23">
      <c r="W46214" s="503"/>
    </row>
    <row r="46215" spans="23:23">
      <c r="W46215" s="503"/>
    </row>
    <row r="46216" spans="23:23">
      <c r="W46216" s="503"/>
    </row>
    <row r="46217" spans="23:23">
      <c r="W46217" s="503"/>
    </row>
    <row r="46218" spans="23:23">
      <c r="W46218" s="503"/>
    </row>
    <row r="46219" spans="23:23">
      <c r="W46219" s="503"/>
    </row>
    <row r="46220" spans="23:23">
      <c r="W46220" s="503"/>
    </row>
    <row r="46221" spans="23:23">
      <c r="W46221" s="503"/>
    </row>
    <row r="46222" spans="23:23">
      <c r="W46222" s="503"/>
    </row>
    <row r="46223" spans="23:23">
      <c r="W46223" s="503"/>
    </row>
    <row r="46224" spans="23:23">
      <c r="W46224" s="503"/>
    </row>
    <row r="46225" spans="23:23">
      <c r="W46225" s="503"/>
    </row>
    <row r="46226" spans="23:23">
      <c r="W46226" s="503"/>
    </row>
    <row r="46227" spans="23:23">
      <c r="W46227" s="503"/>
    </row>
    <row r="46228" spans="23:23">
      <c r="W46228" s="503"/>
    </row>
    <row r="46229" spans="23:23">
      <c r="W46229" s="503"/>
    </row>
    <row r="46230" spans="23:23">
      <c r="W46230" s="503"/>
    </row>
    <row r="46231" spans="23:23">
      <c r="W46231" s="503"/>
    </row>
    <row r="46232" spans="23:23">
      <c r="W46232" s="503"/>
    </row>
    <row r="46233" spans="23:23">
      <c r="W46233" s="503"/>
    </row>
    <row r="46234" spans="23:23">
      <c r="W46234" s="503"/>
    </row>
    <row r="46235" spans="23:23">
      <c r="W46235" s="503"/>
    </row>
    <row r="46236" spans="23:23">
      <c r="W46236" s="503"/>
    </row>
    <row r="46237" spans="23:23">
      <c r="W46237" s="503"/>
    </row>
    <row r="46238" spans="23:23">
      <c r="W46238" s="503"/>
    </row>
    <row r="46239" spans="23:23">
      <c r="W46239" s="503"/>
    </row>
    <row r="46240" spans="23:23">
      <c r="W46240" s="503"/>
    </row>
    <row r="46241" spans="23:23">
      <c r="W46241" s="503"/>
    </row>
    <row r="46242" spans="23:23">
      <c r="W46242" s="503"/>
    </row>
    <row r="46243" spans="23:23">
      <c r="W46243" s="503"/>
    </row>
    <row r="46244" spans="23:23">
      <c r="W46244" s="503"/>
    </row>
    <row r="46245" spans="23:23">
      <c r="W46245" s="503"/>
    </row>
    <row r="46246" spans="23:23">
      <c r="W46246" s="503"/>
    </row>
    <row r="46247" spans="23:23">
      <c r="W46247" s="503"/>
    </row>
    <row r="46248" spans="23:23">
      <c r="W46248" s="503"/>
    </row>
    <row r="46249" spans="23:23">
      <c r="W46249" s="503"/>
    </row>
    <row r="46250" spans="23:23">
      <c r="W46250" s="503"/>
    </row>
    <row r="46251" spans="23:23">
      <c r="W46251" s="503"/>
    </row>
    <row r="46252" spans="23:23">
      <c r="W46252" s="503"/>
    </row>
    <row r="46253" spans="23:23">
      <c r="W46253" s="503"/>
    </row>
    <row r="46254" spans="23:23">
      <c r="W46254" s="503"/>
    </row>
    <row r="46255" spans="23:23">
      <c r="W46255" s="503"/>
    </row>
    <row r="46256" spans="23:23">
      <c r="W46256" s="503"/>
    </row>
    <row r="46257" spans="23:23">
      <c r="W46257" s="503"/>
    </row>
    <row r="46258" spans="23:23">
      <c r="W46258" s="503"/>
    </row>
    <row r="46259" spans="23:23">
      <c r="W46259" s="503"/>
    </row>
    <row r="46260" spans="23:23">
      <c r="W46260" s="503"/>
    </row>
    <row r="46261" spans="23:23">
      <c r="W46261" s="503"/>
    </row>
    <row r="46262" spans="23:23">
      <c r="W46262" s="503"/>
    </row>
    <row r="46263" spans="23:23">
      <c r="W46263" s="503"/>
    </row>
    <row r="46264" spans="23:23">
      <c r="W46264" s="503"/>
    </row>
    <row r="46265" spans="23:23">
      <c r="W46265" s="503"/>
    </row>
    <row r="46266" spans="23:23">
      <c r="W46266" s="503"/>
    </row>
    <row r="46267" spans="23:23">
      <c r="W46267" s="503"/>
    </row>
    <row r="46268" spans="23:23">
      <c r="W46268" s="503"/>
    </row>
    <row r="46269" spans="23:23">
      <c r="W46269" s="503"/>
    </row>
    <row r="46270" spans="23:23">
      <c r="W46270" s="503"/>
    </row>
    <row r="46271" spans="23:23">
      <c r="W46271" s="503"/>
    </row>
    <row r="46272" spans="23:23">
      <c r="W46272" s="503"/>
    </row>
    <row r="46273" spans="23:23">
      <c r="W46273" s="503"/>
    </row>
    <row r="46274" spans="23:23">
      <c r="W46274" s="503"/>
    </row>
    <row r="46275" spans="23:23">
      <c r="W46275" s="503"/>
    </row>
    <row r="46276" spans="23:23">
      <c r="W46276" s="503"/>
    </row>
    <row r="46277" spans="23:23">
      <c r="W46277" s="503"/>
    </row>
    <row r="46278" spans="23:23">
      <c r="W46278" s="503"/>
    </row>
    <row r="46279" spans="23:23">
      <c r="W46279" s="503"/>
    </row>
    <row r="46280" spans="23:23">
      <c r="W46280" s="503"/>
    </row>
    <row r="46281" spans="23:23">
      <c r="W46281" s="503"/>
    </row>
    <row r="46282" spans="23:23">
      <c r="W46282" s="503"/>
    </row>
    <row r="46283" spans="23:23">
      <c r="W46283" s="503"/>
    </row>
    <row r="46284" spans="23:23">
      <c r="W46284" s="503"/>
    </row>
    <row r="46285" spans="23:23">
      <c r="W46285" s="503"/>
    </row>
    <row r="46286" spans="23:23">
      <c r="W46286" s="503"/>
    </row>
    <row r="46287" spans="23:23">
      <c r="W46287" s="503"/>
    </row>
    <row r="46288" spans="23:23">
      <c r="W46288" s="503"/>
    </row>
    <row r="46289" spans="23:23">
      <c r="W46289" s="503"/>
    </row>
    <row r="46290" spans="23:23">
      <c r="W46290" s="503"/>
    </row>
    <row r="46291" spans="23:23">
      <c r="W46291" s="503"/>
    </row>
    <row r="46292" spans="23:23">
      <c r="W46292" s="503"/>
    </row>
    <row r="46293" spans="23:23">
      <c r="W46293" s="503"/>
    </row>
    <row r="46294" spans="23:23">
      <c r="W46294" s="503"/>
    </row>
    <row r="46295" spans="23:23">
      <c r="W46295" s="503"/>
    </row>
    <row r="46296" spans="23:23">
      <c r="W46296" s="503"/>
    </row>
    <row r="46297" spans="23:23">
      <c r="W46297" s="503"/>
    </row>
    <row r="46298" spans="23:23">
      <c r="W46298" s="503"/>
    </row>
    <row r="46299" spans="23:23">
      <c r="W46299" s="503"/>
    </row>
    <row r="46300" spans="23:23">
      <c r="W46300" s="503"/>
    </row>
    <row r="46301" spans="23:23">
      <c r="W46301" s="503"/>
    </row>
    <row r="46302" spans="23:23">
      <c r="W46302" s="503"/>
    </row>
    <row r="46303" spans="23:23">
      <c r="W46303" s="503"/>
    </row>
    <row r="46304" spans="23:23">
      <c r="W46304" s="503"/>
    </row>
    <row r="46305" spans="23:23">
      <c r="W46305" s="503"/>
    </row>
    <row r="46306" spans="23:23">
      <c r="W46306" s="503"/>
    </row>
    <row r="46307" spans="23:23">
      <c r="W46307" s="503"/>
    </row>
    <row r="46308" spans="23:23">
      <c r="W46308" s="503"/>
    </row>
    <row r="46309" spans="23:23">
      <c r="W46309" s="503"/>
    </row>
    <row r="46310" spans="23:23">
      <c r="W46310" s="503"/>
    </row>
    <row r="46311" spans="23:23">
      <c r="W46311" s="503"/>
    </row>
    <row r="46312" spans="23:23">
      <c r="W46312" s="503"/>
    </row>
    <row r="46313" spans="23:23">
      <c r="W46313" s="503"/>
    </row>
    <row r="46314" spans="23:23">
      <c r="W46314" s="503"/>
    </row>
    <row r="46315" spans="23:23">
      <c r="W46315" s="503"/>
    </row>
    <row r="46316" spans="23:23">
      <c r="W46316" s="503"/>
    </row>
    <row r="46317" spans="23:23">
      <c r="W46317" s="503"/>
    </row>
    <row r="46318" spans="23:23">
      <c r="W46318" s="503"/>
    </row>
    <row r="46319" spans="23:23">
      <c r="W46319" s="503"/>
    </row>
    <row r="46320" spans="23:23">
      <c r="W46320" s="503"/>
    </row>
    <row r="46321" spans="23:23">
      <c r="W46321" s="503"/>
    </row>
    <row r="46322" spans="23:23">
      <c r="W46322" s="503"/>
    </row>
    <row r="46323" spans="23:23">
      <c r="W46323" s="503"/>
    </row>
    <row r="46324" spans="23:23">
      <c r="W46324" s="503"/>
    </row>
    <row r="46325" spans="23:23">
      <c r="W46325" s="503"/>
    </row>
    <row r="46326" spans="23:23">
      <c r="W46326" s="503"/>
    </row>
    <row r="46327" spans="23:23">
      <c r="W46327" s="503"/>
    </row>
    <row r="46328" spans="23:23">
      <c r="W46328" s="503"/>
    </row>
    <row r="46329" spans="23:23">
      <c r="W46329" s="503"/>
    </row>
    <row r="46330" spans="23:23">
      <c r="W46330" s="503"/>
    </row>
    <row r="46331" spans="23:23">
      <c r="W46331" s="503"/>
    </row>
    <row r="46332" spans="23:23">
      <c r="W46332" s="503"/>
    </row>
    <row r="46333" spans="23:23">
      <c r="W46333" s="503"/>
    </row>
    <row r="46334" spans="23:23">
      <c r="W46334" s="503"/>
    </row>
    <row r="46335" spans="23:23">
      <c r="W46335" s="503"/>
    </row>
    <row r="46336" spans="23:23">
      <c r="W46336" s="503"/>
    </row>
    <row r="46337" spans="23:23">
      <c r="W46337" s="503"/>
    </row>
    <row r="46338" spans="23:23">
      <c r="W46338" s="503"/>
    </row>
    <row r="46339" spans="23:23">
      <c r="W46339" s="503"/>
    </row>
    <row r="46340" spans="23:23">
      <c r="W46340" s="503"/>
    </row>
    <row r="46341" spans="23:23">
      <c r="W46341" s="503"/>
    </row>
    <row r="46342" spans="23:23">
      <c r="W46342" s="503"/>
    </row>
    <row r="46343" spans="23:23">
      <c r="W46343" s="503"/>
    </row>
    <row r="46344" spans="23:23">
      <c r="W46344" s="503"/>
    </row>
    <row r="46345" spans="23:23">
      <c r="W46345" s="503"/>
    </row>
    <row r="46346" spans="23:23">
      <c r="W46346" s="503"/>
    </row>
    <row r="46347" spans="23:23">
      <c r="W46347" s="503"/>
    </row>
    <row r="46348" spans="23:23">
      <c r="W46348" s="503"/>
    </row>
    <row r="46349" spans="23:23">
      <c r="W46349" s="503"/>
    </row>
    <row r="46350" spans="23:23">
      <c r="W46350" s="503"/>
    </row>
    <row r="46351" spans="23:23">
      <c r="W46351" s="503"/>
    </row>
    <row r="46352" spans="23:23">
      <c r="W46352" s="503"/>
    </row>
    <row r="46353" spans="23:23">
      <c r="W46353" s="503"/>
    </row>
    <row r="46354" spans="23:23">
      <c r="W46354" s="503"/>
    </row>
    <row r="46355" spans="23:23">
      <c r="W46355" s="503"/>
    </row>
    <row r="46356" spans="23:23">
      <c r="W46356" s="503"/>
    </row>
    <row r="46357" spans="23:23">
      <c r="W46357" s="503"/>
    </row>
    <row r="46358" spans="23:23">
      <c r="W46358" s="503"/>
    </row>
    <row r="46359" spans="23:23">
      <c r="W46359" s="503"/>
    </row>
    <row r="46360" spans="23:23">
      <c r="W46360" s="503"/>
    </row>
    <row r="46361" spans="23:23">
      <c r="W46361" s="503"/>
    </row>
    <row r="46362" spans="23:23">
      <c r="W46362" s="503"/>
    </row>
    <row r="46363" spans="23:23">
      <c r="W46363" s="503"/>
    </row>
    <row r="46364" spans="23:23">
      <c r="W46364" s="503"/>
    </row>
    <row r="46365" spans="23:23">
      <c r="W46365" s="503"/>
    </row>
    <row r="46366" spans="23:23">
      <c r="W46366" s="503"/>
    </row>
    <row r="46367" spans="23:23">
      <c r="W46367" s="503"/>
    </row>
    <row r="46368" spans="23:23">
      <c r="W46368" s="503"/>
    </row>
    <row r="46369" spans="23:23">
      <c r="W46369" s="503"/>
    </row>
    <row r="46370" spans="23:23">
      <c r="W46370" s="503"/>
    </row>
    <row r="46371" spans="23:23">
      <c r="W46371" s="503"/>
    </row>
    <row r="46372" spans="23:23">
      <c r="W46372" s="503"/>
    </row>
    <row r="46373" spans="23:23">
      <c r="W46373" s="503"/>
    </row>
    <row r="46374" spans="23:23">
      <c r="W46374" s="503"/>
    </row>
    <row r="46375" spans="23:23">
      <c r="W46375" s="503"/>
    </row>
    <row r="46376" spans="23:23">
      <c r="W46376" s="503"/>
    </row>
    <row r="46377" spans="23:23">
      <c r="W46377" s="503"/>
    </row>
    <row r="46378" spans="23:23">
      <c r="W46378" s="503"/>
    </row>
    <row r="46379" spans="23:23">
      <c r="W46379" s="503"/>
    </row>
    <row r="46380" spans="23:23">
      <c r="W46380" s="503"/>
    </row>
    <row r="46381" spans="23:23">
      <c r="W46381" s="503"/>
    </row>
    <row r="46382" spans="23:23">
      <c r="W46382" s="503"/>
    </row>
    <row r="46383" spans="23:23">
      <c r="W46383" s="503"/>
    </row>
    <row r="46384" spans="23:23">
      <c r="W46384" s="503"/>
    </row>
    <row r="46385" spans="23:23">
      <c r="W46385" s="503"/>
    </row>
    <row r="46386" spans="23:23">
      <c r="W46386" s="503"/>
    </row>
    <row r="46387" spans="23:23">
      <c r="W46387" s="503"/>
    </row>
    <row r="46388" spans="23:23">
      <c r="W46388" s="503"/>
    </row>
    <row r="46389" spans="23:23">
      <c r="W46389" s="503"/>
    </row>
    <row r="46390" spans="23:23">
      <c r="W46390" s="503"/>
    </row>
    <row r="46391" spans="23:23">
      <c r="W46391" s="503"/>
    </row>
    <row r="46392" spans="23:23">
      <c r="W46392" s="503"/>
    </row>
    <row r="46393" spans="23:23">
      <c r="W46393" s="503"/>
    </row>
    <row r="46394" spans="23:23">
      <c r="W46394" s="503"/>
    </row>
    <row r="46395" spans="23:23">
      <c r="W46395" s="503"/>
    </row>
    <row r="46396" spans="23:23">
      <c r="W46396" s="503"/>
    </row>
    <row r="46397" spans="23:23">
      <c r="W46397" s="503"/>
    </row>
    <row r="46398" spans="23:23">
      <c r="W46398" s="503"/>
    </row>
    <row r="46399" spans="23:23">
      <c r="W46399" s="503"/>
    </row>
    <row r="46400" spans="23:23">
      <c r="W46400" s="503"/>
    </row>
    <row r="46401" spans="23:23">
      <c r="W46401" s="503"/>
    </row>
    <row r="46402" spans="23:23">
      <c r="W46402" s="503"/>
    </row>
    <row r="46403" spans="23:23">
      <c r="W46403" s="503"/>
    </row>
    <row r="46404" spans="23:23">
      <c r="W46404" s="503"/>
    </row>
    <row r="46405" spans="23:23">
      <c r="W46405" s="503"/>
    </row>
    <row r="46406" spans="23:23">
      <c r="W46406" s="503"/>
    </row>
    <row r="46407" spans="23:23">
      <c r="W46407" s="503"/>
    </row>
    <row r="46408" spans="23:23">
      <c r="W46408" s="503"/>
    </row>
    <row r="46409" spans="23:23">
      <c r="W46409" s="503"/>
    </row>
    <row r="46410" spans="23:23">
      <c r="W46410" s="503"/>
    </row>
    <row r="46411" spans="23:23">
      <c r="W46411" s="503"/>
    </row>
    <row r="46412" spans="23:23">
      <c r="W46412" s="503"/>
    </row>
    <row r="46413" spans="23:23">
      <c r="W46413" s="503"/>
    </row>
    <row r="46414" spans="23:23">
      <c r="W46414" s="503"/>
    </row>
    <row r="46415" spans="23:23">
      <c r="W46415" s="503"/>
    </row>
    <row r="46416" spans="23:23">
      <c r="W46416" s="503"/>
    </row>
    <row r="46417" spans="23:23">
      <c r="W46417" s="503"/>
    </row>
    <row r="46418" spans="23:23">
      <c r="W46418" s="503"/>
    </row>
    <row r="46419" spans="23:23">
      <c r="W46419" s="503"/>
    </row>
    <row r="46420" spans="23:23">
      <c r="W46420" s="503"/>
    </row>
    <row r="46421" spans="23:23">
      <c r="W46421" s="503"/>
    </row>
    <row r="46422" spans="23:23">
      <c r="W46422" s="503"/>
    </row>
    <row r="46423" spans="23:23">
      <c r="W46423" s="503"/>
    </row>
    <row r="46424" spans="23:23">
      <c r="W46424" s="503"/>
    </row>
    <row r="46425" spans="23:23">
      <c r="W46425" s="503"/>
    </row>
    <row r="46426" spans="23:23">
      <c r="W46426" s="503"/>
    </row>
    <row r="46427" spans="23:23">
      <c r="W46427" s="503"/>
    </row>
    <row r="46428" spans="23:23">
      <c r="W46428" s="503"/>
    </row>
    <row r="46429" spans="23:23">
      <c r="W46429" s="503"/>
    </row>
    <row r="46430" spans="23:23">
      <c r="W46430" s="503"/>
    </row>
    <row r="46431" spans="23:23">
      <c r="W46431" s="503"/>
    </row>
    <row r="46432" spans="23:23">
      <c r="W46432" s="503"/>
    </row>
    <row r="46433" spans="23:23">
      <c r="W46433" s="503"/>
    </row>
    <row r="46434" spans="23:23">
      <c r="W46434" s="503"/>
    </row>
    <row r="46435" spans="23:23">
      <c r="W46435" s="503"/>
    </row>
    <row r="46436" spans="23:23">
      <c r="W46436" s="503"/>
    </row>
    <row r="46437" spans="23:23">
      <c r="W46437" s="503"/>
    </row>
    <row r="46438" spans="23:23">
      <c r="W46438" s="503"/>
    </row>
    <row r="46439" spans="23:23">
      <c r="W46439" s="503"/>
    </row>
    <row r="46440" spans="23:23">
      <c r="W46440" s="503"/>
    </row>
    <row r="46441" spans="23:23">
      <c r="W46441" s="503"/>
    </row>
    <row r="46442" spans="23:23">
      <c r="W46442" s="503"/>
    </row>
    <row r="46443" spans="23:23">
      <c r="W46443" s="503"/>
    </row>
    <row r="46444" spans="23:23">
      <c r="W46444" s="503"/>
    </row>
    <row r="46445" spans="23:23">
      <c r="W46445" s="503"/>
    </row>
    <row r="46446" spans="23:23">
      <c r="W46446" s="503"/>
    </row>
    <row r="46447" spans="23:23">
      <c r="W46447" s="503"/>
    </row>
    <row r="46448" spans="23:23">
      <c r="W46448" s="503"/>
    </row>
    <row r="46449" spans="23:23">
      <c r="W46449" s="503"/>
    </row>
    <row r="46450" spans="23:23">
      <c r="W46450" s="503"/>
    </row>
    <row r="46451" spans="23:23">
      <c r="W46451" s="503"/>
    </row>
    <row r="46452" spans="23:23">
      <c r="W46452" s="503"/>
    </row>
    <row r="46453" spans="23:23">
      <c r="W46453" s="503"/>
    </row>
    <row r="46454" spans="23:23">
      <c r="W46454" s="503"/>
    </row>
    <row r="46455" spans="23:23">
      <c r="W46455" s="503"/>
    </row>
    <row r="46456" spans="23:23">
      <c r="W46456" s="503"/>
    </row>
    <row r="46457" spans="23:23">
      <c r="W46457" s="503"/>
    </row>
    <row r="46458" spans="23:23">
      <c r="W46458" s="503"/>
    </row>
    <row r="46459" spans="23:23">
      <c r="W46459" s="503"/>
    </row>
    <row r="46460" spans="23:23">
      <c r="W46460" s="503"/>
    </row>
    <row r="46461" spans="23:23">
      <c r="W46461" s="503"/>
    </row>
    <row r="46462" spans="23:23">
      <c r="W46462" s="503"/>
    </row>
    <row r="46463" spans="23:23">
      <c r="W46463" s="503"/>
    </row>
    <row r="46464" spans="23:23">
      <c r="W46464" s="503"/>
    </row>
    <row r="46465" spans="23:23">
      <c r="W46465" s="503"/>
    </row>
    <row r="46466" spans="23:23">
      <c r="W46466" s="503"/>
    </row>
    <row r="46467" spans="23:23">
      <c r="W46467" s="503"/>
    </row>
    <row r="46468" spans="23:23">
      <c r="W46468" s="503"/>
    </row>
    <row r="46469" spans="23:23">
      <c r="W46469" s="503"/>
    </row>
    <row r="46470" spans="23:23">
      <c r="W46470" s="503"/>
    </row>
    <row r="46471" spans="23:23">
      <c r="W46471" s="503"/>
    </row>
    <row r="46472" spans="23:23">
      <c r="W46472" s="503"/>
    </row>
    <row r="46473" spans="23:23">
      <c r="W46473" s="503"/>
    </row>
    <row r="46474" spans="23:23">
      <c r="W46474" s="503"/>
    </row>
    <row r="46475" spans="23:23">
      <c r="W46475" s="503"/>
    </row>
    <row r="46476" spans="23:23">
      <c r="W46476" s="503"/>
    </row>
    <row r="46477" spans="23:23">
      <c r="W46477" s="503"/>
    </row>
    <row r="46478" spans="23:23">
      <c r="W46478" s="503"/>
    </row>
    <row r="46479" spans="23:23">
      <c r="W46479" s="503"/>
    </row>
    <row r="46480" spans="23:23">
      <c r="W46480" s="503"/>
    </row>
    <row r="46481" spans="23:23">
      <c r="W46481" s="503"/>
    </row>
    <row r="46482" spans="23:23">
      <c r="W46482" s="503"/>
    </row>
    <row r="46483" spans="23:23">
      <c r="W46483" s="503"/>
    </row>
    <row r="46484" spans="23:23">
      <c r="W46484" s="503"/>
    </row>
    <row r="46485" spans="23:23">
      <c r="W46485" s="503"/>
    </row>
    <row r="46486" spans="23:23">
      <c r="W46486" s="503"/>
    </row>
    <row r="46487" spans="23:23">
      <c r="W46487" s="503"/>
    </row>
    <row r="46488" spans="23:23">
      <c r="W46488" s="503"/>
    </row>
    <row r="46489" spans="23:23">
      <c r="W46489" s="503"/>
    </row>
    <row r="46490" spans="23:23">
      <c r="W46490" s="503"/>
    </row>
    <row r="46491" spans="23:23">
      <c r="W46491" s="503"/>
    </row>
    <row r="46492" spans="23:23">
      <c r="W46492" s="503"/>
    </row>
    <row r="46493" spans="23:23">
      <c r="W46493" s="503"/>
    </row>
    <row r="46494" spans="23:23">
      <c r="W46494" s="503"/>
    </row>
    <row r="46495" spans="23:23">
      <c r="W46495" s="503"/>
    </row>
    <row r="46496" spans="23:23">
      <c r="W46496" s="503"/>
    </row>
    <row r="46497" spans="23:23">
      <c r="W46497" s="503"/>
    </row>
    <row r="46498" spans="23:23">
      <c r="W46498" s="503"/>
    </row>
    <row r="46499" spans="23:23">
      <c r="W46499" s="503"/>
    </row>
    <row r="46500" spans="23:23">
      <c r="W46500" s="503"/>
    </row>
    <row r="46501" spans="23:23">
      <c r="W46501" s="503"/>
    </row>
    <row r="46502" spans="23:23">
      <c r="W46502" s="503"/>
    </row>
    <row r="46503" spans="23:23">
      <c r="W46503" s="503"/>
    </row>
    <row r="46504" spans="23:23">
      <c r="W46504" s="503"/>
    </row>
    <row r="46505" spans="23:23">
      <c r="W46505" s="503"/>
    </row>
    <row r="46506" spans="23:23">
      <c r="W46506" s="503"/>
    </row>
    <row r="46507" spans="23:23">
      <c r="W46507" s="503"/>
    </row>
    <row r="46508" spans="23:23">
      <c r="W46508" s="503"/>
    </row>
    <row r="46509" spans="23:23">
      <c r="W46509" s="503"/>
    </row>
    <row r="46510" spans="23:23">
      <c r="W46510" s="503"/>
    </row>
    <row r="46511" spans="23:23">
      <c r="W46511" s="503"/>
    </row>
    <row r="46512" spans="23:23">
      <c r="W46512" s="503"/>
    </row>
    <row r="46513" spans="23:23">
      <c r="W46513" s="503"/>
    </row>
    <row r="46514" spans="23:23">
      <c r="W46514" s="503"/>
    </row>
    <row r="46515" spans="23:23">
      <c r="W46515" s="503"/>
    </row>
    <row r="46516" spans="23:23">
      <c r="W46516" s="503"/>
    </row>
    <row r="46517" spans="23:23">
      <c r="W46517" s="503"/>
    </row>
    <row r="46518" spans="23:23">
      <c r="W46518" s="503"/>
    </row>
    <row r="46519" spans="23:23">
      <c r="W46519" s="503"/>
    </row>
    <row r="46520" spans="23:23">
      <c r="W46520" s="503"/>
    </row>
    <row r="46521" spans="23:23">
      <c r="W46521" s="503"/>
    </row>
    <row r="46522" spans="23:23">
      <c r="W46522" s="503"/>
    </row>
    <row r="46523" spans="23:23">
      <c r="W46523" s="503"/>
    </row>
    <row r="46524" spans="23:23">
      <c r="W46524" s="503"/>
    </row>
    <row r="46525" spans="23:23">
      <c r="W46525" s="503"/>
    </row>
    <row r="46526" spans="23:23">
      <c r="W46526" s="503"/>
    </row>
    <row r="46527" spans="23:23">
      <c r="W46527" s="503"/>
    </row>
    <row r="46528" spans="23:23">
      <c r="W46528" s="503"/>
    </row>
    <row r="46529" spans="23:23">
      <c r="W46529" s="503"/>
    </row>
    <row r="46530" spans="23:23">
      <c r="W46530" s="503"/>
    </row>
    <row r="46531" spans="23:23">
      <c r="W46531" s="503"/>
    </row>
    <row r="46532" spans="23:23">
      <c r="W46532" s="503"/>
    </row>
    <row r="46533" spans="23:23">
      <c r="W46533" s="503"/>
    </row>
    <row r="46534" spans="23:23">
      <c r="W46534" s="503"/>
    </row>
    <row r="46535" spans="23:23">
      <c r="W46535" s="503"/>
    </row>
    <row r="46536" spans="23:23">
      <c r="W46536" s="503"/>
    </row>
    <row r="46537" spans="23:23">
      <c r="W46537" s="503"/>
    </row>
    <row r="46538" spans="23:23">
      <c r="W46538" s="503"/>
    </row>
    <row r="46539" spans="23:23">
      <c r="W46539" s="503"/>
    </row>
    <row r="46540" spans="23:23">
      <c r="W46540" s="503"/>
    </row>
    <row r="46541" spans="23:23">
      <c r="W46541" s="503"/>
    </row>
    <row r="46542" spans="23:23">
      <c r="W46542" s="503"/>
    </row>
    <row r="46543" spans="23:23">
      <c r="W46543" s="503"/>
    </row>
    <row r="46544" spans="23:23">
      <c r="W46544" s="503"/>
    </row>
    <row r="46545" spans="23:23">
      <c r="W46545" s="503"/>
    </row>
    <row r="46546" spans="23:23">
      <c r="W46546" s="503"/>
    </row>
    <row r="46547" spans="23:23">
      <c r="W46547" s="503"/>
    </row>
    <row r="46548" spans="23:23">
      <c r="W46548" s="503"/>
    </row>
    <row r="46549" spans="23:23">
      <c r="W46549" s="503"/>
    </row>
    <row r="46550" spans="23:23">
      <c r="W46550" s="503"/>
    </row>
    <row r="46551" spans="23:23">
      <c r="W46551" s="503"/>
    </row>
    <row r="46552" spans="23:23">
      <c r="W46552" s="503"/>
    </row>
    <row r="46553" spans="23:23">
      <c r="W46553" s="503"/>
    </row>
    <row r="46554" spans="23:23">
      <c r="W46554" s="503"/>
    </row>
    <row r="46555" spans="23:23">
      <c r="W46555" s="503"/>
    </row>
    <row r="46556" spans="23:23">
      <c r="W46556" s="503"/>
    </row>
    <row r="46557" spans="23:23">
      <c r="W46557" s="503"/>
    </row>
    <row r="46558" spans="23:23">
      <c r="W46558" s="503"/>
    </row>
    <row r="46559" spans="23:23">
      <c r="W46559" s="503"/>
    </row>
    <row r="46560" spans="23:23">
      <c r="W46560" s="503"/>
    </row>
    <row r="46561" spans="23:23">
      <c r="W46561" s="503"/>
    </row>
    <row r="46562" spans="23:23">
      <c r="W46562" s="503"/>
    </row>
    <row r="46563" spans="23:23">
      <c r="W46563" s="503"/>
    </row>
    <row r="46564" spans="23:23">
      <c r="W46564" s="503"/>
    </row>
    <row r="46565" spans="23:23">
      <c r="W46565" s="503"/>
    </row>
    <row r="46566" spans="23:23">
      <c r="W46566" s="503"/>
    </row>
    <row r="46567" spans="23:23">
      <c r="W46567" s="503"/>
    </row>
    <row r="46568" spans="23:23">
      <c r="W46568" s="503"/>
    </row>
    <row r="46569" spans="23:23">
      <c r="W46569" s="503"/>
    </row>
    <row r="46570" spans="23:23">
      <c r="W46570" s="503"/>
    </row>
    <row r="46571" spans="23:23">
      <c r="W46571" s="503"/>
    </row>
    <row r="46572" spans="23:23">
      <c r="W46572" s="503"/>
    </row>
    <row r="46573" spans="23:23">
      <c r="W46573" s="503"/>
    </row>
    <row r="46574" spans="23:23">
      <c r="W46574" s="503"/>
    </row>
    <row r="46575" spans="23:23">
      <c r="W46575" s="503"/>
    </row>
    <row r="46576" spans="23:23">
      <c r="W46576" s="503"/>
    </row>
    <row r="46577" spans="23:23">
      <c r="W46577" s="503"/>
    </row>
    <row r="46578" spans="23:23">
      <c r="W46578" s="503"/>
    </row>
    <row r="46579" spans="23:23">
      <c r="W46579" s="503"/>
    </row>
    <row r="46580" spans="23:23">
      <c r="W46580" s="503"/>
    </row>
    <row r="46581" spans="23:23">
      <c r="W46581" s="503"/>
    </row>
    <row r="46582" spans="23:23">
      <c r="W46582" s="503"/>
    </row>
    <row r="46583" spans="23:23">
      <c r="W46583" s="503"/>
    </row>
    <row r="46584" spans="23:23">
      <c r="W46584" s="503"/>
    </row>
    <row r="46585" spans="23:23">
      <c r="W46585" s="503"/>
    </row>
    <row r="46586" spans="23:23">
      <c r="W46586" s="503"/>
    </row>
    <row r="46587" spans="23:23">
      <c r="W46587" s="503"/>
    </row>
    <row r="46588" spans="23:23">
      <c r="W46588" s="503"/>
    </row>
    <row r="46589" spans="23:23">
      <c r="W46589" s="503"/>
    </row>
    <row r="46590" spans="23:23">
      <c r="W46590" s="503"/>
    </row>
    <row r="46591" spans="23:23">
      <c r="W46591" s="503"/>
    </row>
    <row r="46592" spans="23:23">
      <c r="W46592" s="503"/>
    </row>
    <row r="46593" spans="23:23">
      <c r="W46593" s="503"/>
    </row>
    <row r="46594" spans="23:23">
      <c r="W46594" s="503"/>
    </row>
    <row r="46595" spans="23:23">
      <c r="W46595" s="503"/>
    </row>
    <row r="46596" spans="23:23">
      <c r="W46596" s="503"/>
    </row>
    <row r="46597" spans="23:23">
      <c r="W46597" s="503"/>
    </row>
    <row r="46598" spans="23:23">
      <c r="W46598" s="503"/>
    </row>
    <row r="46599" spans="23:23">
      <c r="W46599" s="503"/>
    </row>
    <row r="46600" spans="23:23">
      <c r="W46600" s="503"/>
    </row>
    <row r="46601" spans="23:23">
      <c r="W46601" s="503"/>
    </row>
    <row r="46602" spans="23:23">
      <c r="W46602" s="503"/>
    </row>
    <row r="46603" spans="23:23">
      <c r="W46603" s="503"/>
    </row>
    <row r="46604" spans="23:23">
      <c r="W46604" s="503"/>
    </row>
    <row r="46605" spans="23:23">
      <c r="W46605" s="503"/>
    </row>
    <row r="46606" spans="23:23">
      <c r="W46606" s="503"/>
    </row>
    <row r="46607" spans="23:23">
      <c r="W46607" s="503"/>
    </row>
    <row r="46608" spans="23:23">
      <c r="W46608" s="503"/>
    </row>
    <row r="46609" spans="23:23">
      <c r="W46609" s="503"/>
    </row>
    <row r="46610" spans="23:23">
      <c r="W46610" s="503"/>
    </row>
    <row r="46611" spans="23:23">
      <c r="W46611" s="503"/>
    </row>
    <row r="46612" spans="23:23">
      <c r="W46612" s="503"/>
    </row>
    <row r="46613" spans="23:23">
      <c r="W46613" s="503"/>
    </row>
    <row r="46614" spans="23:23">
      <c r="W46614" s="503"/>
    </row>
    <row r="46615" spans="23:23">
      <c r="W46615" s="503"/>
    </row>
    <row r="46616" spans="23:23">
      <c r="W46616" s="503"/>
    </row>
    <row r="46617" spans="23:23">
      <c r="W46617" s="503"/>
    </row>
    <row r="46618" spans="23:23">
      <c r="W46618" s="503"/>
    </row>
    <row r="46619" spans="23:23">
      <c r="W46619" s="503"/>
    </row>
    <row r="46620" spans="23:23">
      <c r="W46620" s="503"/>
    </row>
    <row r="46621" spans="23:23">
      <c r="W46621" s="503"/>
    </row>
    <row r="46622" spans="23:23">
      <c r="W46622" s="503"/>
    </row>
    <row r="46623" spans="23:23">
      <c r="W46623" s="503"/>
    </row>
    <row r="46624" spans="23:23">
      <c r="W46624" s="503"/>
    </row>
    <row r="46625" spans="23:23">
      <c r="W46625" s="503"/>
    </row>
    <row r="46626" spans="23:23">
      <c r="W46626" s="503"/>
    </row>
    <row r="46627" spans="23:23">
      <c r="W46627" s="503"/>
    </row>
    <row r="46628" spans="23:23">
      <c r="W46628" s="503"/>
    </row>
    <row r="46629" spans="23:23">
      <c r="W46629" s="503"/>
    </row>
    <row r="46630" spans="23:23">
      <c r="W46630" s="503"/>
    </row>
    <row r="46631" spans="23:23">
      <c r="W46631" s="503"/>
    </row>
    <row r="46632" spans="23:23">
      <c r="W46632" s="503"/>
    </row>
    <row r="46633" spans="23:23">
      <c r="W46633" s="503"/>
    </row>
    <row r="46634" spans="23:23">
      <c r="W46634" s="503"/>
    </row>
    <row r="46635" spans="23:23">
      <c r="W46635" s="503"/>
    </row>
    <row r="46636" spans="23:23">
      <c r="W46636" s="503"/>
    </row>
    <row r="46637" spans="23:23">
      <c r="W46637" s="503"/>
    </row>
    <row r="46638" spans="23:23">
      <c r="W46638" s="503"/>
    </row>
    <row r="46639" spans="23:23">
      <c r="W46639" s="503"/>
    </row>
    <row r="46640" spans="23:23">
      <c r="W46640" s="503"/>
    </row>
    <row r="46641" spans="23:23">
      <c r="W46641" s="503"/>
    </row>
    <row r="46642" spans="23:23">
      <c r="W46642" s="503"/>
    </row>
    <row r="46643" spans="23:23">
      <c r="W46643" s="503"/>
    </row>
    <row r="46644" spans="23:23">
      <c r="W46644" s="503"/>
    </row>
    <row r="46645" spans="23:23">
      <c r="W46645" s="503"/>
    </row>
    <row r="46646" spans="23:23">
      <c r="W46646" s="503"/>
    </row>
    <row r="46647" spans="23:23">
      <c r="W46647" s="503"/>
    </row>
    <row r="46648" spans="23:23">
      <c r="W46648" s="503"/>
    </row>
    <row r="46649" spans="23:23">
      <c r="W46649" s="503"/>
    </row>
    <row r="46650" spans="23:23">
      <c r="W46650" s="503"/>
    </row>
    <row r="46651" spans="23:23">
      <c r="W46651" s="503"/>
    </row>
    <row r="46652" spans="23:23">
      <c r="W46652" s="503"/>
    </row>
    <row r="46653" spans="23:23">
      <c r="W46653" s="503"/>
    </row>
    <row r="46654" spans="23:23">
      <c r="W46654" s="503"/>
    </row>
    <row r="46655" spans="23:23">
      <c r="W46655" s="503"/>
    </row>
    <row r="46656" spans="23:23">
      <c r="W46656" s="503"/>
    </row>
    <row r="46657" spans="23:23">
      <c r="W46657" s="503"/>
    </row>
    <row r="46658" spans="23:23">
      <c r="W46658" s="503"/>
    </row>
    <row r="46659" spans="23:23">
      <c r="W46659" s="503"/>
    </row>
    <row r="46660" spans="23:23">
      <c r="W46660" s="503"/>
    </row>
    <row r="46661" spans="23:23">
      <c r="W46661" s="503"/>
    </row>
    <row r="46662" spans="23:23">
      <c r="W46662" s="503"/>
    </row>
    <row r="46663" spans="23:23">
      <c r="W46663" s="503"/>
    </row>
    <row r="46664" spans="23:23">
      <c r="W46664" s="503"/>
    </row>
    <row r="46665" spans="23:23">
      <c r="W46665" s="503"/>
    </row>
    <row r="46666" spans="23:23">
      <c r="W46666" s="503"/>
    </row>
    <row r="46667" spans="23:23">
      <c r="W46667" s="503"/>
    </row>
    <row r="46668" spans="23:23">
      <c r="W46668" s="503"/>
    </row>
    <row r="46669" spans="23:23">
      <c r="W46669" s="503"/>
    </row>
    <row r="46670" spans="23:23">
      <c r="W46670" s="503"/>
    </row>
    <row r="46671" spans="23:23">
      <c r="W46671" s="503"/>
    </row>
    <row r="46672" spans="23:23">
      <c r="W46672" s="503"/>
    </row>
    <row r="46673" spans="23:23">
      <c r="W46673" s="503"/>
    </row>
    <row r="46674" spans="23:23">
      <c r="W46674" s="503"/>
    </row>
    <row r="46675" spans="23:23">
      <c r="W46675" s="503"/>
    </row>
    <row r="46676" spans="23:23">
      <c r="W46676" s="503"/>
    </row>
    <row r="46677" spans="23:23">
      <c r="W46677" s="503"/>
    </row>
    <row r="46678" spans="23:23">
      <c r="W46678" s="503"/>
    </row>
    <row r="46679" spans="23:23">
      <c r="W46679" s="503"/>
    </row>
    <row r="46680" spans="23:23">
      <c r="W46680" s="503"/>
    </row>
    <row r="46681" spans="23:23">
      <c r="W46681" s="503"/>
    </row>
    <row r="46682" spans="23:23">
      <c r="W46682" s="503"/>
    </row>
    <row r="46683" spans="23:23">
      <c r="W46683" s="503"/>
    </row>
    <row r="46684" spans="23:23">
      <c r="W46684" s="503"/>
    </row>
    <row r="46685" spans="23:23">
      <c r="W46685" s="503"/>
    </row>
    <row r="46686" spans="23:23">
      <c r="W46686" s="503"/>
    </row>
    <row r="46687" spans="23:23">
      <c r="W46687" s="503"/>
    </row>
    <row r="46688" spans="23:23">
      <c r="W46688" s="503"/>
    </row>
    <row r="46689" spans="23:23">
      <c r="W46689" s="503"/>
    </row>
    <row r="46690" spans="23:23">
      <c r="W46690" s="503"/>
    </row>
    <row r="46691" spans="23:23">
      <c r="W46691" s="503"/>
    </row>
    <row r="46692" spans="23:23">
      <c r="W46692" s="503"/>
    </row>
    <row r="46693" spans="23:23">
      <c r="W46693" s="503"/>
    </row>
    <row r="46694" spans="23:23">
      <c r="W46694" s="503"/>
    </row>
    <row r="46695" spans="23:23">
      <c r="W46695" s="503"/>
    </row>
    <row r="46696" spans="23:23">
      <c r="W46696" s="503"/>
    </row>
    <row r="46697" spans="23:23">
      <c r="W46697" s="503"/>
    </row>
    <row r="46698" spans="23:23">
      <c r="W46698" s="503"/>
    </row>
    <row r="46699" spans="23:23">
      <c r="W46699" s="503"/>
    </row>
    <row r="46700" spans="23:23">
      <c r="W46700" s="503"/>
    </row>
    <row r="46701" spans="23:23">
      <c r="W46701" s="503"/>
    </row>
    <row r="46702" spans="23:23">
      <c r="W46702" s="503"/>
    </row>
    <row r="46703" spans="23:23">
      <c r="W46703" s="503"/>
    </row>
    <row r="46704" spans="23:23">
      <c r="W46704" s="503"/>
    </row>
    <row r="46705" spans="23:23">
      <c r="W46705" s="503"/>
    </row>
    <row r="46706" spans="23:23">
      <c r="W46706" s="503"/>
    </row>
    <row r="46707" spans="23:23">
      <c r="W46707" s="503"/>
    </row>
    <row r="46708" spans="23:23">
      <c r="W46708" s="503"/>
    </row>
    <row r="46709" spans="23:23">
      <c r="W46709" s="503"/>
    </row>
    <row r="46710" spans="23:23">
      <c r="W46710" s="503"/>
    </row>
    <row r="46711" spans="23:23">
      <c r="W46711" s="503"/>
    </row>
    <row r="46712" spans="23:23">
      <c r="W46712" s="503"/>
    </row>
    <row r="46713" spans="23:23">
      <c r="W46713" s="503"/>
    </row>
    <row r="46714" spans="23:23">
      <c r="W46714" s="503"/>
    </row>
    <row r="46715" spans="23:23">
      <c r="W46715" s="503"/>
    </row>
    <row r="46716" spans="23:23">
      <c r="W46716" s="503"/>
    </row>
    <row r="46717" spans="23:23">
      <c r="W46717" s="503"/>
    </row>
    <row r="46718" spans="23:23">
      <c r="W46718" s="503"/>
    </row>
    <row r="46719" spans="23:23">
      <c r="W46719" s="503"/>
    </row>
    <row r="46720" spans="23:23">
      <c r="W46720" s="503"/>
    </row>
    <row r="46721" spans="23:23">
      <c r="W46721" s="503"/>
    </row>
    <row r="46722" spans="23:23">
      <c r="W46722" s="503"/>
    </row>
    <row r="46723" spans="23:23">
      <c r="W46723" s="503"/>
    </row>
    <row r="46724" spans="23:23">
      <c r="W46724" s="503"/>
    </row>
    <row r="46725" spans="23:23">
      <c r="W46725" s="503"/>
    </row>
    <row r="46726" spans="23:23">
      <c r="W46726" s="503"/>
    </row>
    <row r="46727" spans="23:23">
      <c r="W46727" s="503"/>
    </row>
    <row r="46728" spans="23:23">
      <c r="W46728" s="503"/>
    </row>
    <row r="46729" spans="23:23">
      <c r="W46729" s="503"/>
    </row>
    <row r="46730" spans="23:23">
      <c r="W46730" s="503"/>
    </row>
    <row r="46731" spans="23:23">
      <c r="W46731" s="503"/>
    </row>
    <row r="46732" spans="23:23">
      <c r="W46732" s="503"/>
    </row>
    <row r="46733" spans="23:23">
      <c r="W46733" s="503"/>
    </row>
    <row r="46734" spans="23:23">
      <c r="W46734" s="503"/>
    </row>
    <row r="46735" spans="23:23">
      <c r="W46735" s="503"/>
    </row>
    <row r="46736" spans="23:23">
      <c r="W46736" s="503"/>
    </row>
    <row r="46737" spans="23:23">
      <c r="W46737" s="503"/>
    </row>
    <row r="46738" spans="23:23">
      <c r="W46738" s="503"/>
    </row>
    <row r="46739" spans="23:23">
      <c r="W46739" s="503"/>
    </row>
    <row r="46740" spans="23:23">
      <c r="W46740" s="503"/>
    </row>
    <row r="46741" spans="23:23">
      <c r="W46741" s="503"/>
    </row>
    <row r="46742" spans="23:23">
      <c r="W46742" s="503"/>
    </row>
    <row r="46743" spans="23:23">
      <c r="W46743" s="503"/>
    </row>
    <row r="46744" spans="23:23">
      <c r="W46744" s="503"/>
    </row>
    <row r="46745" spans="23:23">
      <c r="W46745" s="503"/>
    </row>
    <row r="46746" spans="23:23">
      <c r="W46746" s="503"/>
    </row>
    <row r="46747" spans="23:23">
      <c r="W46747" s="503"/>
    </row>
    <row r="46748" spans="23:23">
      <c r="W46748" s="503"/>
    </row>
    <row r="46749" spans="23:23">
      <c r="W46749" s="503"/>
    </row>
    <row r="46750" spans="23:23">
      <c r="W46750" s="503"/>
    </row>
    <row r="46751" spans="23:23">
      <c r="W46751" s="503"/>
    </row>
    <row r="46752" spans="23:23">
      <c r="W46752" s="503"/>
    </row>
    <row r="46753" spans="23:23">
      <c r="W46753" s="503"/>
    </row>
    <row r="46754" spans="23:23">
      <c r="W46754" s="503"/>
    </row>
    <row r="46755" spans="23:23">
      <c r="W46755" s="503"/>
    </row>
    <row r="46756" spans="23:23">
      <c r="W46756" s="503"/>
    </row>
    <row r="46757" spans="23:23">
      <c r="W46757" s="503"/>
    </row>
    <row r="46758" spans="23:23">
      <c r="W46758" s="503"/>
    </row>
    <row r="46759" spans="23:23">
      <c r="W46759" s="503"/>
    </row>
    <row r="46760" spans="23:23">
      <c r="W46760" s="503"/>
    </row>
    <row r="46761" spans="23:23">
      <c r="W46761" s="503"/>
    </row>
    <row r="46762" spans="23:23">
      <c r="W46762" s="503"/>
    </row>
    <row r="46763" spans="23:23">
      <c r="W46763" s="503"/>
    </row>
    <row r="46764" spans="23:23">
      <c r="W46764" s="503"/>
    </row>
    <row r="46765" spans="23:23">
      <c r="W46765" s="503"/>
    </row>
    <row r="46766" spans="23:23">
      <c r="W46766" s="503"/>
    </row>
    <row r="46767" spans="23:23">
      <c r="W46767" s="503"/>
    </row>
    <row r="46768" spans="23:23">
      <c r="W46768" s="503"/>
    </row>
    <row r="46769" spans="23:23">
      <c r="W46769" s="503"/>
    </row>
    <row r="46770" spans="23:23">
      <c r="W46770" s="503"/>
    </row>
    <row r="46771" spans="23:23">
      <c r="W46771" s="503"/>
    </row>
    <row r="46772" spans="23:23">
      <c r="W46772" s="503"/>
    </row>
    <row r="46773" spans="23:23">
      <c r="W46773" s="503"/>
    </row>
    <row r="46774" spans="23:23">
      <c r="W46774" s="503"/>
    </row>
    <row r="46775" spans="23:23">
      <c r="W46775" s="503"/>
    </row>
    <row r="46776" spans="23:23">
      <c r="W46776" s="503"/>
    </row>
    <row r="46777" spans="23:23">
      <c r="W46777" s="503"/>
    </row>
    <row r="46778" spans="23:23">
      <c r="W46778" s="503"/>
    </row>
    <row r="46779" spans="23:23">
      <c r="W46779" s="503"/>
    </row>
    <row r="46780" spans="23:23">
      <c r="W46780" s="503"/>
    </row>
    <row r="46781" spans="23:23">
      <c r="W46781" s="503"/>
    </row>
    <row r="46782" spans="23:23">
      <c r="W46782" s="503"/>
    </row>
    <row r="46783" spans="23:23">
      <c r="W46783" s="503"/>
    </row>
    <row r="46784" spans="23:23">
      <c r="W46784" s="503"/>
    </row>
    <row r="46785" spans="23:23">
      <c r="W46785" s="503"/>
    </row>
    <row r="46786" spans="23:23">
      <c r="W46786" s="503"/>
    </row>
    <row r="46787" spans="23:23">
      <c r="W46787" s="503"/>
    </row>
    <row r="46788" spans="23:23">
      <c r="W46788" s="503"/>
    </row>
    <row r="46789" spans="23:23">
      <c r="W46789" s="503"/>
    </row>
    <row r="46790" spans="23:23">
      <c r="W46790" s="503"/>
    </row>
    <row r="46791" spans="23:23">
      <c r="W46791" s="503"/>
    </row>
    <row r="46792" spans="23:23">
      <c r="W46792" s="503"/>
    </row>
    <row r="46793" spans="23:23">
      <c r="W46793" s="503"/>
    </row>
    <row r="46794" spans="23:23">
      <c r="W46794" s="503"/>
    </row>
    <row r="46795" spans="23:23">
      <c r="W46795" s="503"/>
    </row>
    <row r="46796" spans="23:23">
      <c r="W46796" s="503"/>
    </row>
    <row r="46797" spans="23:23">
      <c r="W46797" s="503"/>
    </row>
    <row r="46798" spans="23:23">
      <c r="W46798" s="503"/>
    </row>
    <row r="46799" spans="23:23">
      <c r="W46799" s="503"/>
    </row>
    <row r="46800" spans="23:23">
      <c r="W46800" s="503"/>
    </row>
    <row r="46801" spans="23:23">
      <c r="W46801" s="503"/>
    </row>
    <row r="46802" spans="23:23">
      <c r="W46802" s="503"/>
    </row>
    <row r="46803" spans="23:23">
      <c r="W46803" s="503"/>
    </row>
    <row r="46804" spans="23:23">
      <c r="W46804" s="503"/>
    </row>
    <row r="46805" spans="23:23">
      <c r="W46805" s="503"/>
    </row>
    <row r="46806" spans="23:23">
      <c r="W46806" s="503"/>
    </row>
    <row r="46807" spans="23:23">
      <c r="W46807" s="503"/>
    </row>
    <row r="46808" spans="23:23">
      <c r="W46808" s="503"/>
    </row>
    <row r="46809" spans="23:23">
      <c r="W46809" s="503"/>
    </row>
    <row r="46810" spans="23:23">
      <c r="W46810" s="503"/>
    </row>
    <row r="46811" spans="23:23">
      <c r="W46811" s="503"/>
    </row>
    <row r="46812" spans="23:23">
      <c r="W46812" s="503"/>
    </row>
    <row r="46813" spans="23:23">
      <c r="W46813" s="503"/>
    </row>
    <row r="46814" spans="23:23">
      <c r="W46814" s="503"/>
    </row>
    <row r="46815" spans="23:23">
      <c r="W46815" s="503"/>
    </row>
    <row r="46816" spans="23:23">
      <c r="W46816" s="503"/>
    </row>
    <row r="46817" spans="23:23">
      <c r="W46817" s="503"/>
    </row>
    <row r="46818" spans="23:23">
      <c r="W46818" s="503"/>
    </row>
    <row r="46819" spans="23:23">
      <c r="W46819" s="503"/>
    </row>
    <row r="46820" spans="23:23">
      <c r="W46820" s="503"/>
    </row>
    <row r="46821" spans="23:23">
      <c r="W46821" s="503"/>
    </row>
    <row r="46822" spans="23:23">
      <c r="W46822" s="503"/>
    </row>
    <row r="46823" spans="23:23">
      <c r="W46823" s="503"/>
    </row>
    <row r="46824" spans="23:23">
      <c r="W46824" s="503"/>
    </row>
    <row r="46825" spans="23:23">
      <c r="W46825" s="503"/>
    </row>
    <row r="46826" spans="23:23">
      <c r="W46826" s="503"/>
    </row>
    <row r="46827" spans="23:23">
      <c r="W46827" s="503"/>
    </row>
    <row r="46828" spans="23:23">
      <c r="W46828" s="503"/>
    </row>
    <row r="46829" spans="23:23">
      <c r="W46829" s="503"/>
    </row>
    <row r="46830" spans="23:23">
      <c r="W46830" s="503"/>
    </row>
    <row r="46831" spans="23:23">
      <c r="W46831" s="503"/>
    </row>
    <row r="46832" spans="23:23">
      <c r="W46832" s="503"/>
    </row>
    <row r="46833" spans="23:23">
      <c r="W46833" s="503"/>
    </row>
    <row r="46834" spans="23:23">
      <c r="W46834" s="503"/>
    </row>
    <row r="46835" spans="23:23">
      <c r="W46835" s="503"/>
    </row>
    <row r="46836" spans="23:23">
      <c r="W46836" s="503"/>
    </row>
    <row r="46837" spans="23:23">
      <c r="W46837" s="503"/>
    </row>
    <row r="46838" spans="23:23">
      <c r="W46838" s="503"/>
    </row>
    <row r="46839" spans="23:23">
      <c r="W46839" s="503"/>
    </row>
    <row r="46840" spans="23:23">
      <c r="W46840" s="503"/>
    </row>
    <row r="46841" spans="23:23">
      <c r="W46841" s="503"/>
    </row>
    <row r="46842" spans="23:23">
      <c r="W46842" s="503"/>
    </row>
    <row r="46843" spans="23:23">
      <c r="W46843" s="503"/>
    </row>
    <row r="46844" spans="23:23">
      <c r="W46844" s="503"/>
    </row>
    <row r="46845" spans="23:23">
      <c r="W46845" s="503"/>
    </row>
    <row r="46846" spans="23:23">
      <c r="W46846" s="503"/>
    </row>
    <row r="46847" spans="23:23">
      <c r="W46847" s="503"/>
    </row>
    <row r="46848" spans="23:23">
      <c r="W46848" s="503"/>
    </row>
    <row r="46849" spans="23:23">
      <c r="W46849" s="503"/>
    </row>
    <row r="46850" spans="23:23">
      <c r="W46850" s="503"/>
    </row>
    <row r="46851" spans="23:23">
      <c r="W46851" s="503"/>
    </row>
    <row r="46852" spans="23:23">
      <c r="W46852" s="503"/>
    </row>
    <row r="46853" spans="23:23">
      <c r="W46853" s="503"/>
    </row>
    <row r="46854" spans="23:23">
      <c r="W46854" s="503"/>
    </row>
    <row r="46855" spans="23:23">
      <c r="W46855" s="503"/>
    </row>
    <row r="46856" spans="23:23">
      <c r="W46856" s="503"/>
    </row>
    <row r="46857" spans="23:23">
      <c r="W46857" s="503"/>
    </row>
    <row r="46858" spans="23:23">
      <c r="W46858" s="503"/>
    </row>
    <row r="46859" spans="23:23">
      <c r="W46859" s="503"/>
    </row>
    <row r="46860" spans="23:23">
      <c r="W46860" s="503"/>
    </row>
    <row r="46861" spans="23:23">
      <c r="W46861" s="503"/>
    </row>
    <row r="46862" spans="23:23">
      <c r="W46862" s="503"/>
    </row>
    <row r="46863" spans="23:23">
      <c r="W46863" s="503"/>
    </row>
    <row r="46864" spans="23:23">
      <c r="W46864" s="503"/>
    </row>
    <row r="46865" spans="23:23">
      <c r="W46865" s="503"/>
    </row>
    <row r="46866" spans="23:23">
      <c r="W46866" s="503"/>
    </row>
    <row r="46867" spans="23:23">
      <c r="W46867" s="503"/>
    </row>
    <row r="46868" spans="23:23">
      <c r="W46868" s="503"/>
    </row>
    <row r="46869" spans="23:23">
      <c r="W46869" s="503"/>
    </row>
    <row r="46870" spans="23:23">
      <c r="W46870" s="503"/>
    </row>
    <row r="46871" spans="23:23">
      <c r="W46871" s="503"/>
    </row>
    <row r="46872" spans="23:23">
      <c r="W46872" s="503"/>
    </row>
    <row r="46873" spans="23:23">
      <c r="W46873" s="503"/>
    </row>
    <row r="46874" spans="23:23">
      <c r="W46874" s="503"/>
    </row>
    <row r="46875" spans="23:23">
      <c r="W46875" s="503"/>
    </row>
    <row r="46876" spans="23:23">
      <c r="W46876" s="503"/>
    </row>
    <row r="46877" spans="23:23">
      <c r="W46877" s="503"/>
    </row>
    <row r="46878" spans="23:23">
      <c r="W46878" s="503"/>
    </row>
    <row r="46879" spans="23:23">
      <c r="W46879" s="503"/>
    </row>
    <row r="46880" spans="23:23">
      <c r="W46880" s="503"/>
    </row>
    <row r="46881" spans="23:23">
      <c r="W46881" s="503"/>
    </row>
    <row r="46882" spans="23:23">
      <c r="W46882" s="503"/>
    </row>
    <row r="46883" spans="23:23">
      <c r="W46883" s="503"/>
    </row>
    <row r="46884" spans="23:23">
      <c r="W46884" s="503"/>
    </row>
    <row r="46885" spans="23:23">
      <c r="W46885" s="503"/>
    </row>
    <row r="46886" spans="23:23">
      <c r="W46886" s="503"/>
    </row>
    <row r="46887" spans="23:23">
      <c r="W46887" s="503"/>
    </row>
    <row r="46888" spans="23:23">
      <c r="W46888" s="503"/>
    </row>
    <row r="46889" spans="23:23">
      <c r="W46889" s="503"/>
    </row>
    <row r="46890" spans="23:23">
      <c r="W46890" s="503"/>
    </row>
    <row r="46891" spans="23:23">
      <c r="W46891" s="503"/>
    </row>
    <row r="46892" spans="23:23">
      <c r="W46892" s="503"/>
    </row>
    <row r="46893" spans="23:23">
      <c r="W46893" s="503"/>
    </row>
    <row r="46894" spans="23:23">
      <c r="W46894" s="503"/>
    </row>
    <row r="46895" spans="23:23">
      <c r="W46895" s="503"/>
    </row>
    <row r="46896" spans="23:23">
      <c r="W46896" s="503"/>
    </row>
    <row r="46897" spans="23:23">
      <c r="W46897" s="503"/>
    </row>
    <row r="46898" spans="23:23">
      <c r="W46898" s="503"/>
    </row>
    <row r="46899" spans="23:23">
      <c r="W46899" s="503"/>
    </row>
    <row r="46900" spans="23:23">
      <c r="W46900" s="503"/>
    </row>
    <row r="46901" spans="23:23">
      <c r="W46901" s="503"/>
    </row>
    <row r="46902" spans="23:23">
      <c r="W46902" s="503"/>
    </row>
    <row r="46903" spans="23:23">
      <c r="W46903" s="503"/>
    </row>
    <row r="46904" spans="23:23">
      <c r="W46904" s="503"/>
    </row>
    <row r="46905" spans="23:23">
      <c r="W46905" s="503"/>
    </row>
    <row r="46906" spans="23:23">
      <c r="W46906" s="503"/>
    </row>
    <row r="46907" spans="23:23">
      <c r="W46907" s="503"/>
    </row>
    <row r="46908" spans="23:23">
      <c r="W46908" s="503"/>
    </row>
    <row r="46909" spans="23:23">
      <c r="W46909" s="503"/>
    </row>
    <row r="46910" spans="23:23">
      <c r="W46910" s="503"/>
    </row>
    <row r="46911" spans="23:23">
      <c r="W46911" s="503"/>
    </row>
    <row r="46912" spans="23:23">
      <c r="W46912" s="503"/>
    </row>
    <row r="46913" spans="23:23">
      <c r="W46913" s="503"/>
    </row>
    <row r="46914" spans="23:23">
      <c r="W46914" s="503"/>
    </row>
    <row r="46915" spans="23:23">
      <c r="W46915" s="503"/>
    </row>
    <row r="46916" spans="23:23">
      <c r="W46916" s="503"/>
    </row>
    <row r="46917" spans="23:23">
      <c r="W46917" s="503"/>
    </row>
    <row r="46918" spans="23:23">
      <c r="W46918" s="503"/>
    </row>
    <row r="46919" spans="23:23">
      <c r="W46919" s="503"/>
    </row>
    <row r="46920" spans="23:23">
      <c r="W46920" s="503"/>
    </row>
    <row r="46921" spans="23:23">
      <c r="W46921" s="503"/>
    </row>
    <row r="46922" spans="23:23">
      <c r="W46922" s="503"/>
    </row>
    <row r="46923" spans="23:23">
      <c r="W46923" s="503"/>
    </row>
    <row r="46924" spans="23:23">
      <c r="W46924" s="503"/>
    </row>
    <row r="46925" spans="23:23">
      <c r="W46925" s="503"/>
    </row>
    <row r="46926" spans="23:23">
      <c r="W46926" s="503"/>
    </row>
    <row r="46927" spans="23:23">
      <c r="W46927" s="503"/>
    </row>
    <row r="46928" spans="23:23">
      <c r="W46928" s="503"/>
    </row>
    <row r="46929" spans="23:23">
      <c r="W46929" s="503"/>
    </row>
    <row r="46930" spans="23:23">
      <c r="W46930" s="503"/>
    </row>
    <row r="46931" spans="23:23">
      <c r="W46931" s="503"/>
    </row>
    <row r="46932" spans="23:23">
      <c r="W46932" s="503"/>
    </row>
    <row r="46933" spans="23:23">
      <c r="W46933" s="503"/>
    </row>
    <row r="46934" spans="23:23">
      <c r="W46934" s="503"/>
    </row>
    <row r="46935" spans="23:23">
      <c r="W46935" s="503"/>
    </row>
    <row r="46936" spans="23:23">
      <c r="W46936" s="503"/>
    </row>
    <row r="46937" spans="23:23">
      <c r="W46937" s="503"/>
    </row>
    <row r="46938" spans="23:23">
      <c r="W46938" s="503"/>
    </row>
    <row r="46939" spans="23:23">
      <c r="W46939" s="503"/>
    </row>
    <row r="46940" spans="23:23">
      <c r="W46940" s="503"/>
    </row>
    <row r="46941" spans="23:23">
      <c r="W46941" s="503"/>
    </row>
    <row r="46942" spans="23:23">
      <c r="W46942" s="503"/>
    </row>
    <row r="46943" spans="23:23">
      <c r="W46943" s="503"/>
    </row>
    <row r="46944" spans="23:23">
      <c r="W46944" s="503"/>
    </row>
    <row r="46945" spans="23:23">
      <c r="W46945" s="503"/>
    </row>
    <row r="46946" spans="23:23">
      <c r="W46946" s="503"/>
    </row>
    <row r="46947" spans="23:23">
      <c r="W46947" s="503"/>
    </row>
    <row r="46948" spans="23:23">
      <c r="W46948" s="503"/>
    </row>
    <row r="46949" spans="23:23">
      <c r="W46949" s="503"/>
    </row>
    <row r="46950" spans="23:23">
      <c r="W46950" s="503"/>
    </row>
    <row r="46951" spans="23:23">
      <c r="W46951" s="503"/>
    </row>
    <row r="46952" spans="23:23">
      <c r="W46952" s="503"/>
    </row>
    <row r="46953" spans="23:23">
      <c r="W46953" s="503"/>
    </row>
    <row r="46954" spans="23:23">
      <c r="W46954" s="503"/>
    </row>
    <row r="46955" spans="23:23">
      <c r="W46955" s="503"/>
    </row>
    <row r="46956" spans="23:23">
      <c r="W46956" s="503"/>
    </row>
    <row r="46957" spans="23:23">
      <c r="W46957" s="503"/>
    </row>
    <row r="46958" spans="23:23">
      <c r="W46958" s="503"/>
    </row>
    <row r="46959" spans="23:23">
      <c r="W46959" s="503"/>
    </row>
    <row r="46960" spans="23:23">
      <c r="W46960" s="503"/>
    </row>
    <row r="46961" spans="23:23">
      <c r="W46961" s="503"/>
    </row>
    <row r="46962" spans="23:23">
      <c r="W46962" s="503"/>
    </row>
    <row r="46963" spans="23:23">
      <c r="W46963" s="503"/>
    </row>
    <row r="46964" spans="23:23">
      <c r="W46964" s="503"/>
    </row>
    <row r="46965" spans="23:23">
      <c r="W46965" s="503"/>
    </row>
    <row r="46966" spans="23:23">
      <c r="W46966" s="503"/>
    </row>
    <row r="46967" spans="23:23">
      <c r="W46967" s="503"/>
    </row>
    <row r="46968" spans="23:23">
      <c r="W46968" s="503"/>
    </row>
    <row r="46969" spans="23:23">
      <c r="W46969" s="503"/>
    </row>
    <row r="46970" spans="23:23">
      <c r="W46970" s="503"/>
    </row>
    <row r="46971" spans="23:23">
      <c r="W46971" s="503"/>
    </row>
    <row r="46972" spans="23:23">
      <c r="W46972" s="503"/>
    </row>
    <row r="46973" spans="23:23">
      <c r="W46973" s="503"/>
    </row>
    <row r="46974" spans="23:23">
      <c r="W46974" s="503"/>
    </row>
    <row r="46975" spans="23:23">
      <c r="W46975" s="503"/>
    </row>
    <row r="46976" spans="23:23">
      <c r="W46976" s="503"/>
    </row>
    <row r="46977" spans="23:23">
      <c r="W46977" s="503"/>
    </row>
    <row r="46978" spans="23:23">
      <c r="W46978" s="503"/>
    </row>
    <row r="46979" spans="23:23">
      <c r="W46979" s="503"/>
    </row>
    <row r="46980" spans="23:23">
      <c r="W46980" s="503"/>
    </row>
    <row r="46981" spans="23:23">
      <c r="W46981" s="503"/>
    </row>
    <row r="46982" spans="23:23">
      <c r="W46982" s="503"/>
    </row>
    <row r="46983" spans="23:23">
      <c r="W46983" s="503"/>
    </row>
    <row r="46984" spans="23:23">
      <c r="W46984" s="503"/>
    </row>
    <row r="46985" spans="23:23">
      <c r="W46985" s="503"/>
    </row>
    <row r="46986" spans="23:23">
      <c r="W46986" s="503"/>
    </row>
    <row r="46987" spans="23:23">
      <c r="W46987" s="503"/>
    </row>
    <row r="46988" spans="23:23">
      <c r="W46988" s="503"/>
    </row>
    <row r="46989" spans="23:23">
      <c r="W46989" s="503"/>
    </row>
    <row r="46990" spans="23:23">
      <c r="W46990" s="503"/>
    </row>
    <row r="46991" spans="23:23">
      <c r="W46991" s="503"/>
    </row>
    <row r="46992" spans="23:23">
      <c r="W46992" s="503"/>
    </row>
    <row r="46993" spans="23:23">
      <c r="W46993" s="503"/>
    </row>
    <row r="46994" spans="23:23">
      <c r="W46994" s="503"/>
    </row>
    <row r="46995" spans="23:23">
      <c r="W46995" s="503"/>
    </row>
    <row r="46996" spans="23:23">
      <c r="W46996" s="503"/>
    </row>
    <row r="46997" spans="23:23">
      <c r="W46997" s="503"/>
    </row>
    <row r="46998" spans="23:23">
      <c r="W46998" s="503"/>
    </row>
    <row r="46999" spans="23:23">
      <c r="W46999" s="503"/>
    </row>
    <row r="47000" spans="23:23">
      <c r="W47000" s="503"/>
    </row>
    <row r="47001" spans="23:23">
      <c r="W47001" s="503"/>
    </row>
    <row r="47002" spans="23:23">
      <c r="W47002" s="503"/>
    </row>
    <row r="47003" spans="23:23">
      <c r="W47003" s="503"/>
    </row>
    <row r="47004" spans="23:23">
      <c r="W47004" s="503"/>
    </row>
    <row r="47005" spans="23:23">
      <c r="W47005" s="503"/>
    </row>
    <row r="47006" spans="23:23">
      <c r="W47006" s="503"/>
    </row>
    <row r="47007" spans="23:23">
      <c r="W47007" s="503"/>
    </row>
    <row r="47008" spans="23:23">
      <c r="W47008" s="503"/>
    </row>
    <row r="47009" spans="23:23">
      <c r="W47009" s="503"/>
    </row>
    <row r="47010" spans="23:23">
      <c r="W47010" s="503"/>
    </row>
    <row r="47011" spans="23:23">
      <c r="W47011" s="503"/>
    </row>
    <row r="47012" spans="23:23">
      <c r="W47012" s="503"/>
    </row>
    <row r="47013" spans="23:23">
      <c r="W47013" s="503"/>
    </row>
    <row r="47014" spans="23:23">
      <c r="W47014" s="503"/>
    </row>
    <row r="47015" spans="23:23">
      <c r="W47015" s="503"/>
    </row>
    <row r="47016" spans="23:23">
      <c r="W47016" s="503"/>
    </row>
    <row r="47017" spans="23:23">
      <c r="W47017" s="503"/>
    </row>
    <row r="47018" spans="23:23">
      <c r="W47018" s="503"/>
    </row>
    <row r="47019" spans="23:23">
      <c r="W47019" s="503"/>
    </row>
    <row r="47020" spans="23:23">
      <c r="W47020" s="503"/>
    </row>
    <row r="47021" spans="23:23">
      <c r="W47021" s="503"/>
    </row>
    <row r="47022" spans="23:23">
      <c r="W47022" s="503"/>
    </row>
    <row r="47023" spans="23:23">
      <c r="W47023" s="503"/>
    </row>
    <row r="47024" spans="23:23">
      <c r="W47024" s="503"/>
    </row>
    <row r="47025" spans="23:23">
      <c r="W47025" s="503"/>
    </row>
    <row r="47026" spans="23:23">
      <c r="W47026" s="503"/>
    </row>
    <row r="47027" spans="23:23">
      <c r="W47027" s="503"/>
    </row>
    <row r="47028" spans="23:23">
      <c r="W47028" s="503"/>
    </row>
    <row r="47029" spans="23:23">
      <c r="W47029" s="503"/>
    </row>
    <row r="47030" spans="23:23">
      <c r="W47030" s="503"/>
    </row>
    <row r="47031" spans="23:23">
      <c r="W47031" s="503"/>
    </row>
    <row r="47032" spans="23:23">
      <c r="W47032" s="503"/>
    </row>
    <row r="47033" spans="23:23">
      <c r="W47033" s="503"/>
    </row>
    <row r="47034" spans="23:23">
      <c r="W47034" s="503"/>
    </row>
    <row r="47035" spans="23:23">
      <c r="W47035" s="503"/>
    </row>
    <row r="47036" spans="23:23">
      <c r="W47036" s="503"/>
    </row>
    <row r="47037" spans="23:23">
      <c r="W47037" s="503"/>
    </row>
    <row r="47038" spans="23:23">
      <c r="W47038" s="503"/>
    </row>
    <row r="47039" spans="23:23">
      <c r="W47039" s="503"/>
    </row>
    <row r="47040" spans="23:23">
      <c r="W47040" s="503"/>
    </row>
    <row r="47041" spans="23:23">
      <c r="W47041" s="503"/>
    </row>
    <row r="47042" spans="23:23">
      <c r="W47042" s="503"/>
    </row>
    <row r="47043" spans="23:23">
      <c r="W47043" s="503"/>
    </row>
    <row r="47044" spans="23:23">
      <c r="W47044" s="503"/>
    </row>
    <row r="47045" spans="23:23">
      <c r="W47045" s="503"/>
    </row>
    <row r="47046" spans="23:23">
      <c r="W47046" s="503"/>
    </row>
    <row r="47047" spans="23:23">
      <c r="W47047" s="503"/>
    </row>
    <row r="47048" spans="23:23">
      <c r="W47048" s="503"/>
    </row>
    <row r="47049" spans="23:23">
      <c r="W47049" s="503"/>
    </row>
    <row r="47050" spans="23:23">
      <c r="W47050" s="503"/>
    </row>
    <row r="47051" spans="23:23">
      <c r="W47051" s="503"/>
    </row>
    <row r="47052" spans="23:23">
      <c r="W47052" s="503"/>
    </row>
    <row r="47053" spans="23:23">
      <c r="W47053" s="503"/>
    </row>
    <row r="47054" spans="23:23">
      <c r="W47054" s="503"/>
    </row>
    <row r="47055" spans="23:23">
      <c r="W47055" s="503"/>
    </row>
    <row r="47056" spans="23:23">
      <c r="W47056" s="503"/>
    </row>
    <row r="47057" spans="23:23">
      <c r="W47057" s="503"/>
    </row>
    <row r="47058" spans="23:23">
      <c r="W47058" s="503"/>
    </row>
    <row r="47059" spans="23:23">
      <c r="W47059" s="503"/>
    </row>
    <row r="47060" spans="23:23">
      <c r="W47060" s="503"/>
    </row>
    <row r="47061" spans="23:23">
      <c r="W47061" s="503"/>
    </row>
    <row r="47062" spans="23:23">
      <c r="W47062" s="503"/>
    </row>
    <row r="47063" spans="23:23">
      <c r="W47063" s="503"/>
    </row>
    <row r="47064" spans="23:23">
      <c r="W47064" s="503"/>
    </row>
    <row r="47065" spans="23:23">
      <c r="W47065" s="503"/>
    </row>
    <row r="47066" spans="23:23">
      <c r="W47066" s="503"/>
    </row>
    <row r="47067" spans="23:23">
      <c r="W47067" s="503"/>
    </row>
    <row r="47068" spans="23:23">
      <c r="W47068" s="503"/>
    </row>
    <row r="47069" spans="23:23">
      <c r="W47069" s="503"/>
    </row>
    <row r="47070" spans="23:23">
      <c r="W47070" s="503"/>
    </row>
    <row r="47071" spans="23:23">
      <c r="W47071" s="503"/>
    </row>
    <row r="47072" spans="23:23">
      <c r="W47072" s="503"/>
    </row>
    <row r="47073" spans="23:23">
      <c r="W47073" s="503"/>
    </row>
    <row r="47074" spans="23:23">
      <c r="W47074" s="503"/>
    </row>
    <row r="47075" spans="23:23">
      <c r="W47075" s="503"/>
    </row>
    <row r="47076" spans="23:23">
      <c r="W47076" s="503"/>
    </row>
    <row r="47077" spans="23:23">
      <c r="W47077" s="503"/>
    </row>
    <row r="47078" spans="23:23">
      <c r="W47078" s="503"/>
    </row>
    <row r="47079" spans="23:23">
      <c r="W47079" s="503"/>
    </row>
    <row r="47080" spans="23:23">
      <c r="W47080" s="503"/>
    </row>
    <row r="47081" spans="23:23">
      <c r="W47081" s="503"/>
    </row>
    <row r="47082" spans="23:23">
      <c r="W47082" s="503"/>
    </row>
    <row r="47083" spans="23:23">
      <c r="W47083" s="503"/>
    </row>
    <row r="47084" spans="23:23">
      <c r="W47084" s="503"/>
    </row>
    <row r="47085" spans="23:23">
      <c r="W47085" s="503"/>
    </row>
    <row r="47086" spans="23:23">
      <c r="W47086" s="503"/>
    </row>
    <row r="47087" spans="23:23">
      <c r="W47087" s="503"/>
    </row>
    <row r="47088" spans="23:23">
      <c r="W47088" s="503"/>
    </row>
    <row r="47089" spans="23:23">
      <c r="W47089" s="503"/>
    </row>
    <row r="47090" spans="23:23">
      <c r="W47090" s="503"/>
    </row>
    <row r="47091" spans="23:23">
      <c r="W47091" s="503"/>
    </row>
    <row r="47092" spans="23:23">
      <c r="W47092" s="503"/>
    </row>
    <row r="47093" spans="23:23">
      <c r="W47093" s="503"/>
    </row>
    <row r="47094" spans="23:23">
      <c r="W47094" s="503"/>
    </row>
    <row r="47095" spans="23:23">
      <c r="W47095" s="503"/>
    </row>
    <row r="47096" spans="23:23">
      <c r="W47096" s="503"/>
    </row>
    <row r="47097" spans="23:23">
      <c r="W47097" s="503"/>
    </row>
    <row r="47098" spans="23:23">
      <c r="W47098" s="503"/>
    </row>
    <row r="47099" spans="23:23">
      <c r="W47099" s="503"/>
    </row>
    <row r="47100" spans="23:23">
      <c r="W47100" s="503"/>
    </row>
    <row r="47101" spans="23:23">
      <c r="W47101" s="503"/>
    </row>
    <row r="47102" spans="23:23">
      <c r="W47102" s="503"/>
    </row>
    <row r="47103" spans="23:23">
      <c r="W47103" s="503"/>
    </row>
    <row r="47104" spans="23:23">
      <c r="W47104" s="503"/>
    </row>
    <row r="47105" spans="23:23">
      <c r="W47105" s="503"/>
    </row>
    <row r="47106" spans="23:23">
      <c r="W47106" s="503"/>
    </row>
    <row r="47107" spans="23:23">
      <c r="W47107" s="503"/>
    </row>
    <row r="47108" spans="23:23">
      <c r="W47108" s="503"/>
    </row>
    <row r="47109" spans="23:23">
      <c r="W47109" s="503"/>
    </row>
    <row r="47110" spans="23:23">
      <c r="W47110" s="503"/>
    </row>
    <row r="47111" spans="23:23">
      <c r="W47111" s="503"/>
    </row>
    <row r="47112" spans="23:23">
      <c r="W47112" s="503"/>
    </row>
    <row r="47113" spans="23:23">
      <c r="W47113" s="503"/>
    </row>
    <row r="47114" spans="23:23">
      <c r="W47114" s="503"/>
    </row>
    <row r="47115" spans="23:23">
      <c r="W47115" s="503"/>
    </row>
    <row r="47116" spans="23:23">
      <c r="W47116" s="503"/>
    </row>
    <row r="47117" spans="23:23">
      <c r="W47117" s="503"/>
    </row>
    <row r="47118" spans="23:23">
      <c r="W47118" s="503"/>
    </row>
    <row r="47119" spans="23:23">
      <c r="W47119" s="503"/>
    </row>
    <row r="47120" spans="23:23">
      <c r="W47120" s="503"/>
    </row>
    <row r="47121" spans="23:23">
      <c r="W47121" s="503"/>
    </row>
    <row r="47122" spans="23:23">
      <c r="W47122" s="503"/>
    </row>
    <row r="47123" spans="23:23">
      <c r="W47123" s="503"/>
    </row>
    <row r="47124" spans="23:23">
      <c r="W47124" s="503"/>
    </row>
    <row r="47125" spans="23:23">
      <c r="W47125" s="503"/>
    </row>
    <row r="47126" spans="23:23">
      <c r="W47126" s="503"/>
    </row>
    <row r="47127" spans="23:23">
      <c r="W47127" s="503"/>
    </row>
    <row r="47128" spans="23:23">
      <c r="W47128" s="503"/>
    </row>
    <row r="47129" spans="23:23">
      <c r="W47129" s="503"/>
    </row>
    <row r="47130" spans="23:23">
      <c r="W47130" s="503"/>
    </row>
    <row r="47131" spans="23:23">
      <c r="W47131" s="503"/>
    </row>
    <row r="47132" spans="23:23">
      <c r="W47132" s="503"/>
    </row>
    <row r="47133" spans="23:23">
      <c r="W47133" s="503"/>
    </row>
    <row r="47134" spans="23:23">
      <c r="W47134" s="503"/>
    </row>
    <row r="47135" spans="23:23">
      <c r="W47135" s="503"/>
    </row>
    <row r="47136" spans="23:23">
      <c r="W47136" s="503"/>
    </row>
    <row r="47137" spans="23:23">
      <c r="W47137" s="503"/>
    </row>
    <row r="47138" spans="23:23">
      <c r="W47138" s="503"/>
    </row>
    <row r="47139" spans="23:23">
      <c r="W47139" s="503"/>
    </row>
    <row r="47140" spans="23:23">
      <c r="W47140" s="503"/>
    </row>
    <row r="47141" spans="23:23">
      <c r="W47141" s="503"/>
    </row>
    <row r="47142" spans="23:23">
      <c r="W47142" s="503"/>
    </row>
    <row r="47143" spans="23:23">
      <c r="W47143" s="503"/>
    </row>
    <row r="47144" spans="23:23">
      <c r="W47144" s="503"/>
    </row>
    <row r="47145" spans="23:23">
      <c r="W47145" s="503"/>
    </row>
    <row r="47146" spans="23:23">
      <c r="W47146" s="503"/>
    </row>
    <row r="47147" spans="23:23">
      <c r="W47147" s="503"/>
    </row>
    <row r="47148" spans="23:23">
      <c r="W47148" s="503"/>
    </row>
    <row r="47149" spans="23:23">
      <c r="W47149" s="503"/>
    </row>
    <row r="47150" spans="23:23">
      <c r="W47150" s="503"/>
    </row>
    <row r="47151" spans="23:23">
      <c r="W47151" s="503"/>
    </row>
    <row r="47152" spans="23:23">
      <c r="W47152" s="503"/>
    </row>
    <row r="47153" spans="23:23">
      <c r="W47153" s="503"/>
    </row>
    <row r="47154" spans="23:23">
      <c r="W47154" s="503"/>
    </row>
    <row r="47155" spans="23:23">
      <c r="W47155" s="503"/>
    </row>
    <row r="47156" spans="23:23">
      <c r="W47156" s="503"/>
    </row>
    <row r="47157" spans="23:23">
      <c r="W47157" s="503"/>
    </row>
    <row r="47158" spans="23:23">
      <c r="W47158" s="503"/>
    </row>
    <row r="47159" spans="23:23">
      <c r="W47159" s="503"/>
    </row>
    <row r="47160" spans="23:23">
      <c r="W47160" s="503"/>
    </row>
    <row r="47161" spans="23:23">
      <c r="W47161" s="503"/>
    </row>
    <row r="47162" spans="23:23">
      <c r="W47162" s="503"/>
    </row>
    <row r="47163" spans="23:23">
      <c r="W47163" s="503"/>
    </row>
    <row r="47164" spans="23:23">
      <c r="W47164" s="503"/>
    </row>
    <row r="47165" spans="23:23">
      <c r="W47165" s="503"/>
    </row>
    <row r="47166" spans="23:23">
      <c r="W47166" s="503"/>
    </row>
    <row r="47167" spans="23:23">
      <c r="W47167" s="503"/>
    </row>
    <row r="47168" spans="23:23">
      <c r="W47168" s="503"/>
    </row>
    <row r="47169" spans="23:23">
      <c r="W47169" s="503"/>
    </row>
    <row r="47170" spans="23:23">
      <c r="W47170" s="503"/>
    </row>
    <row r="47171" spans="23:23">
      <c r="W47171" s="503"/>
    </row>
    <row r="47172" spans="23:23">
      <c r="W47172" s="503"/>
    </row>
    <row r="47173" spans="23:23">
      <c r="W47173" s="503"/>
    </row>
    <row r="47174" spans="23:23">
      <c r="W47174" s="503"/>
    </row>
    <row r="47175" spans="23:23">
      <c r="W47175" s="503"/>
    </row>
    <row r="47176" spans="23:23">
      <c r="W47176" s="503"/>
    </row>
    <row r="47177" spans="23:23">
      <c r="W47177" s="503"/>
    </row>
    <row r="47178" spans="23:23">
      <c r="W47178" s="503"/>
    </row>
    <row r="47179" spans="23:23">
      <c r="W47179" s="503"/>
    </row>
    <row r="47180" spans="23:23">
      <c r="W47180" s="503"/>
    </row>
    <row r="47181" spans="23:23">
      <c r="W47181" s="503"/>
    </row>
    <row r="47182" spans="23:23">
      <c r="W47182" s="503"/>
    </row>
    <row r="47183" spans="23:23">
      <c r="W47183" s="503"/>
    </row>
    <row r="47184" spans="23:23">
      <c r="W47184" s="503"/>
    </row>
    <row r="47185" spans="23:23">
      <c r="W47185" s="503"/>
    </row>
    <row r="47186" spans="23:23">
      <c r="W47186" s="503"/>
    </row>
    <row r="47187" spans="23:23">
      <c r="W47187" s="503"/>
    </row>
    <row r="47188" spans="23:23">
      <c r="W47188" s="503"/>
    </row>
    <row r="47189" spans="23:23">
      <c r="W47189" s="503"/>
    </row>
    <row r="47190" spans="23:23">
      <c r="W47190" s="503"/>
    </row>
    <row r="47191" spans="23:23">
      <c r="W47191" s="503"/>
    </row>
    <row r="47192" spans="23:23">
      <c r="W47192" s="503"/>
    </row>
    <row r="47193" spans="23:23">
      <c r="W47193" s="503"/>
    </row>
    <row r="47194" spans="23:23">
      <c r="W47194" s="503"/>
    </row>
    <row r="47195" spans="23:23">
      <c r="W47195" s="503"/>
    </row>
    <row r="47196" spans="23:23">
      <c r="W47196" s="503"/>
    </row>
    <row r="47197" spans="23:23">
      <c r="W47197" s="503"/>
    </row>
    <row r="47198" spans="23:23">
      <c r="W47198" s="503"/>
    </row>
    <row r="47199" spans="23:23">
      <c r="W47199" s="503"/>
    </row>
    <row r="47200" spans="23:23">
      <c r="W47200" s="503"/>
    </row>
    <row r="47201" spans="23:23">
      <c r="W47201" s="503"/>
    </row>
    <row r="47202" spans="23:23">
      <c r="W47202" s="503"/>
    </row>
    <row r="47203" spans="23:23">
      <c r="W47203" s="503"/>
    </row>
    <row r="47204" spans="23:23">
      <c r="W47204" s="503"/>
    </row>
    <row r="47205" spans="23:23">
      <c r="W47205" s="503"/>
    </row>
    <row r="47206" spans="23:23">
      <c r="W47206" s="503"/>
    </row>
    <row r="47207" spans="23:23">
      <c r="W47207" s="503"/>
    </row>
    <row r="47208" spans="23:23">
      <c r="W47208" s="503"/>
    </row>
    <row r="47209" spans="23:23">
      <c r="W47209" s="503"/>
    </row>
    <row r="47210" spans="23:23">
      <c r="W47210" s="503"/>
    </row>
    <row r="47211" spans="23:23">
      <c r="W47211" s="503"/>
    </row>
    <row r="47212" spans="23:23">
      <c r="W47212" s="503"/>
    </row>
    <row r="47213" spans="23:23">
      <c r="W47213" s="503"/>
    </row>
    <row r="47214" spans="23:23">
      <c r="W47214" s="503"/>
    </row>
    <row r="47215" spans="23:23">
      <c r="W47215" s="503"/>
    </row>
    <row r="47216" spans="23:23">
      <c r="W47216" s="503"/>
    </row>
    <row r="47217" spans="23:23">
      <c r="W47217" s="503"/>
    </row>
    <row r="47218" spans="23:23">
      <c r="W47218" s="503"/>
    </row>
    <row r="47219" spans="23:23">
      <c r="W47219" s="503"/>
    </row>
    <row r="47220" spans="23:23">
      <c r="W47220" s="503"/>
    </row>
    <row r="47221" spans="23:23">
      <c r="W47221" s="503"/>
    </row>
    <row r="47222" spans="23:23">
      <c r="W47222" s="503"/>
    </row>
    <row r="47223" spans="23:23">
      <c r="W47223" s="503"/>
    </row>
    <row r="47224" spans="23:23">
      <c r="W47224" s="503"/>
    </row>
    <row r="47225" spans="23:23">
      <c r="W47225" s="503"/>
    </row>
    <row r="47226" spans="23:23">
      <c r="W47226" s="503"/>
    </row>
    <row r="47227" spans="23:23">
      <c r="W47227" s="503"/>
    </row>
    <row r="47228" spans="23:23">
      <c r="W47228" s="503"/>
    </row>
    <row r="47229" spans="23:23">
      <c r="W47229" s="503"/>
    </row>
    <row r="47230" spans="23:23">
      <c r="W47230" s="503"/>
    </row>
    <row r="47231" spans="23:23">
      <c r="W47231" s="503"/>
    </row>
    <row r="47232" spans="23:23">
      <c r="W47232" s="503"/>
    </row>
    <row r="47233" spans="23:23">
      <c r="W47233" s="503"/>
    </row>
    <row r="47234" spans="23:23">
      <c r="W47234" s="503"/>
    </row>
    <row r="47235" spans="23:23">
      <c r="W47235" s="503"/>
    </row>
    <row r="47236" spans="23:23">
      <c r="W47236" s="503"/>
    </row>
    <row r="47237" spans="23:23">
      <c r="W47237" s="503"/>
    </row>
    <row r="47238" spans="23:23">
      <c r="W47238" s="503"/>
    </row>
    <row r="47239" spans="23:23">
      <c r="W47239" s="503"/>
    </row>
    <row r="47240" spans="23:23">
      <c r="W47240" s="503"/>
    </row>
    <row r="47241" spans="23:23">
      <c r="W47241" s="503"/>
    </row>
    <row r="47242" spans="23:23">
      <c r="W47242" s="503"/>
    </row>
    <row r="47243" spans="23:23">
      <c r="W47243" s="503"/>
    </row>
    <row r="47244" spans="23:23">
      <c r="W47244" s="503"/>
    </row>
    <row r="47245" spans="23:23">
      <c r="W47245" s="503"/>
    </row>
    <row r="47246" spans="23:23">
      <c r="W47246" s="503"/>
    </row>
    <row r="47247" spans="23:23">
      <c r="W47247" s="503"/>
    </row>
    <row r="47248" spans="23:23">
      <c r="W47248" s="503"/>
    </row>
    <row r="47249" spans="23:23">
      <c r="W47249" s="503"/>
    </row>
    <row r="47250" spans="23:23">
      <c r="W47250" s="503"/>
    </row>
    <row r="47251" spans="23:23">
      <c r="W47251" s="503"/>
    </row>
    <row r="47252" spans="23:23">
      <c r="W47252" s="503"/>
    </row>
    <row r="47253" spans="23:23">
      <c r="W47253" s="503"/>
    </row>
    <row r="47254" spans="23:23">
      <c r="W47254" s="503"/>
    </row>
    <row r="47255" spans="23:23">
      <c r="W47255" s="503"/>
    </row>
    <row r="47256" spans="23:23">
      <c r="W47256" s="503"/>
    </row>
    <row r="47257" spans="23:23">
      <c r="W47257" s="503"/>
    </row>
    <row r="47258" spans="23:23">
      <c r="W47258" s="503"/>
    </row>
    <row r="47259" spans="23:23">
      <c r="W47259" s="503"/>
    </row>
    <row r="47260" spans="23:23">
      <c r="W47260" s="503"/>
    </row>
    <row r="47261" spans="23:23">
      <c r="W47261" s="503"/>
    </row>
    <row r="47262" spans="23:23">
      <c r="W47262" s="503"/>
    </row>
    <row r="47263" spans="23:23">
      <c r="W47263" s="503"/>
    </row>
    <row r="47264" spans="23:23">
      <c r="W47264" s="503"/>
    </row>
    <row r="47265" spans="23:23">
      <c r="W47265" s="503"/>
    </row>
    <row r="47266" spans="23:23">
      <c r="W47266" s="503"/>
    </row>
    <row r="47267" spans="23:23">
      <c r="W47267" s="503"/>
    </row>
    <row r="47268" spans="23:23">
      <c r="W47268" s="503"/>
    </row>
    <row r="47269" spans="23:23">
      <c r="W47269" s="503"/>
    </row>
    <row r="47270" spans="23:23">
      <c r="W47270" s="503"/>
    </row>
    <row r="47271" spans="23:23">
      <c r="W47271" s="503"/>
    </row>
    <row r="47272" spans="23:23">
      <c r="W47272" s="503"/>
    </row>
    <row r="47273" spans="23:23">
      <c r="W47273" s="503"/>
    </row>
    <row r="47274" spans="23:23">
      <c r="W47274" s="503"/>
    </row>
    <row r="47275" spans="23:23">
      <c r="W47275" s="503"/>
    </row>
    <row r="47276" spans="23:23">
      <c r="W47276" s="503"/>
    </row>
    <row r="47277" spans="23:23">
      <c r="W47277" s="503"/>
    </row>
    <row r="47278" spans="23:23">
      <c r="W47278" s="503"/>
    </row>
    <row r="47279" spans="23:23">
      <c r="W47279" s="503"/>
    </row>
    <row r="47280" spans="23:23">
      <c r="W47280" s="503"/>
    </row>
    <row r="47281" spans="23:23">
      <c r="W47281" s="503"/>
    </row>
    <row r="47282" spans="23:23">
      <c r="W47282" s="503"/>
    </row>
    <row r="47283" spans="23:23">
      <c r="W47283" s="503"/>
    </row>
    <row r="47284" spans="23:23">
      <c r="W47284" s="503"/>
    </row>
    <row r="47285" spans="23:23">
      <c r="W47285" s="503"/>
    </row>
    <row r="47286" spans="23:23">
      <c r="W47286" s="503"/>
    </row>
    <row r="47287" spans="23:23">
      <c r="W47287" s="503"/>
    </row>
    <row r="47288" spans="23:23">
      <c r="W47288" s="503"/>
    </row>
    <row r="47289" spans="23:23">
      <c r="W47289" s="503"/>
    </row>
    <row r="47290" spans="23:23">
      <c r="W47290" s="503"/>
    </row>
    <row r="47291" spans="23:23">
      <c r="W47291" s="503"/>
    </row>
    <row r="47292" spans="23:23">
      <c r="W47292" s="503"/>
    </row>
    <row r="47293" spans="23:23">
      <c r="W47293" s="503"/>
    </row>
    <row r="47294" spans="23:23">
      <c r="W47294" s="503"/>
    </row>
    <row r="47295" spans="23:23">
      <c r="W47295" s="503"/>
    </row>
    <row r="47296" spans="23:23">
      <c r="W47296" s="503"/>
    </row>
    <row r="47297" spans="23:23">
      <c r="W47297" s="503"/>
    </row>
    <row r="47298" spans="23:23">
      <c r="W47298" s="503"/>
    </row>
    <row r="47299" spans="23:23">
      <c r="W47299" s="503"/>
    </row>
    <row r="47300" spans="23:23">
      <c r="W47300" s="503"/>
    </row>
    <row r="47301" spans="23:23">
      <c r="W47301" s="503"/>
    </row>
    <row r="47302" spans="23:23">
      <c r="W47302" s="503"/>
    </row>
    <row r="47303" spans="23:23">
      <c r="W47303" s="503"/>
    </row>
    <row r="47304" spans="23:23">
      <c r="W47304" s="503"/>
    </row>
    <row r="47305" spans="23:23">
      <c r="W47305" s="503"/>
    </row>
    <row r="47306" spans="23:23">
      <c r="W47306" s="503"/>
    </row>
    <row r="47307" spans="23:23">
      <c r="W47307" s="503"/>
    </row>
    <row r="47308" spans="23:23">
      <c r="W47308" s="503"/>
    </row>
    <row r="47309" spans="23:23">
      <c r="W47309" s="503"/>
    </row>
    <row r="47310" spans="23:23">
      <c r="W47310" s="503"/>
    </row>
    <row r="47311" spans="23:23">
      <c r="W47311" s="503"/>
    </row>
    <row r="47312" spans="23:23">
      <c r="W47312" s="503"/>
    </row>
    <row r="47313" spans="23:23">
      <c r="W47313" s="503"/>
    </row>
    <row r="47314" spans="23:23">
      <c r="W47314" s="503"/>
    </row>
    <row r="47315" spans="23:23">
      <c r="W47315" s="503"/>
    </row>
    <row r="47316" spans="23:23">
      <c r="W47316" s="503"/>
    </row>
    <row r="47317" spans="23:23">
      <c r="W47317" s="503"/>
    </row>
    <row r="47318" spans="23:23">
      <c r="W47318" s="503"/>
    </row>
    <row r="47319" spans="23:23">
      <c r="W47319" s="503"/>
    </row>
    <row r="47320" spans="23:23">
      <c r="W47320" s="503"/>
    </row>
    <row r="47321" spans="23:23">
      <c r="W47321" s="503"/>
    </row>
    <row r="47322" spans="23:23">
      <c r="W47322" s="503"/>
    </row>
    <row r="47323" spans="23:23">
      <c r="W47323" s="503"/>
    </row>
    <row r="47324" spans="23:23">
      <c r="W47324" s="503"/>
    </row>
    <row r="47325" spans="23:23">
      <c r="W47325" s="503"/>
    </row>
    <row r="47326" spans="23:23">
      <c r="W47326" s="503"/>
    </row>
    <row r="47327" spans="23:23">
      <c r="W47327" s="503"/>
    </row>
    <row r="47328" spans="23:23">
      <c r="W47328" s="503"/>
    </row>
    <row r="47329" spans="23:23">
      <c r="W47329" s="503"/>
    </row>
    <row r="47330" spans="23:23">
      <c r="W47330" s="503"/>
    </row>
    <row r="47331" spans="23:23">
      <c r="W47331" s="503"/>
    </row>
    <row r="47332" spans="23:23">
      <c r="W47332" s="503"/>
    </row>
    <row r="47333" spans="23:23">
      <c r="W47333" s="503"/>
    </row>
    <row r="47334" spans="23:23">
      <c r="W47334" s="503"/>
    </row>
    <row r="47335" spans="23:23">
      <c r="W47335" s="503"/>
    </row>
    <row r="47336" spans="23:23">
      <c r="W47336" s="503"/>
    </row>
    <row r="47337" spans="23:23">
      <c r="W47337" s="503"/>
    </row>
    <row r="47338" spans="23:23">
      <c r="W47338" s="503"/>
    </row>
    <row r="47339" spans="23:23">
      <c r="W47339" s="503"/>
    </row>
    <row r="47340" spans="23:23">
      <c r="W47340" s="503"/>
    </row>
    <row r="47341" spans="23:23">
      <c r="W47341" s="503"/>
    </row>
    <row r="47342" spans="23:23">
      <c r="W47342" s="503"/>
    </row>
    <row r="47343" spans="23:23">
      <c r="W47343" s="503"/>
    </row>
    <row r="47344" spans="23:23">
      <c r="W47344" s="503"/>
    </row>
    <row r="47345" spans="23:23">
      <c r="W47345" s="503"/>
    </row>
    <row r="47346" spans="23:23">
      <c r="W47346" s="503"/>
    </row>
    <row r="47347" spans="23:23">
      <c r="W47347" s="503"/>
    </row>
    <row r="47348" spans="23:23">
      <c r="W47348" s="503"/>
    </row>
    <row r="47349" spans="23:23">
      <c r="W47349" s="503"/>
    </row>
    <row r="47350" spans="23:23">
      <c r="W47350" s="503"/>
    </row>
    <row r="47351" spans="23:23">
      <c r="W47351" s="503"/>
    </row>
    <row r="47352" spans="23:23">
      <c r="W47352" s="503"/>
    </row>
    <row r="47353" spans="23:23">
      <c r="W47353" s="503"/>
    </row>
    <row r="47354" spans="23:23">
      <c r="W47354" s="503"/>
    </row>
    <row r="47355" spans="23:23">
      <c r="W47355" s="503"/>
    </row>
    <row r="47356" spans="23:23">
      <c r="W47356" s="503"/>
    </row>
    <row r="47357" spans="23:23">
      <c r="W47357" s="503"/>
    </row>
    <row r="47358" spans="23:23">
      <c r="W47358" s="503"/>
    </row>
    <row r="47359" spans="23:23">
      <c r="W47359" s="503"/>
    </row>
    <row r="47360" spans="23:23">
      <c r="W47360" s="503"/>
    </row>
    <row r="47361" spans="23:23">
      <c r="W47361" s="503"/>
    </row>
    <row r="47362" spans="23:23">
      <c r="W47362" s="503"/>
    </row>
    <row r="47363" spans="23:23">
      <c r="W47363" s="503"/>
    </row>
    <row r="47364" spans="23:23">
      <c r="W47364" s="503"/>
    </row>
    <row r="47365" spans="23:23">
      <c r="W47365" s="503"/>
    </row>
    <row r="47366" spans="23:23">
      <c r="W47366" s="503"/>
    </row>
    <row r="47367" spans="23:23">
      <c r="W47367" s="503"/>
    </row>
    <row r="47368" spans="23:23">
      <c r="W47368" s="503"/>
    </row>
    <row r="47369" spans="23:23">
      <c r="W47369" s="503"/>
    </row>
    <row r="47370" spans="23:23">
      <c r="W47370" s="503"/>
    </row>
    <row r="47371" spans="23:23">
      <c r="W47371" s="503"/>
    </row>
    <row r="47372" spans="23:23">
      <c r="W47372" s="503"/>
    </row>
    <row r="47373" spans="23:23">
      <c r="W47373" s="503"/>
    </row>
    <row r="47374" spans="23:23">
      <c r="W47374" s="503"/>
    </row>
    <row r="47375" spans="23:23">
      <c r="W47375" s="503"/>
    </row>
    <row r="47376" spans="23:23">
      <c r="W47376" s="503"/>
    </row>
    <row r="47377" spans="23:23">
      <c r="W47377" s="503"/>
    </row>
    <row r="47378" spans="23:23">
      <c r="W47378" s="503"/>
    </row>
    <row r="47379" spans="23:23">
      <c r="W47379" s="503"/>
    </row>
    <row r="47380" spans="23:23">
      <c r="W47380" s="503"/>
    </row>
    <row r="47381" spans="23:23">
      <c r="W47381" s="503"/>
    </row>
    <row r="47382" spans="23:23">
      <c r="W47382" s="503"/>
    </row>
    <row r="47383" spans="23:23">
      <c r="W47383" s="503"/>
    </row>
    <row r="47384" spans="23:23">
      <c r="W47384" s="503"/>
    </row>
    <row r="47385" spans="23:23">
      <c r="W47385" s="503"/>
    </row>
    <row r="47386" spans="23:23">
      <c r="W47386" s="503"/>
    </row>
    <row r="47387" spans="23:23">
      <c r="W47387" s="503"/>
    </row>
    <row r="47388" spans="23:23">
      <c r="W47388" s="503"/>
    </row>
    <row r="47389" spans="23:23">
      <c r="W47389" s="503"/>
    </row>
    <row r="47390" spans="23:23">
      <c r="W47390" s="503"/>
    </row>
    <row r="47391" spans="23:23">
      <c r="W47391" s="503"/>
    </row>
    <row r="47392" spans="23:23">
      <c r="W47392" s="503"/>
    </row>
    <row r="47393" spans="23:23">
      <c r="W47393" s="503"/>
    </row>
    <row r="47394" spans="23:23">
      <c r="W47394" s="503"/>
    </row>
    <row r="47395" spans="23:23">
      <c r="W47395" s="503"/>
    </row>
    <row r="47396" spans="23:23">
      <c r="W47396" s="503"/>
    </row>
    <row r="47397" spans="23:23">
      <c r="W47397" s="503"/>
    </row>
    <row r="47398" spans="23:23">
      <c r="W47398" s="503"/>
    </row>
    <row r="47399" spans="23:23">
      <c r="W47399" s="503"/>
    </row>
    <row r="47400" spans="23:23">
      <c r="W47400" s="503"/>
    </row>
    <row r="47401" spans="23:23">
      <c r="W47401" s="503"/>
    </row>
    <row r="47402" spans="23:23">
      <c r="W47402" s="503"/>
    </row>
    <row r="47403" spans="23:23">
      <c r="W47403" s="503"/>
    </row>
    <row r="47404" spans="23:23">
      <c r="W47404" s="503"/>
    </row>
    <row r="47405" spans="23:23">
      <c r="W47405" s="503"/>
    </row>
    <row r="47406" spans="23:23">
      <c r="W47406" s="503"/>
    </row>
    <row r="47407" spans="23:23">
      <c r="W47407" s="503"/>
    </row>
    <row r="47408" spans="23:23">
      <c r="W47408" s="503"/>
    </row>
    <row r="47409" spans="23:23">
      <c r="W47409" s="503"/>
    </row>
    <row r="47410" spans="23:23">
      <c r="W47410" s="503"/>
    </row>
    <row r="47411" spans="23:23">
      <c r="W47411" s="503"/>
    </row>
    <row r="47412" spans="23:23">
      <c r="W47412" s="503"/>
    </row>
    <row r="47413" spans="23:23">
      <c r="W47413" s="503"/>
    </row>
    <row r="47414" spans="23:23">
      <c r="W47414" s="503"/>
    </row>
    <row r="47415" spans="23:23">
      <c r="W47415" s="503"/>
    </row>
    <row r="47416" spans="23:23">
      <c r="W47416" s="503"/>
    </row>
    <row r="47417" spans="23:23">
      <c r="W47417" s="503"/>
    </row>
    <row r="47418" spans="23:23">
      <c r="W47418" s="503"/>
    </row>
    <row r="47419" spans="23:23">
      <c r="W47419" s="503"/>
    </row>
    <row r="47420" spans="23:23">
      <c r="W47420" s="503"/>
    </row>
    <row r="47421" spans="23:23">
      <c r="W47421" s="503"/>
    </row>
    <row r="47422" spans="23:23">
      <c r="W47422" s="503"/>
    </row>
    <row r="47423" spans="23:23">
      <c r="W47423" s="503"/>
    </row>
    <row r="47424" spans="23:23">
      <c r="W47424" s="503"/>
    </row>
    <row r="47425" spans="23:23">
      <c r="W47425" s="503"/>
    </row>
    <row r="47426" spans="23:23">
      <c r="W47426" s="503"/>
    </row>
    <row r="47427" spans="23:23">
      <c r="W47427" s="503"/>
    </row>
    <row r="47428" spans="23:23">
      <c r="W47428" s="503"/>
    </row>
    <row r="47429" spans="23:23">
      <c r="W47429" s="503"/>
    </row>
    <row r="47430" spans="23:23">
      <c r="W47430" s="503"/>
    </row>
    <row r="47431" spans="23:23">
      <c r="W47431" s="503"/>
    </row>
    <row r="47432" spans="23:23">
      <c r="W47432" s="503"/>
    </row>
    <row r="47433" spans="23:23">
      <c r="W47433" s="503"/>
    </row>
    <row r="47434" spans="23:23">
      <c r="W47434" s="503"/>
    </row>
    <row r="47435" spans="23:23">
      <c r="W47435" s="503"/>
    </row>
    <row r="47436" spans="23:23">
      <c r="W47436" s="503"/>
    </row>
    <row r="47437" spans="23:23">
      <c r="W47437" s="503"/>
    </row>
    <row r="47438" spans="23:23">
      <c r="W47438" s="503"/>
    </row>
    <row r="47439" spans="23:23">
      <c r="W47439" s="503"/>
    </row>
    <row r="47440" spans="23:23">
      <c r="W47440" s="503"/>
    </row>
    <row r="47441" spans="23:23">
      <c r="W47441" s="503"/>
    </row>
    <row r="47442" spans="23:23">
      <c r="W47442" s="503"/>
    </row>
    <row r="47443" spans="23:23">
      <c r="W47443" s="503"/>
    </row>
    <row r="47444" spans="23:23">
      <c r="W47444" s="503"/>
    </row>
    <row r="47445" spans="23:23">
      <c r="W47445" s="503"/>
    </row>
    <row r="47446" spans="23:23">
      <c r="W47446" s="503"/>
    </row>
    <row r="47447" spans="23:23">
      <c r="W47447" s="503"/>
    </row>
    <row r="47448" spans="23:23">
      <c r="W47448" s="503"/>
    </row>
    <row r="47449" spans="23:23">
      <c r="W47449" s="503"/>
    </row>
    <row r="47450" spans="23:23">
      <c r="W47450" s="503"/>
    </row>
    <row r="47451" spans="23:23">
      <c r="W47451" s="503"/>
    </row>
    <row r="47452" spans="23:23">
      <c r="W47452" s="503"/>
    </row>
    <row r="47453" spans="23:23">
      <c r="W47453" s="503"/>
    </row>
    <row r="47454" spans="23:23">
      <c r="W47454" s="503"/>
    </row>
    <row r="47455" spans="23:23">
      <c r="W47455" s="503"/>
    </row>
    <row r="47456" spans="23:23">
      <c r="W47456" s="503"/>
    </row>
    <row r="47457" spans="23:23">
      <c r="W47457" s="503"/>
    </row>
    <row r="47458" spans="23:23">
      <c r="W47458" s="503"/>
    </row>
    <row r="47459" spans="23:23">
      <c r="W47459" s="503"/>
    </row>
    <row r="47460" spans="23:23">
      <c r="W47460" s="503"/>
    </row>
    <row r="47461" spans="23:23">
      <c r="W47461" s="503"/>
    </row>
    <row r="47462" spans="23:23">
      <c r="W47462" s="503"/>
    </row>
    <row r="47463" spans="23:23">
      <c r="W47463" s="503"/>
    </row>
    <row r="47464" spans="23:23">
      <c r="W47464" s="503"/>
    </row>
    <row r="47465" spans="23:23">
      <c r="W47465" s="503"/>
    </row>
    <row r="47466" spans="23:23">
      <c r="W47466" s="503"/>
    </row>
    <row r="47467" spans="23:23">
      <c r="W47467" s="503"/>
    </row>
    <row r="47468" spans="23:23">
      <c r="W47468" s="503"/>
    </row>
    <row r="47469" spans="23:23">
      <c r="W47469" s="503"/>
    </row>
    <row r="47470" spans="23:23">
      <c r="W47470" s="503"/>
    </row>
    <row r="47471" spans="23:23">
      <c r="W47471" s="503"/>
    </row>
    <row r="47472" spans="23:23">
      <c r="W47472" s="503"/>
    </row>
    <row r="47473" spans="23:23">
      <c r="W47473" s="503"/>
    </row>
    <row r="47474" spans="23:23">
      <c r="W47474" s="503"/>
    </row>
    <row r="47475" spans="23:23">
      <c r="W47475" s="503"/>
    </row>
    <row r="47476" spans="23:23">
      <c r="W47476" s="503"/>
    </row>
    <row r="47477" spans="23:23">
      <c r="W47477" s="503"/>
    </row>
    <row r="47478" spans="23:23">
      <c r="W47478" s="503"/>
    </row>
    <row r="47479" spans="23:23">
      <c r="W47479" s="503"/>
    </row>
    <row r="47480" spans="23:23">
      <c r="W47480" s="503"/>
    </row>
    <row r="47481" spans="23:23">
      <c r="W47481" s="503"/>
    </row>
    <row r="47482" spans="23:23">
      <c r="W47482" s="503"/>
    </row>
    <row r="47483" spans="23:23">
      <c r="W47483" s="503"/>
    </row>
    <row r="47484" spans="23:23">
      <c r="W47484" s="503"/>
    </row>
    <row r="47485" spans="23:23">
      <c r="W47485" s="503"/>
    </row>
    <row r="47486" spans="23:23">
      <c r="W47486" s="503"/>
    </row>
    <row r="47487" spans="23:23">
      <c r="W47487" s="503"/>
    </row>
    <row r="47488" spans="23:23">
      <c r="W47488" s="503"/>
    </row>
    <row r="47489" spans="23:23">
      <c r="W47489" s="503"/>
    </row>
    <row r="47490" spans="23:23">
      <c r="W47490" s="503"/>
    </row>
    <row r="47491" spans="23:23">
      <c r="W47491" s="503"/>
    </row>
    <row r="47492" spans="23:23">
      <c r="W47492" s="503"/>
    </row>
    <row r="47493" spans="23:23">
      <c r="W47493" s="503"/>
    </row>
    <row r="47494" spans="23:23">
      <c r="W47494" s="503"/>
    </row>
    <row r="47495" spans="23:23">
      <c r="W47495" s="503"/>
    </row>
    <row r="47496" spans="23:23">
      <c r="W47496" s="503"/>
    </row>
    <row r="47497" spans="23:23">
      <c r="W47497" s="503"/>
    </row>
    <row r="47498" spans="23:23">
      <c r="W47498" s="503"/>
    </row>
    <row r="47499" spans="23:23">
      <c r="W47499" s="503"/>
    </row>
    <row r="47500" spans="23:23">
      <c r="W47500" s="503"/>
    </row>
    <row r="47501" spans="23:23">
      <c r="W47501" s="503"/>
    </row>
    <row r="47502" spans="23:23">
      <c r="W47502" s="503"/>
    </row>
    <row r="47503" spans="23:23">
      <c r="W47503" s="503"/>
    </row>
    <row r="47504" spans="23:23">
      <c r="W47504" s="503"/>
    </row>
    <row r="47505" spans="23:23">
      <c r="W47505" s="503"/>
    </row>
    <row r="47506" spans="23:23">
      <c r="W47506" s="503"/>
    </row>
    <row r="47507" spans="23:23">
      <c r="W47507" s="503"/>
    </row>
    <row r="47508" spans="23:23">
      <c r="W47508" s="503"/>
    </row>
    <row r="47509" spans="23:23">
      <c r="W47509" s="503"/>
    </row>
    <row r="47510" spans="23:23">
      <c r="W47510" s="503"/>
    </row>
    <row r="47511" spans="23:23">
      <c r="W47511" s="503"/>
    </row>
    <row r="47512" spans="23:23">
      <c r="W47512" s="503"/>
    </row>
    <row r="47513" spans="23:23">
      <c r="W47513" s="503"/>
    </row>
    <row r="47514" spans="23:23">
      <c r="W47514" s="503"/>
    </row>
    <row r="47515" spans="23:23">
      <c r="W47515" s="503"/>
    </row>
    <row r="47516" spans="23:23">
      <c r="W47516" s="503"/>
    </row>
    <row r="47517" spans="23:23">
      <c r="W47517" s="503"/>
    </row>
    <row r="47518" spans="23:23">
      <c r="W47518" s="503"/>
    </row>
    <row r="47519" spans="23:23">
      <c r="W47519" s="503"/>
    </row>
    <row r="47520" spans="23:23">
      <c r="W47520" s="503"/>
    </row>
    <row r="47521" spans="23:23">
      <c r="W47521" s="503"/>
    </row>
    <row r="47522" spans="23:23">
      <c r="W47522" s="503"/>
    </row>
    <row r="47523" spans="23:23">
      <c r="W47523" s="503"/>
    </row>
    <row r="47524" spans="23:23">
      <c r="W47524" s="503"/>
    </row>
    <row r="47525" spans="23:23">
      <c r="W47525" s="503"/>
    </row>
    <row r="47526" spans="23:23">
      <c r="W47526" s="503"/>
    </row>
    <row r="47527" spans="23:23">
      <c r="W47527" s="503"/>
    </row>
    <row r="47528" spans="23:23">
      <c r="W47528" s="503"/>
    </row>
    <row r="47529" spans="23:23">
      <c r="W47529" s="503"/>
    </row>
    <row r="47530" spans="23:23">
      <c r="W47530" s="503"/>
    </row>
    <row r="47531" spans="23:23">
      <c r="W47531" s="503"/>
    </row>
    <row r="47532" spans="23:23">
      <c r="W47532" s="503"/>
    </row>
    <row r="47533" spans="23:23">
      <c r="W47533" s="503"/>
    </row>
    <row r="47534" spans="23:23">
      <c r="W47534" s="503"/>
    </row>
    <row r="47535" spans="23:23">
      <c r="W47535" s="503"/>
    </row>
    <row r="47536" spans="23:23">
      <c r="W47536" s="503"/>
    </row>
    <row r="47537" spans="23:23">
      <c r="W47537" s="503"/>
    </row>
    <row r="47538" spans="23:23">
      <c r="W47538" s="503"/>
    </row>
    <row r="47539" spans="23:23">
      <c r="W47539" s="503"/>
    </row>
    <row r="47540" spans="23:23">
      <c r="W47540" s="503"/>
    </row>
    <row r="47541" spans="23:23">
      <c r="W47541" s="503"/>
    </row>
    <row r="47542" spans="23:23">
      <c r="W47542" s="503"/>
    </row>
    <row r="47543" spans="23:23">
      <c r="W47543" s="503"/>
    </row>
    <row r="47544" spans="23:23">
      <c r="W47544" s="503"/>
    </row>
    <row r="47545" spans="23:23">
      <c r="W47545" s="503"/>
    </row>
    <row r="47546" spans="23:23">
      <c r="W47546" s="503"/>
    </row>
    <row r="47547" spans="23:23">
      <c r="W47547" s="503"/>
    </row>
    <row r="47548" spans="23:23">
      <c r="W47548" s="503"/>
    </row>
    <row r="47549" spans="23:23">
      <c r="W47549" s="503"/>
    </row>
    <row r="47550" spans="23:23">
      <c r="W47550" s="503"/>
    </row>
    <row r="47551" spans="23:23">
      <c r="W47551" s="503"/>
    </row>
    <row r="47552" spans="23:23">
      <c r="W47552" s="503"/>
    </row>
    <row r="47553" spans="23:23">
      <c r="W47553" s="503"/>
    </row>
    <row r="47554" spans="23:23">
      <c r="W47554" s="503"/>
    </row>
    <row r="47555" spans="23:23">
      <c r="W47555" s="503"/>
    </row>
    <row r="47556" spans="23:23">
      <c r="W47556" s="503"/>
    </row>
    <row r="47557" spans="23:23">
      <c r="W47557" s="503"/>
    </row>
    <row r="47558" spans="23:23">
      <c r="W47558" s="503"/>
    </row>
    <row r="47559" spans="23:23">
      <c r="W47559" s="503"/>
    </row>
    <row r="47560" spans="23:23">
      <c r="W47560" s="503"/>
    </row>
    <row r="47561" spans="23:23">
      <c r="W47561" s="503"/>
    </row>
    <row r="47562" spans="23:23">
      <c r="W47562" s="503"/>
    </row>
    <row r="47563" spans="23:23">
      <c r="W47563" s="503"/>
    </row>
    <row r="47564" spans="23:23">
      <c r="W47564" s="503"/>
    </row>
    <row r="47565" spans="23:23">
      <c r="W47565" s="503"/>
    </row>
    <row r="47566" spans="23:23">
      <c r="W47566" s="503"/>
    </row>
    <row r="47567" spans="23:23">
      <c r="W47567" s="503"/>
    </row>
    <row r="47568" spans="23:23">
      <c r="W47568" s="503"/>
    </row>
    <row r="47569" spans="23:23">
      <c r="W47569" s="503"/>
    </row>
    <row r="47570" spans="23:23">
      <c r="W47570" s="503"/>
    </row>
    <row r="47571" spans="23:23">
      <c r="W47571" s="503"/>
    </row>
    <row r="47572" spans="23:23">
      <c r="W47572" s="503"/>
    </row>
    <row r="47573" spans="23:23">
      <c r="W47573" s="503"/>
    </row>
    <row r="47574" spans="23:23">
      <c r="W47574" s="503"/>
    </row>
    <row r="47575" spans="23:23">
      <c r="W47575" s="503"/>
    </row>
    <row r="47576" spans="23:23">
      <c r="W47576" s="503"/>
    </row>
    <row r="47577" spans="23:23">
      <c r="W47577" s="503"/>
    </row>
    <row r="47578" spans="23:23">
      <c r="W47578" s="503"/>
    </row>
    <row r="47579" spans="23:23">
      <c r="W47579" s="503"/>
    </row>
    <row r="47580" spans="23:23">
      <c r="W47580" s="503"/>
    </row>
    <row r="47581" spans="23:23">
      <c r="W47581" s="503"/>
    </row>
    <row r="47582" spans="23:23">
      <c r="W47582" s="503"/>
    </row>
    <row r="47583" spans="23:23">
      <c r="W47583" s="503"/>
    </row>
    <row r="47584" spans="23:23">
      <c r="W47584" s="503"/>
    </row>
    <row r="47585" spans="23:23">
      <c r="W47585" s="503"/>
    </row>
    <row r="47586" spans="23:23">
      <c r="W47586" s="503"/>
    </row>
    <row r="47587" spans="23:23">
      <c r="W47587" s="503"/>
    </row>
    <row r="47588" spans="23:23">
      <c r="W47588" s="503"/>
    </row>
    <row r="47589" spans="23:23">
      <c r="W47589" s="503"/>
    </row>
    <row r="47590" spans="23:23">
      <c r="W47590" s="503"/>
    </row>
    <row r="47591" spans="23:23">
      <c r="W47591" s="503"/>
    </row>
    <row r="47592" spans="23:23">
      <c r="W47592" s="503"/>
    </row>
    <row r="47593" spans="23:23">
      <c r="W47593" s="503"/>
    </row>
    <row r="47594" spans="23:23">
      <c r="W47594" s="503"/>
    </row>
    <row r="47595" spans="23:23">
      <c r="W47595" s="503"/>
    </row>
    <row r="47596" spans="23:23">
      <c r="W47596" s="503"/>
    </row>
    <row r="47597" spans="23:23">
      <c r="W47597" s="503"/>
    </row>
    <row r="47598" spans="23:23">
      <c r="W47598" s="503"/>
    </row>
    <row r="47599" spans="23:23">
      <c r="W47599" s="503"/>
    </row>
    <row r="47600" spans="23:23">
      <c r="W47600" s="503"/>
    </row>
    <row r="47601" spans="23:23">
      <c r="W47601" s="503"/>
    </row>
    <row r="47602" spans="23:23">
      <c r="W47602" s="503"/>
    </row>
    <row r="47603" spans="23:23">
      <c r="W47603" s="503"/>
    </row>
    <row r="47604" spans="23:23">
      <c r="W47604" s="503"/>
    </row>
    <row r="47605" spans="23:23">
      <c r="W47605" s="503"/>
    </row>
    <row r="47606" spans="23:23">
      <c r="W47606" s="503"/>
    </row>
    <row r="47607" spans="23:23">
      <c r="W47607" s="503"/>
    </row>
    <row r="47608" spans="23:23">
      <c r="W47608" s="503"/>
    </row>
    <row r="47609" spans="23:23">
      <c r="W47609" s="503"/>
    </row>
    <row r="47610" spans="23:23">
      <c r="W47610" s="503"/>
    </row>
    <row r="47611" spans="23:23">
      <c r="W47611" s="503"/>
    </row>
    <row r="47612" spans="23:23">
      <c r="W47612" s="503"/>
    </row>
    <row r="47613" spans="23:23">
      <c r="W47613" s="503"/>
    </row>
    <row r="47614" spans="23:23">
      <c r="W47614" s="503"/>
    </row>
    <row r="47615" spans="23:23">
      <c r="W47615" s="503"/>
    </row>
    <row r="47616" spans="23:23">
      <c r="W47616" s="503"/>
    </row>
    <row r="47617" spans="23:23">
      <c r="W47617" s="503"/>
    </row>
    <row r="47618" spans="23:23">
      <c r="W47618" s="503"/>
    </row>
    <row r="47619" spans="23:23">
      <c r="W47619" s="503"/>
    </row>
    <row r="47620" spans="23:23">
      <c r="W47620" s="503"/>
    </row>
    <row r="47621" spans="23:23">
      <c r="W47621" s="503"/>
    </row>
    <row r="47622" spans="23:23">
      <c r="W47622" s="503"/>
    </row>
    <row r="47623" spans="23:23">
      <c r="W47623" s="503"/>
    </row>
    <row r="47624" spans="23:23">
      <c r="W47624" s="503"/>
    </row>
    <row r="47625" spans="23:23">
      <c r="W47625" s="503"/>
    </row>
    <row r="47626" spans="23:23">
      <c r="W47626" s="503"/>
    </row>
    <row r="47627" spans="23:23">
      <c r="W47627" s="503"/>
    </row>
    <row r="47628" spans="23:23">
      <c r="W47628" s="503"/>
    </row>
    <row r="47629" spans="23:23">
      <c r="W47629" s="503"/>
    </row>
    <row r="47630" spans="23:23">
      <c r="W47630" s="503"/>
    </row>
    <row r="47631" spans="23:23">
      <c r="W47631" s="503"/>
    </row>
    <row r="47632" spans="23:23">
      <c r="W47632" s="503"/>
    </row>
    <row r="47633" spans="23:23">
      <c r="W47633" s="503"/>
    </row>
    <row r="47634" spans="23:23">
      <c r="W47634" s="503"/>
    </row>
    <row r="47635" spans="23:23">
      <c r="W47635" s="503"/>
    </row>
    <row r="47636" spans="23:23">
      <c r="W47636" s="503"/>
    </row>
    <row r="47637" spans="23:23">
      <c r="W47637" s="503"/>
    </row>
    <row r="47638" spans="23:23">
      <c r="W47638" s="503"/>
    </row>
    <row r="47639" spans="23:23">
      <c r="W47639" s="503"/>
    </row>
    <row r="47640" spans="23:23">
      <c r="W47640" s="503"/>
    </row>
    <row r="47641" spans="23:23">
      <c r="W47641" s="503"/>
    </row>
    <row r="47642" spans="23:23">
      <c r="W47642" s="503"/>
    </row>
    <row r="47643" spans="23:23">
      <c r="W47643" s="503"/>
    </row>
    <row r="47644" spans="23:23">
      <c r="W47644" s="503"/>
    </row>
    <row r="47645" spans="23:23">
      <c r="W47645" s="503"/>
    </row>
    <row r="47646" spans="23:23">
      <c r="W47646" s="503"/>
    </row>
    <row r="47647" spans="23:23">
      <c r="W47647" s="503"/>
    </row>
    <row r="47648" spans="23:23">
      <c r="W47648" s="503"/>
    </row>
    <row r="47649" spans="23:23">
      <c r="W47649" s="503"/>
    </row>
    <row r="47650" spans="23:23">
      <c r="W47650" s="503"/>
    </row>
    <row r="47651" spans="23:23">
      <c r="W47651" s="503"/>
    </row>
    <row r="47652" spans="23:23">
      <c r="W47652" s="503"/>
    </row>
    <row r="47653" spans="23:23">
      <c r="W47653" s="503"/>
    </row>
    <row r="47654" spans="23:23">
      <c r="W47654" s="503"/>
    </row>
    <row r="47655" spans="23:23">
      <c r="W47655" s="503"/>
    </row>
    <row r="47656" spans="23:23">
      <c r="W47656" s="503"/>
    </row>
    <row r="47657" spans="23:23">
      <c r="W47657" s="503"/>
    </row>
    <row r="47658" spans="23:23">
      <c r="W47658" s="503"/>
    </row>
    <row r="47659" spans="23:23">
      <c r="W47659" s="503"/>
    </row>
    <row r="47660" spans="23:23">
      <c r="W47660" s="503"/>
    </row>
    <row r="47661" spans="23:23">
      <c r="W47661" s="503"/>
    </row>
    <row r="47662" spans="23:23">
      <c r="W47662" s="503"/>
    </row>
    <row r="47663" spans="23:23">
      <c r="W47663" s="503"/>
    </row>
    <row r="47664" spans="23:23">
      <c r="W47664" s="503"/>
    </row>
    <row r="47665" spans="23:23">
      <c r="W47665" s="503"/>
    </row>
    <row r="47666" spans="23:23">
      <c r="W47666" s="503"/>
    </row>
    <row r="47667" spans="23:23">
      <c r="W47667" s="503"/>
    </row>
    <row r="47668" spans="23:23">
      <c r="W47668" s="503"/>
    </row>
    <row r="47669" spans="23:23">
      <c r="W47669" s="503"/>
    </row>
    <row r="47670" spans="23:23">
      <c r="W47670" s="503"/>
    </row>
    <row r="47671" spans="23:23">
      <c r="W47671" s="503"/>
    </row>
    <row r="47672" spans="23:23">
      <c r="W47672" s="503"/>
    </row>
    <row r="47673" spans="23:23">
      <c r="W47673" s="503"/>
    </row>
    <row r="47674" spans="23:23">
      <c r="W47674" s="503"/>
    </row>
    <row r="47675" spans="23:23">
      <c r="W47675" s="503"/>
    </row>
    <row r="47676" spans="23:23">
      <c r="W47676" s="503"/>
    </row>
    <row r="47677" spans="23:23">
      <c r="W47677" s="503"/>
    </row>
    <row r="47678" spans="23:23">
      <c r="W47678" s="503"/>
    </row>
    <row r="47679" spans="23:23">
      <c r="W47679" s="503"/>
    </row>
    <row r="47680" spans="23:23">
      <c r="W47680" s="503"/>
    </row>
    <row r="47681" spans="23:23">
      <c r="W47681" s="503"/>
    </row>
    <row r="47682" spans="23:23">
      <c r="W47682" s="503"/>
    </row>
    <row r="47683" spans="23:23">
      <c r="W47683" s="503"/>
    </row>
    <row r="47684" spans="23:23">
      <c r="W47684" s="503"/>
    </row>
    <row r="47685" spans="23:23">
      <c r="W47685" s="503"/>
    </row>
    <row r="47686" spans="23:23">
      <c r="W47686" s="503"/>
    </row>
    <row r="47687" spans="23:23">
      <c r="W47687" s="503"/>
    </row>
    <row r="47688" spans="23:23">
      <c r="W47688" s="503"/>
    </row>
    <row r="47689" spans="23:23">
      <c r="W47689" s="503"/>
    </row>
    <row r="47690" spans="23:23">
      <c r="W47690" s="503"/>
    </row>
    <row r="47691" spans="23:23">
      <c r="W47691" s="503"/>
    </row>
    <row r="47692" spans="23:23">
      <c r="W47692" s="503"/>
    </row>
    <row r="47693" spans="23:23">
      <c r="W47693" s="503"/>
    </row>
    <row r="47694" spans="23:23">
      <c r="W47694" s="503"/>
    </row>
    <row r="47695" spans="23:23">
      <c r="W47695" s="503"/>
    </row>
    <row r="47696" spans="23:23">
      <c r="W47696" s="503"/>
    </row>
    <row r="47697" spans="23:23">
      <c r="W47697" s="503"/>
    </row>
    <row r="47698" spans="23:23">
      <c r="W47698" s="503"/>
    </row>
    <row r="47699" spans="23:23">
      <c r="W47699" s="503"/>
    </row>
    <row r="47700" spans="23:23">
      <c r="W47700" s="503"/>
    </row>
    <row r="47701" spans="23:23">
      <c r="W47701" s="503"/>
    </row>
    <row r="47702" spans="23:23">
      <c r="W47702" s="503"/>
    </row>
    <row r="47703" spans="23:23">
      <c r="W47703" s="503"/>
    </row>
    <row r="47704" spans="23:23">
      <c r="W47704" s="503"/>
    </row>
    <row r="47705" spans="23:23">
      <c r="W47705" s="503"/>
    </row>
    <row r="47706" spans="23:23">
      <c r="W47706" s="503"/>
    </row>
    <row r="47707" spans="23:23">
      <c r="W47707" s="503"/>
    </row>
    <row r="47708" spans="23:23">
      <c r="W47708" s="503"/>
    </row>
    <row r="47709" spans="23:23">
      <c r="W47709" s="503"/>
    </row>
    <row r="47710" spans="23:23">
      <c r="W47710" s="503"/>
    </row>
    <row r="47711" spans="23:23">
      <c r="W47711" s="503"/>
    </row>
    <row r="47712" spans="23:23">
      <c r="W47712" s="503"/>
    </row>
    <row r="47713" spans="23:23">
      <c r="W47713" s="503"/>
    </row>
    <row r="47714" spans="23:23">
      <c r="W47714" s="503"/>
    </row>
    <row r="47715" spans="23:23">
      <c r="W47715" s="503"/>
    </row>
    <row r="47716" spans="23:23">
      <c r="W47716" s="503"/>
    </row>
    <row r="47717" spans="23:23">
      <c r="W47717" s="503"/>
    </row>
    <row r="47718" spans="23:23">
      <c r="W47718" s="503"/>
    </row>
    <row r="47719" spans="23:23">
      <c r="W47719" s="503"/>
    </row>
    <row r="47720" spans="23:23">
      <c r="W47720" s="503"/>
    </row>
    <row r="47721" spans="23:23">
      <c r="W47721" s="503"/>
    </row>
    <row r="47722" spans="23:23">
      <c r="W47722" s="503"/>
    </row>
    <row r="47723" spans="23:23">
      <c r="W47723" s="503"/>
    </row>
    <row r="47724" spans="23:23">
      <c r="W47724" s="503"/>
    </row>
    <row r="47725" spans="23:23">
      <c r="W47725" s="503"/>
    </row>
    <row r="47726" spans="23:23">
      <c r="W47726" s="503"/>
    </row>
    <row r="47727" spans="23:23">
      <c r="W47727" s="503"/>
    </row>
    <row r="47728" spans="23:23">
      <c r="W47728" s="503"/>
    </row>
    <row r="47729" spans="23:23">
      <c r="W47729" s="503"/>
    </row>
    <row r="47730" spans="23:23">
      <c r="W47730" s="503"/>
    </row>
    <row r="47731" spans="23:23">
      <c r="W47731" s="503"/>
    </row>
    <row r="47732" spans="23:23">
      <c r="W47732" s="503"/>
    </row>
    <row r="47733" spans="23:23">
      <c r="W47733" s="503"/>
    </row>
    <row r="47734" spans="23:23">
      <c r="W47734" s="503"/>
    </row>
    <row r="47735" spans="23:23">
      <c r="W47735" s="503"/>
    </row>
    <row r="47736" spans="23:23">
      <c r="W47736" s="503"/>
    </row>
    <row r="47737" spans="23:23">
      <c r="W47737" s="503"/>
    </row>
    <row r="47738" spans="23:23">
      <c r="W47738" s="503"/>
    </row>
    <row r="47739" spans="23:23">
      <c r="W47739" s="503"/>
    </row>
    <row r="47740" spans="23:23">
      <c r="W47740" s="503"/>
    </row>
    <row r="47741" spans="23:23">
      <c r="W47741" s="503"/>
    </row>
    <row r="47742" spans="23:23">
      <c r="W47742" s="503"/>
    </row>
    <row r="47743" spans="23:23">
      <c r="W47743" s="503"/>
    </row>
    <row r="47744" spans="23:23">
      <c r="W47744" s="503"/>
    </row>
    <row r="47745" spans="23:23">
      <c r="W47745" s="503"/>
    </row>
    <row r="47746" spans="23:23">
      <c r="W47746" s="503"/>
    </row>
    <row r="47747" spans="23:23">
      <c r="W47747" s="503"/>
    </row>
    <row r="47748" spans="23:23">
      <c r="W47748" s="503"/>
    </row>
    <row r="47749" spans="23:23">
      <c r="W47749" s="503"/>
    </row>
    <row r="47750" spans="23:23">
      <c r="W47750" s="503"/>
    </row>
    <row r="47751" spans="23:23">
      <c r="W47751" s="503"/>
    </row>
    <row r="47752" spans="23:23">
      <c r="W47752" s="503"/>
    </row>
    <row r="47753" spans="23:23">
      <c r="W47753" s="503"/>
    </row>
    <row r="47754" spans="23:23">
      <c r="W47754" s="503"/>
    </row>
    <row r="47755" spans="23:23">
      <c r="W47755" s="503"/>
    </row>
    <row r="47756" spans="23:23">
      <c r="W47756" s="503"/>
    </row>
    <row r="47757" spans="23:23">
      <c r="W47757" s="503"/>
    </row>
    <row r="47758" spans="23:23">
      <c r="W47758" s="503"/>
    </row>
    <row r="47759" spans="23:23">
      <c r="W47759" s="503"/>
    </row>
    <row r="47760" spans="23:23">
      <c r="W47760" s="503"/>
    </row>
    <row r="47761" spans="23:23">
      <c r="W47761" s="503"/>
    </row>
    <row r="47762" spans="23:23">
      <c r="W47762" s="503"/>
    </row>
    <row r="47763" spans="23:23">
      <c r="W47763" s="503"/>
    </row>
    <row r="47764" spans="23:23">
      <c r="W47764" s="503"/>
    </row>
    <row r="47765" spans="23:23">
      <c r="W47765" s="503"/>
    </row>
    <row r="47766" spans="23:23">
      <c r="W47766" s="503"/>
    </row>
    <row r="47767" spans="23:23">
      <c r="W47767" s="503"/>
    </row>
    <row r="47768" spans="23:23">
      <c r="W47768" s="503"/>
    </row>
    <row r="47769" spans="23:23">
      <c r="W47769" s="503"/>
    </row>
    <row r="47770" spans="23:23">
      <c r="W47770" s="503"/>
    </row>
    <row r="47771" spans="23:23">
      <c r="W47771" s="503"/>
    </row>
    <row r="47772" spans="23:23">
      <c r="W47772" s="503"/>
    </row>
    <row r="47773" spans="23:23">
      <c r="W47773" s="503"/>
    </row>
    <row r="47774" spans="23:23">
      <c r="W47774" s="503"/>
    </row>
    <row r="47775" spans="23:23">
      <c r="W47775" s="503"/>
    </row>
    <row r="47776" spans="23:23">
      <c r="W47776" s="503"/>
    </row>
    <row r="47777" spans="23:23">
      <c r="W47777" s="503"/>
    </row>
    <row r="47778" spans="23:23">
      <c r="W47778" s="503"/>
    </row>
    <row r="47779" spans="23:23">
      <c r="W47779" s="503"/>
    </row>
    <row r="47780" spans="23:23">
      <c r="W47780" s="503"/>
    </row>
    <row r="47781" spans="23:23">
      <c r="W47781" s="503"/>
    </row>
    <row r="47782" spans="23:23">
      <c r="W47782" s="503"/>
    </row>
    <row r="47783" spans="23:23">
      <c r="W47783" s="503"/>
    </row>
    <row r="47784" spans="23:23">
      <c r="W47784" s="503"/>
    </row>
    <row r="47785" spans="23:23">
      <c r="W47785" s="503"/>
    </row>
    <row r="47786" spans="23:23">
      <c r="W47786" s="503"/>
    </row>
    <row r="47787" spans="23:23">
      <c r="W47787" s="503"/>
    </row>
    <row r="47788" spans="23:23">
      <c r="W47788" s="503"/>
    </row>
    <row r="47789" spans="23:23">
      <c r="W47789" s="503"/>
    </row>
    <row r="47790" spans="23:23">
      <c r="W47790" s="503"/>
    </row>
    <row r="47791" spans="23:23">
      <c r="W47791" s="503"/>
    </row>
    <row r="47792" spans="23:23">
      <c r="W47792" s="503"/>
    </row>
    <row r="47793" spans="23:23">
      <c r="W47793" s="503"/>
    </row>
    <row r="47794" spans="23:23">
      <c r="W47794" s="503"/>
    </row>
    <row r="47795" spans="23:23">
      <c r="W47795" s="503"/>
    </row>
    <row r="47796" spans="23:23">
      <c r="W47796" s="503"/>
    </row>
    <row r="47797" spans="23:23">
      <c r="W47797" s="503"/>
    </row>
    <row r="47798" spans="23:23">
      <c r="W47798" s="503"/>
    </row>
    <row r="47799" spans="23:23">
      <c r="W47799" s="503"/>
    </row>
    <row r="47800" spans="23:23">
      <c r="W47800" s="503"/>
    </row>
    <row r="47801" spans="23:23">
      <c r="W47801" s="503"/>
    </row>
    <row r="47802" spans="23:23">
      <c r="W47802" s="503"/>
    </row>
    <row r="47803" spans="23:23">
      <c r="W47803" s="503"/>
    </row>
    <row r="47804" spans="23:23">
      <c r="W47804" s="503"/>
    </row>
    <row r="47805" spans="23:23">
      <c r="W47805" s="503"/>
    </row>
    <row r="47806" spans="23:23">
      <c r="W47806" s="503"/>
    </row>
    <row r="47807" spans="23:23">
      <c r="W47807" s="503"/>
    </row>
    <row r="47808" spans="23:23">
      <c r="W47808" s="503"/>
    </row>
    <row r="47809" spans="23:23">
      <c r="W47809" s="503"/>
    </row>
    <row r="47810" spans="23:23">
      <c r="W47810" s="503"/>
    </row>
    <row r="47811" spans="23:23">
      <c r="W47811" s="503"/>
    </row>
    <row r="47812" spans="23:23">
      <c r="W47812" s="503"/>
    </row>
    <row r="47813" spans="23:23">
      <c r="W47813" s="503"/>
    </row>
    <row r="47814" spans="23:23">
      <c r="W47814" s="503"/>
    </row>
    <row r="47815" spans="23:23">
      <c r="W47815" s="503"/>
    </row>
    <row r="47816" spans="23:23">
      <c r="W47816" s="503"/>
    </row>
    <row r="47817" spans="23:23">
      <c r="W47817" s="503"/>
    </row>
    <row r="47818" spans="23:23">
      <c r="W47818" s="503"/>
    </row>
    <row r="47819" spans="23:23">
      <c r="W47819" s="503"/>
    </row>
    <row r="47820" spans="23:23">
      <c r="W47820" s="503"/>
    </row>
    <row r="47821" spans="23:23">
      <c r="W47821" s="503"/>
    </row>
    <row r="47822" spans="23:23">
      <c r="W47822" s="503"/>
    </row>
    <row r="47823" spans="23:23">
      <c r="W47823" s="503"/>
    </row>
    <row r="47824" spans="23:23">
      <c r="W47824" s="503"/>
    </row>
    <row r="47825" spans="23:23">
      <c r="W47825" s="503"/>
    </row>
    <row r="47826" spans="23:23">
      <c r="W47826" s="503"/>
    </row>
    <row r="47827" spans="23:23">
      <c r="W47827" s="503"/>
    </row>
    <row r="47828" spans="23:23">
      <c r="W47828" s="503"/>
    </row>
    <row r="47829" spans="23:23">
      <c r="W47829" s="503"/>
    </row>
    <row r="47830" spans="23:23">
      <c r="W47830" s="503"/>
    </row>
    <row r="47831" spans="23:23">
      <c r="W47831" s="503"/>
    </row>
    <row r="47832" spans="23:23">
      <c r="W47832" s="503"/>
    </row>
    <row r="47833" spans="23:23">
      <c r="W47833" s="503"/>
    </row>
    <row r="47834" spans="23:23">
      <c r="W47834" s="503"/>
    </row>
    <row r="47835" spans="23:23">
      <c r="W47835" s="503"/>
    </row>
    <row r="47836" spans="23:23">
      <c r="W47836" s="503"/>
    </row>
    <row r="47837" spans="23:23">
      <c r="W47837" s="503"/>
    </row>
    <row r="47838" spans="23:23">
      <c r="W47838" s="503"/>
    </row>
    <row r="47839" spans="23:23">
      <c r="W47839" s="503"/>
    </row>
    <row r="47840" spans="23:23">
      <c r="W47840" s="503"/>
    </row>
    <row r="47841" spans="23:23">
      <c r="W47841" s="503"/>
    </row>
    <row r="47842" spans="23:23">
      <c r="W47842" s="503"/>
    </row>
    <row r="47843" spans="23:23">
      <c r="W47843" s="503"/>
    </row>
    <row r="47844" spans="23:23">
      <c r="W47844" s="503"/>
    </row>
    <row r="47845" spans="23:23">
      <c r="W47845" s="503"/>
    </row>
    <row r="47846" spans="23:23">
      <c r="W47846" s="503"/>
    </row>
    <row r="47847" spans="23:23">
      <c r="W47847" s="503"/>
    </row>
    <row r="47848" spans="23:23">
      <c r="W47848" s="503"/>
    </row>
    <row r="47849" spans="23:23">
      <c r="W47849" s="503"/>
    </row>
    <row r="47850" spans="23:23">
      <c r="W47850" s="503"/>
    </row>
    <row r="47851" spans="23:23">
      <c r="W47851" s="503"/>
    </row>
    <row r="47852" spans="23:23">
      <c r="W47852" s="503"/>
    </row>
    <row r="47853" spans="23:23">
      <c r="W47853" s="503"/>
    </row>
    <row r="47854" spans="23:23">
      <c r="W47854" s="503"/>
    </row>
    <row r="47855" spans="23:23">
      <c r="W47855" s="503"/>
    </row>
    <row r="47856" spans="23:23">
      <c r="W47856" s="503"/>
    </row>
    <row r="47857" spans="23:23">
      <c r="W47857" s="503"/>
    </row>
    <row r="47858" spans="23:23">
      <c r="W47858" s="503"/>
    </row>
    <row r="47859" spans="23:23">
      <c r="W47859" s="503"/>
    </row>
    <row r="47860" spans="23:23">
      <c r="W47860" s="503"/>
    </row>
    <row r="47861" spans="23:23">
      <c r="W47861" s="503"/>
    </row>
    <row r="47862" spans="23:23">
      <c r="W47862" s="503"/>
    </row>
    <row r="47863" spans="23:23">
      <c r="W47863" s="503"/>
    </row>
    <row r="47864" spans="23:23">
      <c r="W47864" s="503"/>
    </row>
    <row r="47865" spans="23:23">
      <c r="W47865" s="503"/>
    </row>
    <row r="47866" spans="23:23">
      <c r="W47866" s="503"/>
    </row>
    <row r="47867" spans="23:23">
      <c r="W47867" s="503"/>
    </row>
    <row r="47868" spans="23:23">
      <c r="W47868" s="503"/>
    </row>
    <row r="47869" spans="23:23">
      <c r="W47869" s="503"/>
    </row>
    <row r="47870" spans="23:23">
      <c r="W47870" s="503"/>
    </row>
    <row r="47871" spans="23:23">
      <c r="W47871" s="503"/>
    </row>
    <row r="47872" spans="23:23">
      <c r="W47872" s="503"/>
    </row>
    <row r="47873" spans="23:23">
      <c r="W47873" s="503"/>
    </row>
    <row r="47874" spans="23:23">
      <c r="W47874" s="503"/>
    </row>
    <row r="47875" spans="23:23">
      <c r="W47875" s="503"/>
    </row>
    <row r="47876" spans="23:23">
      <c r="W47876" s="503"/>
    </row>
    <row r="47877" spans="23:23">
      <c r="W47877" s="503"/>
    </row>
    <row r="47878" spans="23:23">
      <c r="W47878" s="503"/>
    </row>
    <row r="47879" spans="23:23">
      <c r="W47879" s="503"/>
    </row>
    <row r="47880" spans="23:23">
      <c r="W47880" s="503"/>
    </row>
    <row r="47881" spans="23:23">
      <c r="W47881" s="503"/>
    </row>
    <row r="47882" spans="23:23">
      <c r="W47882" s="503"/>
    </row>
    <row r="47883" spans="23:23">
      <c r="W47883" s="503"/>
    </row>
    <row r="47884" spans="23:23">
      <c r="W47884" s="503"/>
    </row>
    <row r="47885" spans="23:23">
      <c r="W47885" s="503"/>
    </row>
    <row r="47886" spans="23:23">
      <c r="W47886" s="503"/>
    </row>
    <row r="47887" spans="23:23">
      <c r="W47887" s="503"/>
    </row>
    <row r="47888" spans="23:23">
      <c r="W47888" s="503"/>
    </row>
    <row r="47889" spans="23:23">
      <c r="W47889" s="503"/>
    </row>
    <row r="47890" spans="23:23">
      <c r="W47890" s="503"/>
    </row>
    <row r="47891" spans="23:23">
      <c r="W47891" s="503"/>
    </row>
    <row r="47892" spans="23:23">
      <c r="W47892" s="503"/>
    </row>
    <row r="47893" spans="23:23">
      <c r="W47893" s="503"/>
    </row>
    <row r="47894" spans="23:23">
      <c r="W47894" s="503"/>
    </row>
    <row r="47895" spans="23:23">
      <c r="W47895" s="503"/>
    </row>
    <row r="47896" spans="23:23">
      <c r="W47896" s="503"/>
    </row>
    <row r="47897" spans="23:23">
      <c r="W47897" s="503"/>
    </row>
    <row r="47898" spans="23:23">
      <c r="W47898" s="503"/>
    </row>
    <row r="47899" spans="23:23">
      <c r="W47899" s="503"/>
    </row>
    <row r="47900" spans="23:23">
      <c r="W47900" s="503"/>
    </row>
    <row r="47901" spans="23:23">
      <c r="W47901" s="503"/>
    </row>
    <row r="47902" spans="23:23">
      <c r="W47902" s="503"/>
    </row>
    <row r="47903" spans="23:23">
      <c r="W47903" s="503"/>
    </row>
    <row r="47904" spans="23:23">
      <c r="W47904" s="503"/>
    </row>
    <row r="47905" spans="23:23">
      <c r="W47905" s="503"/>
    </row>
    <row r="47906" spans="23:23">
      <c r="W47906" s="503"/>
    </row>
    <row r="47907" spans="23:23">
      <c r="W47907" s="503"/>
    </row>
    <row r="47908" spans="23:23">
      <c r="W47908" s="503"/>
    </row>
    <row r="47909" spans="23:23">
      <c r="W47909" s="503"/>
    </row>
    <row r="47910" spans="23:23">
      <c r="W47910" s="503"/>
    </row>
    <row r="47911" spans="23:23">
      <c r="W47911" s="503"/>
    </row>
    <row r="47912" spans="23:23">
      <c r="W47912" s="503"/>
    </row>
    <row r="47913" spans="23:23">
      <c r="W47913" s="503"/>
    </row>
    <row r="47914" spans="23:23">
      <c r="W47914" s="503"/>
    </row>
    <row r="47915" spans="23:23">
      <c r="W47915" s="503"/>
    </row>
    <row r="47916" spans="23:23">
      <c r="W47916" s="503"/>
    </row>
    <row r="47917" spans="23:23">
      <c r="W47917" s="503"/>
    </row>
    <row r="47918" spans="23:23">
      <c r="W47918" s="503"/>
    </row>
    <row r="47919" spans="23:23">
      <c r="W47919" s="503"/>
    </row>
    <row r="47920" spans="23:23">
      <c r="W47920" s="503"/>
    </row>
    <row r="47921" spans="23:23">
      <c r="W47921" s="503"/>
    </row>
    <row r="47922" spans="23:23">
      <c r="W47922" s="503"/>
    </row>
    <row r="47923" spans="23:23">
      <c r="W47923" s="503"/>
    </row>
    <row r="47924" spans="23:23">
      <c r="W47924" s="503"/>
    </row>
    <row r="47925" spans="23:23">
      <c r="W47925" s="503"/>
    </row>
    <row r="47926" spans="23:23">
      <c r="W47926" s="503"/>
    </row>
    <row r="47927" spans="23:23">
      <c r="W47927" s="503"/>
    </row>
    <row r="47928" spans="23:23">
      <c r="W47928" s="503"/>
    </row>
    <row r="47929" spans="23:23">
      <c r="W47929" s="503"/>
    </row>
    <row r="47930" spans="23:23">
      <c r="W47930" s="503"/>
    </row>
    <row r="47931" spans="23:23">
      <c r="W47931" s="503"/>
    </row>
    <row r="47932" spans="23:23">
      <c r="W47932" s="503"/>
    </row>
    <row r="47933" spans="23:23">
      <c r="W47933" s="503"/>
    </row>
    <row r="47934" spans="23:23">
      <c r="W47934" s="503"/>
    </row>
    <row r="47935" spans="23:23">
      <c r="W47935" s="503"/>
    </row>
    <row r="47936" spans="23:23">
      <c r="W47936" s="503"/>
    </row>
    <row r="47937" spans="23:23">
      <c r="W47937" s="503"/>
    </row>
    <row r="47938" spans="23:23">
      <c r="W47938" s="503"/>
    </row>
    <row r="47939" spans="23:23">
      <c r="W47939" s="503"/>
    </row>
    <row r="47940" spans="23:23">
      <c r="W47940" s="503"/>
    </row>
    <row r="47941" spans="23:23">
      <c r="W47941" s="503"/>
    </row>
    <row r="47942" spans="23:23">
      <c r="W47942" s="503"/>
    </row>
    <row r="47943" spans="23:23">
      <c r="W47943" s="503"/>
    </row>
    <row r="47944" spans="23:23">
      <c r="W47944" s="503"/>
    </row>
    <row r="47945" spans="23:23">
      <c r="W47945" s="503"/>
    </row>
    <row r="47946" spans="23:23">
      <c r="W47946" s="503"/>
    </row>
    <row r="47947" spans="23:23">
      <c r="W47947" s="503"/>
    </row>
    <row r="47948" spans="23:23">
      <c r="W47948" s="503"/>
    </row>
    <row r="47949" spans="23:23">
      <c r="W47949" s="503"/>
    </row>
    <row r="47950" spans="23:23">
      <c r="W47950" s="503"/>
    </row>
    <row r="47951" spans="23:23">
      <c r="W47951" s="503"/>
    </row>
    <row r="47952" spans="23:23">
      <c r="W47952" s="503"/>
    </row>
    <row r="47953" spans="23:23">
      <c r="W47953" s="503"/>
    </row>
    <row r="47954" spans="23:23">
      <c r="W47954" s="503"/>
    </row>
    <row r="47955" spans="23:23">
      <c r="W47955" s="503"/>
    </row>
    <row r="47956" spans="23:23">
      <c r="W47956" s="503"/>
    </row>
    <row r="47957" spans="23:23">
      <c r="W47957" s="503"/>
    </row>
    <row r="47958" spans="23:23">
      <c r="W47958" s="503"/>
    </row>
    <row r="47959" spans="23:23">
      <c r="W47959" s="503"/>
    </row>
    <row r="47960" spans="23:23">
      <c r="W47960" s="503"/>
    </row>
    <row r="47961" spans="23:23">
      <c r="W47961" s="503"/>
    </row>
    <row r="47962" spans="23:23">
      <c r="W47962" s="503"/>
    </row>
    <row r="47963" spans="23:23">
      <c r="W47963" s="503"/>
    </row>
    <row r="47964" spans="23:23">
      <c r="W47964" s="503"/>
    </row>
    <row r="47965" spans="23:23">
      <c r="W47965" s="503"/>
    </row>
    <row r="47966" spans="23:23">
      <c r="W47966" s="503"/>
    </row>
    <row r="47967" spans="23:23">
      <c r="W47967" s="503"/>
    </row>
    <row r="47968" spans="23:23">
      <c r="W47968" s="503"/>
    </row>
    <row r="47969" spans="23:23">
      <c r="W47969" s="503"/>
    </row>
    <row r="47970" spans="23:23">
      <c r="W47970" s="503"/>
    </row>
    <row r="47971" spans="23:23">
      <c r="W47971" s="503"/>
    </row>
    <row r="47972" spans="23:23">
      <c r="W47972" s="503"/>
    </row>
    <row r="47973" spans="23:23">
      <c r="W47973" s="503"/>
    </row>
    <row r="47974" spans="23:23">
      <c r="W47974" s="503"/>
    </row>
    <row r="47975" spans="23:23">
      <c r="W47975" s="503"/>
    </row>
    <row r="47976" spans="23:23">
      <c r="W47976" s="503"/>
    </row>
    <row r="47977" spans="23:23">
      <c r="W47977" s="503"/>
    </row>
    <row r="47978" spans="23:23">
      <c r="W47978" s="503"/>
    </row>
    <row r="47979" spans="23:23">
      <c r="W47979" s="503"/>
    </row>
    <row r="47980" spans="23:23">
      <c r="W47980" s="503"/>
    </row>
    <row r="47981" spans="23:23">
      <c r="W47981" s="503"/>
    </row>
    <row r="47982" spans="23:23">
      <c r="W47982" s="503"/>
    </row>
    <row r="47983" spans="23:23">
      <c r="W47983" s="503"/>
    </row>
    <row r="47984" spans="23:23">
      <c r="W47984" s="503"/>
    </row>
    <row r="47985" spans="23:23">
      <c r="W47985" s="503"/>
    </row>
    <row r="47986" spans="23:23">
      <c r="W47986" s="503"/>
    </row>
    <row r="47987" spans="23:23">
      <c r="W47987" s="503"/>
    </row>
    <row r="47988" spans="23:23">
      <c r="W47988" s="503"/>
    </row>
    <row r="47989" spans="23:23">
      <c r="W47989" s="503"/>
    </row>
    <row r="47990" spans="23:23">
      <c r="W47990" s="503"/>
    </row>
    <row r="47991" spans="23:23">
      <c r="W47991" s="503"/>
    </row>
    <row r="47992" spans="23:23">
      <c r="W47992" s="503"/>
    </row>
    <row r="47993" spans="23:23">
      <c r="W47993" s="503"/>
    </row>
    <row r="47994" spans="23:23">
      <c r="W47994" s="503"/>
    </row>
    <row r="47995" spans="23:23">
      <c r="W47995" s="503"/>
    </row>
    <row r="47996" spans="23:23">
      <c r="W47996" s="503"/>
    </row>
    <row r="47997" spans="23:23">
      <c r="W47997" s="503"/>
    </row>
    <row r="47998" spans="23:23">
      <c r="W47998" s="503"/>
    </row>
    <row r="47999" spans="23:23">
      <c r="W47999" s="503"/>
    </row>
    <row r="48000" spans="23:23">
      <c r="W48000" s="503"/>
    </row>
    <row r="48001" spans="23:23">
      <c r="W48001" s="503"/>
    </row>
    <row r="48002" spans="23:23">
      <c r="W48002" s="503"/>
    </row>
    <row r="48003" spans="23:23">
      <c r="W48003" s="503"/>
    </row>
    <row r="48004" spans="23:23">
      <c r="W48004" s="503"/>
    </row>
    <row r="48005" spans="23:23">
      <c r="W48005" s="503"/>
    </row>
    <row r="48006" spans="23:23">
      <c r="W48006" s="503"/>
    </row>
    <row r="48007" spans="23:23">
      <c r="W48007" s="503"/>
    </row>
    <row r="48008" spans="23:23">
      <c r="W48008" s="503"/>
    </row>
    <row r="48009" spans="23:23">
      <c r="W48009" s="503"/>
    </row>
    <row r="48010" spans="23:23">
      <c r="W48010" s="503"/>
    </row>
    <row r="48011" spans="23:23">
      <c r="W48011" s="503"/>
    </row>
    <row r="48012" spans="23:23">
      <c r="W48012" s="503"/>
    </row>
    <row r="48013" spans="23:23">
      <c r="W48013" s="503"/>
    </row>
    <row r="48014" spans="23:23">
      <c r="W48014" s="503"/>
    </row>
    <row r="48015" spans="23:23">
      <c r="W48015" s="503"/>
    </row>
    <row r="48016" spans="23:23">
      <c r="W48016" s="503"/>
    </row>
    <row r="48017" spans="23:23">
      <c r="W48017" s="503"/>
    </row>
    <row r="48018" spans="23:23">
      <c r="W48018" s="503"/>
    </row>
    <row r="48019" spans="23:23">
      <c r="W48019" s="503"/>
    </row>
    <row r="48020" spans="23:23">
      <c r="W48020" s="503"/>
    </row>
    <row r="48021" spans="23:23">
      <c r="W48021" s="503"/>
    </row>
    <row r="48022" spans="23:23">
      <c r="W48022" s="503"/>
    </row>
    <row r="48023" spans="23:23">
      <c r="W48023" s="503"/>
    </row>
    <row r="48024" spans="23:23">
      <c r="W48024" s="503"/>
    </row>
    <row r="48025" spans="23:23">
      <c r="W48025" s="503"/>
    </row>
    <row r="48026" spans="23:23">
      <c r="W48026" s="503"/>
    </row>
    <row r="48027" spans="23:23">
      <c r="W48027" s="503"/>
    </row>
    <row r="48028" spans="23:23">
      <c r="W48028" s="503"/>
    </row>
    <row r="48029" spans="23:23">
      <c r="W48029" s="503"/>
    </row>
    <row r="48030" spans="23:23">
      <c r="W48030" s="503"/>
    </row>
    <row r="48031" spans="23:23">
      <c r="W48031" s="503"/>
    </row>
    <row r="48032" spans="23:23">
      <c r="W48032" s="503"/>
    </row>
    <row r="48033" spans="23:23">
      <c r="W48033" s="503"/>
    </row>
    <row r="48034" spans="23:23">
      <c r="W48034" s="503"/>
    </row>
    <row r="48035" spans="23:23">
      <c r="W48035" s="503"/>
    </row>
    <row r="48036" spans="23:23">
      <c r="W48036" s="503"/>
    </row>
    <row r="48037" spans="23:23">
      <c r="W48037" s="503"/>
    </row>
    <row r="48038" spans="23:23">
      <c r="W48038" s="503"/>
    </row>
    <row r="48039" spans="23:23">
      <c r="W48039" s="503"/>
    </row>
    <row r="48040" spans="23:23">
      <c r="W48040" s="503"/>
    </row>
    <row r="48041" spans="23:23">
      <c r="W48041" s="503"/>
    </row>
    <row r="48042" spans="23:23">
      <c r="W48042" s="503"/>
    </row>
    <row r="48043" spans="23:23">
      <c r="W48043" s="503"/>
    </row>
    <row r="48044" spans="23:23">
      <c r="W48044" s="503"/>
    </row>
    <row r="48045" spans="23:23">
      <c r="W48045" s="503"/>
    </row>
    <row r="48046" spans="23:23">
      <c r="W48046" s="503"/>
    </row>
    <row r="48047" spans="23:23">
      <c r="W48047" s="503"/>
    </row>
    <row r="48048" spans="23:23">
      <c r="W48048" s="503"/>
    </row>
    <row r="48049" spans="23:23">
      <c r="W48049" s="503"/>
    </row>
    <row r="48050" spans="23:23">
      <c r="W48050" s="503"/>
    </row>
    <row r="48051" spans="23:23">
      <c r="W48051" s="503"/>
    </row>
    <row r="48052" spans="23:23">
      <c r="W48052" s="503"/>
    </row>
    <row r="48053" spans="23:23">
      <c r="W48053" s="503"/>
    </row>
    <row r="48054" spans="23:23">
      <c r="W48054" s="503"/>
    </row>
    <row r="48055" spans="23:23">
      <c r="W48055" s="503"/>
    </row>
    <row r="48056" spans="23:23">
      <c r="W48056" s="503"/>
    </row>
    <row r="48057" spans="23:23">
      <c r="W48057" s="503"/>
    </row>
    <row r="48058" spans="23:23">
      <c r="W48058" s="503"/>
    </row>
    <row r="48059" spans="23:23">
      <c r="W48059" s="503"/>
    </row>
    <row r="48060" spans="23:23">
      <c r="W48060" s="503"/>
    </row>
    <row r="48061" spans="23:23">
      <c r="W48061" s="503"/>
    </row>
    <row r="48062" spans="23:23">
      <c r="W48062" s="503"/>
    </row>
    <row r="48063" spans="23:23">
      <c r="W48063" s="503"/>
    </row>
    <row r="48064" spans="23:23">
      <c r="W48064" s="503"/>
    </row>
    <row r="48065" spans="23:23">
      <c r="W48065" s="503"/>
    </row>
    <row r="48066" spans="23:23">
      <c r="W48066" s="503"/>
    </row>
    <row r="48067" spans="23:23">
      <c r="W48067" s="503"/>
    </row>
    <row r="48068" spans="23:23">
      <c r="W48068" s="503"/>
    </row>
    <row r="48069" spans="23:23">
      <c r="W48069" s="503"/>
    </row>
    <row r="48070" spans="23:23">
      <c r="W48070" s="503"/>
    </row>
    <row r="48071" spans="23:23">
      <c r="W48071" s="503"/>
    </row>
    <row r="48072" spans="23:23">
      <c r="W48072" s="503"/>
    </row>
    <row r="48073" spans="23:23">
      <c r="W48073" s="503"/>
    </row>
    <row r="48074" spans="23:23">
      <c r="W48074" s="503"/>
    </row>
    <row r="48075" spans="23:23">
      <c r="W48075" s="503"/>
    </row>
    <row r="48076" spans="23:23">
      <c r="W48076" s="503"/>
    </row>
    <row r="48077" spans="23:23">
      <c r="W48077" s="503"/>
    </row>
    <row r="48078" spans="23:23">
      <c r="W48078" s="503"/>
    </row>
    <row r="48079" spans="23:23">
      <c r="W48079" s="503"/>
    </row>
    <row r="48080" spans="23:23">
      <c r="W48080" s="503"/>
    </row>
    <row r="48081" spans="23:23">
      <c r="W48081" s="503"/>
    </row>
    <row r="48082" spans="23:23">
      <c r="W48082" s="503"/>
    </row>
    <row r="48083" spans="23:23">
      <c r="W48083" s="503"/>
    </row>
    <row r="48084" spans="23:23">
      <c r="W48084" s="503"/>
    </row>
    <row r="48085" spans="23:23">
      <c r="W48085" s="503"/>
    </row>
    <row r="48086" spans="23:23">
      <c r="W48086" s="503"/>
    </row>
    <row r="48087" spans="23:23">
      <c r="W48087" s="503"/>
    </row>
    <row r="48088" spans="23:23">
      <c r="W48088" s="503"/>
    </row>
    <row r="48089" spans="23:23">
      <c r="W48089" s="503"/>
    </row>
    <row r="48090" spans="23:23">
      <c r="W48090" s="503"/>
    </row>
    <row r="48091" spans="23:23">
      <c r="W48091" s="503"/>
    </row>
    <row r="48092" spans="23:23">
      <c r="W48092" s="503"/>
    </row>
    <row r="48093" spans="23:23">
      <c r="W48093" s="503"/>
    </row>
    <row r="48094" spans="23:23">
      <c r="W48094" s="503"/>
    </row>
    <row r="48095" spans="23:23">
      <c r="W48095" s="503"/>
    </row>
    <row r="48096" spans="23:23">
      <c r="W48096" s="503"/>
    </row>
    <row r="48097" spans="23:23">
      <c r="W48097" s="503"/>
    </row>
    <row r="48098" spans="23:23">
      <c r="W48098" s="503"/>
    </row>
    <row r="48099" spans="23:23">
      <c r="W48099" s="503"/>
    </row>
    <row r="48100" spans="23:23">
      <c r="W48100" s="503"/>
    </row>
    <row r="48101" spans="23:23">
      <c r="W48101" s="503"/>
    </row>
    <row r="48102" spans="23:23">
      <c r="W48102" s="503"/>
    </row>
    <row r="48103" spans="23:23">
      <c r="W48103" s="503"/>
    </row>
    <row r="48104" spans="23:23">
      <c r="W48104" s="503"/>
    </row>
    <row r="48105" spans="23:23">
      <c r="W48105" s="503"/>
    </row>
    <row r="48106" spans="23:23">
      <c r="W48106" s="503"/>
    </row>
    <row r="48107" spans="23:23">
      <c r="W48107" s="503"/>
    </row>
    <row r="48108" spans="23:23">
      <c r="W48108" s="503"/>
    </row>
    <row r="48109" spans="23:23">
      <c r="W48109" s="503"/>
    </row>
    <row r="48110" spans="23:23">
      <c r="W48110" s="503"/>
    </row>
    <row r="48111" spans="23:23">
      <c r="W48111" s="503"/>
    </row>
    <row r="48112" spans="23:23">
      <c r="W48112" s="503"/>
    </row>
    <row r="48113" spans="23:23">
      <c r="W48113" s="503"/>
    </row>
    <row r="48114" spans="23:23">
      <c r="W48114" s="503"/>
    </row>
    <row r="48115" spans="23:23">
      <c r="W48115" s="503"/>
    </row>
    <row r="48116" spans="23:23">
      <c r="W48116" s="503"/>
    </row>
    <row r="48117" spans="23:23">
      <c r="W48117" s="503"/>
    </row>
    <row r="48118" spans="23:23">
      <c r="W48118" s="503"/>
    </row>
    <row r="48119" spans="23:23">
      <c r="W48119" s="503"/>
    </row>
    <row r="48120" spans="23:23">
      <c r="W48120" s="503"/>
    </row>
    <row r="48121" spans="23:23">
      <c r="W48121" s="503"/>
    </row>
    <row r="48122" spans="23:23">
      <c r="W48122" s="503"/>
    </row>
    <row r="48123" spans="23:23">
      <c r="W48123" s="503"/>
    </row>
    <row r="48124" spans="23:23">
      <c r="W48124" s="503"/>
    </row>
    <row r="48125" spans="23:23">
      <c r="W48125" s="503"/>
    </row>
    <row r="48126" spans="23:23">
      <c r="W48126" s="503"/>
    </row>
    <row r="48127" spans="23:23">
      <c r="W48127" s="503"/>
    </row>
    <row r="48128" spans="23:23">
      <c r="W48128" s="503"/>
    </row>
    <row r="48129" spans="23:23">
      <c r="W48129" s="503"/>
    </row>
    <row r="48130" spans="23:23">
      <c r="W48130" s="503"/>
    </row>
    <row r="48131" spans="23:23">
      <c r="W48131" s="503"/>
    </row>
    <row r="48132" spans="23:23">
      <c r="W48132" s="503"/>
    </row>
    <row r="48133" spans="23:23">
      <c r="W48133" s="503"/>
    </row>
    <row r="48134" spans="23:23">
      <c r="W48134" s="503"/>
    </row>
    <row r="48135" spans="23:23">
      <c r="W48135" s="503"/>
    </row>
    <row r="48136" spans="23:23">
      <c r="W48136" s="503"/>
    </row>
    <row r="48137" spans="23:23">
      <c r="W48137" s="503"/>
    </row>
    <row r="48138" spans="23:23">
      <c r="W48138" s="503"/>
    </row>
    <row r="48139" spans="23:23">
      <c r="W48139" s="503"/>
    </row>
    <row r="48140" spans="23:23">
      <c r="W48140" s="503"/>
    </row>
    <row r="48141" spans="23:23">
      <c r="W48141" s="503"/>
    </row>
    <row r="48142" spans="23:23">
      <c r="W48142" s="503"/>
    </row>
    <row r="48143" spans="23:23">
      <c r="W48143" s="503"/>
    </row>
    <row r="48144" spans="23:23">
      <c r="W48144" s="503"/>
    </row>
    <row r="48145" spans="23:23">
      <c r="W48145" s="503"/>
    </row>
    <row r="48146" spans="23:23">
      <c r="W48146" s="503"/>
    </row>
    <row r="48147" spans="23:23">
      <c r="W48147" s="503"/>
    </row>
    <row r="48148" spans="23:23">
      <c r="W48148" s="503"/>
    </row>
    <row r="48149" spans="23:23">
      <c r="W48149" s="503"/>
    </row>
    <row r="48150" spans="23:23">
      <c r="W48150" s="503"/>
    </row>
    <row r="48151" spans="23:23">
      <c r="W48151" s="503"/>
    </row>
    <row r="48152" spans="23:23">
      <c r="W48152" s="503"/>
    </row>
    <row r="48153" spans="23:23">
      <c r="W48153" s="503"/>
    </row>
    <row r="48154" spans="23:23">
      <c r="W48154" s="503"/>
    </row>
    <row r="48155" spans="23:23">
      <c r="W48155" s="503"/>
    </row>
    <row r="48156" spans="23:23">
      <c r="W48156" s="503"/>
    </row>
    <row r="48157" spans="23:23">
      <c r="W48157" s="503"/>
    </row>
    <row r="48158" spans="23:23">
      <c r="W48158" s="503"/>
    </row>
    <row r="48159" spans="23:23">
      <c r="W48159" s="503"/>
    </row>
    <row r="48160" spans="23:23">
      <c r="W48160" s="503"/>
    </row>
    <row r="48161" spans="23:23">
      <c r="W48161" s="503"/>
    </row>
    <row r="48162" spans="23:23">
      <c r="W48162" s="503"/>
    </row>
    <row r="48163" spans="23:23">
      <c r="W48163" s="503"/>
    </row>
    <row r="48164" spans="23:23">
      <c r="W48164" s="503"/>
    </row>
    <row r="48165" spans="23:23">
      <c r="W48165" s="503"/>
    </row>
    <row r="48166" spans="23:23">
      <c r="W48166" s="503"/>
    </row>
    <row r="48167" spans="23:23">
      <c r="W48167" s="503"/>
    </row>
    <row r="48168" spans="23:23">
      <c r="W48168" s="503"/>
    </row>
    <row r="48169" spans="23:23">
      <c r="W48169" s="503"/>
    </row>
    <row r="48170" spans="23:23">
      <c r="W48170" s="503"/>
    </row>
    <row r="48171" spans="23:23">
      <c r="W48171" s="503"/>
    </row>
    <row r="48172" spans="23:23">
      <c r="W48172" s="503"/>
    </row>
    <row r="48173" spans="23:23">
      <c r="W48173" s="503"/>
    </row>
    <row r="48174" spans="23:23">
      <c r="W48174" s="503"/>
    </row>
    <row r="48175" spans="23:23">
      <c r="W48175" s="503"/>
    </row>
    <row r="48176" spans="23:23">
      <c r="W48176" s="503"/>
    </row>
    <row r="48177" spans="23:23">
      <c r="W48177" s="503"/>
    </row>
    <row r="48178" spans="23:23">
      <c r="W48178" s="503"/>
    </row>
    <row r="48179" spans="23:23">
      <c r="W48179" s="503"/>
    </row>
    <row r="48180" spans="23:23">
      <c r="W48180" s="503"/>
    </row>
    <row r="48181" spans="23:23">
      <c r="W48181" s="503"/>
    </row>
    <row r="48182" spans="23:23">
      <c r="W48182" s="503"/>
    </row>
    <row r="48183" spans="23:23">
      <c r="W48183" s="503"/>
    </row>
    <row r="48184" spans="23:23">
      <c r="W48184" s="503"/>
    </row>
    <row r="48185" spans="23:23">
      <c r="W48185" s="503"/>
    </row>
    <row r="48186" spans="23:23">
      <c r="W48186" s="503"/>
    </row>
    <row r="48187" spans="23:23">
      <c r="W48187" s="503"/>
    </row>
    <row r="48188" spans="23:23">
      <c r="W48188" s="503"/>
    </row>
    <row r="48189" spans="23:23">
      <c r="W48189" s="503"/>
    </row>
    <row r="48190" spans="23:23">
      <c r="W48190" s="503"/>
    </row>
    <row r="48191" spans="23:23">
      <c r="W48191" s="503"/>
    </row>
    <row r="48192" spans="23:23">
      <c r="W48192" s="503"/>
    </row>
    <row r="48193" spans="23:23">
      <c r="W48193" s="503"/>
    </row>
    <row r="48194" spans="23:23">
      <c r="W48194" s="503"/>
    </row>
    <row r="48195" spans="23:23">
      <c r="W48195" s="503"/>
    </row>
    <row r="48196" spans="23:23">
      <c r="W48196" s="503"/>
    </row>
    <row r="48197" spans="23:23">
      <c r="W48197" s="503"/>
    </row>
    <row r="48198" spans="23:23">
      <c r="W48198" s="503"/>
    </row>
    <row r="48199" spans="23:23">
      <c r="W48199" s="503"/>
    </row>
    <row r="48200" spans="23:23">
      <c r="W48200" s="503"/>
    </row>
    <row r="48201" spans="23:23">
      <c r="W48201" s="503"/>
    </row>
    <row r="48202" spans="23:23">
      <c r="W48202" s="503"/>
    </row>
    <row r="48203" spans="23:23">
      <c r="W48203" s="503"/>
    </row>
    <row r="48204" spans="23:23">
      <c r="W48204" s="503"/>
    </row>
    <row r="48205" spans="23:23">
      <c r="W48205" s="503"/>
    </row>
    <row r="48206" spans="23:23">
      <c r="W48206" s="503"/>
    </row>
    <row r="48207" spans="23:23">
      <c r="W48207" s="503"/>
    </row>
    <row r="48208" spans="23:23">
      <c r="W48208" s="503"/>
    </row>
    <row r="48209" spans="23:23">
      <c r="W48209" s="503"/>
    </row>
    <row r="48210" spans="23:23">
      <c r="W48210" s="503"/>
    </row>
    <row r="48211" spans="23:23">
      <c r="W48211" s="503"/>
    </row>
    <row r="48212" spans="23:23">
      <c r="W48212" s="503"/>
    </row>
    <row r="48213" spans="23:23">
      <c r="W48213" s="503"/>
    </row>
    <row r="48214" spans="23:23">
      <c r="W48214" s="503"/>
    </row>
    <row r="48215" spans="23:23">
      <c r="W48215" s="503"/>
    </row>
    <row r="48216" spans="23:23">
      <c r="W48216" s="503"/>
    </row>
    <row r="48217" spans="23:23">
      <c r="W48217" s="503"/>
    </row>
    <row r="48218" spans="23:23">
      <c r="W48218" s="503"/>
    </row>
    <row r="48219" spans="23:23">
      <c r="W48219" s="503"/>
    </row>
    <row r="48220" spans="23:23">
      <c r="W48220" s="503"/>
    </row>
    <row r="48221" spans="23:23">
      <c r="W48221" s="503"/>
    </row>
    <row r="48222" spans="23:23">
      <c r="W48222" s="503"/>
    </row>
    <row r="48223" spans="23:23">
      <c r="W48223" s="503"/>
    </row>
    <row r="48224" spans="23:23">
      <c r="W48224" s="503"/>
    </row>
    <row r="48225" spans="23:23">
      <c r="W48225" s="503"/>
    </row>
    <row r="48226" spans="23:23">
      <c r="W48226" s="503"/>
    </row>
    <row r="48227" spans="23:23">
      <c r="W48227" s="503"/>
    </row>
    <row r="48228" spans="23:23">
      <c r="W48228" s="503"/>
    </row>
    <row r="48229" spans="23:23">
      <c r="W48229" s="503"/>
    </row>
    <row r="48230" spans="23:23">
      <c r="W48230" s="503"/>
    </row>
    <row r="48231" spans="23:23">
      <c r="W48231" s="503"/>
    </row>
    <row r="48232" spans="23:23">
      <c r="W48232" s="503"/>
    </row>
    <row r="48233" spans="23:23">
      <c r="W48233" s="503"/>
    </row>
    <row r="48234" spans="23:23">
      <c r="W48234" s="503"/>
    </row>
    <row r="48235" spans="23:23">
      <c r="W48235" s="503"/>
    </row>
    <row r="48236" spans="23:23">
      <c r="W48236" s="503"/>
    </row>
    <row r="48237" spans="23:23">
      <c r="W48237" s="503"/>
    </row>
    <row r="48238" spans="23:23">
      <c r="W48238" s="503"/>
    </row>
    <row r="48239" spans="23:23">
      <c r="W48239" s="503"/>
    </row>
    <row r="48240" spans="23:23">
      <c r="W48240" s="503"/>
    </row>
    <row r="48241" spans="23:23">
      <c r="W48241" s="503"/>
    </row>
    <row r="48242" spans="23:23">
      <c r="W48242" s="503"/>
    </row>
    <row r="48243" spans="23:23">
      <c r="W48243" s="503"/>
    </row>
    <row r="48244" spans="23:23">
      <c r="W48244" s="503"/>
    </row>
    <row r="48245" spans="23:23">
      <c r="W48245" s="503"/>
    </row>
    <row r="48246" spans="23:23">
      <c r="W48246" s="503"/>
    </row>
    <row r="48247" spans="23:23">
      <c r="W48247" s="503"/>
    </row>
    <row r="48248" spans="23:23">
      <c r="W48248" s="503"/>
    </row>
    <row r="48249" spans="23:23">
      <c r="W48249" s="503"/>
    </row>
    <row r="48250" spans="23:23">
      <c r="W48250" s="503"/>
    </row>
    <row r="48251" spans="23:23">
      <c r="W48251" s="503"/>
    </row>
    <row r="48252" spans="23:23">
      <c r="W48252" s="503"/>
    </row>
    <row r="48253" spans="23:23">
      <c r="W48253" s="503"/>
    </row>
    <row r="48254" spans="23:23">
      <c r="W48254" s="503"/>
    </row>
    <row r="48255" spans="23:23">
      <c r="W48255" s="503"/>
    </row>
    <row r="48256" spans="23:23">
      <c r="W48256" s="503"/>
    </row>
    <row r="48257" spans="23:23">
      <c r="W48257" s="503"/>
    </row>
    <row r="48258" spans="23:23">
      <c r="W48258" s="503"/>
    </row>
    <row r="48259" spans="23:23">
      <c r="W48259" s="503"/>
    </row>
    <row r="48260" spans="23:23">
      <c r="W48260" s="503"/>
    </row>
    <row r="48261" spans="23:23">
      <c r="W48261" s="503"/>
    </row>
    <row r="48262" spans="23:23">
      <c r="W48262" s="503"/>
    </row>
    <row r="48263" spans="23:23">
      <c r="W48263" s="503"/>
    </row>
    <row r="48264" spans="23:23">
      <c r="W48264" s="503"/>
    </row>
    <row r="48265" spans="23:23">
      <c r="W48265" s="503"/>
    </row>
    <row r="48266" spans="23:23">
      <c r="W48266" s="503"/>
    </row>
    <row r="48267" spans="23:23">
      <c r="W48267" s="503"/>
    </row>
    <row r="48268" spans="23:23">
      <c r="W48268" s="503"/>
    </row>
    <row r="48269" spans="23:23">
      <c r="W48269" s="503"/>
    </row>
    <row r="48270" spans="23:23">
      <c r="W48270" s="503"/>
    </row>
    <row r="48271" spans="23:23">
      <c r="W48271" s="503"/>
    </row>
    <row r="48272" spans="23:23">
      <c r="W48272" s="503"/>
    </row>
    <row r="48273" spans="23:23">
      <c r="W48273" s="503"/>
    </row>
    <row r="48274" spans="23:23">
      <c r="W48274" s="503"/>
    </row>
    <row r="48275" spans="23:23">
      <c r="W48275" s="503"/>
    </row>
    <row r="48276" spans="23:23">
      <c r="W48276" s="503"/>
    </row>
    <row r="48277" spans="23:23">
      <c r="W48277" s="503"/>
    </row>
    <row r="48278" spans="23:23">
      <c r="W48278" s="503"/>
    </row>
    <row r="48279" spans="23:23">
      <c r="W48279" s="503"/>
    </row>
    <row r="48280" spans="23:23">
      <c r="W48280" s="503"/>
    </row>
    <row r="48281" spans="23:23">
      <c r="W48281" s="503"/>
    </row>
    <row r="48282" spans="23:23">
      <c r="W48282" s="503"/>
    </row>
    <row r="48283" spans="23:23">
      <c r="W48283" s="503"/>
    </row>
    <row r="48284" spans="23:23">
      <c r="W48284" s="503"/>
    </row>
    <row r="48285" spans="23:23">
      <c r="W48285" s="503"/>
    </row>
    <row r="48286" spans="23:23">
      <c r="W48286" s="503"/>
    </row>
    <row r="48287" spans="23:23">
      <c r="W48287" s="503"/>
    </row>
    <row r="48288" spans="23:23">
      <c r="W48288" s="503"/>
    </row>
    <row r="48289" spans="23:23">
      <c r="W48289" s="503"/>
    </row>
    <row r="48290" spans="23:23">
      <c r="W48290" s="503"/>
    </row>
    <row r="48291" spans="23:23">
      <c r="W48291" s="503"/>
    </row>
    <row r="48292" spans="23:23">
      <c r="W48292" s="503"/>
    </row>
    <row r="48293" spans="23:23">
      <c r="W48293" s="503"/>
    </row>
    <row r="48294" spans="23:23">
      <c r="W48294" s="503"/>
    </row>
    <row r="48295" spans="23:23">
      <c r="W48295" s="503"/>
    </row>
    <row r="48296" spans="23:23">
      <c r="W48296" s="503"/>
    </row>
    <row r="48297" spans="23:23">
      <c r="W48297" s="503"/>
    </row>
    <row r="48298" spans="23:23">
      <c r="W48298" s="503"/>
    </row>
    <row r="48299" spans="23:23">
      <c r="W48299" s="503"/>
    </row>
    <row r="48300" spans="23:23">
      <c r="W48300" s="503"/>
    </row>
    <row r="48301" spans="23:23">
      <c r="W48301" s="503"/>
    </row>
    <row r="48302" spans="23:23">
      <c r="W48302" s="503"/>
    </row>
    <row r="48303" spans="23:23">
      <c r="W48303" s="503"/>
    </row>
    <row r="48304" spans="23:23">
      <c r="W48304" s="503"/>
    </row>
    <row r="48305" spans="23:23">
      <c r="W48305" s="503"/>
    </row>
    <row r="48306" spans="23:23">
      <c r="W48306" s="503"/>
    </row>
    <row r="48307" spans="23:23">
      <c r="W48307" s="503"/>
    </row>
    <row r="48308" spans="23:23">
      <c r="W48308" s="503"/>
    </row>
    <row r="48309" spans="23:23">
      <c r="W48309" s="503"/>
    </row>
    <row r="48310" spans="23:23">
      <c r="W48310" s="503"/>
    </row>
    <row r="48311" spans="23:23">
      <c r="W48311" s="503"/>
    </row>
    <row r="48312" spans="23:23">
      <c r="W48312" s="503"/>
    </row>
    <row r="48313" spans="23:23">
      <c r="W48313" s="503"/>
    </row>
    <row r="48314" spans="23:23">
      <c r="W48314" s="503"/>
    </row>
    <row r="48315" spans="23:23">
      <c r="W48315" s="503"/>
    </row>
    <row r="48316" spans="23:23">
      <c r="W48316" s="503"/>
    </row>
    <row r="48317" spans="23:23">
      <c r="W48317" s="503"/>
    </row>
    <row r="48318" spans="23:23">
      <c r="W48318" s="503"/>
    </row>
    <row r="48319" spans="23:23">
      <c r="W48319" s="503"/>
    </row>
    <row r="48320" spans="23:23">
      <c r="W48320" s="503"/>
    </row>
    <row r="48321" spans="23:23">
      <c r="W48321" s="503"/>
    </row>
    <row r="48322" spans="23:23">
      <c r="W48322" s="503"/>
    </row>
    <row r="48323" spans="23:23">
      <c r="W48323" s="503"/>
    </row>
    <row r="48324" spans="23:23">
      <c r="W48324" s="503"/>
    </row>
    <row r="48325" spans="23:23">
      <c r="W48325" s="503"/>
    </row>
    <row r="48326" spans="23:23">
      <c r="W48326" s="503"/>
    </row>
    <row r="48327" spans="23:23">
      <c r="W48327" s="503"/>
    </row>
    <row r="48328" spans="23:23">
      <c r="W48328" s="503"/>
    </row>
    <row r="48329" spans="23:23">
      <c r="W48329" s="503"/>
    </row>
    <row r="48330" spans="23:23">
      <c r="W48330" s="503"/>
    </row>
    <row r="48331" spans="23:23">
      <c r="W48331" s="503"/>
    </row>
    <row r="48332" spans="23:23">
      <c r="W48332" s="503"/>
    </row>
    <row r="48333" spans="23:23">
      <c r="W48333" s="503"/>
    </row>
    <row r="48334" spans="23:23">
      <c r="W48334" s="503"/>
    </row>
    <row r="48335" spans="23:23">
      <c r="W48335" s="503"/>
    </row>
    <row r="48336" spans="23:23">
      <c r="W48336" s="503"/>
    </row>
    <row r="48337" spans="23:23">
      <c r="W48337" s="503"/>
    </row>
    <row r="48338" spans="23:23">
      <c r="W48338" s="503"/>
    </row>
    <row r="48339" spans="23:23">
      <c r="W48339" s="503"/>
    </row>
    <row r="48340" spans="23:23">
      <c r="W48340" s="503"/>
    </row>
    <row r="48341" spans="23:23">
      <c r="W48341" s="503"/>
    </row>
    <row r="48342" spans="23:23">
      <c r="W48342" s="503"/>
    </row>
    <row r="48343" spans="23:23">
      <c r="W48343" s="503"/>
    </row>
    <row r="48344" spans="23:23">
      <c r="W48344" s="503"/>
    </row>
    <row r="48345" spans="23:23">
      <c r="W48345" s="503"/>
    </row>
    <row r="48346" spans="23:23">
      <c r="W48346" s="503"/>
    </row>
    <row r="48347" spans="23:23">
      <c r="W48347" s="503"/>
    </row>
    <row r="48348" spans="23:23">
      <c r="W48348" s="503"/>
    </row>
    <row r="48349" spans="23:23">
      <c r="W48349" s="503"/>
    </row>
    <row r="48350" spans="23:23">
      <c r="W48350" s="503"/>
    </row>
    <row r="48351" spans="23:23">
      <c r="W48351" s="503"/>
    </row>
    <row r="48352" spans="23:23">
      <c r="W48352" s="503"/>
    </row>
    <row r="48353" spans="23:23">
      <c r="W48353" s="503"/>
    </row>
    <row r="48354" spans="23:23">
      <c r="W48354" s="503"/>
    </row>
    <row r="48355" spans="23:23">
      <c r="W48355" s="503"/>
    </row>
    <row r="48356" spans="23:23">
      <c r="W48356" s="503"/>
    </row>
    <row r="48357" spans="23:23">
      <c r="W48357" s="503"/>
    </row>
    <row r="48358" spans="23:23">
      <c r="W48358" s="503"/>
    </row>
    <row r="48359" spans="23:23">
      <c r="W48359" s="503"/>
    </row>
    <row r="48360" spans="23:23">
      <c r="W48360" s="503"/>
    </row>
    <row r="48361" spans="23:23">
      <c r="W48361" s="503"/>
    </row>
    <row r="48362" spans="23:23">
      <c r="W48362" s="503"/>
    </row>
    <row r="48363" spans="23:23">
      <c r="W48363" s="503"/>
    </row>
    <row r="48364" spans="23:23">
      <c r="W48364" s="503"/>
    </row>
    <row r="48365" spans="23:23">
      <c r="W48365" s="503"/>
    </row>
    <row r="48366" spans="23:23">
      <c r="W48366" s="503"/>
    </row>
    <row r="48367" spans="23:23">
      <c r="W48367" s="503"/>
    </row>
    <row r="48368" spans="23:23">
      <c r="W48368" s="503"/>
    </row>
    <row r="48369" spans="23:23">
      <c r="W48369" s="503"/>
    </row>
    <row r="48370" spans="23:23">
      <c r="W48370" s="503"/>
    </row>
    <row r="48371" spans="23:23">
      <c r="W48371" s="503"/>
    </row>
    <row r="48372" spans="23:23">
      <c r="W48372" s="503"/>
    </row>
    <row r="48373" spans="23:23">
      <c r="W48373" s="503"/>
    </row>
    <row r="48374" spans="23:23">
      <c r="W48374" s="503"/>
    </row>
    <row r="48375" spans="23:23">
      <c r="W48375" s="503"/>
    </row>
    <row r="48376" spans="23:23">
      <c r="W48376" s="503"/>
    </row>
    <row r="48377" spans="23:23">
      <c r="W48377" s="503"/>
    </row>
    <row r="48378" spans="23:23">
      <c r="W48378" s="503"/>
    </row>
    <row r="48379" spans="23:23">
      <c r="W48379" s="503"/>
    </row>
    <row r="48380" spans="23:23">
      <c r="W48380" s="503"/>
    </row>
    <row r="48381" spans="23:23">
      <c r="W48381" s="503"/>
    </row>
    <row r="48382" spans="23:23">
      <c r="W48382" s="503"/>
    </row>
    <row r="48383" spans="23:23">
      <c r="W48383" s="503"/>
    </row>
    <row r="48384" spans="23:23">
      <c r="W48384" s="503"/>
    </row>
    <row r="48385" spans="23:23">
      <c r="W48385" s="503"/>
    </row>
    <row r="48386" spans="23:23">
      <c r="W48386" s="503"/>
    </row>
    <row r="48387" spans="23:23">
      <c r="W48387" s="503"/>
    </row>
    <row r="48388" spans="23:23">
      <c r="W48388" s="503"/>
    </row>
    <row r="48389" spans="23:23">
      <c r="W48389" s="503"/>
    </row>
    <row r="48390" spans="23:23">
      <c r="W48390" s="503"/>
    </row>
    <row r="48391" spans="23:23">
      <c r="W48391" s="503"/>
    </row>
    <row r="48392" spans="23:23">
      <c r="W48392" s="503"/>
    </row>
    <row r="48393" spans="23:23">
      <c r="W48393" s="503"/>
    </row>
    <row r="48394" spans="23:23">
      <c r="W48394" s="503"/>
    </row>
    <row r="48395" spans="23:23">
      <c r="W48395" s="503"/>
    </row>
    <row r="48396" spans="23:23">
      <c r="W48396" s="503"/>
    </row>
    <row r="48397" spans="23:23">
      <c r="W48397" s="503"/>
    </row>
    <row r="48398" spans="23:23">
      <c r="W48398" s="503"/>
    </row>
    <row r="48399" spans="23:23">
      <c r="W48399" s="503"/>
    </row>
    <row r="48400" spans="23:23">
      <c r="W48400" s="503"/>
    </row>
    <row r="48401" spans="23:23">
      <c r="W48401" s="503"/>
    </row>
    <row r="48402" spans="23:23">
      <c r="W48402" s="503"/>
    </row>
    <row r="48403" spans="23:23">
      <c r="W48403" s="503"/>
    </row>
    <row r="48404" spans="23:23">
      <c r="W48404" s="503"/>
    </row>
    <row r="48405" spans="23:23">
      <c r="W48405" s="503"/>
    </row>
    <row r="48406" spans="23:23">
      <c r="W48406" s="503"/>
    </row>
    <row r="48407" spans="23:23">
      <c r="W48407" s="503"/>
    </row>
    <row r="48408" spans="23:23">
      <c r="W48408" s="503"/>
    </row>
    <row r="48409" spans="23:23">
      <c r="W48409" s="503"/>
    </row>
    <row r="48410" spans="23:23">
      <c r="W48410" s="503"/>
    </row>
    <row r="48411" spans="23:23">
      <c r="W48411" s="503"/>
    </row>
    <row r="48412" spans="23:23">
      <c r="W48412" s="503"/>
    </row>
    <row r="48413" spans="23:23">
      <c r="W48413" s="503"/>
    </row>
    <row r="48414" spans="23:23">
      <c r="W48414" s="503"/>
    </row>
    <row r="48415" spans="23:23">
      <c r="W48415" s="503"/>
    </row>
    <row r="48416" spans="23:23">
      <c r="W48416" s="503"/>
    </row>
    <row r="48417" spans="23:23">
      <c r="W48417" s="503"/>
    </row>
    <row r="48418" spans="23:23">
      <c r="W48418" s="503"/>
    </row>
    <row r="48419" spans="23:23">
      <c r="W48419" s="503"/>
    </row>
    <row r="48420" spans="23:23">
      <c r="W48420" s="503"/>
    </row>
    <row r="48421" spans="23:23">
      <c r="W48421" s="503"/>
    </row>
    <row r="48422" spans="23:23">
      <c r="W48422" s="503"/>
    </row>
    <row r="48423" spans="23:23">
      <c r="W48423" s="503"/>
    </row>
    <row r="48424" spans="23:23">
      <c r="W48424" s="503"/>
    </row>
    <row r="48425" spans="23:23">
      <c r="W48425" s="503"/>
    </row>
    <row r="48426" spans="23:23">
      <c r="W48426" s="503"/>
    </row>
    <row r="48427" spans="23:23">
      <c r="W48427" s="503"/>
    </row>
    <row r="48428" spans="23:23">
      <c r="W48428" s="503"/>
    </row>
    <row r="48429" spans="23:23">
      <c r="W48429" s="503"/>
    </row>
    <row r="48430" spans="23:23">
      <c r="W48430" s="503"/>
    </row>
    <row r="48431" spans="23:23">
      <c r="W48431" s="503"/>
    </row>
    <row r="48432" spans="23:23">
      <c r="W48432" s="503"/>
    </row>
    <row r="48433" spans="23:23">
      <c r="W48433" s="503"/>
    </row>
    <row r="48434" spans="23:23">
      <c r="W48434" s="503"/>
    </row>
    <row r="48435" spans="23:23">
      <c r="W48435" s="503"/>
    </row>
    <row r="48436" spans="23:23">
      <c r="W48436" s="503"/>
    </row>
    <row r="48437" spans="23:23">
      <c r="W48437" s="503"/>
    </row>
    <row r="48438" spans="23:23">
      <c r="W48438" s="503"/>
    </row>
    <row r="48439" spans="23:23">
      <c r="W48439" s="503"/>
    </row>
    <row r="48440" spans="23:23">
      <c r="W48440" s="503"/>
    </row>
    <row r="48441" spans="23:23">
      <c r="W48441" s="503"/>
    </row>
    <row r="48442" spans="23:23">
      <c r="W48442" s="503"/>
    </row>
    <row r="48443" spans="23:23">
      <c r="W48443" s="503"/>
    </row>
    <row r="48444" spans="23:23">
      <c r="W48444" s="503"/>
    </row>
    <row r="48445" spans="23:23">
      <c r="W48445" s="503"/>
    </row>
    <row r="48446" spans="23:23">
      <c r="W48446" s="503"/>
    </row>
    <row r="48447" spans="23:23">
      <c r="W48447" s="503"/>
    </row>
    <row r="48448" spans="23:23">
      <c r="W48448" s="503"/>
    </row>
    <row r="48449" spans="23:23">
      <c r="W48449" s="503"/>
    </row>
    <row r="48450" spans="23:23">
      <c r="W48450" s="503"/>
    </row>
    <row r="48451" spans="23:23">
      <c r="W48451" s="503"/>
    </row>
    <row r="48452" spans="23:23">
      <c r="W48452" s="503"/>
    </row>
    <row r="48453" spans="23:23">
      <c r="W48453" s="503"/>
    </row>
    <row r="48454" spans="23:23">
      <c r="W48454" s="503"/>
    </row>
    <row r="48455" spans="23:23">
      <c r="W48455" s="503"/>
    </row>
    <row r="48456" spans="23:23">
      <c r="W48456" s="503"/>
    </row>
    <row r="48457" spans="23:23">
      <c r="W48457" s="503"/>
    </row>
    <row r="48458" spans="23:23">
      <c r="W48458" s="503"/>
    </row>
    <row r="48459" spans="23:23">
      <c r="W48459" s="503"/>
    </row>
    <row r="48460" spans="23:23">
      <c r="W48460" s="503"/>
    </row>
    <row r="48461" spans="23:23">
      <c r="W48461" s="503"/>
    </row>
    <row r="48462" spans="23:23">
      <c r="W48462" s="503"/>
    </row>
    <row r="48463" spans="23:23">
      <c r="W48463" s="503"/>
    </row>
    <row r="48464" spans="23:23">
      <c r="W48464" s="503"/>
    </row>
    <row r="48465" spans="23:23">
      <c r="W48465" s="503"/>
    </row>
    <row r="48466" spans="23:23">
      <c r="W48466" s="503"/>
    </row>
    <row r="48467" spans="23:23">
      <c r="W48467" s="503"/>
    </row>
    <row r="48468" spans="23:23">
      <c r="W48468" s="503"/>
    </row>
    <row r="48469" spans="23:23">
      <c r="W48469" s="503"/>
    </row>
    <row r="48470" spans="23:23">
      <c r="W48470" s="503"/>
    </row>
    <row r="48471" spans="23:23">
      <c r="W48471" s="503"/>
    </row>
    <row r="48472" spans="23:23">
      <c r="W48472" s="503"/>
    </row>
    <row r="48473" spans="23:23">
      <c r="W48473" s="503"/>
    </row>
    <row r="48474" spans="23:23">
      <c r="W48474" s="503"/>
    </row>
    <row r="48475" spans="23:23">
      <c r="W48475" s="503"/>
    </row>
    <row r="48476" spans="23:23">
      <c r="W48476" s="503"/>
    </row>
    <row r="48477" spans="23:23">
      <c r="W48477" s="503"/>
    </row>
    <row r="48478" spans="23:23">
      <c r="W48478" s="503"/>
    </row>
    <row r="48479" spans="23:23">
      <c r="W48479" s="503"/>
    </row>
    <row r="48480" spans="23:23">
      <c r="W48480" s="503"/>
    </row>
    <row r="48481" spans="23:23">
      <c r="W48481" s="503"/>
    </row>
    <row r="48482" spans="23:23">
      <c r="W48482" s="503"/>
    </row>
    <row r="48483" spans="23:23">
      <c r="W48483" s="503"/>
    </row>
    <row r="48484" spans="23:23">
      <c r="W48484" s="503"/>
    </row>
    <row r="48485" spans="23:23">
      <c r="W48485" s="503"/>
    </row>
    <row r="48486" spans="23:23">
      <c r="W48486" s="503"/>
    </row>
    <row r="48487" spans="23:23">
      <c r="W48487" s="503"/>
    </row>
    <row r="48488" spans="23:23">
      <c r="W48488" s="503"/>
    </row>
    <row r="48489" spans="23:23">
      <c r="W48489" s="503"/>
    </row>
    <row r="48490" spans="23:23">
      <c r="W48490" s="503"/>
    </row>
    <row r="48491" spans="23:23">
      <c r="W48491" s="503"/>
    </row>
    <row r="48492" spans="23:23">
      <c r="W48492" s="503"/>
    </row>
    <row r="48493" spans="23:23">
      <c r="W48493" s="503"/>
    </row>
    <row r="48494" spans="23:23">
      <c r="W48494" s="503"/>
    </row>
    <row r="48495" spans="23:23">
      <c r="W48495" s="503"/>
    </row>
    <row r="48496" spans="23:23">
      <c r="W48496" s="503"/>
    </row>
    <row r="48497" spans="23:23">
      <c r="W48497" s="503"/>
    </row>
    <row r="48498" spans="23:23">
      <c r="W48498" s="503"/>
    </row>
    <row r="48499" spans="23:23">
      <c r="W48499" s="503"/>
    </row>
    <row r="48500" spans="23:23">
      <c r="W48500" s="503"/>
    </row>
    <row r="48501" spans="23:23">
      <c r="W48501" s="503"/>
    </row>
    <row r="48502" spans="23:23">
      <c r="W48502" s="503"/>
    </row>
    <row r="48503" spans="23:23">
      <c r="W48503" s="503"/>
    </row>
    <row r="48504" spans="23:23">
      <c r="W48504" s="503"/>
    </row>
    <row r="48505" spans="23:23">
      <c r="W48505" s="503"/>
    </row>
    <row r="48506" spans="23:23">
      <c r="W48506" s="503"/>
    </row>
    <row r="48507" spans="23:23">
      <c r="W48507" s="503"/>
    </row>
    <row r="48508" spans="23:23">
      <c r="W48508" s="503"/>
    </row>
    <row r="48509" spans="23:23">
      <c r="W48509" s="503"/>
    </row>
    <row r="48510" spans="23:23">
      <c r="W48510" s="503"/>
    </row>
    <row r="48511" spans="23:23">
      <c r="W48511" s="503"/>
    </row>
    <row r="48512" spans="23:23">
      <c r="W48512" s="503"/>
    </row>
    <row r="48513" spans="23:23">
      <c r="W48513" s="503"/>
    </row>
    <row r="48514" spans="23:23">
      <c r="W48514" s="503"/>
    </row>
    <row r="48515" spans="23:23">
      <c r="W48515" s="503"/>
    </row>
    <row r="48516" spans="23:23">
      <c r="W48516" s="503"/>
    </row>
    <row r="48517" spans="23:23">
      <c r="W48517" s="503"/>
    </row>
    <row r="48518" spans="23:23">
      <c r="W48518" s="503"/>
    </row>
    <row r="48519" spans="23:23">
      <c r="W48519" s="503"/>
    </row>
    <row r="48520" spans="23:23">
      <c r="W48520" s="503"/>
    </row>
    <row r="48521" spans="23:23">
      <c r="W48521" s="503"/>
    </row>
    <row r="48522" spans="23:23">
      <c r="W48522" s="503"/>
    </row>
    <row r="48523" spans="23:23">
      <c r="W48523" s="503"/>
    </row>
    <row r="48524" spans="23:23">
      <c r="W48524" s="503"/>
    </row>
    <row r="48525" spans="23:23">
      <c r="W48525" s="503"/>
    </row>
    <row r="48526" spans="23:23">
      <c r="W48526" s="503"/>
    </row>
    <row r="48527" spans="23:23">
      <c r="W48527" s="503"/>
    </row>
    <row r="48528" spans="23:23">
      <c r="W48528" s="503"/>
    </row>
    <row r="48529" spans="23:23">
      <c r="W48529" s="503"/>
    </row>
    <row r="48530" spans="23:23">
      <c r="W48530" s="503"/>
    </row>
    <row r="48531" spans="23:23">
      <c r="W48531" s="503"/>
    </row>
    <row r="48532" spans="23:23">
      <c r="W48532" s="503"/>
    </row>
    <row r="48533" spans="23:23">
      <c r="W48533" s="503"/>
    </row>
    <row r="48534" spans="23:23">
      <c r="W48534" s="503"/>
    </row>
    <row r="48535" spans="23:23">
      <c r="W48535" s="503"/>
    </row>
    <row r="48536" spans="23:23">
      <c r="W48536" s="503"/>
    </row>
    <row r="48537" spans="23:23">
      <c r="W48537" s="503"/>
    </row>
    <row r="48538" spans="23:23">
      <c r="W48538" s="503"/>
    </row>
    <row r="48539" spans="23:23">
      <c r="W48539" s="503"/>
    </row>
    <row r="48540" spans="23:23">
      <c r="W48540" s="503"/>
    </row>
    <row r="48541" spans="23:23">
      <c r="W48541" s="503"/>
    </row>
    <row r="48542" spans="23:23">
      <c r="W48542" s="503"/>
    </row>
    <row r="48543" spans="23:23">
      <c r="W48543" s="503"/>
    </row>
    <row r="48544" spans="23:23">
      <c r="W48544" s="503"/>
    </row>
    <row r="48545" spans="23:23">
      <c r="W48545" s="503"/>
    </row>
    <row r="48546" spans="23:23">
      <c r="W48546" s="503"/>
    </row>
    <row r="48547" spans="23:23">
      <c r="W48547" s="503"/>
    </row>
    <row r="48548" spans="23:23">
      <c r="W48548" s="503"/>
    </row>
    <row r="48549" spans="23:23">
      <c r="W48549" s="503"/>
    </row>
    <row r="48550" spans="23:23">
      <c r="W48550" s="503"/>
    </row>
    <row r="48551" spans="23:23">
      <c r="W48551" s="503"/>
    </row>
    <row r="48552" spans="23:23">
      <c r="W48552" s="503"/>
    </row>
    <row r="48553" spans="23:23">
      <c r="W48553" s="503"/>
    </row>
    <row r="48554" spans="23:23">
      <c r="W48554" s="503"/>
    </row>
    <row r="48555" spans="23:23">
      <c r="W48555" s="503"/>
    </row>
    <row r="48556" spans="23:23">
      <c r="W48556" s="503"/>
    </row>
    <row r="48557" spans="23:23">
      <c r="W48557" s="503"/>
    </row>
    <row r="48558" spans="23:23">
      <c r="W48558" s="503"/>
    </row>
    <row r="48559" spans="23:23">
      <c r="W48559" s="503"/>
    </row>
    <row r="48560" spans="23:23">
      <c r="W48560" s="503"/>
    </row>
    <row r="48561" spans="23:23">
      <c r="W48561" s="503"/>
    </row>
    <row r="48562" spans="23:23">
      <c r="W48562" s="503"/>
    </row>
    <row r="48563" spans="23:23">
      <c r="W48563" s="503"/>
    </row>
    <row r="48564" spans="23:23">
      <c r="W48564" s="503"/>
    </row>
    <row r="48565" spans="23:23">
      <c r="W48565" s="503"/>
    </row>
    <row r="48566" spans="23:23">
      <c r="W48566" s="503"/>
    </row>
    <row r="48567" spans="23:23">
      <c r="W48567" s="503"/>
    </row>
    <row r="48568" spans="23:23">
      <c r="W48568" s="503"/>
    </row>
    <row r="48569" spans="23:23">
      <c r="W48569" s="503"/>
    </row>
    <row r="48570" spans="23:23">
      <c r="W48570" s="503"/>
    </row>
    <row r="48571" spans="23:23">
      <c r="W48571" s="503"/>
    </row>
    <row r="48572" spans="23:23">
      <c r="W48572" s="503"/>
    </row>
    <row r="48573" spans="23:23">
      <c r="W48573" s="503"/>
    </row>
    <row r="48574" spans="23:23">
      <c r="W48574" s="503"/>
    </row>
    <row r="48575" spans="23:23">
      <c r="W48575" s="503"/>
    </row>
    <row r="48576" spans="23:23">
      <c r="W48576" s="503"/>
    </row>
    <row r="48577" spans="23:23">
      <c r="W48577" s="503"/>
    </row>
    <row r="48578" spans="23:23">
      <c r="W48578" s="503"/>
    </row>
    <row r="48579" spans="23:23">
      <c r="W48579" s="503"/>
    </row>
    <row r="48580" spans="23:23">
      <c r="W48580" s="503"/>
    </row>
    <row r="48581" spans="23:23">
      <c r="W48581" s="503"/>
    </row>
    <row r="48582" spans="23:23">
      <c r="W48582" s="503"/>
    </row>
    <row r="48583" spans="23:23">
      <c r="W48583" s="503"/>
    </row>
    <row r="48584" spans="23:23">
      <c r="W48584" s="503"/>
    </row>
    <row r="48585" spans="23:23">
      <c r="W48585" s="503"/>
    </row>
    <row r="48586" spans="23:23">
      <c r="W48586" s="503"/>
    </row>
    <row r="48587" spans="23:23">
      <c r="W48587" s="503"/>
    </row>
    <row r="48588" spans="23:23">
      <c r="W48588" s="503"/>
    </row>
    <row r="48589" spans="23:23">
      <c r="W48589" s="503"/>
    </row>
    <row r="48590" spans="23:23">
      <c r="W48590" s="503"/>
    </row>
    <row r="48591" spans="23:23">
      <c r="W48591" s="503"/>
    </row>
    <row r="48592" spans="23:23">
      <c r="W48592" s="503"/>
    </row>
    <row r="48593" spans="23:23">
      <c r="W48593" s="503"/>
    </row>
    <row r="48594" spans="23:23">
      <c r="W48594" s="503"/>
    </row>
    <row r="48595" spans="23:23">
      <c r="W48595" s="503"/>
    </row>
    <row r="48596" spans="23:23">
      <c r="W48596" s="503"/>
    </row>
    <row r="48597" spans="23:23">
      <c r="W48597" s="503"/>
    </row>
    <row r="48598" spans="23:23">
      <c r="W48598" s="503"/>
    </row>
    <row r="48599" spans="23:23">
      <c r="W48599" s="503"/>
    </row>
    <row r="48600" spans="23:23">
      <c r="W48600" s="503"/>
    </row>
    <row r="48601" spans="23:23">
      <c r="W48601" s="503"/>
    </row>
    <row r="48602" spans="23:23">
      <c r="W48602" s="503"/>
    </row>
    <row r="48603" spans="23:23">
      <c r="W48603" s="503"/>
    </row>
    <row r="48604" spans="23:23">
      <c r="W48604" s="503"/>
    </row>
    <row r="48605" spans="23:23">
      <c r="W48605" s="503"/>
    </row>
    <row r="48606" spans="23:23">
      <c r="W48606" s="503"/>
    </row>
    <row r="48607" spans="23:23">
      <c r="W48607" s="503"/>
    </row>
    <row r="48608" spans="23:23">
      <c r="W48608" s="503"/>
    </row>
    <row r="48609" spans="23:23">
      <c r="W48609" s="503"/>
    </row>
    <row r="48610" spans="23:23">
      <c r="W48610" s="503"/>
    </row>
    <row r="48611" spans="23:23">
      <c r="W48611" s="503"/>
    </row>
    <row r="48612" spans="23:23">
      <c r="W48612" s="503"/>
    </row>
    <row r="48613" spans="23:23">
      <c r="W48613" s="503"/>
    </row>
    <row r="48614" spans="23:23">
      <c r="W48614" s="503"/>
    </row>
    <row r="48615" spans="23:23">
      <c r="W48615" s="503"/>
    </row>
    <row r="48616" spans="23:23">
      <c r="W48616" s="503"/>
    </row>
    <row r="48617" spans="23:23">
      <c r="W48617" s="503"/>
    </row>
    <row r="48618" spans="23:23">
      <c r="W48618" s="503"/>
    </row>
    <row r="48619" spans="23:23">
      <c r="W48619" s="503"/>
    </row>
    <row r="48620" spans="23:23">
      <c r="W48620" s="503"/>
    </row>
    <row r="48621" spans="23:23">
      <c r="W48621" s="503"/>
    </row>
    <row r="48622" spans="23:23">
      <c r="W48622" s="503"/>
    </row>
    <row r="48623" spans="23:23">
      <c r="W48623" s="503"/>
    </row>
    <row r="48624" spans="23:23">
      <c r="W48624" s="503"/>
    </row>
    <row r="48625" spans="23:23">
      <c r="W48625" s="503"/>
    </row>
    <row r="48626" spans="23:23">
      <c r="W48626" s="503"/>
    </row>
    <row r="48627" spans="23:23">
      <c r="W48627" s="503"/>
    </row>
    <row r="48628" spans="23:23">
      <c r="W48628" s="503"/>
    </row>
    <row r="48629" spans="23:23">
      <c r="W48629" s="503"/>
    </row>
    <row r="48630" spans="23:23">
      <c r="W48630" s="503"/>
    </row>
    <row r="48631" spans="23:23">
      <c r="W48631" s="503"/>
    </row>
    <row r="48632" spans="23:23">
      <c r="W48632" s="503"/>
    </row>
    <row r="48633" spans="23:23">
      <c r="W48633" s="503"/>
    </row>
    <row r="48634" spans="23:23">
      <c r="W48634" s="503"/>
    </row>
    <row r="48635" spans="23:23">
      <c r="W48635" s="503"/>
    </row>
    <row r="48636" spans="23:23">
      <c r="W48636" s="503"/>
    </row>
    <row r="48637" spans="23:23">
      <c r="W48637" s="503"/>
    </row>
    <row r="48638" spans="23:23">
      <c r="W48638" s="503"/>
    </row>
    <row r="48639" spans="23:23">
      <c r="W48639" s="503"/>
    </row>
    <row r="48640" spans="23:23">
      <c r="W48640" s="503"/>
    </row>
    <row r="48641" spans="23:23">
      <c r="W48641" s="503"/>
    </row>
    <row r="48642" spans="23:23">
      <c r="W48642" s="503"/>
    </row>
    <row r="48643" spans="23:23">
      <c r="W48643" s="503"/>
    </row>
    <row r="48644" spans="23:23">
      <c r="W48644" s="503"/>
    </row>
    <row r="48645" spans="23:23">
      <c r="W48645" s="503"/>
    </row>
    <row r="48646" spans="23:23">
      <c r="W48646" s="503"/>
    </row>
    <row r="48647" spans="23:23">
      <c r="W48647" s="503"/>
    </row>
    <row r="48648" spans="23:23">
      <c r="W48648" s="503"/>
    </row>
    <row r="48649" spans="23:23">
      <c r="W48649" s="503"/>
    </row>
    <row r="48650" spans="23:23">
      <c r="W48650" s="503"/>
    </row>
    <row r="48651" spans="23:23">
      <c r="W48651" s="503"/>
    </row>
    <row r="48652" spans="23:23">
      <c r="W48652" s="503"/>
    </row>
    <row r="48653" spans="23:23">
      <c r="W48653" s="503"/>
    </row>
    <row r="48654" spans="23:23">
      <c r="W48654" s="503"/>
    </row>
    <row r="48655" spans="23:23">
      <c r="W48655" s="503"/>
    </row>
    <row r="48656" spans="23:23">
      <c r="W48656" s="503"/>
    </row>
    <row r="48657" spans="23:23">
      <c r="W48657" s="503"/>
    </row>
    <row r="48658" spans="23:23">
      <c r="W48658" s="503"/>
    </row>
    <row r="48659" spans="23:23">
      <c r="W48659" s="503"/>
    </row>
    <row r="48660" spans="23:23">
      <c r="W48660" s="503"/>
    </row>
    <row r="48661" spans="23:23">
      <c r="W48661" s="503"/>
    </row>
    <row r="48662" spans="23:23">
      <c r="W48662" s="503"/>
    </row>
    <row r="48663" spans="23:23">
      <c r="W48663" s="503"/>
    </row>
    <row r="48664" spans="23:23">
      <c r="W48664" s="503"/>
    </row>
    <row r="48665" spans="23:23">
      <c r="W48665" s="503"/>
    </row>
    <row r="48666" spans="23:23">
      <c r="W48666" s="503"/>
    </row>
    <row r="48667" spans="23:23">
      <c r="W48667" s="503"/>
    </row>
    <row r="48668" spans="23:23">
      <c r="W48668" s="503"/>
    </row>
    <row r="48669" spans="23:23">
      <c r="W48669" s="503"/>
    </row>
    <row r="48670" spans="23:23">
      <c r="W48670" s="503"/>
    </row>
    <row r="48671" spans="23:23">
      <c r="W48671" s="503"/>
    </row>
    <row r="48672" spans="23:23">
      <c r="W48672" s="503"/>
    </row>
    <row r="48673" spans="23:23">
      <c r="W48673" s="503"/>
    </row>
    <row r="48674" spans="23:23">
      <c r="W48674" s="503"/>
    </row>
    <row r="48675" spans="23:23">
      <c r="W48675" s="503"/>
    </row>
    <row r="48676" spans="23:23">
      <c r="W48676" s="503"/>
    </row>
    <row r="48677" spans="23:23">
      <c r="W48677" s="503"/>
    </row>
    <row r="48678" spans="23:23">
      <c r="W48678" s="503"/>
    </row>
    <row r="48679" spans="23:23">
      <c r="W48679" s="503"/>
    </row>
    <row r="48680" spans="23:23">
      <c r="W48680" s="503"/>
    </row>
    <row r="48681" spans="23:23">
      <c r="W48681" s="503"/>
    </row>
    <row r="48682" spans="23:23">
      <c r="W48682" s="503"/>
    </row>
    <row r="48683" spans="23:23">
      <c r="W48683" s="503"/>
    </row>
    <row r="48684" spans="23:23">
      <c r="W48684" s="503"/>
    </row>
    <row r="48685" spans="23:23">
      <c r="W48685" s="503"/>
    </row>
    <row r="48686" spans="23:23">
      <c r="W48686" s="503"/>
    </row>
    <row r="48687" spans="23:23">
      <c r="W48687" s="503"/>
    </row>
    <row r="48688" spans="23:23">
      <c r="W48688" s="503"/>
    </row>
    <row r="48689" spans="23:23">
      <c r="W48689" s="503"/>
    </row>
    <row r="48690" spans="23:23">
      <c r="W48690" s="503"/>
    </row>
    <row r="48691" spans="23:23">
      <c r="W48691" s="503"/>
    </row>
    <row r="48692" spans="23:23">
      <c r="W48692" s="503"/>
    </row>
    <row r="48693" spans="23:23">
      <c r="W48693" s="503"/>
    </row>
    <row r="48694" spans="23:23">
      <c r="W48694" s="503"/>
    </row>
    <row r="48695" spans="23:23">
      <c r="W48695" s="503"/>
    </row>
    <row r="48696" spans="23:23">
      <c r="W48696" s="503"/>
    </row>
    <row r="48697" spans="23:23">
      <c r="W48697" s="503"/>
    </row>
    <row r="48698" spans="23:23">
      <c r="W48698" s="503"/>
    </row>
    <row r="48699" spans="23:23">
      <c r="W48699" s="503"/>
    </row>
    <row r="48700" spans="23:23">
      <c r="W48700" s="503"/>
    </row>
    <row r="48701" spans="23:23">
      <c r="W48701" s="503"/>
    </row>
    <row r="48702" spans="23:23">
      <c r="W48702" s="503"/>
    </row>
    <row r="48703" spans="23:23">
      <c r="W48703" s="503"/>
    </row>
    <row r="48704" spans="23:23">
      <c r="W48704" s="503"/>
    </row>
    <row r="48705" spans="23:23">
      <c r="W48705" s="503"/>
    </row>
    <row r="48706" spans="23:23">
      <c r="W48706" s="503"/>
    </row>
    <row r="48707" spans="23:23">
      <c r="W48707" s="503"/>
    </row>
    <row r="48708" spans="23:23">
      <c r="W48708" s="503"/>
    </row>
    <row r="48709" spans="23:23">
      <c r="W48709" s="503"/>
    </row>
    <row r="48710" spans="23:23">
      <c r="W48710" s="503"/>
    </row>
    <row r="48711" spans="23:23">
      <c r="W48711" s="503"/>
    </row>
    <row r="48712" spans="23:23">
      <c r="W48712" s="503"/>
    </row>
    <row r="48713" spans="23:23">
      <c r="W48713" s="503"/>
    </row>
    <row r="48714" spans="23:23">
      <c r="W48714" s="503"/>
    </row>
    <row r="48715" spans="23:23">
      <c r="W48715" s="503"/>
    </row>
    <row r="48716" spans="23:23">
      <c r="W48716" s="503"/>
    </row>
    <row r="48717" spans="23:23">
      <c r="W48717" s="503"/>
    </row>
    <row r="48718" spans="23:23">
      <c r="W48718" s="503"/>
    </row>
    <row r="48719" spans="23:23">
      <c r="W48719" s="503"/>
    </row>
    <row r="48720" spans="23:23">
      <c r="W48720" s="503"/>
    </row>
    <row r="48721" spans="23:23">
      <c r="W48721" s="503"/>
    </row>
    <row r="48722" spans="23:23">
      <c r="W48722" s="503"/>
    </row>
    <row r="48723" spans="23:23">
      <c r="W48723" s="503"/>
    </row>
    <row r="48724" spans="23:23">
      <c r="W48724" s="503"/>
    </row>
    <row r="48725" spans="23:23">
      <c r="W48725" s="503"/>
    </row>
    <row r="48726" spans="23:23">
      <c r="W48726" s="503"/>
    </row>
    <row r="48727" spans="23:23">
      <c r="W48727" s="503"/>
    </row>
    <row r="48728" spans="23:23">
      <c r="W48728" s="503"/>
    </row>
    <row r="48729" spans="23:23">
      <c r="W48729" s="503"/>
    </row>
    <row r="48730" spans="23:23">
      <c r="W48730" s="503"/>
    </row>
    <row r="48731" spans="23:23">
      <c r="W48731" s="503"/>
    </row>
    <row r="48732" spans="23:23">
      <c r="W48732" s="503"/>
    </row>
    <row r="48733" spans="23:23">
      <c r="W48733" s="503"/>
    </row>
    <row r="48734" spans="23:23">
      <c r="W48734" s="503"/>
    </row>
    <row r="48735" spans="23:23">
      <c r="W48735" s="503"/>
    </row>
    <row r="48736" spans="23:23">
      <c r="W48736" s="503"/>
    </row>
    <row r="48737" spans="23:23">
      <c r="W48737" s="503"/>
    </row>
    <row r="48738" spans="23:23">
      <c r="W48738" s="503"/>
    </row>
    <row r="48739" spans="23:23">
      <c r="W48739" s="503"/>
    </row>
    <row r="48740" spans="23:23">
      <c r="W48740" s="503"/>
    </row>
    <row r="48741" spans="23:23">
      <c r="W48741" s="503"/>
    </row>
    <row r="48742" spans="23:23">
      <c r="W48742" s="503"/>
    </row>
    <row r="48743" spans="23:23">
      <c r="W48743" s="503"/>
    </row>
    <row r="48744" spans="23:23">
      <c r="W48744" s="503"/>
    </row>
    <row r="48745" spans="23:23">
      <c r="W48745" s="503"/>
    </row>
    <row r="48746" spans="23:23">
      <c r="W48746" s="503"/>
    </row>
    <row r="48747" spans="23:23">
      <c r="W48747" s="503"/>
    </row>
    <row r="48748" spans="23:23">
      <c r="W48748" s="503"/>
    </row>
    <row r="48749" spans="23:23">
      <c r="W48749" s="503"/>
    </row>
    <row r="48750" spans="23:23">
      <c r="W48750" s="503"/>
    </row>
    <row r="48751" spans="23:23">
      <c r="W48751" s="503"/>
    </row>
    <row r="48752" spans="23:23">
      <c r="W48752" s="503"/>
    </row>
    <row r="48753" spans="23:23">
      <c r="W48753" s="503"/>
    </row>
    <row r="48754" spans="23:23">
      <c r="W48754" s="503"/>
    </row>
    <row r="48755" spans="23:23">
      <c r="W48755" s="503"/>
    </row>
    <row r="48756" spans="23:23">
      <c r="W48756" s="503"/>
    </row>
    <row r="48757" spans="23:23">
      <c r="W48757" s="503"/>
    </row>
    <row r="48758" spans="23:23">
      <c r="W48758" s="503"/>
    </row>
    <row r="48759" spans="23:23">
      <c r="W48759" s="503"/>
    </row>
    <row r="48760" spans="23:23">
      <c r="W48760" s="503"/>
    </row>
    <row r="48761" spans="23:23">
      <c r="W48761" s="503"/>
    </row>
    <row r="48762" spans="23:23">
      <c r="W48762" s="503"/>
    </row>
    <row r="48763" spans="23:23">
      <c r="W48763" s="503"/>
    </row>
    <row r="48764" spans="23:23">
      <c r="W48764" s="503"/>
    </row>
    <row r="48765" spans="23:23">
      <c r="W48765" s="503"/>
    </row>
    <row r="48766" spans="23:23">
      <c r="W48766" s="503"/>
    </row>
    <row r="48767" spans="23:23">
      <c r="W48767" s="503"/>
    </row>
    <row r="48768" spans="23:23">
      <c r="W48768" s="503"/>
    </row>
    <row r="48769" spans="23:23">
      <c r="W48769" s="503"/>
    </row>
    <row r="48770" spans="23:23">
      <c r="W48770" s="503"/>
    </row>
    <row r="48771" spans="23:23">
      <c r="W48771" s="503"/>
    </row>
    <row r="48772" spans="23:23">
      <c r="W48772" s="503"/>
    </row>
    <row r="48773" spans="23:23">
      <c r="W48773" s="503"/>
    </row>
    <row r="48774" spans="23:23">
      <c r="W48774" s="503"/>
    </row>
    <row r="48775" spans="23:23">
      <c r="W48775" s="503"/>
    </row>
    <row r="48776" spans="23:23">
      <c r="W48776" s="503"/>
    </row>
    <row r="48777" spans="23:23">
      <c r="W48777" s="503"/>
    </row>
    <row r="48778" spans="23:23">
      <c r="W48778" s="503"/>
    </row>
    <row r="48779" spans="23:23">
      <c r="W48779" s="503"/>
    </row>
    <row r="48780" spans="23:23">
      <c r="W48780" s="503"/>
    </row>
    <row r="48781" spans="23:23">
      <c r="W48781" s="503"/>
    </row>
    <row r="48782" spans="23:23">
      <c r="W48782" s="503"/>
    </row>
    <row r="48783" spans="23:23">
      <c r="W48783" s="503"/>
    </row>
    <row r="48784" spans="23:23">
      <c r="W48784" s="503"/>
    </row>
    <row r="48785" spans="23:23">
      <c r="W48785" s="503"/>
    </row>
    <row r="48786" spans="23:23">
      <c r="W48786" s="503"/>
    </row>
    <row r="48787" spans="23:23">
      <c r="W48787" s="503"/>
    </row>
    <row r="48788" spans="23:23">
      <c r="W48788" s="503"/>
    </row>
    <row r="48789" spans="23:23">
      <c r="W48789" s="503"/>
    </row>
    <row r="48790" spans="23:23">
      <c r="W48790" s="503"/>
    </row>
    <row r="48791" spans="23:23">
      <c r="W48791" s="503"/>
    </row>
    <row r="48792" spans="23:23">
      <c r="W48792" s="503"/>
    </row>
    <row r="48793" spans="23:23">
      <c r="W48793" s="503"/>
    </row>
    <row r="48794" spans="23:23">
      <c r="W48794" s="503"/>
    </row>
    <row r="48795" spans="23:23">
      <c r="W48795" s="503"/>
    </row>
    <row r="48796" spans="23:23">
      <c r="W48796" s="503"/>
    </row>
    <row r="48797" spans="23:23">
      <c r="W48797" s="503"/>
    </row>
    <row r="48798" spans="23:23">
      <c r="W48798" s="503"/>
    </row>
    <row r="48799" spans="23:23">
      <c r="W48799" s="503"/>
    </row>
    <row r="48800" spans="23:23">
      <c r="W48800" s="503"/>
    </row>
    <row r="48801" spans="23:23">
      <c r="W48801" s="503"/>
    </row>
    <row r="48802" spans="23:23">
      <c r="W48802" s="503"/>
    </row>
    <row r="48803" spans="23:23">
      <c r="W48803" s="503"/>
    </row>
    <row r="48804" spans="23:23">
      <c r="W48804" s="503"/>
    </row>
    <row r="48805" spans="23:23">
      <c r="W48805" s="503"/>
    </row>
    <row r="48806" spans="23:23">
      <c r="W48806" s="503"/>
    </row>
    <row r="48807" spans="23:23">
      <c r="W48807" s="503"/>
    </row>
    <row r="48808" spans="23:23">
      <c r="W48808" s="503"/>
    </row>
    <row r="48809" spans="23:23">
      <c r="W48809" s="503"/>
    </row>
    <row r="48810" spans="23:23">
      <c r="W48810" s="503"/>
    </row>
    <row r="48811" spans="23:23">
      <c r="W48811" s="503"/>
    </row>
    <row r="48812" spans="23:23">
      <c r="W48812" s="503"/>
    </row>
    <row r="48813" spans="23:23">
      <c r="W48813" s="503"/>
    </row>
    <row r="48814" spans="23:23">
      <c r="W48814" s="503"/>
    </row>
    <row r="48815" spans="23:23">
      <c r="W48815" s="503"/>
    </row>
    <row r="48816" spans="23:23">
      <c r="W48816" s="503"/>
    </row>
    <row r="48817" spans="23:23">
      <c r="W48817" s="503"/>
    </row>
    <row r="48818" spans="23:23">
      <c r="W48818" s="503"/>
    </row>
    <row r="48819" spans="23:23">
      <c r="W48819" s="503"/>
    </row>
    <row r="48820" spans="23:23">
      <c r="W48820" s="503"/>
    </row>
    <row r="48821" spans="23:23">
      <c r="W48821" s="503"/>
    </row>
    <row r="48822" spans="23:23">
      <c r="W48822" s="503"/>
    </row>
    <row r="48823" spans="23:23">
      <c r="W48823" s="503"/>
    </row>
    <row r="48824" spans="23:23">
      <c r="W48824" s="503"/>
    </row>
    <row r="48825" spans="23:23">
      <c r="W48825" s="503"/>
    </row>
    <row r="48826" spans="23:23">
      <c r="W48826" s="503"/>
    </row>
    <row r="48827" spans="23:23">
      <c r="W48827" s="503"/>
    </row>
    <row r="48828" spans="23:23">
      <c r="W48828" s="503"/>
    </row>
    <row r="48829" spans="23:23">
      <c r="W48829" s="503"/>
    </row>
    <row r="48830" spans="23:23">
      <c r="W48830" s="503"/>
    </row>
    <row r="48831" spans="23:23">
      <c r="W48831" s="503"/>
    </row>
    <row r="48832" spans="23:23">
      <c r="W48832" s="503"/>
    </row>
    <row r="48833" spans="23:23">
      <c r="W48833" s="503"/>
    </row>
    <row r="48834" spans="23:23">
      <c r="W48834" s="503"/>
    </row>
    <row r="48835" spans="23:23">
      <c r="W48835" s="503"/>
    </row>
    <row r="48836" spans="23:23">
      <c r="W48836" s="503"/>
    </row>
    <row r="48837" spans="23:23">
      <c r="W48837" s="503"/>
    </row>
    <row r="48838" spans="23:23">
      <c r="W48838" s="503"/>
    </row>
    <row r="48839" spans="23:23">
      <c r="W48839" s="503"/>
    </row>
    <row r="48840" spans="23:23">
      <c r="W48840" s="503"/>
    </row>
    <row r="48841" spans="23:23">
      <c r="W48841" s="503"/>
    </row>
    <row r="48842" spans="23:23">
      <c r="W48842" s="503"/>
    </row>
    <row r="48843" spans="23:23">
      <c r="W48843" s="503"/>
    </row>
    <row r="48844" spans="23:23">
      <c r="W48844" s="503"/>
    </row>
    <row r="48845" spans="23:23">
      <c r="W48845" s="503"/>
    </row>
    <row r="48846" spans="23:23">
      <c r="W48846" s="503"/>
    </row>
    <row r="48847" spans="23:23">
      <c r="W48847" s="503"/>
    </row>
    <row r="48848" spans="23:23">
      <c r="W48848" s="503"/>
    </row>
    <row r="48849" spans="23:23">
      <c r="W48849" s="503"/>
    </row>
    <row r="48850" spans="23:23">
      <c r="W48850" s="503"/>
    </row>
    <row r="48851" spans="23:23">
      <c r="W48851" s="503"/>
    </row>
    <row r="48852" spans="23:23">
      <c r="W48852" s="503"/>
    </row>
    <row r="48853" spans="23:23">
      <c r="W48853" s="503"/>
    </row>
    <row r="48854" spans="23:23">
      <c r="W48854" s="503"/>
    </row>
    <row r="48855" spans="23:23">
      <c r="W48855" s="503"/>
    </row>
    <row r="48856" spans="23:23">
      <c r="W48856" s="503"/>
    </row>
    <row r="48857" spans="23:23">
      <c r="W48857" s="503"/>
    </row>
    <row r="48858" spans="23:23">
      <c r="W48858" s="503"/>
    </row>
    <row r="48859" spans="23:23">
      <c r="W48859" s="503"/>
    </row>
    <row r="48860" spans="23:23">
      <c r="W48860" s="503"/>
    </row>
    <row r="48861" spans="23:23">
      <c r="W48861" s="503"/>
    </row>
    <row r="48862" spans="23:23">
      <c r="W48862" s="503"/>
    </row>
    <row r="48863" spans="23:23">
      <c r="W48863" s="503"/>
    </row>
    <row r="48864" spans="23:23">
      <c r="W48864" s="503"/>
    </row>
    <row r="48865" spans="23:23">
      <c r="W48865" s="503"/>
    </row>
    <row r="48866" spans="23:23">
      <c r="W48866" s="503"/>
    </row>
    <row r="48867" spans="23:23">
      <c r="W48867" s="503"/>
    </row>
    <row r="48868" spans="23:23">
      <c r="W48868" s="503"/>
    </row>
    <row r="48869" spans="23:23">
      <c r="W48869" s="503"/>
    </row>
    <row r="48870" spans="23:23">
      <c r="W48870" s="503"/>
    </row>
    <row r="48871" spans="23:23">
      <c r="W48871" s="503"/>
    </row>
    <row r="48872" spans="23:23">
      <c r="W48872" s="503"/>
    </row>
    <row r="48873" spans="23:23">
      <c r="W48873" s="503"/>
    </row>
    <row r="48874" spans="23:23">
      <c r="W48874" s="503"/>
    </row>
    <row r="48875" spans="23:23">
      <c r="W48875" s="503"/>
    </row>
    <row r="48876" spans="23:23">
      <c r="W48876" s="503"/>
    </row>
    <row r="48877" spans="23:23">
      <c r="W48877" s="503"/>
    </row>
    <row r="48878" spans="23:23">
      <c r="W48878" s="503"/>
    </row>
    <row r="48879" spans="23:23">
      <c r="W48879" s="503"/>
    </row>
    <row r="48880" spans="23:23">
      <c r="W48880" s="503"/>
    </row>
    <row r="48881" spans="23:23">
      <c r="W48881" s="503"/>
    </row>
    <row r="48882" spans="23:23">
      <c r="W48882" s="503"/>
    </row>
    <row r="48883" spans="23:23">
      <c r="W48883" s="503"/>
    </row>
    <row r="48884" spans="23:23">
      <c r="W48884" s="503"/>
    </row>
    <row r="48885" spans="23:23">
      <c r="W48885" s="503"/>
    </row>
    <row r="48886" spans="23:23">
      <c r="W48886" s="503"/>
    </row>
    <row r="48887" spans="23:23">
      <c r="W48887" s="503"/>
    </row>
    <row r="48888" spans="23:23">
      <c r="W48888" s="503"/>
    </row>
    <row r="48889" spans="23:23">
      <c r="W48889" s="503"/>
    </row>
    <row r="48890" spans="23:23">
      <c r="W48890" s="503"/>
    </row>
    <row r="48891" spans="23:23">
      <c r="W48891" s="503"/>
    </row>
    <row r="48892" spans="23:23">
      <c r="W48892" s="503"/>
    </row>
    <row r="48893" spans="23:23">
      <c r="W48893" s="503"/>
    </row>
    <row r="48894" spans="23:23">
      <c r="W48894" s="503"/>
    </row>
    <row r="48895" spans="23:23">
      <c r="W48895" s="503"/>
    </row>
    <row r="48896" spans="23:23">
      <c r="W48896" s="503"/>
    </row>
    <row r="48897" spans="23:23">
      <c r="W48897" s="503"/>
    </row>
    <row r="48898" spans="23:23">
      <c r="W48898" s="503"/>
    </row>
    <row r="48899" spans="23:23">
      <c r="W48899" s="503"/>
    </row>
    <row r="48900" spans="23:23">
      <c r="W48900" s="503"/>
    </row>
    <row r="48901" spans="23:23">
      <c r="W48901" s="503"/>
    </row>
    <row r="48902" spans="23:23">
      <c r="W48902" s="503"/>
    </row>
    <row r="48903" spans="23:23">
      <c r="W48903" s="503"/>
    </row>
    <row r="48904" spans="23:23">
      <c r="W48904" s="503"/>
    </row>
    <row r="48905" spans="23:23">
      <c r="W48905" s="503"/>
    </row>
    <row r="48906" spans="23:23">
      <c r="W48906" s="503"/>
    </row>
    <row r="48907" spans="23:23">
      <c r="W48907" s="503"/>
    </row>
    <row r="48908" spans="23:23">
      <c r="W48908" s="503"/>
    </row>
    <row r="48909" spans="23:23">
      <c r="W48909" s="503"/>
    </row>
    <row r="48910" spans="23:23">
      <c r="W48910" s="503"/>
    </row>
    <row r="48911" spans="23:23">
      <c r="W48911" s="503"/>
    </row>
    <row r="48912" spans="23:23">
      <c r="W48912" s="503"/>
    </row>
    <row r="48913" spans="23:23">
      <c r="W48913" s="503"/>
    </row>
    <row r="48914" spans="23:23">
      <c r="W48914" s="503"/>
    </row>
    <row r="48915" spans="23:23">
      <c r="W48915" s="503"/>
    </row>
    <row r="48916" spans="23:23">
      <c r="W48916" s="503"/>
    </row>
    <row r="48917" spans="23:23">
      <c r="W48917" s="503"/>
    </row>
    <row r="48918" spans="23:23">
      <c r="W48918" s="503"/>
    </row>
    <row r="48919" spans="23:23">
      <c r="W48919" s="503"/>
    </row>
    <row r="48920" spans="23:23">
      <c r="W48920" s="503"/>
    </row>
    <row r="48921" spans="23:23">
      <c r="W48921" s="503"/>
    </row>
    <row r="48922" spans="23:23">
      <c r="W48922" s="503"/>
    </row>
    <row r="48923" spans="23:23">
      <c r="W48923" s="503"/>
    </row>
    <row r="48924" spans="23:23">
      <c r="W48924" s="503"/>
    </row>
    <row r="48925" spans="23:23">
      <c r="W48925" s="503"/>
    </row>
    <row r="48926" spans="23:23">
      <c r="W48926" s="503"/>
    </row>
    <row r="48927" spans="23:23">
      <c r="W48927" s="503"/>
    </row>
    <row r="48928" spans="23:23">
      <c r="W48928" s="503"/>
    </row>
    <row r="48929" spans="23:23">
      <c r="W48929" s="503"/>
    </row>
    <row r="48930" spans="23:23">
      <c r="W48930" s="503"/>
    </row>
    <row r="48931" spans="23:23">
      <c r="W48931" s="503"/>
    </row>
    <row r="48932" spans="23:23">
      <c r="W48932" s="503"/>
    </row>
    <row r="48933" spans="23:23">
      <c r="W48933" s="503"/>
    </row>
    <row r="48934" spans="23:23">
      <c r="W48934" s="503"/>
    </row>
    <row r="48935" spans="23:23">
      <c r="W48935" s="503"/>
    </row>
    <row r="48936" spans="23:23">
      <c r="W48936" s="503"/>
    </row>
    <row r="48937" spans="23:23">
      <c r="W48937" s="503"/>
    </row>
    <row r="48938" spans="23:23">
      <c r="W48938" s="503"/>
    </row>
    <row r="48939" spans="23:23">
      <c r="W48939" s="503"/>
    </row>
    <row r="48940" spans="23:23">
      <c r="W48940" s="503"/>
    </row>
    <row r="48941" spans="23:23">
      <c r="W48941" s="503"/>
    </row>
    <row r="48942" spans="23:23">
      <c r="W48942" s="503"/>
    </row>
    <row r="48943" spans="23:23">
      <c r="W48943" s="503"/>
    </row>
    <row r="48944" spans="23:23">
      <c r="W48944" s="503"/>
    </row>
    <row r="48945" spans="23:23">
      <c r="W48945" s="503"/>
    </row>
    <row r="48946" spans="23:23">
      <c r="W48946" s="503"/>
    </row>
    <row r="48947" spans="23:23">
      <c r="W48947" s="503"/>
    </row>
    <row r="48948" spans="23:23">
      <c r="W48948" s="503"/>
    </row>
    <row r="48949" spans="23:23">
      <c r="W48949" s="503"/>
    </row>
    <row r="48950" spans="23:23">
      <c r="W48950" s="503"/>
    </row>
    <row r="48951" spans="23:23">
      <c r="W48951" s="503"/>
    </row>
    <row r="48952" spans="23:23">
      <c r="W48952" s="503"/>
    </row>
    <row r="48953" spans="23:23">
      <c r="W48953" s="503"/>
    </row>
    <row r="48954" spans="23:23">
      <c r="W48954" s="503"/>
    </row>
    <row r="48955" spans="23:23">
      <c r="W48955" s="503"/>
    </row>
    <row r="48956" spans="23:23">
      <c r="W48956" s="503"/>
    </row>
    <row r="48957" spans="23:23">
      <c r="W48957" s="503"/>
    </row>
    <row r="48958" spans="23:23">
      <c r="W48958" s="503"/>
    </row>
    <row r="48959" spans="23:23">
      <c r="W48959" s="503"/>
    </row>
    <row r="48960" spans="23:23">
      <c r="W48960" s="503"/>
    </row>
    <row r="48961" spans="23:23">
      <c r="W48961" s="503"/>
    </row>
    <row r="48962" spans="23:23">
      <c r="W48962" s="503"/>
    </row>
    <row r="48963" spans="23:23">
      <c r="W48963" s="503"/>
    </row>
    <row r="48964" spans="23:23">
      <c r="W48964" s="503"/>
    </row>
    <row r="48965" spans="23:23">
      <c r="W48965" s="503"/>
    </row>
    <row r="48966" spans="23:23">
      <c r="W48966" s="503"/>
    </row>
    <row r="48967" spans="23:23">
      <c r="W48967" s="503"/>
    </row>
    <row r="48968" spans="23:23">
      <c r="W48968" s="503"/>
    </row>
    <row r="48969" spans="23:23">
      <c r="W48969" s="503"/>
    </row>
    <row r="48970" spans="23:23">
      <c r="W48970" s="503"/>
    </row>
    <row r="48971" spans="23:23">
      <c r="W48971" s="503"/>
    </row>
    <row r="48972" spans="23:23">
      <c r="W48972" s="503"/>
    </row>
    <row r="48973" spans="23:23">
      <c r="W48973" s="503"/>
    </row>
    <row r="48974" spans="23:23">
      <c r="W48974" s="503"/>
    </row>
    <row r="48975" spans="23:23">
      <c r="W48975" s="503"/>
    </row>
    <row r="48976" spans="23:23">
      <c r="W48976" s="503"/>
    </row>
    <row r="48977" spans="23:23">
      <c r="W48977" s="503"/>
    </row>
    <row r="48978" spans="23:23">
      <c r="W48978" s="503"/>
    </row>
    <row r="48979" spans="23:23">
      <c r="W48979" s="503"/>
    </row>
    <row r="48980" spans="23:23">
      <c r="W48980" s="503"/>
    </row>
    <row r="48981" spans="23:23">
      <c r="W48981" s="503"/>
    </row>
    <row r="48982" spans="23:23">
      <c r="W48982" s="503"/>
    </row>
    <row r="48983" spans="23:23">
      <c r="W48983" s="503"/>
    </row>
    <row r="48984" spans="23:23">
      <c r="W48984" s="503"/>
    </row>
    <row r="48985" spans="23:23">
      <c r="W48985" s="503"/>
    </row>
    <row r="48986" spans="23:23">
      <c r="W48986" s="503"/>
    </row>
    <row r="48987" spans="23:23">
      <c r="W48987" s="503"/>
    </row>
    <row r="48988" spans="23:23">
      <c r="W48988" s="503"/>
    </row>
    <row r="48989" spans="23:23">
      <c r="W48989" s="503"/>
    </row>
    <row r="48990" spans="23:23">
      <c r="W48990" s="503"/>
    </row>
    <row r="48991" spans="23:23">
      <c r="W48991" s="503"/>
    </row>
    <row r="48992" spans="23:23">
      <c r="W48992" s="503"/>
    </row>
    <row r="48993" spans="23:23">
      <c r="W48993" s="503"/>
    </row>
    <row r="48994" spans="23:23">
      <c r="W48994" s="503"/>
    </row>
    <row r="48995" spans="23:23">
      <c r="W48995" s="503"/>
    </row>
    <row r="48996" spans="23:23">
      <c r="W48996" s="503"/>
    </row>
    <row r="48997" spans="23:23">
      <c r="W48997" s="503"/>
    </row>
    <row r="48998" spans="23:23">
      <c r="W48998" s="503"/>
    </row>
    <row r="48999" spans="23:23">
      <c r="W48999" s="503"/>
    </row>
    <row r="49000" spans="23:23">
      <c r="W49000" s="503"/>
    </row>
    <row r="49001" spans="23:23">
      <c r="W49001" s="503"/>
    </row>
    <row r="49002" spans="23:23">
      <c r="W49002" s="503"/>
    </row>
    <row r="49003" spans="23:23">
      <c r="W49003" s="503"/>
    </row>
    <row r="49004" spans="23:23">
      <c r="W49004" s="503"/>
    </row>
    <row r="49005" spans="23:23">
      <c r="W49005" s="503"/>
    </row>
    <row r="49006" spans="23:23">
      <c r="W49006" s="503"/>
    </row>
    <row r="49007" spans="23:23">
      <c r="W49007" s="503"/>
    </row>
    <row r="49008" spans="23:23">
      <c r="W49008" s="503"/>
    </row>
    <row r="49009" spans="23:23">
      <c r="W49009" s="503"/>
    </row>
    <row r="49010" spans="23:23">
      <c r="W49010" s="503"/>
    </row>
    <row r="49011" spans="23:23">
      <c r="W49011" s="503"/>
    </row>
    <row r="49012" spans="23:23">
      <c r="W49012" s="503"/>
    </row>
    <row r="49013" spans="23:23">
      <c r="W49013" s="503"/>
    </row>
    <row r="49014" spans="23:23">
      <c r="W49014" s="503"/>
    </row>
    <row r="49015" spans="23:23">
      <c r="W49015" s="503"/>
    </row>
    <row r="49016" spans="23:23">
      <c r="W49016" s="503"/>
    </row>
    <row r="49017" spans="23:23">
      <c r="W49017" s="503"/>
    </row>
    <row r="49018" spans="23:23">
      <c r="W49018" s="503"/>
    </row>
    <row r="49019" spans="23:23">
      <c r="W49019" s="503"/>
    </row>
    <row r="49020" spans="23:23">
      <c r="W49020" s="503"/>
    </row>
    <row r="49021" spans="23:23">
      <c r="W49021" s="503"/>
    </row>
    <row r="49022" spans="23:23">
      <c r="W49022" s="503"/>
    </row>
    <row r="49023" spans="23:23">
      <c r="W49023" s="503"/>
    </row>
    <row r="49024" spans="23:23">
      <c r="W49024" s="503"/>
    </row>
    <row r="49025" spans="23:23">
      <c r="W49025" s="503"/>
    </row>
    <row r="49026" spans="23:23">
      <c r="W49026" s="503"/>
    </row>
    <row r="49027" spans="23:23">
      <c r="W49027" s="503"/>
    </row>
    <row r="49028" spans="23:23">
      <c r="W49028" s="503"/>
    </row>
    <row r="49029" spans="23:23">
      <c r="W49029" s="503"/>
    </row>
    <row r="49030" spans="23:23">
      <c r="W49030" s="503"/>
    </row>
    <row r="49031" spans="23:23">
      <c r="W49031" s="503"/>
    </row>
    <row r="49032" spans="23:23">
      <c r="W49032" s="503"/>
    </row>
    <row r="49033" spans="23:23">
      <c r="W49033" s="503"/>
    </row>
    <row r="49034" spans="23:23">
      <c r="W49034" s="503"/>
    </row>
    <row r="49035" spans="23:23">
      <c r="W49035" s="503"/>
    </row>
    <row r="49036" spans="23:23">
      <c r="W49036" s="503"/>
    </row>
    <row r="49037" spans="23:23">
      <c r="W49037" s="503"/>
    </row>
    <row r="49038" spans="23:23">
      <c r="W49038" s="503"/>
    </row>
    <row r="49039" spans="23:23">
      <c r="W49039" s="503"/>
    </row>
    <row r="49040" spans="23:23">
      <c r="W49040" s="503"/>
    </row>
    <row r="49041" spans="23:23">
      <c r="W49041" s="503"/>
    </row>
    <row r="49042" spans="23:23">
      <c r="W49042" s="503"/>
    </row>
    <row r="49043" spans="23:23">
      <c r="W49043" s="503"/>
    </row>
    <row r="49044" spans="23:23">
      <c r="W49044" s="503"/>
    </row>
    <row r="49045" spans="23:23">
      <c r="W49045" s="503"/>
    </row>
    <row r="49046" spans="23:23">
      <c r="W49046" s="503"/>
    </row>
    <row r="49047" spans="23:23">
      <c r="W49047" s="503"/>
    </row>
    <row r="49048" spans="23:23">
      <c r="W49048" s="503"/>
    </row>
    <row r="49049" spans="23:23">
      <c r="W49049" s="503"/>
    </row>
    <row r="49050" spans="23:23">
      <c r="W49050" s="503"/>
    </row>
    <row r="49051" spans="23:23">
      <c r="W49051" s="503"/>
    </row>
    <row r="49052" spans="23:23">
      <c r="W49052" s="503"/>
    </row>
    <row r="49053" spans="23:23">
      <c r="W49053" s="503"/>
    </row>
    <row r="49054" spans="23:23">
      <c r="W49054" s="503"/>
    </row>
    <row r="49055" spans="23:23">
      <c r="W49055" s="503"/>
    </row>
    <row r="49056" spans="23:23">
      <c r="W49056" s="503"/>
    </row>
    <row r="49057" spans="23:23">
      <c r="W49057" s="503"/>
    </row>
    <row r="49058" spans="23:23">
      <c r="W49058" s="503"/>
    </row>
    <row r="49059" spans="23:23">
      <c r="W49059" s="503"/>
    </row>
    <row r="49060" spans="23:23">
      <c r="W49060" s="503"/>
    </row>
    <row r="49061" spans="23:23">
      <c r="W49061" s="503"/>
    </row>
    <row r="49062" spans="23:23">
      <c r="W49062" s="503"/>
    </row>
    <row r="49063" spans="23:23">
      <c r="W49063" s="503"/>
    </row>
    <row r="49064" spans="23:23">
      <c r="W49064" s="503"/>
    </row>
    <row r="49065" spans="23:23">
      <c r="W49065" s="503"/>
    </row>
    <row r="49066" spans="23:23">
      <c r="W49066" s="503"/>
    </row>
    <row r="49067" spans="23:23">
      <c r="W49067" s="503"/>
    </row>
    <row r="49068" spans="23:23">
      <c r="W49068" s="503"/>
    </row>
    <row r="49069" spans="23:23">
      <c r="W49069" s="503"/>
    </row>
    <row r="49070" spans="23:23">
      <c r="W49070" s="503"/>
    </row>
    <row r="49071" spans="23:23">
      <c r="W49071" s="503"/>
    </row>
    <row r="49072" spans="23:23">
      <c r="W49072" s="503"/>
    </row>
    <row r="49073" spans="23:23">
      <c r="W49073" s="503"/>
    </row>
    <row r="49074" spans="23:23">
      <c r="W49074" s="503"/>
    </row>
    <row r="49075" spans="23:23">
      <c r="W49075" s="503"/>
    </row>
    <row r="49076" spans="23:23">
      <c r="W49076" s="503"/>
    </row>
    <row r="49077" spans="23:23">
      <c r="W49077" s="503"/>
    </row>
    <row r="49078" spans="23:23">
      <c r="W49078" s="503"/>
    </row>
    <row r="49079" spans="23:23">
      <c r="W49079" s="503"/>
    </row>
    <row r="49080" spans="23:23">
      <c r="W49080" s="503"/>
    </row>
    <row r="49081" spans="23:23">
      <c r="W49081" s="503"/>
    </row>
    <row r="49082" spans="23:23">
      <c r="W49082" s="503"/>
    </row>
    <row r="49083" spans="23:23">
      <c r="W49083" s="503"/>
    </row>
    <row r="49084" spans="23:23">
      <c r="W49084" s="503"/>
    </row>
    <row r="49085" spans="23:23">
      <c r="W49085" s="503"/>
    </row>
    <row r="49086" spans="23:23">
      <c r="W49086" s="503"/>
    </row>
    <row r="49087" spans="23:23">
      <c r="W49087" s="503"/>
    </row>
    <row r="49088" spans="23:23">
      <c r="W49088" s="503"/>
    </row>
    <row r="49089" spans="23:23">
      <c r="W49089" s="503"/>
    </row>
    <row r="49090" spans="23:23">
      <c r="W49090" s="503"/>
    </row>
    <row r="49091" spans="23:23">
      <c r="W49091" s="503"/>
    </row>
    <row r="49092" spans="23:23">
      <c r="W49092" s="503"/>
    </row>
    <row r="49093" spans="23:23">
      <c r="W49093" s="503"/>
    </row>
    <row r="49094" spans="23:23">
      <c r="W49094" s="503"/>
    </row>
    <row r="49095" spans="23:23">
      <c r="W49095" s="503"/>
    </row>
    <row r="49096" spans="23:23">
      <c r="W49096" s="503"/>
    </row>
    <row r="49097" spans="23:23">
      <c r="W49097" s="503"/>
    </row>
    <row r="49098" spans="23:23">
      <c r="W49098" s="503"/>
    </row>
    <row r="49099" spans="23:23">
      <c r="W49099" s="503"/>
    </row>
    <row r="49100" spans="23:23">
      <c r="W49100" s="503"/>
    </row>
    <row r="49101" spans="23:23">
      <c r="W49101" s="503"/>
    </row>
    <row r="49102" spans="23:23">
      <c r="W49102" s="503"/>
    </row>
    <row r="49103" spans="23:23">
      <c r="W49103" s="503"/>
    </row>
    <row r="49104" spans="23:23">
      <c r="W49104" s="503"/>
    </row>
    <row r="49105" spans="23:23">
      <c r="W49105" s="503"/>
    </row>
    <row r="49106" spans="23:23">
      <c r="W49106" s="503"/>
    </row>
    <row r="49107" spans="23:23">
      <c r="W49107" s="503"/>
    </row>
    <row r="49108" spans="23:23">
      <c r="W49108" s="503"/>
    </row>
    <row r="49109" spans="23:23">
      <c r="W49109" s="503"/>
    </row>
    <row r="49110" spans="23:23">
      <c r="W49110" s="503"/>
    </row>
    <row r="49111" spans="23:23">
      <c r="W49111" s="503"/>
    </row>
    <row r="49112" spans="23:23">
      <c r="W49112" s="503"/>
    </row>
    <row r="49113" spans="23:23">
      <c r="W49113" s="503"/>
    </row>
    <row r="49114" spans="23:23">
      <c r="W49114" s="503"/>
    </row>
    <row r="49115" spans="23:23">
      <c r="W49115" s="503"/>
    </row>
    <row r="49116" spans="23:23">
      <c r="W49116" s="503"/>
    </row>
    <row r="49117" spans="23:23">
      <c r="W49117" s="503"/>
    </row>
    <row r="49118" spans="23:23">
      <c r="W49118" s="503"/>
    </row>
    <row r="49119" spans="23:23">
      <c r="W49119" s="503"/>
    </row>
    <row r="49120" spans="23:23">
      <c r="W49120" s="503"/>
    </row>
    <row r="49121" spans="23:23">
      <c r="W49121" s="503"/>
    </row>
    <row r="49122" spans="23:23">
      <c r="W49122" s="503"/>
    </row>
    <row r="49123" spans="23:23">
      <c r="W49123" s="503"/>
    </row>
    <row r="49124" spans="23:23">
      <c r="W49124" s="503"/>
    </row>
    <row r="49125" spans="23:23">
      <c r="W49125" s="503"/>
    </row>
    <row r="49126" spans="23:23">
      <c r="W49126" s="503"/>
    </row>
    <row r="49127" spans="23:23">
      <c r="W49127" s="503"/>
    </row>
    <row r="49128" spans="23:23">
      <c r="W49128" s="503"/>
    </row>
    <row r="49129" spans="23:23">
      <c r="W49129" s="503"/>
    </row>
    <row r="49130" spans="23:23">
      <c r="W49130" s="503"/>
    </row>
    <row r="49131" spans="23:23">
      <c r="W49131" s="503"/>
    </row>
    <row r="49132" spans="23:23">
      <c r="W49132" s="503"/>
    </row>
    <row r="49133" spans="23:23">
      <c r="W49133" s="503"/>
    </row>
    <row r="49134" spans="23:23">
      <c r="W49134" s="503"/>
    </row>
    <row r="49135" spans="23:23">
      <c r="W49135" s="503"/>
    </row>
    <row r="49136" spans="23:23">
      <c r="W49136" s="503"/>
    </row>
    <row r="49137" spans="23:23">
      <c r="W49137" s="503"/>
    </row>
    <row r="49138" spans="23:23">
      <c r="W49138" s="503"/>
    </row>
    <row r="49139" spans="23:23">
      <c r="W49139" s="503"/>
    </row>
    <row r="49140" spans="23:23">
      <c r="W49140" s="503"/>
    </row>
    <row r="49141" spans="23:23">
      <c r="W49141" s="503"/>
    </row>
    <row r="49142" spans="23:23">
      <c r="W49142" s="503"/>
    </row>
    <row r="49143" spans="23:23">
      <c r="W49143" s="503"/>
    </row>
    <row r="49144" spans="23:23">
      <c r="W49144" s="503"/>
    </row>
    <row r="49145" spans="23:23">
      <c r="W49145" s="503"/>
    </row>
    <row r="49146" spans="23:23">
      <c r="W49146" s="503"/>
    </row>
    <row r="49147" spans="23:23">
      <c r="W49147" s="503"/>
    </row>
    <row r="49148" spans="23:23">
      <c r="W49148" s="503"/>
    </row>
    <row r="49149" spans="23:23">
      <c r="W49149" s="503"/>
    </row>
    <row r="49150" spans="23:23">
      <c r="W49150" s="503"/>
    </row>
    <row r="49151" spans="23:23">
      <c r="W49151" s="503"/>
    </row>
    <row r="49152" spans="23:23">
      <c r="W49152" s="503"/>
    </row>
    <row r="49153" spans="23:23">
      <c r="W49153" s="503"/>
    </row>
    <row r="49154" spans="23:23">
      <c r="W49154" s="503"/>
    </row>
    <row r="49155" spans="23:23">
      <c r="W49155" s="503"/>
    </row>
    <row r="49156" spans="23:23">
      <c r="W49156" s="503"/>
    </row>
    <row r="49157" spans="23:23">
      <c r="W49157" s="503"/>
    </row>
    <row r="49158" spans="23:23">
      <c r="W49158" s="503"/>
    </row>
    <row r="49159" spans="23:23">
      <c r="W49159" s="503"/>
    </row>
    <row r="49160" spans="23:23">
      <c r="W49160" s="503"/>
    </row>
    <row r="49161" spans="23:23">
      <c r="W49161" s="503"/>
    </row>
    <row r="49162" spans="23:23">
      <c r="W49162" s="503"/>
    </row>
    <row r="49163" spans="23:23">
      <c r="W49163" s="503"/>
    </row>
    <row r="49164" spans="23:23">
      <c r="W49164" s="503"/>
    </row>
    <row r="49165" spans="23:23">
      <c r="W49165" s="503"/>
    </row>
    <row r="49166" spans="23:23">
      <c r="W49166" s="503"/>
    </row>
    <row r="49167" spans="23:23">
      <c r="W49167" s="503"/>
    </row>
    <row r="49168" spans="23:23">
      <c r="W49168" s="503"/>
    </row>
    <row r="49169" spans="23:23">
      <c r="W49169" s="503"/>
    </row>
    <row r="49170" spans="23:23">
      <c r="W49170" s="503"/>
    </row>
    <row r="49171" spans="23:23">
      <c r="W49171" s="503"/>
    </row>
    <row r="49172" spans="23:23">
      <c r="W49172" s="503"/>
    </row>
    <row r="49173" spans="23:23">
      <c r="W49173" s="503"/>
    </row>
    <row r="49174" spans="23:23">
      <c r="W49174" s="503"/>
    </row>
    <row r="49175" spans="23:23">
      <c r="W49175" s="503"/>
    </row>
    <row r="49176" spans="23:23">
      <c r="W49176" s="503"/>
    </row>
    <row r="49177" spans="23:23">
      <c r="W49177" s="503"/>
    </row>
    <row r="49178" spans="23:23">
      <c r="W49178" s="503"/>
    </row>
    <row r="49179" spans="23:23">
      <c r="W49179" s="503"/>
    </row>
    <row r="49180" spans="23:23">
      <c r="W49180" s="503"/>
    </row>
    <row r="49181" spans="23:23">
      <c r="W49181" s="503"/>
    </row>
    <row r="49182" spans="23:23">
      <c r="W49182" s="503"/>
    </row>
    <row r="49183" spans="23:23">
      <c r="W49183" s="503"/>
    </row>
    <row r="49184" spans="23:23">
      <c r="W49184" s="503"/>
    </row>
    <row r="49185" spans="23:23">
      <c r="W49185" s="503"/>
    </row>
    <row r="49186" spans="23:23">
      <c r="W49186" s="503"/>
    </row>
    <row r="49187" spans="23:23">
      <c r="W49187" s="503"/>
    </row>
    <row r="49188" spans="23:23">
      <c r="W49188" s="503"/>
    </row>
    <row r="49189" spans="23:23">
      <c r="W49189" s="503"/>
    </row>
    <row r="49190" spans="23:23">
      <c r="W49190" s="503"/>
    </row>
    <row r="49191" spans="23:23">
      <c r="W49191" s="503"/>
    </row>
    <row r="49192" spans="23:23">
      <c r="W49192" s="503"/>
    </row>
    <row r="49193" spans="23:23">
      <c r="W49193" s="503"/>
    </row>
    <row r="49194" spans="23:23">
      <c r="W49194" s="503"/>
    </row>
    <row r="49195" spans="23:23">
      <c r="W49195" s="503"/>
    </row>
    <row r="49196" spans="23:23">
      <c r="W49196" s="503"/>
    </row>
    <row r="49197" spans="23:23">
      <c r="W49197" s="503"/>
    </row>
    <row r="49198" spans="23:23">
      <c r="W49198" s="503"/>
    </row>
    <row r="49199" spans="23:23">
      <c r="W49199" s="503"/>
    </row>
    <row r="49200" spans="23:23">
      <c r="W49200" s="503"/>
    </row>
    <row r="49201" spans="23:23">
      <c r="W49201" s="503"/>
    </row>
    <row r="49202" spans="23:23">
      <c r="W49202" s="503"/>
    </row>
    <row r="49203" spans="23:23">
      <c r="W49203" s="503"/>
    </row>
    <row r="49204" spans="23:23">
      <c r="W49204" s="503"/>
    </row>
    <row r="49205" spans="23:23">
      <c r="W49205" s="503"/>
    </row>
    <row r="49206" spans="23:23">
      <c r="W49206" s="503"/>
    </row>
    <row r="49207" spans="23:23">
      <c r="W49207" s="503"/>
    </row>
    <row r="49208" spans="23:23">
      <c r="W49208" s="503"/>
    </row>
    <row r="49209" spans="23:23">
      <c r="W49209" s="503"/>
    </row>
    <row r="49210" spans="23:23">
      <c r="W49210" s="503"/>
    </row>
    <row r="49211" spans="23:23">
      <c r="W49211" s="503"/>
    </row>
    <row r="49212" spans="23:23">
      <c r="W49212" s="503"/>
    </row>
    <row r="49213" spans="23:23">
      <c r="W49213" s="503"/>
    </row>
    <row r="49214" spans="23:23">
      <c r="W49214" s="503"/>
    </row>
    <row r="49215" spans="23:23">
      <c r="W49215" s="503"/>
    </row>
    <row r="49216" spans="23:23">
      <c r="W49216" s="503"/>
    </row>
    <row r="49217" spans="23:23">
      <c r="W49217" s="503"/>
    </row>
    <row r="49218" spans="23:23">
      <c r="W49218" s="503"/>
    </row>
    <row r="49219" spans="23:23">
      <c r="W49219" s="503"/>
    </row>
    <row r="49220" spans="23:23">
      <c r="W49220" s="503"/>
    </row>
    <row r="49221" spans="23:23">
      <c r="W49221" s="503"/>
    </row>
    <row r="49222" spans="23:23">
      <c r="W49222" s="503"/>
    </row>
    <row r="49223" spans="23:23">
      <c r="W49223" s="503"/>
    </row>
    <row r="49224" spans="23:23">
      <c r="W49224" s="503"/>
    </row>
    <row r="49225" spans="23:23">
      <c r="W49225" s="503"/>
    </row>
    <row r="49226" spans="23:23">
      <c r="W49226" s="503"/>
    </row>
    <row r="49227" spans="23:23">
      <c r="W49227" s="503"/>
    </row>
    <row r="49228" spans="23:23">
      <c r="W49228" s="503"/>
    </row>
    <row r="49229" spans="23:23">
      <c r="W49229" s="503"/>
    </row>
    <row r="49230" spans="23:23">
      <c r="W49230" s="503"/>
    </row>
    <row r="49231" spans="23:23">
      <c r="W49231" s="503"/>
    </row>
    <row r="49232" spans="23:23">
      <c r="W49232" s="503"/>
    </row>
    <row r="49233" spans="23:23">
      <c r="W49233" s="503"/>
    </row>
    <row r="49234" spans="23:23">
      <c r="W49234" s="503"/>
    </row>
    <row r="49235" spans="23:23">
      <c r="W49235" s="503"/>
    </row>
    <row r="49236" spans="23:23">
      <c r="W49236" s="503"/>
    </row>
    <row r="49237" spans="23:23">
      <c r="W49237" s="503"/>
    </row>
    <row r="49238" spans="23:23">
      <c r="W49238" s="503"/>
    </row>
    <row r="49239" spans="23:23">
      <c r="W49239" s="503"/>
    </row>
    <row r="49240" spans="23:23">
      <c r="W49240" s="503"/>
    </row>
    <row r="49241" spans="23:23">
      <c r="W49241" s="503"/>
    </row>
    <row r="49242" spans="23:23">
      <c r="W49242" s="503"/>
    </row>
    <row r="49243" spans="23:23">
      <c r="W49243" s="503"/>
    </row>
    <row r="49244" spans="23:23">
      <c r="W49244" s="503"/>
    </row>
    <row r="49245" spans="23:23">
      <c r="W49245" s="503"/>
    </row>
    <row r="49246" spans="23:23">
      <c r="W49246" s="503"/>
    </row>
    <row r="49247" spans="23:23">
      <c r="W49247" s="503"/>
    </row>
    <row r="49248" spans="23:23">
      <c r="W49248" s="503"/>
    </row>
    <row r="49249" spans="23:23">
      <c r="W49249" s="503"/>
    </row>
    <row r="49250" spans="23:23">
      <c r="W49250" s="503"/>
    </row>
    <row r="49251" spans="23:23">
      <c r="W49251" s="503"/>
    </row>
    <row r="49252" spans="23:23">
      <c r="W49252" s="503"/>
    </row>
    <row r="49253" spans="23:23">
      <c r="W49253" s="503"/>
    </row>
    <row r="49254" spans="23:23">
      <c r="W49254" s="503"/>
    </row>
    <row r="49255" spans="23:23">
      <c r="W49255" s="503"/>
    </row>
    <row r="49256" spans="23:23">
      <c r="W49256" s="503"/>
    </row>
    <row r="49257" spans="23:23">
      <c r="W49257" s="503"/>
    </row>
    <row r="49258" spans="23:23">
      <c r="W49258" s="503"/>
    </row>
    <row r="49259" spans="23:23">
      <c r="W49259" s="503"/>
    </row>
    <row r="49260" spans="23:23">
      <c r="W49260" s="503"/>
    </row>
    <row r="49261" spans="23:23">
      <c r="W49261" s="503"/>
    </row>
    <row r="49262" spans="23:23">
      <c r="W49262" s="503"/>
    </row>
    <row r="49263" spans="23:23">
      <c r="W49263" s="503"/>
    </row>
    <row r="49264" spans="23:23">
      <c r="W49264" s="503"/>
    </row>
    <row r="49265" spans="23:23">
      <c r="W49265" s="503"/>
    </row>
    <row r="49266" spans="23:23">
      <c r="W49266" s="503"/>
    </row>
    <row r="49267" spans="23:23">
      <c r="W49267" s="503"/>
    </row>
    <row r="49268" spans="23:23">
      <c r="W49268" s="503"/>
    </row>
    <row r="49269" spans="23:23">
      <c r="W49269" s="503"/>
    </row>
    <row r="49270" spans="23:23">
      <c r="W49270" s="503"/>
    </row>
    <row r="49271" spans="23:23">
      <c r="W49271" s="503"/>
    </row>
    <row r="49272" spans="23:23">
      <c r="W49272" s="503"/>
    </row>
    <row r="49273" spans="23:23">
      <c r="W49273" s="503"/>
    </row>
    <row r="49274" spans="23:23">
      <c r="W49274" s="503"/>
    </row>
    <row r="49275" spans="23:23">
      <c r="W49275" s="503"/>
    </row>
    <row r="49276" spans="23:23">
      <c r="W49276" s="503"/>
    </row>
    <row r="49277" spans="23:23">
      <c r="W49277" s="503"/>
    </row>
    <row r="49278" spans="23:23">
      <c r="W49278" s="503"/>
    </row>
    <row r="49279" spans="23:23">
      <c r="W49279" s="503"/>
    </row>
    <row r="49280" spans="23:23">
      <c r="W49280" s="503"/>
    </row>
    <row r="49281" spans="23:23">
      <c r="W49281" s="503"/>
    </row>
    <row r="49282" spans="23:23">
      <c r="W49282" s="503"/>
    </row>
    <row r="49283" spans="23:23">
      <c r="W49283" s="503"/>
    </row>
    <row r="49284" spans="23:23">
      <c r="W49284" s="503"/>
    </row>
    <row r="49285" spans="23:23">
      <c r="W49285" s="503"/>
    </row>
    <row r="49286" spans="23:23">
      <c r="W49286" s="503"/>
    </row>
    <row r="49287" spans="23:23">
      <c r="W49287" s="503"/>
    </row>
    <row r="49288" spans="23:23">
      <c r="W49288" s="503"/>
    </row>
    <row r="49289" spans="23:23">
      <c r="W49289" s="503"/>
    </row>
    <row r="49290" spans="23:23">
      <c r="W49290" s="503"/>
    </row>
    <row r="49291" spans="23:23">
      <c r="W49291" s="503"/>
    </row>
    <row r="49292" spans="23:23">
      <c r="W49292" s="503"/>
    </row>
    <row r="49293" spans="23:23">
      <c r="W49293" s="503"/>
    </row>
    <row r="49294" spans="23:23">
      <c r="W49294" s="503"/>
    </row>
    <row r="49295" spans="23:23">
      <c r="W49295" s="503"/>
    </row>
    <row r="49296" spans="23:23">
      <c r="W49296" s="503"/>
    </row>
    <row r="49297" spans="23:23">
      <c r="W49297" s="503"/>
    </row>
    <row r="49298" spans="23:23">
      <c r="W49298" s="503"/>
    </row>
    <row r="49299" spans="23:23">
      <c r="W49299" s="503"/>
    </row>
    <row r="49300" spans="23:23">
      <c r="W49300" s="503"/>
    </row>
    <row r="49301" spans="23:23">
      <c r="W49301" s="503"/>
    </row>
    <row r="49302" spans="23:23">
      <c r="W49302" s="503"/>
    </row>
    <row r="49303" spans="23:23">
      <c r="W49303" s="503"/>
    </row>
    <row r="49304" spans="23:23">
      <c r="W49304" s="503"/>
    </row>
    <row r="49305" spans="23:23">
      <c r="W49305" s="503"/>
    </row>
    <row r="49306" spans="23:23">
      <c r="W49306" s="503"/>
    </row>
    <row r="49307" spans="23:23">
      <c r="W49307" s="503"/>
    </row>
    <row r="49308" spans="23:23">
      <c r="W49308" s="503"/>
    </row>
    <row r="49309" spans="23:23">
      <c r="W49309" s="503"/>
    </row>
    <row r="49310" spans="23:23">
      <c r="W49310" s="503"/>
    </row>
    <row r="49311" spans="23:23">
      <c r="W49311" s="503"/>
    </row>
    <row r="49312" spans="23:23">
      <c r="W49312" s="503"/>
    </row>
    <row r="49313" spans="23:23">
      <c r="W49313" s="503"/>
    </row>
    <row r="49314" spans="23:23">
      <c r="W49314" s="503"/>
    </row>
    <row r="49315" spans="23:23">
      <c r="W49315" s="503"/>
    </row>
    <row r="49316" spans="23:23">
      <c r="W49316" s="503"/>
    </row>
    <row r="49317" spans="23:23">
      <c r="W49317" s="503"/>
    </row>
    <row r="49318" spans="23:23">
      <c r="W49318" s="503"/>
    </row>
    <row r="49319" spans="23:23">
      <c r="W49319" s="503"/>
    </row>
    <row r="49320" spans="23:23">
      <c r="W49320" s="503"/>
    </row>
    <row r="49321" spans="23:23">
      <c r="W49321" s="503"/>
    </row>
    <row r="49322" spans="23:23">
      <c r="W49322" s="503"/>
    </row>
    <row r="49323" spans="23:23">
      <c r="W49323" s="503"/>
    </row>
    <row r="49324" spans="23:23">
      <c r="W49324" s="503"/>
    </row>
    <row r="49325" spans="23:23">
      <c r="W49325" s="503"/>
    </row>
    <row r="49326" spans="23:23">
      <c r="W49326" s="503"/>
    </row>
    <row r="49327" spans="23:23">
      <c r="W49327" s="503"/>
    </row>
    <row r="49328" spans="23:23">
      <c r="W49328" s="503"/>
    </row>
    <row r="49329" spans="23:23">
      <c r="W49329" s="503"/>
    </row>
    <row r="49330" spans="23:23">
      <c r="W49330" s="503"/>
    </row>
    <row r="49331" spans="23:23">
      <c r="W49331" s="503"/>
    </row>
    <row r="49332" spans="23:23">
      <c r="W49332" s="503"/>
    </row>
    <row r="49333" spans="23:23">
      <c r="W49333" s="503"/>
    </row>
    <row r="49334" spans="23:23">
      <c r="W49334" s="503"/>
    </row>
    <row r="49335" spans="23:23">
      <c r="W49335" s="503"/>
    </row>
    <row r="49336" spans="23:23">
      <c r="W49336" s="503"/>
    </row>
    <row r="49337" spans="23:23">
      <c r="W49337" s="503"/>
    </row>
    <row r="49338" spans="23:23">
      <c r="W49338" s="503"/>
    </row>
    <row r="49339" spans="23:23">
      <c r="W49339" s="503"/>
    </row>
    <row r="49340" spans="23:23">
      <c r="W49340" s="503"/>
    </row>
    <row r="49341" spans="23:23">
      <c r="W49341" s="503"/>
    </row>
    <row r="49342" spans="23:23">
      <c r="W49342" s="503"/>
    </row>
    <row r="49343" spans="23:23">
      <c r="W49343" s="503"/>
    </row>
    <row r="49344" spans="23:23">
      <c r="W49344" s="503"/>
    </row>
    <row r="49345" spans="23:23">
      <c r="W49345" s="503"/>
    </row>
    <row r="49346" spans="23:23">
      <c r="W49346" s="503"/>
    </row>
    <row r="49347" spans="23:23">
      <c r="W49347" s="503"/>
    </row>
    <row r="49348" spans="23:23">
      <c r="W49348" s="503"/>
    </row>
    <row r="49349" spans="23:23">
      <c r="W49349" s="503"/>
    </row>
    <row r="49350" spans="23:23">
      <c r="W49350" s="503"/>
    </row>
    <row r="49351" spans="23:23">
      <c r="W49351" s="503"/>
    </row>
    <row r="49352" spans="23:23">
      <c r="W49352" s="503"/>
    </row>
    <row r="49353" spans="23:23">
      <c r="W49353" s="503"/>
    </row>
    <row r="49354" spans="23:23">
      <c r="W49354" s="503"/>
    </row>
    <row r="49355" spans="23:23">
      <c r="W49355" s="503"/>
    </row>
    <row r="49356" spans="23:23">
      <c r="W49356" s="503"/>
    </row>
    <row r="49357" spans="23:23">
      <c r="W49357" s="503"/>
    </row>
    <row r="49358" spans="23:23">
      <c r="W49358" s="503"/>
    </row>
    <row r="49359" spans="23:23">
      <c r="W49359" s="503"/>
    </row>
    <row r="49360" spans="23:23">
      <c r="W49360" s="503"/>
    </row>
    <row r="49361" spans="23:23">
      <c r="W49361" s="503"/>
    </row>
    <row r="49362" spans="23:23">
      <c r="W49362" s="503"/>
    </row>
    <row r="49363" spans="23:23">
      <c r="W49363" s="503"/>
    </row>
    <row r="49364" spans="23:23">
      <c r="W49364" s="503"/>
    </row>
    <row r="49365" spans="23:23">
      <c r="W49365" s="503"/>
    </row>
    <row r="49366" spans="23:23">
      <c r="W49366" s="503"/>
    </row>
    <row r="49367" spans="23:23">
      <c r="W49367" s="503"/>
    </row>
    <row r="49368" spans="23:23">
      <c r="W49368" s="503"/>
    </row>
    <row r="49369" spans="23:23">
      <c r="W49369" s="503"/>
    </row>
    <row r="49370" spans="23:23">
      <c r="W49370" s="503"/>
    </row>
    <row r="49371" spans="23:23">
      <c r="W49371" s="503"/>
    </row>
    <row r="49372" spans="23:23">
      <c r="W49372" s="503"/>
    </row>
    <row r="49373" spans="23:23">
      <c r="W49373" s="503"/>
    </row>
    <row r="49374" spans="23:23">
      <c r="W49374" s="503"/>
    </row>
    <row r="49375" spans="23:23">
      <c r="W49375" s="503"/>
    </row>
    <row r="49376" spans="23:23">
      <c r="W49376" s="503"/>
    </row>
    <row r="49377" spans="23:23">
      <c r="W49377" s="503"/>
    </row>
    <row r="49378" spans="23:23">
      <c r="W49378" s="503"/>
    </row>
    <row r="49379" spans="23:23">
      <c r="W49379" s="503"/>
    </row>
    <row r="49380" spans="23:23">
      <c r="W49380" s="503"/>
    </row>
    <row r="49381" spans="23:23">
      <c r="W49381" s="503"/>
    </row>
    <row r="49382" spans="23:23">
      <c r="W49382" s="503"/>
    </row>
    <row r="49383" spans="23:23">
      <c r="W49383" s="503"/>
    </row>
    <row r="49384" spans="23:23">
      <c r="W49384" s="503"/>
    </row>
    <row r="49385" spans="23:23">
      <c r="W49385" s="503"/>
    </row>
    <row r="49386" spans="23:23">
      <c r="W49386" s="503"/>
    </row>
    <row r="49387" spans="23:23">
      <c r="W49387" s="503"/>
    </row>
    <row r="49388" spans="23:23">
      <c r="W49388" s="503"/>
    </row>
    <row r="49389" spans="23:23">
      <c r="W49389" s="503"/>
    </row>
    <row r="49390" spans="23:23">
      <c r="W49390" s="503"/>
    </row>
    <row r="49391" spans="23:23">
      <c r="W49391" s="503"/>
    </row>
    <row r="49392" spans="23:23">
      <c r="W49392" s="503"/>
    </row>
    <row r="49393" spans="23:23">
      <c r="W49393" s="503"/>
    </row>
    <row r="49394" spans="23:23">
      <c r="W49394" s="503"/>
    </row>
    <row r="49395" spans="23:23">
      <c r="W49395" s="503"/>
    </row>
    <row r="49396" spans="23:23">
      <c r="W49396" s="503"/>
    </row>
    <row r="49397" spans="23:23">
      <c r="W49397" s="503"/>
    </row>
    <row r="49398" spans="23:23">
      <c r="W49398" s="503"/>
    </row>
    <row r="49399" spans="23:23">
      <c r="W49399" s="503"/>
    </row>
    <row r="49400" spans="23:23">
      <c r="W49400" s="503"/>
    </row>
    <row r="49401" spans="23:23">
      <c r="W49401" s="503"/>
    </row>
    <row r="49402" spans="23:23">
      <c r="W49402" s="503"/>
    </row>
    <row r="49403" spans="23:23">
      <c r="W49403" s="503"/>
    </row>
    <row r="49404" spans="23:23">
      <c r="W49404" s="503"/>
    </row>
    <row r="49405" spans="23:23">
      <c r="W49405" s="503"/>
    </row>
    <row r="49406" spans="23:23">
      <c r="W49406" s="503"/>
    </row>
    <row r="49407" spans="23:23">
      <c r="W49407" s="503"/>
    </row>
    <row r="49408" spans="23:23">
      <c r="W49408" s="503"/>
    </row>
    <row r="49409" spans="23:23">
      <c r="W49409" s="503"/>
    </row>
    <row r="49410" spans="23:23">
      <c r="W49410" s="503"/>
    </row>
    <row r="49411" spans="23:23">
      <c r="W49411" s="503"/>
    </row>
    <row r="49412" spans="23:23">
      <c r="W49412" s="503"/>
    </row>
    <row r="49413" spans="23:23">
      <c r="W49413" s="503"/>
    </row>
    <row r="49414" spans="23:23">
      <c r="W49414" s="503"/>
    </row>
    <row r="49415" spans="23:23">
      <c r="W49415" s="503"/>
    </row>
    <row r="49416" spans="23:23">
      <c r="W49416" s="503"/>
    </row>
    <row r="49417" spans="23:23">
      <c r="W49417" s="503"/>
    </row>
    <row r="49418" spans="23:23">
      <c r="W49418" s="503"/>
    </row>
    <row r="49419" spans="23:23">
      <c r="W49419" s="503"/>
    </row>
    <row r="49420" spans="23:23">
      <c r="W49420" s="503"/>
    </row>
    <row r="49421" spans="23:23">
      <c r="W49421" s="503"/>
    </row>
    <row r="49422" spans="23:23">
      <c r="W49422" s="503"/>
    </row>
    <row r="49423" spans="23:23">
      <c r="W49423" s="503"/>
    </row>
    <row r="49424" spans="23:23">
      <c r="W49424" s="503"/>
    </row>
    <row r="49425" spans="23:23">
      <c r="W49425" s="503"/>
    </row>
    <row r="49426" spans="23:23">
      <c r="W49426" s="503"/>
    </row>
    <row r="49427" spans="23:23">
      <c r="W49427" s="503"/>
    </row>
    <row r="49428" spans="23:23">
      <c r="W49428" s="503"/>
    </row>
    <row r="49429" spans="23:23">
      <c r="W49429" s="503"/>
    </row>
    <row r="49430" spans="23:23">
      <c r="W49430" s="503"/>
    </row>
    <row r="49431" spans="23:23">
      <c r="W49431" s="503"/>
    </row>
    <row r="49432" spans="23:23">
      <c r="W49432" s="503"/>
    </row>
    <row r="49433" spans="23:23">
      <c r="W49433" s="503"/>
    </row>
    <row r="49434" spans="23:23">
      <c r="W49434" s="503"/>
    </row>
    <row r="49435" spans="23:23">
      <c r="W49435" s="503"/>
    </row>
    <row r="49436" spans="23:23">
      <c r="W49436" s="503"/>
    </row>
    <row r="49437" spans="23:23">
      <c r="W49437" s="503"/>
    </row>
    <row r="49438" spans="23:23">
      <c r="W49438" s="503"/>
    </row>
    <row r="49439" spans="23:23">
      <c r="W49439" s="503"/>
    </row>
    <row r="49440" spans="23:23">
      <c r="W49440" s="503"/>
    </row>
    <row r="49441" spans="23:23">
      <c r="W49441" s="503"/>
    </row>
    <row r="49442" spans="23:23">
      <c r="W49442" s="503"/>
    </row>
    <row r="49443" spans="23:23">
      <c r="W49443" s="503"/>
    </row>
    <row r="49444" spans="23:23">
      <c r="W49444" s="503"/>
    </row>
    <row r="49445" spans="23:23">
      <c r="W49445" s="503"/>
    </row>
    <row r="49446" spans="23:23">
      <c r="W49446" s="503"/>
    </row>
    <row r="49447" spans="23:23">
      <c r="W49447" s="503"/>
    </row>
    <row r="49448" spans="23:23">
      <c r="W49448" s="503"/>
    </row>
    <row r="49449" spans="23:23">
      <c r="W49449" s="503"/>
    </row>
    <row r="49450" spans="23:23">
      <c r="W49450" s="503"/>
    </row>
    <row r="49451" spans="23:23">
      <c r="W49451" s="503"/>
    </row>
    <row r="49452" spans="23:23">
      <c r="W49452" s="503"/>
    </row>
    <row r="49453" spans="23:23">
      <c r="W49453" s="503"/>
    </row>
    <row r="49454" spans="23:23">
      <c r="W49454" s="503"/>
    </row>
    <row r="49455" spans="23:23">
      <c r="W49455" s="503"/>
    </row>
    <row r="49456" spans="23:23">
      <c r="W49456" s="503"/>
    </row>
    <row r="49457" spans="23:23">
      <c r="W49457" s="503"/>
    </row>
    <row r="49458" spans="23:23">
      <c r="W49458" s="503"/>
    </row>
    <row r="49459" spans="23:23">
      <c r="W49459" s="503"/>
    </row>
    <row r="49460" spans="23:23">
      <c r="W49460" s="503"/>
    </row>
    <row r="49461" spans="23:23">
      <c r="W49461" s="503"/>
    </row>
    <row r="49462" spans="23:23">
      <c r="W49462" s="503"/>
    </row>
    <row r="49463" spans="23:23">
      <c r="W49463" s="503"/>
    </row>
    <row r="49464" spans="23:23">
      <c r="W49464" s="503"/>
    </row>
    <row r="49465" spans="23:23">
      <c r="W49465" s="503"/>
    </row>
    <row r="49466" spans="23:23">
      <c r="W49466" s="503"/>
    </row>
    <row r="49467" spans="23:23">
      <c r="W49467" s="503"/>
    </row>
    <row r="49468" spans="23:23">
      <c r="W49468" s="503"/>
    </row>
    <row r="49469" spans="23:23">
      <c r="W49469" s="503"/>
    </row>
    <row r="49470" spans="23:23">
      <c r="W49470" s="503"/>
    </row>
    <row r="49471" spans="23:23">
      <c r="W49471" s="503"/>
    </row>
    <row r="49472" spans="23:23">
      <c r="W49472" s="503"/>
    </row>
    <row r="49473" spans="23:23">
      <c r="W49473" s="503"/>
    </row>
    <row r="49474" spans="23:23">
      <c r="W49474" s="503"/>
    </row>
    <row r="49475" spans="23:23">
      <c r="W49475" s="503"/>
    </row>
    <row r="49476" spans="23:23">
      <c r="W49476" s="503"/>
    </row>
    <row r="49477" spans="23:23">
      <c r="W49477" s="503"/>
    </row>
    <row r="49478" spans="23:23">
      <c r="W49478" s="503"/>
    </row>
    <row r="49479" spans="23:23">
      <c r="W49479" s="503"/>
    </row>
    <row r="49480" spans="23:23">
      <c r="W49480" s="503"/>
    </row>
    <row r="49481" spans="23:23">
      <c r="W49481" s="503"/>
    </row>
    <row r="49482" spans="23:23">
      <c r="W49482" s="503"/>
    </row>
    <row r="49483" spans="23:23">
      <c r="W49483" s="503"/>
    </row>
    <row r="49484" spans="23:23">
      <c r="W49484" s="503"/>
    </row>
    <row r="49485" spans="23:23">
      <c r="W49485" s="503"/>
    </row>
    <row r="49486" spans="23:23">
      <c r="W49486" s="503"/>
    </row>
    <row r="49487" spans="23:23">
      <c r="W49487" s="503"/>
    </row>
    <row r="49488" spans="23:23">
      <c r="W49488" s="503"/>
    </row>
    <row r="49489" spans="23:23">
      <c r="W49489" s="503"/>
    </row>
    <row r="49490" spans="23:23">
      <c r="W49490" s="503"/>
    </row>
    <row r="49491" spans="23:23">
      <c r="W49491" s="503"/>
    </row>
    <row r="49492" spans="23:23">
      <c r="W49492" s="503"/>
    </row>
    <row r="49493" spans="23:23">
      <c r="W49493" s="503"/>
    </row>
    <row r="49494" spans="23:23">
      <c r="W49494" s="503"/>
    </row>
    <row r="49495" spans="23:23">
      <c r="W49495" s="503"/>
    </row>
    <row r="49496" spans="23:23">
      <c r="W49496" s="503"/>
    </row>
    <row r="49497" spans="23:23">
      <c r="W49497" s="503"/>
    </row>
    <row r="49498" spans="23:23">
      <c r="W49498" s="503"/>
    </row>
    <row r="49499" spans="23:23">
      <c r="W49499" s="503"/>
    </row>
    <row r="49500" spans="23:23">
      <c r="W49500" s="503"/>
    </row>
    <row r="49501" spans="23:23">
      <c r="W49501" s="503"/>
    </row>
    <row r="49502" spans="23:23">
      <c r="W49502" s="503"/>
    </row>
    <row r="49503" spans="23:23">
      <c r="W49503" s="503"/>
    </row>
    <row r="49504" spans="23:23">
      <c r="W49504" s="503"/>
    </row>
    <row r="49505" spans="23:23">
      <c r="W49505" s="503"/>
    </row>
    <row r="49506" spans="23:23">
      <c r="W49506" s="503"/>
    </row>
    <row r="49507" spans="23:23">
      <c r="W49507" s="503"/>
    </row>
    <row r="49508" spans="23:23">
      <c r="W49508" s="503"/>
    </row>
    <row r="49509" spans="23:23">
      <c r="W49509" s="503"/>
    </row>
    <row r="49510" spans="23:23">
      <c r="W49510" s="503"/>
    </row>
    <row r="49511" spans="23:23">
      <c r="W49511" s="503"/>
    </row>
    <row r="49512" spans="23:23">
      <c r="W49512" s="503"/>
    </row>
    <row r="49513" spans="23:23">
      <c r="W49513" s="503"/>
    </row>
    <row r="49514" spans="23:23">
      <c r="W49514" s="503"/>
    </row>
    <row r="49515" spans="23:23">
      <c r="W49515" s="503"/>
    </row>
    <row r="49516" spans="23:23">
      <c r="W49516" s="503"/>
    </row>
    <row r="49517" spans="23:23">
      <c r="W49517" s="503"/>
    </row>
    <row r="49518" spans="23:23">
      <c r="W49518" s="503"/>
    </row>
    <row r="49519" spans="23:23">
      <c r="W49519" s="503"/>
    </row>
    <row r="49520" spans="23:23">
      <c r="W49520" s="503"/>
    </row>
    <row r="49521" spans="23:23">
      <c r="W49521" s="503"/>
    </row>
    <row r="49522" spans="23:23">
      <c r="W49522" s="503"/>
    </row>
    <row r="49523" spans="23:23">
      <c r="W49523" s="503"/>
    </row>
    <row r="49524" spans="23:23">
      <c r="W49524" s="503"/>
    </row>
    <row r="49525" spans="23:23">
      <c r="W49525" s="503"/>
    </row>
    <row r="49526" spans="23:23">
      <c r="W49526" s="503"/>
    </row>
    <row r="49527" spans="23:23">
      <c r="W49527" s="503"/>
    </row>
    <row r="49528" spans="23:23">
      <c r="W49528" s="503"/>
    </row>
    <row r="49529" spans="23:23">
      <c r="W49529" s="503"/>
    </row>
    <row r="49530" spans="23:23">
      <c r="W49530" s="503"/>
    </row>
    <row r="49531" spans="23:23">
      <c r="W49531" s="503"/>
    </row>
    <row r="49532" spans="23:23">
      <c r="W49532" s="503"/>
    </row>
    <row r="49533" spans="23:23">
      <c r="W49533" s="503"/>
    </row>
    <row r="49534" spans="23:23">
      <c r="W49534" s="503"/>
    </row>
    <row r="49535" spans="23:23">
      <c r="W49535" s="503"/>
    </row>
    <row r="49536" spans="23:23">
      <c r="W49536" s="503"/>
    </row>
    <row r="49537" spans="23:23">
      <c r="W49537" s="503"/>
    </row>
    <row r="49538" spans="23:23">
      <c r="W49538" s="503"/>
    </row>
    <row r="49539" spans="23:23">
      <c r="W49539" s="503"/>
    </row>
    <row r="49540" spans="23:23">
      <c r="W49540" s="503"/>
    </row>
    <row r="49541" spans="23:23">
      <c r="W49541" s="503"/>
    </row>
    <row r="49542" spans="23:23">
      <c r="W49542" s="503"/>
    </row>
    <row r="49543" spans="23:23">
      <c r="W49543" s="503"/>
    </row>
    <row r="49544" spans="23:23">
      <c r="W49544" s="503"/>
    </row>
    <row r="49545" spans="23:23">
      <c r="W49545" s="503"/>
    </row>
    <row r="49546" spans="23:23">
      <c r="W49546" s="503"/>
    </row>
    <row r="49547" spans="23:23">
      <c r="W49547" s="503"/>
    </row>
    <row r="49548" spans="23:23">
      <c r="W49548" s="503"/>
    </row>
    <row r="49549" spans="23:23">
      <c r="W49549" s="503"/>
    </row>
    <row r="49550" spans="23:23">
      <c r="W49550" s="503"/>
    </row>
    <row r="49551" spans="23:23">
      <c r="W49551" s="503"/>
    </row>
    <row r="49552" spans="23:23">
      <c r="W49552" s="503"/>
    </row>
    <row r="49553" spans="23:23">
      <c r="W49553" s="503"/>
    </row>
    <row r="49554" spans="23:23">
      <c r="W49554" s="503"/>
    </row>
    <row r="49555" spans="23:23">
      <c r="W49555" s="503"/>
    </row>
    <row r="49556" spans="23:23">
      <c r="W49556" s="503"/>
    </row>
    <row r="49557" spans="23:23">
      <c r="W49557" s="503"/>
    </row>
    <row r="49558" spans="23:23">
      <c r="W49558" s="503"/>
    </row>
    <row r="49559" spans="23:23">
      <c r="W49559" s="503"/>
    </row>
    <row r="49560" spans="23:23">
      <c r="W49560" s="503"/>
    </row>
    <row r="49561" spans="23:23">
      <c r="W49561" s="503"/>
    </row>
    <row r="49562" spans="23:23">
      <c r="W49562" s="503"/>
    </row>
    <row r="49563" spans="23:23">
      <c r="W49563" s="503"/>
    </row>
    <row r="49564" spans="23:23">
      <c r="W49564" s="503"/>
    </row>
    <row r="49565" spans="23:23">
      <c r="W49565" s="503"/>
    </row>
    <row r="49566" spans="23:23">
      <c r="W49566" s="503"/>
    </row>
    <row r="49567" spans="23:23">
      <c r="W49567" s="503"/>
    </row>
    <row r="49568" spans="23:23">
      <c r="W49568" s="503"/>
    </row>
    <row r="49569" spans="23:23">
      <c r="W49569" s="503"/>
    </row>
    <row r="49570" spans="23:23">
      <c r="W49570" s="503"/>
    </row>
    <row r="49571" spans="23:23">
      <c r="W49571" s="503"/>
    </row>
    <row r="49572" spans="23:23">
      <c r="W49572" s="503"/>
    </row>
    <row r="49573" spans="23:23">
      <c r="W49573" s="503"/>
    </row>
    <row r="49574" spans="23:23">
      <c r="W49574" s="503"/>
    </row>
    <row r="49575" spans="23:23">
      <c r="W49575" s="503"/>
    </row>
    <row r="49576" spans="23:23">
      <c r="W49576" s="503"/>
    </row>
    <row r="49577" spans="23:23">
      <c r="W49577" s="503"/>
    </row>
    <row r="49578" spans="23:23">
      <c r="W49578" s="503"/>
    </row>
    <row r="49579" spans="23:23">
      <c r="W49579" s="503"/>
    </row>
    <row r="49580" spans="23:23">
      <c r="W49580" s="503"/>
    </row>
    <row r="49581" spans="23:23">
      <c r="W49581" s="503"/>
    </row>
    <row r="49582" spans="23:23">
      <c r="W49582" s="503"/>
    </row>
    <row r="49583" spans="23:23">
      <c r="W49583" s="503"/>
    </row>
    <row r="49584" spans="23:23">
      <c r="W49584" s="503"/>
    </row>
    <row r="49585" spans="23:23">
      <c r="W49585" s="503"/>
    </row>
    <row r="49586" spans="23:23">
      <c r="W49586" s="503"/>
    </row>
    <row r="49587" spans="23:23">
      <c r="W49587" s="503"/>
    </row>
    <row r="49588" spans="23:23">
      <c r="W49588" s="503"/>
    </row>
    <row r="49589" spans="23:23">
      <c r="W49589" s="503"/>
    </row>
    <row r="49590" spans="23:23">
      <c r="W49590" s="503"/>
    </row>
    <row r="49591" spans="23:23">
      <c r="W49591" s="503"/>
    </row>
    <row r="49592" spans="23:23">
      <c r="W49592" s="503"/>
    </row>
    <row r="49593" spans="23:23">
      <c r="W49593" s="503"/>
    </row>
    <row r="49594" spans="23:23">
      <c r="W49594" s="503"/>
    </row>
    <row r="49595" spans="23:23">
      <c r="W49595" s="503"/>
    </row>
    <row r="49596" spans="23:23">
      <c r="W49596" s="503"/>
    </row>
    <row r="49597" spans="23:23">
      <c r="W49597" s="503"/>
    </row>
    <row r="49598" spans="23:23">
      <c r="W49598" s="503"/>
    </row>
    <row r="49599" spans="23:23">
      <c r="W49599" s="503"/>
    </row>
    <row r="49600" spans="23:23">
      <c r="W49600" s="503"/>
    </row>
    <row r="49601" spans="23:23">
      <c r="W49601" s="503"/>
    </row>
    <row r="49602" spans="23:23">
      <c r="W49602" s="503"/>
    </row>
    <row r="49603" spans="23:23">
      <c r="W49603" s="503"/>
    </row>
    <row r="49604" spans="23:23">
      <c r="W49604" s="503"/>
    </row>
    <row r="49605" spans="23:23">
      <c r="W49605" s="503"/>
    </row>
    <row r="49606" spans="23:23">
      <c r="W49606" s="503"/>
    </row>
    <row r="49607" spans="23:23">
      <c r="W49607" s="503"/>
    </row>
    <row r="49608" spans="23:23">
      <c r="W49608" s="503"/>
    </row>
    <row r="49609" spans="23:23">
      <c r="W49609" s="503"/>
    </row>
    <row r="49610" spans="23:23">
      <c r="W49610" s="503"/>
    </row>
    <row r="49611" spans="23:23">
      <c r="W49611" s="503"/>
    </row>
    <row r="49612" spans="23:23">
      <c r="W49612" s="503"/>
    </row>
    <row r="49613" spans="23:23">
      <c r="W49613" s="503"/>
    </row>
    <row r="49614" spans="23:23">
      <c r="W49614" s="503"/>
    </row>
    <row r="49615" spans="23:23">
      <c r="W49615" s="503"/>
    </row>
    <row r="49616" spans="23:23">
      <c r="W49616" s="503"/>
    </row>
    <row r="49617" spans="23:23">
      <c r="W49617" s="503"/>
    </row>
    <row r="49618" spans="23:23">
      <c r="W49618" s="503"/>
    </row>
    <row r="49619" spans="23:23">
      <c r="W49619" s="503"/>
    </row>
    <row r="49620" spans="23:23">
      <c r="W49620" s="503"/>
    </row>
    <row r="49621" spans="23:23">
      <c r="W49621" s="503"/>
    </row>
    <row r="49622" spans="23:23">
      <c r="W49622" s="503"/>
    </row>
    <row r="49623" spans="23:23">
      <c r="W49623" s="503"/>
    </row>
    <row r="49624" spans="23:23">
      <c r="W49624" s="503"/>
    </row>
    <row r="49625" spans="23:23">
      <c r="W49625" s="503"/>
    </row>
    <row r="49626" spans="23:23">
      <c r="W49626" s="503"/>
    </row>
    <row r="49627" spans="23:23">
      <c r="W49627" s="503"/>
    </row>
    <row r="49628" spans="23:23">
      <c r="W49628" s="503"/>
    </row>
    <row r="49629" spans="23:23">
      <c r="W49629" s="503"/>
    </row>
    <row r="49630" spans="23:23">
      <c r="W49630" s="503"/>
    </row>
    <row r="49631" spans="23:23">
      <c r="W49631" s="503"/>
    </row>
    <row r="49632" spans="23:23">
      <c r="W49632" s="503"/>
    </row>
    <row r="49633" spans="23:23">
      <c r="W49633" s="503"/>
    </row>
    <row r="49634" spans="23:23">
      <c r="W49634" s="503"/>
    </row>
    <row r="49635" spans="23:23">
      <c r="W49635" s="503"/>
    </row>
    <row r="49636" spans="23:23">
      <c r="W49636" s="503"/>
    </row>
    <row r="49637" spans="23:23">
      <c r="W49637" s="503"/>
    </row>
    <row r="49638" spans="23:23">
      <c r="W49638" s="503"/>
    </row>
    <row r="49639" spans="23:23">
      <c r="W49639" s="503"/>
    </row>
    <row r="49640" spans="23:23">
      <c r="W49640" s="503"/>
    </row>
    <row r="49641" spans="23:23">
      <c r="W49641" s="503"/>
    </row>
    <row r="49642" spans="23:23">
      <c r="W49642" s="503"/>
    </row>
    <row r="49643" spans="23:23">
      <c r="W49643" s="503"/>
    </row>
    <row r="49644" spans="23:23">
      <c r="W49644" s="503"/>
    </row>
    <row r="49645" spans="23:23">
      <c r="W49645" s="503"/>
    </row>
    <row r="49646" spans="23:23">
      <c r="W49646" s="503"/>
    </row>
    <row r="49647" spans="23:23">
      <c r="W49647" s="503"/>
    </row>
    <row r="49648" spans="23:23">
      <c r="W49648" s="503"/>
    </row>
    <row r="49649" spans="23:23">
      <c r="W49649" s="503"/>
    </row>
    <row r="49650" spans="23:23">
      <c r="W49650" s="503"/>
    </row>
    <row r="49651" spans="23:23">
      <c r="W49651" s="503"/>
    </row>
    <row r="49652" spans="23:23">
      <c r="W49652" s="503"/>
    </row>
    <row r="49653" spans="23:23">
      <c r="W49653" s="503"/>
    </row>
    <row r="49654" spans="23:23">
      <c r="W49654" s="503"/>
    </row>
    <row r="49655" spans="23:23">
      <c r="W49655" s="503"/>
    </row>
    <row r="49656" spans="23:23">
      <c r="W49656" s="503"/>
    </row>
    <row r="49657" spans="23:23">
      <c r="W49657" s="503"/>
    </row>
    <row r="49658" spans="23:23">
      <c r="W49658" s="503"/>
    </row>
    <row r="49659" spans="23:23">
      <c r="W49659" s="503"/>
    </row>
    <row r="49660" spans="23:23">
      <c r="W49660" s="503"/>
    </row>
    <row r="49661" spans="23:23">
      <c r="W49661" s="503"/>
    </row>
    <row r="49662" spans="23:23">
      <c r="W49662" s="503"/>
    </row>
    <row r="49663" spans="23:23">
      <c r="W49663" s="503"/>
    </row>
    <row r="49664" spans="23:23">
      <c r="W49664" s="503"/>
    </row>
    <row r="49665" spans="23:23">
      <c r="W49665" s="503"/>
    </row>
    <row r="49666" spans="23:23">
      <c r="W49666" s="503"/>
    </row>
    <row r="49667" spans="23:23">
      <c r="W49667" s="503"/>
    </row>
    <row r="49668" spans="23:23">
      <c r="W49668" s="503"/>
    </row>
    <row r="49669" spans="23:23">
      <c r="W49669" s="503"/>
    </row>
    <row r="49670" spans="23:23">
      <c r="W49670" s="503"/>
    </row>
    <row r="49671" spans="23:23">
      <c r="W49671" s="503"/>
    </row>
    <row r="49672" spans="23:23">
      <c r="W49672" s="503"/>
    </row>
    <row r="49673" spans="23:23">
      <c r="W49673" s="503"/>
    </row>
    <row r="49674" spans="23:23">
      <c r="W49674" s="503"/>
    </row>
    <row r="49675" spans="23:23">
      <c r="W49675" s="503"/>
    </row>
    <row r="49676" spans="23:23">
      <c r="W49676" s="503"/>
    </row>
    <row r="49677" spans="23:23">
      <c r="W49677" s="503"/>
    </row>
    <row r="49678" spans="23:23">
      <c r="W49678" s="503"/>
    </row>
    <row r="49679" spans="23:23">
      <c r="W49679" s="503"/>
    </row>
    <row r="49680" spans="23:23">
      <c r="W49680" s="503"/>
    </row>
    <row r="49681" spans="23:23">
      <c r="W49681" s="503"/>
    </row>
    <row r="49682" spans="23:23">
      <c r="W49682" s="503"/>
    </row>
    <row r="49683" spans="23:23">
      <c r="W49683" s="503"/>
    </row>
    <row r="49684" spans="23:23">
      <c r="W49684" s="503"/>
    </row>
    <row r="49685" spans="23:23">
      <c r="W49685" s="503"/>
    </row>
    <row r="49686" spans="23:23">
      <c r="W49686" s="503"/>
    </row>
    <row r="49687" spans="23:23">
      <c r="W49687" s="503"/>
    </row>
    <row r="49688" spans="23:23">
      <c r="W49688" s="503"/>
    </row>
    <row r="49689" spans="23:23">
      <c r="W49689" s="503"/>
    </row>
    <row r="49690" spans="23:23">
      <c r="W49690" s="503"/>
    </row>
    <row r="49691" spans="23:23">
      <c r="W49691" s="503"/>
    </row>
    <row r="49692" spans="23:23">
      <c r="W49692" s="503"/>
    </row>
    <row r="49693" spans="23:23">
      <c r="W49693" s="503"/>
    </row>
    <row r="49694" spans="23:23">
      <c r="W49694" s="503"/>
    </row>
    <row r="49695" spans="23:23">
      <c r="W49695" s="503"/>
    </row>
    <row r="49696" spans="23:23">
      <c r="W49696" s="503"/>
    </row>
    <row r="49697" spans="23:23">
      <c r="W49697" s="503"/>
    </row>
    <row r="49698" spans="23:23">
      <c r="W49698" s="503"/>
    </row>
    <row r="49699" spans="23:23">
      <c r="W49699" s="503"/>
    </row>
    <row r="49700" spans="23:23">
      <c r="W49700" s="503"/>
    </row>
    <row r="49701" spans="23:23">
      <c r="W49701" s="503"/>
    </row>
    <row r="49702" spans="23:23">
      <c r="W49702" s="503"/>
    </row>
    <row r="49703" spans="23:23">
      <c r="W49703" s="503"/>
    </row>
    <row r="49704" spans="23:23">
      <c r="W49704" s="503"/>
    </row>
    <row r="49705" spans="23:23">
      <c r="W49705" s="503"/>
    </row>
    <row r="49706" spans="23:23">
      <c r="W49706" s="503"/>
    </row>
    <row r="49707" spans="23:23">
      <c r="W49707" s="503"/>
    </row>
    <row r="49708" spans="23:23">
      <c r="W49708" s="503"/>
    </row>
    <row r="49709" spans="23:23">
      <c r="W49709" s="503"/>
    </row>
    <row r="49710" spans="23:23">
      <c r="W49710" s="503"/>
    </row>
    <row r="49711" spans="23:23">
      <c r="W49711" s="503"/>
    </row>
    <row r="49712" spans="23:23">
      <c r="W49712" s="503"/>
    </row>
    <row r="49713" spans="23:23">
      <c r="W49713" s="503"/>
    </row>
    <row r="49714" spans="23:23">
      <c r="W49714" s="503"/>
    </row>
    <row r="49715" spans="23:23">
      <c r="W49715" s="503"/>
    </row>
    <row r="49716" spans="23:23">
      <c r="W49716" s="503"/>
    </row>
    <row r="49717" spans="23:23">
      <c r="W49717" s="503"/>
    </row>
    <row r="49718" spans="23:23">
      <c r="W49718" s="503"/>
    </row>
    <row r="49719" spans="23:23">
      <c r="W49719" s="503"/>
    </row>
    <row r="49720" spans="23:23">
      <c r="W49720" s="503"/>
    </row>
    <row r="49721" spans="23:23">
      <c r="W49721" s="503"/>
    </row>
    <row r="49722" spans="23:23">
      <c r="W49722" s="503"/>
    </row>
    <row r="49723" spans="23:23">
      <c r="W49723" s="503"/>
    </row>
    <row r="49724" spans="23:23">
      <c r="W49724" s="503"/>
    </row>
    <row r="49725" spans="23:23">
      <c r="W49725" s="503"/>
    </row>
    <row r="49726" spans="23:23">
      <c r="W49726" s="503"/>
    </row>
    <row r="49727" spans="23:23">
      <c r="W49727" s="503"/>
    </row>
    <row r="49728" spans="23:23">
      <c r="W49728" s="503"/>
    </row>
    <row r="49729" spans="23:23">
      <c r="W49729" s="503"/>
    </row>
    <row r="49730" spans="23:23">
      <c r="W49730" s="503"/>
    </row>
    <row r="49731" spans="23:23">
      <c r="W49731" s="503"/>
    </row>
    <row r="49732" spans="23:23">
      <c r="W49732" s="503"/>
    </row>
    <row r="49733" spans="23:23">
      <c r="W49733" s="503"/>
    </row>
    <row r="49734" spans="23:23">
      <c r="W49734" s="503"/>
    </row>
    <row r="49735" spans="23:23">
      <c r="W49735" s="503"/>
    </row>
    <row r="49736" spans="23:23">
      <c r="W49736" s="503"/>
    </row>
    <row r="49737" spans="23:23">
      <c r="W49737" s="503"/>
    </row>
    <row r="49738" spans="23:23">
      <c r="W49738" s="503"/>
    </row>
    <row r="49739" spans="23:23">
      <c r="W49739" s="503"/>
    </row>
    <row r="49740" spans="23:23">
      <c r="W49740" s="503"/>
    </row>
    <row r="49741" spans="23:23">
      <c r="W49741" s="503"/>
    </row>
    <row r="49742" spans="23:23">
      <c r="W49742" s="503"/>
    </row>
    <row r="49743" spans="23:23">
      <c r="W49743" s="503"/>
    </row>
    <row r="49744" spans="23:23">
      <c r="W49744" s="503"/>
    </row>
    <row r="49745" spans="23:23">
      <c r="W49745" s="503"/>
    </row>
    <row r="49746" spans="23:23">
      <c r="W49746" s="503"/>
    </row>
    <row r="49747" spans="23:23">
      <c r="W49747" s="503"/>
    </row>
    <row r="49748" spans="23:23">
      <c r="W49748" s="503"/>
    </row>
    <row r="49749" spans="23:23">
      <c r="W49749" s="503"/>
    </row>
    <row r="49750" spans="23:23">
      <c r="W49750" s="503"/>
    </row>
    <row r="49751" spans="23:23">
      <c r="W49751" s="503"/>
    </row>
    <row r="49752" spans="23:23">
      <c r="W49752" s="503"/>
    </row>
    <row r="49753" spans="23:23">
      <c r="W49753" s="503"/>
    </row>
    <row r="49754" spans="23:23">
      <c r="W49754" s="503"/>
    </row>
    <row r="49755" spans="23:23">
      <c r="W49755" s="503"/>
    </row>
    <row r="49756" spans="23:23">
      <c r="W49756" s="503"/>
    </row>
    <row r="49757" spans="23:23">
      <c r="W49757" s="503"/>
    </row>
    <row r="49758" spans="23:23">
      <c r="W49758" s="503"/>
    </row>
    <row r="49759" spans="23:23">
      <c r="W49759" s="503"/>
    </row>
    <row r="49760" spans="23:23">
      <c r="W49760" s="503"/>
    </row>
    <row r="49761" spans="23:23">
      <c r="W49761" s="503"/>
    </row>
    <row r="49762" spans="23:23">
      <c r="W49762" s="503"/>
    </row>
    <row r="49763" spans="23:23">
      <c r="W49763" s="503"/>
    </row>
    <row r="49764" spans="23:23">
      <c r="W49764" s="503"/>
    </row>
    <row r="49765" spans="23:23">
      <c r="W49765" s="503"/>
    </row>
    <row r="49766" spans="23:23">
      <c r="W49766" s="503"/>
    </row>
    <row r="49767" spans="23:23">
      <c r="W49767" s="503"/>
    </row>
    <row r="49768" spans="23:23">
      <c r="W49768" s="503"/>
    </row>
    <row r="49769" spans="23:23">
      <c r="W49769" s="503"/>
    </row>
    <row r="49770" spans="23:23">
      <c r="W49770" s="503"/>
    </row>
    <row r="49771" spans="23:23">
      <c r="W49771" s="503"/>
    </row>
    <row r="49772" spans="23:23">
      <c r="W49772" s="503"/>
    </row>
    <row r="49773" spans="23:23">
      <c r="W49773" s="503"/>
    </row>
    <row r="49774" spans="23:23">
      <c r="W49774" s="503"/>
    </row>
    <row r="49775" spans="23:23">
      <c r="W49775" s="503"/>
    </row>
    <row r="49776" spans="23:23">
      <c r="W49776" s="503"/>
    </row>
    <row r="49777" spans="23:23">
      <c r="W49777" s="503"/>
    </row>
    <row r="49778" spans="23:23">
      <c r="W49778" s="503"/>
    </row>
    <row r="49779" spans="23:23">
      <c r="W49779" s="503"/>
    </row>
    <row r="49780" spans="23:23">
      <c r="W49780" s="503"/>
    </row>
    <row r="49781" spans="23:23">
      <c r="W49781" s="503"/>
    </row>
    <row r="49782" spans="23:23">
      <c r="W49782" s="503"/>
    </row>
    <row r="49783" spans="23:23">
      <c r="W49783" s="503"/>
    </row>
    <row r="49784" spans="23:23">
      <c r="W49784" s="503"/>
    </row>
    <row r="49785" spans="23:23">
      <c r="W49785" s="503"/>
    </row>
    <row r="49786" spans="23:23">
      <c r="W49786" s="503"/>
    </row>
    <row r="49787" spans="23:23">
      <c r="W49787" s="503"/>
    </row>
    <row r="49788" spans="23:23">
      <c r="W49788" s="503"/>
    </row>
    <row r="49789" spans="23:23">
      <c r="W49789" s="503"/>
    </row>
    <row r="49790" spans="23:23">
      <c r="W49790" s="503"/>
    </row>
    <row r="49791" spans="23:23">
      <c r="W49791" s="503"/>
    </row>
    <row r="49792" spans="23:23">
      <c r="W49792" s="503"/>
    </row>
    <row r="49793" spans="23:23">
      <c r="W49793" s="503"/>
    </row>
    <row r="49794" spans="23:23">
      <c r="W49794" s="503"/>
    </row>
    <row r="49795" spans="23:23">
      <c r="W49795" s="503"/>
    </row>
    <row r="49796" spans="23:23">
      <c r="W49796" s="503"/>
    </row>
    <row r="49797" spans="23:23">
      <c r="W49797" s="503"/>
    </row>
    <row r="49798" spans="23:23">
      <c r="W49798" s="503"/>
    </row>
    <row r="49799" spans="23:23">
      <c r="W49799" s="503"/>
    </row>
    <row r="49800" spans="23:23">
      <c r="W49800" s="503"/>
    </row>
    <row r="49801" spans="23:23">
      <c r="W49801" s="503"/>
    </row>
    <row r="49802" spans="23:23">
      <c r="W49802" s="503"/>
    </row>
    <row r="49803" spans="23:23">
      <c r="W49803" s="503"/>
    </row>
    <row r="49804" spans="23:23">
      <c r="W49804" s="503"/>
    </row>
    <row r="49805" spans="23:23">
      <c r="W49805" s="503"/>
    </row>
    <row r="49806" spans="23:23">
      <c r="W49806" s="503"/>
    </row>
    <row r="49807" spans="23:23">
      <c r="W49807" s="503"/>
    </row>
    <row r="49808" spans="23:23">
      <c r="W49808" s="503"/>
    </row>
    <row r="49809" spans="23:23">
      <c r="W49809" s="503"/>
    </row>
    <row r="49810" spans="23:23">
      <c r="W49810" s="503"/>
    </row>
    <row r="49811" spans="23:23">
      <c r="W49811" s="503"/>
    </row>
    <row r="49812" spans="23:23">
      <c r="W49812" s="503"/>
    </row>
    <row r="49813" spans="23:23">
      <c r="W49813" s="503"/>
    </row>
    <row r="49814" spans="23:23">
      <c r="W49814" s="503"/>
    </row>
    <row r="49815" spans="23:23">
      <c r="W49815" s="503"/>
    </row>
    <row r="49816" spans="23:23">
      <c r="W49816" s="503"/>
    </row>
    <row r="49817" spans="23:23">
      <c r="W49817" s="503"/>
    </row>
    <row r="49818" spans="23:23">
      <c r="W49818" s="503"/>
    </row>
    <row r="49819" spans="23:23">
      <c r="W49819" s="503"/>
    </row>
    <row r="49820" spans="23:23">
      <c r="W49820" s="503"/>
    </row>
    <row r="49821" spans="23:23">
      <c r="W49821" s="503"/>
    </row>
    <row r="49822" spans="23:23">
      <c r="W49822" s="503"/>
    </row>
    <row r="49823" spans="23:23">
      <c r="W49823" s="503"/>
    </row>
    <row r="49824" spans="23:23">
      <c r="W49824" s="503"/>
    </row>
    <row r="49825" spans="23:23">
      <c r="W49825" s="503"/>
    </row>
    <row r="49826" spans="23:23">
      <c r="W49826" s="503"/>
    </row>
    <row r="49827" spans="23:23">
      <c r="W49827" s="503"/>
    </row>
    <row r="49828" spans="23:23">
      <c r="W49828" s="503"/>
    </row>
    <row r="49829" spans="23:23">
      <c r="W49829" s="503"/>
    </row>
    <row r="49830" spans="23:23">
      <c r="W49830" s="503"/>
    </row>
    <row r="49831" spans="23:23">
      <c r="W49831" s="503"/>
    </row>
    <row r="49832" spans="23:23">
      <c r="W49832" s="503"/>
    </row>
    <row r="49833" spans="23:23">
      <c r="W49833" s="503"/>
    </row>
    <row r="49834" spans="23:23">
      <c r="W49834" s="503"/>
    </row>
    <row r="49835" spans="23:23">
      <c r="W49835" s="503"/>
    </row>
    <row r="49836" spans="23:23">
      <c r="W49836" s="503"/>
    </row>
    <row r="49837" spans="23:23">
      <c r="W49837" s="503"/>
    </row>
    <row r="49838" spans="23:23">
      <c r="W49838" s="503"/>
    </row>
    <row r="49839" spans="23:23">
      <c r="W49839" s="503"/>
    </row>
    <row r="49840" spans="23:23">
      <c r="W49840" s="503"/>
    </row>
    <row r="49841" spans="23:23">
      <c r="W49841" s="503"/>
    </row>
    <row r="49842" spans="23:23">
      <c r="W49842" s="503"/>
    </row>
    <row r="49843" spans="23:23">
      <c r="W49843" s="503"/>
    </row>
    <row r="49844" spans="23:23">
      <c r="W49844" s="503"/>
    </row>
    <row r="49845" spans="23:23">
      <c r="W49845" s="503"/>
    </row>
    <row r="49846" spans="23:23">
      <c r="W49846" s="503"/>
    </row>
    <row r="49847" spans="23:23">
      <c r="W49847" s="503"/>
    </row>
    <row r="49848" spans="23:23">
      <c r="W49848" s="503"/>
    </row>
    <row r="49849" spans="23:23">
      <c r="W49849" s="503"/>
    </row>
    <row r="49850" spans="23:23">
      <c r="W49850" s="503"/>
    </row>
    <row r="49851" spans="23:23">
      <c r="W49851" s="503"/>
    </row>
    <row r="49852" spans="23:23">
      <c r="W49852" s="503"/>
    </row>
    <row r="49853" spans="23:23">
      <c r="W49853" s="503"/>
    </row>
    <row r="49854" spans="23:23">
      <c r="W49854" s="503"/>
    </row>
    <row r="49855" spans="23:23">
      <c r="W49855" s="503"/>
    </row>
    <row r="49856" spans="23:23">
      <c r="W49856" s="503"/>
    </row>
    <row r="49857" spans="23:23">
      <c r="W49857" s="503"/>
    </row>
    <row r="49858" spans="23:23">
      <c r="W49858" s="503"/>
    </row>
    <row r="49859" spans="23:23">
      <c r="W49859" s="503"/>
    </row>
    <row r="49860" spans="23:23">
      <c r="W49860" s="503"/>
    </row>
    <row r="49861" spans="23:23">
      <c r="W49861" s="503"/>
    </row>
    <row r="49862" spans="23:23">
      <c r="W49862" s="503"/>
    </row>
    <row r="49863" spans="23:23">
      <c r="W49863" s="503"/>
    </row>
    <row r="49864" spans="23:23">
      <c r="W49864" s="503"/>
    </row>
    <row r="49865" spans="23:23">
      <c r="W49865" s="503"/>
    </row>
    <row r="49866" spans="23:23">
      <c r="W49866" s="503"/>
    </row>
    <row r="49867" spans="23:23">
      <c r="W49867" s="503"/>
    </row>
    <row r="49868" spans="23:23">
      <c r="W49868" s="503"/>
    </row>
    <row r="49869" spans="23:23">
      <c r="W49869" s="503"/>
    </row>
    <row r="49870" spans="23:23">
      <c r="W49870" s="503"/>
    </row>
    <row r="49871" spans="23:23">
      <c r="W49871" s="503"/>
    </row>
    <row r="49872" spans="23:23">
      <c r="W49872" s="503"/>
    </row>
    <row r="49873" spans="23:23">
      <c r="W49873" s="503"/>
    </row>
    <row r="49874" spans="23:23">
      <c r="W49874" s="503"/>
    </row>
    <row r="49875" spans="23:23">
      <c r="W49875" s="503"/>
    </row>
    <row r="49876" spans="23:23">
      <c r="W49876" s="503"/>
    </row>
    <row r="49877" spans="23:23">
      <c r="W49877" s="503"/>
    </row>
    <row r="49878" spans="23:23">
      <c r="W49878" s="503"/>
    </row>
    <row r="49879" spans="23:23">
      <c r="W49879" s="503"/>
    </row>
    <row r="49880" spans="23:23">
      <c r="W49880" s="503"/>
    </row>
    <row r="49881" spans="23:23">
      <c r="W49881" s="503"/>
    </row>
    <row r="49882" spans="23:23">
      <c r="W49882" s="503"/>
    </row>
    <row r="49883" spans="23:23">
      <c r="W49883" s="503"/>
    </row>
    <row r="49884" spans="23:23">
      <c r="W49884" s="503"/>
    </row>
    <row r="49885" spans="23:23">
      <c r="W49885" s="503"/>
    </row>
    <row r="49886" spans="23:23">
      <c r="W49886" s="503"/>
    </row>
    <row r="49887" spans="23:23">
      <c r="W49887" s="503"/>
    </row>
    <row r="49888" spans="23:23">
      <c r="W49888" s="503"/>
    </row>
    <row r="49889" spans="23:23">
      <c r="W49889" s="503"/>
    </row>
    <row r="49890" spans="23:23">
      <c r="W49890" s="503"/>
    </row>
    <row r="49891" spans="23:23">
      <c r="W49891" s="503"/>
    </row>
    <row r="49892" spans="23:23">
      <c r="W49892" s="503"/>
    </row>
    <row r="49893" spans="23:23">
      <c r="W49893" s="503"/>
    </row>
    <row r="49894" spans="23:23">
      <c r="W49894" s="503"/>
    </row>
    <row r="49895" spans="23:23">
      <c r="W49895" s="503"/>
    </row>
    <row r="49896" spans="23:23">
      <c r="W49896" s="503"/>
    </row>
    <row r="49897" spans="23:23">
      <c r="W49897" s="503"/>
    </row>
    <row r="49898" spans="23:23">
      <c r="W49898" s="503"/>
    </row>
    <row r="49899" spans="23:23">
      <c r="W49899" s="503"/>
    </row>
    <row r="49900" spans="23:23">
      <c r="W49900" s="503"/>
    </row>
    <row r="49901" spans="23:23">
      <c r="W49901" s="503"/>
    </row>
    <row r="49902" spans="23:23">
      <c r="W49902" s="503"/>
    </row>
    <row r="49903" spans="23:23">
      <c r="W49903" s="503"/>
    </row>
    <row r="49904" spans="23:23">
      <c r="W49904" s="503"/>
    </row>
    <row r="49905" spans="23:23">
      <c r="W49905" s="503"/>
    </row>
    <row r="49906" spans="23:23">
      <c r="W49906" s="503"/>
    </row>
    <row r="49907" spans="23:23">
      <c r="W49907" s="503"/>
    </row>
    <row r="49908" spans="23:23">
      <c r="W49908" s="503"/>
    </row>
    <row r="49909" spans="23:23">
      <c r="W49909" s="503"/>
    </row>
    <row r="49910" spans="23:23">
      <c r="W49910" s="503"/>
    </row>
    <row r="49911" spans="23:23">
      <c r="W49911" s="503"/>
    </row>
    <row r="49912" spans="23:23">
      <c r="W49912" s="503"/>
    </row>
    <row r="49913" spans="23:23">
      <c r="W49913" s="503"/>
    </row>
    <row r="49914" spans="23:23">
      <c r="W49914" s="503"/>
    </row>
    <row r="49915" spans="23:23">
      <c r="W49915" s="503"/>
    </row>
    <row r="49916" spans="23:23">
      <c r="W49916" s="503"/>
    </row>
    <row r="49917" spans="23:23">
      <c r="W49917" s="503"/>
    </row>
    <row r="49918" spans="23:23">
      <c r="W49918" s="503"/>
    </row>
    <row r="49919" spans="23:23">
      <c r="W49919" s="503"/>
    </row>
    <row r="49920" spans="23:23">
      <c r="W49920" s="503"/>
    </row>
    <row r="49921" spans="23:23">
      <c r="W49921" s="503"/>
    </row>
    <row r="49922" spans="23:23">
      <c r="W49922" s="503"/>
    </row>
    <row r="49923" spans="23:23">
      <c r="W49923" s="503"/>
    </row>
    <row r="49924" spans="23:23">
      <c r="W49924" s="503"/>
    </row>
    <row r="49925" spans="23:23">
      <c r="W49925" s="503"/>
    </row>
    <row r="49926" spans="23:23">
      <c r="W49926" s="503"/>
    </row>
    <row r="49927" spans="23:23">
      <c r="W49927" s="503"/>
    </row>
    <row r="49928" spans="23:23">
      <c r="W49928" s="503"/>
    </row>
    <row r="49929" spans="23:23">
      <c r="W49929" s="503"/>
    </row>
    <row r="49930" spans="23:23">
      <c r="W49930" s="503"/>
    </row>
    <row r="49931" spans="23:23">
      <c r="W49931" s="503"/>
    </row>
    <row r="49932" spans="23:23">
      <c r="W49932" s="503"/>
    </row>
    <row r="49933" spans="23:23">
      <c r="W49933" s="503"/>
    </row>
    <row r="49934" spans="23:23">
      <c r="W49934" s="503"/>
    </row>
    <row r="49935" spans="23:23">
      <c r="W49935" s="503"/>
    </row>
    <row r="49936" spans="23:23">
      <c r="W49936" s="503"/>
    </row>
    <row r="49937" spans="23:23">
      <c r="W49937" s="503"/>
    </row>
    <row r="49938" spans="23:23">
      <c r="W49938" s="503"/>
    </row>
    <row r="49939" spans="23:23">
      <c r="W49939" s="503"/>
    </row>
    <row r="49940" spans="23:23">
      <c r="W49940" s="503"/>
    </row>
    <row r="49941" spans="23:23">
      <c r="W49941" s="503"/>
    </row>
    <row r="49942" spans="23:23">
      <c r="W49942" s="503"/>
    </row>
    <row r="49943" spans="23:23">
      <c r="W49943" s="503"/>
    </row>
    <row r="49944" spans="23:23">
      <c r="W49944" s="503"/>
    </row>
    <row r="49945" spans="23:23">
      <c r="W49945" s="503"/>
    </row>
    <row r="49946" spans="23:23">
      <c r="W49946" s="503"/>
    </row>
    <row r="49947" spans="23:23">
      <c r="W49947" s="503"/>
    </row>
    <row r="49948" spans="23:23">
      <c r="W49948" s="503"/>
    </row>
    <row r="49949" spans="23:23">
      <c r="W49949" s="503"/>
    </row>
    <row r="49950" spans="23:23">
      <c r="W49950" s="503"/>
    </row>
    <row r="49951" spans="23:23">
      <c r="W49951" s="503"/>
    </row>
    <row r="49952" spans="23:23">
      <c r="W49952" s="503"/>
    </row>
    <row r="49953" spans="23:23">
      <c r="W49953" s="503"/>
    </row>
    <row r="49954" spans="23:23">
      <c r="W49954" s="503"/>
    </row>
    <row r="49955" spans="23:23">
      <c r="W49955" s="503"/>
    </row>
    <row r="49956" spans="23:23">
      <c r="W49956" s="503"/>
    </row>
    <row r="49957" spans="23:23">
      <c r="W49957" s="503"/>
    </row>
    <row r="49958" spans="23:23">
      <c r="W49958" s="503"/>
    </row>
    <row r="49959" spans="23:23">
      <c r="W49959" s="503"/>
    </row>
    <row r="49960" spans="23:23">
      <c r="W49960" s="503"/>
    </row>
    <row r="49961" spans="23:23">
      <c r="W49961" s="503"/>
    </row>
    <row r="49962" spans="23:23">
      <c r="W49962" s="503"/>
    </row>
    <row r="49963" spans="23:23">
      <c r="W49963" s="503"/>
    </row>
    <row r="49964" spans="23:23">
      <c r="W49964" s="503"/>
    </row>
    <row r="49965" spans="23:23">
      <c r="W49965" s="503"/>
    </row>
    <row r="49966" spans="23:23">
      <c r="W49966" s="503"/>
    </row>
    <row r="49967" spans="23:23">
      <c r="W49967" s="503"/>
    </row>
    <row r="49968" spans="23:23">
      <c r="W49968" s="503"/>
    </row>
    <row r="49969" spans="23:23">
      <c r="W49969" s="503"/>
    </row>
    <row r="49970" spans="23:23">
      <c r="W49970" s="503"/>
    </row>
    <row r="49971" spans="23:23">
      <c r="W49971" s="503"/>
    </row>
    <row r="49972" spans="23:23">
      <c r="W49972" s="503"/>
    </row>
    <row r="49973" spans="23:23">
      <c r="W49973" s="503"/>
    </row>
    <row r="49974" spans="23:23">
      <c r="W49974" s="503"/>
    </row>
    <row r="49975" spans="23:23">
      <c r="W49975" s="503"/>
    </row>
    <row r="49976" spans="23:23">
      <c r="W49976" s="503"/>
    </row>
    <row r="49977" spans="23:23">
      <c r="W49977" s="503"/>
    </row>
    <row r="49978" spans="23:23">
      <c r="W49978" s="503"/>
    </row>
    <row r="49979" spans="23:23">
      <c r="W49979" s="503"/>
    </row>
    <row r="49980" spans="23:23">
      <c r="W49980" s="503"/>
    </row>
    <row r="49981" spans="23:23">
      <c r="W49981" s="503"/>
    </row>
    <row r="49982" spans="23:23">
      <c r="W49982" s="503"/>
    </row>
    <row r="49983" spans="23:23">
      <c r="W49983" s="503"/>
    </row>
    <row r="49984" spans="23:23">
      <c r="W49984" s="503"/>
    </row>
    <row r="49985" spans="23:23">
      <c r="W49985" s="503"/>
    </row>
    <row r="49986" spans="23:23">
      <c r="W49986" s="503"/>
    </row>
    <row r="49987" spans="23:23">
      <c r="W49987" s="503"/>
    </row>
    <row r="49988" spans="23:23">
      <c r="W49988" s="503"/>
    </row>
    <row r="49989" spans="23:23">
      <c r="W49989" s="503"/>
    </row>
    <row r="49990" spans="23:23">
      <c r="W49990" s="503"/>
    </row>
    <row r="49991" spans="23:23">
      <c r="W49991" s="503"/>
    </row>
    <row r="49992" spans="23:23">
      <c r="W49992" s="503"/>
    </row>
    <row r="49993" spans="23:23">
      <c r="W49993" s="503"/>
    </row>
    <row r="49994" spans="23:23">
      <c r="W49994" s="503"/>
    </row>
    <row r="49995" spans="23:23">
      <c r="W49995" s="503"/>
    </row>
    <row r="49996" spans="23:23">
      <c r="W49996" s="503"/>
    </row>
    <row r="49997" spans="23:23">
      <c r="W49997" s="503"/>
    </row>
    <row r="49998" spans="23:23">
      <c r="W49998" s="503"/>
    </row>
    <row r="49999" spans="23:23">
      <c r="W49999" s="503"/>
    </row>
    <row r="50000" spans="23:23">
      <c r="W50000" s="503"/>
    </row>
    <row r="50001" spans="23:23">
      <c r="W50001" s="503"/>
    </row>
    <row r="50002" spans="23:23">
      <c r="W50002" s="503"/>
    </row>
    <row r="50003" spans="23:23">
      <c r="W50003" s="503"/>
    </row>
    <row r="50004" spans="23:23">
      <c r="W50004" s="503"/>
    </row>
    <row r="50005" spans="23:23">
      <c r="W50005" s="503"/>
    </row>
    <row r="50006" spans="23:23">
      <c r="W50006" s="503"/>
    </row>
    <row r="50007" spans="23:23">
      <c r="W50007" s="503"/>
    </row>
    <row r="50008" spans="23:23">
      <c r="W50008" s="503"/>
    </row>
    <row r="50009" spans="23:23">
      <c r="W50009" s="503"/>
    </row>
    <row r="50010" spans="23:23">
      <c r="W50010" s="503"/>
    </row>
    <row r="50011" spans="23:23">
      <c r="W50011" s="503"/>
    </row>
    <row r="50012" spans="23:23">
      <c r="W50012" s="503"/>
    </row>
    <row r="50013" spans="23:23">
      <c r="W50013" s="503"/>
    </row>
    <row r="50014" spans="23:23">
      <c r="W50014" s="503"/>
    </row>
    <row r="50015" spans="23:23">
      <c r="W50015" s="503"/>
    </row>
    <row r="50016" spans="23:23">
      <c r="W50016" s="503"/>
    </row>
    <row r="50017" spans="23:23">
      <c r="W50017" s="503"/>
    </row>
    <row r="50018" spans="23:23">
      <c r="W50018" s="503"/>
    </row>
    <row r="50019" spans="23:23">
      <c r="W50019" s="503"/>
    </row>
    <row r="50020" spans="23:23">
      <c r="W50020" s="503"/>
    </row>
    <row r="50021" spans="23:23">
      <c r="W50021" s="503"/>
    </row>
    <row r="50022" spans="23:23">
      <c r="W50022" s="503"/>
    </row>
    <row r="50023" spans="23:23">
      <c r="W50023" s="503"/>
    </row>
    <row r="50024" spans="23:23">
      <c r="W50024" s="503"/>
    </row>
    <row r="50025" spans="23:23">
      <c r="W50025" s="503"/>
    </row>
    <row r="50026" spans="23:23">
      <c r="W50026" s="503"/>
    </row>
    <row r="50027" spans="23:23">
      <c r="W50027" s="503"/>
    </row>
    <row r="50028" spans="23:23">
      <c r="W50028" s="503"/>
    </row>
    <row r="50029" spans="23:23">
      <c r="W50029" s="503"/>
    </row>
    <row r="50030" spans="23:23">
      <c r="W50030" s="503"/>
    </row>
    <row r="50031" spans="23:23">
      <c r="W50031" s="503"/>
    </row>
    <row r="50032" spans="23:23">
      <c r="W50032" s="503"/>
    </row>
    <row r="50033" spans="23:23">
      <c r="W50033" s="503"/>
    </row>
    <row r="50034" spans="23:23">
      <c r="W50034" s="503"/>
    </row>
    <row r="50035" spans="23:23">
      <c r="W50035" s="503"/>
    </row>
    <row r="50036" spans="23:23">
      <c r="W50036" s="503"/>
    </row>
    <row r="50037" spans="23:23">
      <c r="W50037" s="503"/>
    </row>
    <row r="50038" spans="23:23">
      <c r="W50038" s="503"/>
    </row>
    <row r="50039" spans="23:23">
      <c r="W50039" s="503"/>
    </row>
    <row r="50040" spans="23:23">
      <c r="W50040" s="503"/>
    </row>
    <row r="50041" spans="23:23">
      <c r="W50041" s="503"/>
    </row>
    <row r="50042" spans="23:23">
      <c r="W50042" s="503"/>
    </row>
    <row r="50043" spans="23:23">
      <c r="W50043" s="503"/>
    </row>
    <row r="50044" spans="23:23">
      <c r="W50044" s="503"/>
    </row>
    <row r="50045" spans="23:23">
      <c r="W50045" s="503"/>
    </row>
    <row r="50046" spans="23:23">
      <c r="W50046" s="503"/>
    </row>
    <row r="50047" spans="23:23">
      <c r="W50047" s="503"/>
    </row>
    <row r="50048" spans="23:23">
      <c r="W50048" s="503"/>
    </row>
    <row r="50049" spans="23:23">
      <c r="W50049" s="503"/>
    </row>
    <row r="50050" spans="23:23">
      <c r="W50050" s="503"/>
    </row>
    <row r="50051" spans="23:23">
      <c r="W50051" s="503"/>
    </row>
    <row r="50052" spans="23:23">
      <c r="W50052" s="503"/>
    </row>
    <row r="50053" spans="23:23">
      <c r="W50053" s="503"/>
    </row>
    <row r="50054" spans="23:23">
      <c r="W50054" s="503"/>
    </row>
    <row r="50055" spans="23:23">
      <c r="W50055" s="503"/>
    </row>
    <row r="50056" spans="23:23">
      <c r="W50056" s="503"/>
    </row>
    <row r="50057" spans="23:23">
      <c r="W50057" s="503"/>
    </row>
    <row r="50058" spans="23:23">
      <c r="W50058" s="503"/>
    </row>
    <row r="50059" spans="23:23">
      <c r="W50059" s="503"/>
    </row>
    <row r="50060" spans="23:23">
      <c r="W50060" s="503"/>
    </row>
    <row r="50061" spans="23:23">
      <c r="W50061" s="503"/>
    </row>
    <row r="50062" spans="23:23">
      <c r="W50062" s="503"/>
    </row>
    <row r="50063" spans="23:23">
      <c r="W50063" s="503"/>
    </row>
    <row r="50064" spans="23:23">
      <c r="W50064" s="503"/>
    </row>
    <row r="50065" spans="23:23">
      <c r="W50065" s="503"/>
    </row>
    <row r="50066" spans="23:23">
      <c r="W50066" s="503"/>
    </row>
    <row r="50067" spans="23:23">
      <c r="W50067" s="503"/>
    </row>
    <row r="50068" spans="23:23">
      <c r="W50068" s="503"/>
    </row>
    <row r="50069" spans="23:23">
      <c r="W50069" s="503"/>
    </row>
    <row r="50070" spans="23:23">
      <c r="W50070" s="503"/>
    </row>
    <row r="50071" spans="23:23">
      <c r="W50071" s="503"/>
    </row>
    <row r="50072" spans="23:23">
      <c r="W50072" s="503"/>
    </row>
    <row r="50073" spans="23:23">
      <c r="W50073" s="503"/>
    </row>
    <row r="50074" spans="23:23">
      <c r="W50074" s="503"/>
    </row>
    <row r="50075" spans="23:23">
      <c r="W50075" s="503"/>
    </row>
    <row r="50076" spans="23:23">
      <c r="W50076" s="503"/>
    </row>
    <row r="50077" spans="23:23">
      <c r="W50077" s="503"/>
    </row>
    <row r="50078" spans="23:23">
      <c r="W50078" s="503"/>
    </row>
    <row r="50079" spans="23:23">
      <c r="W50079" s="503"/>
    </row>
    <row r="50080" spans="23:23">
      <c r="W50080" s="503"/>
    </row>
    <row r="50081" spans="23:23">
      <c r="W50081" s="503"/>
    </row>
    <row r="50082" spans="23:23">
      <c r="W50082" s="503"/>
    </row>
    <row r="50083" spans="23:23">
      <c r="W50083" s="503"/>
    </row>
    <row r="50084" spans="23:23">
      <c r="W50084" s="503"/>
    </row>
    <row r="50085" spans="23:23">
      <c r="W50085" s="503"/>
    </row>
    <row r="50086" spans="23:23">
      <c r="W50086" s="503"/>
    </row>
    <row r="50087" spans="23:23">
      <c r="W50087" s="503"/>
    </row>
    <row r="50088" spans="23:23">
      <c r="W50088" s="503"/>
    </row>
    <row r="50089" spans="23:23">
      <c r="W50089" s="503"/>
    </row>
    <row r="50090" spans="23:23">
      <c r="W50090" s="503"/>
    </row>
    <row r="50091" spans="23:23">
      <c r="W50091" s="503"/>
    </row>
    <row r="50092" spans="23:23">
      <c r="W50092" s="503"/>
    </row>
    <row r="50093" spans="23:23">
      <c r="W50093" s="503"/>
    </row>
    <row r="50094" spans="23:23">
      <c r="W50094" s="503"/>
    </row>
    <row r="50095" spans="23:23">
      <c r="W50095" s="503"/>
    </row>
    <row r="50096" spans="23:23">
      <c r="W50096" s="503"/>
    </row>
    <row r="50097" spans="23:23">
      <c r="W50097" s="503"/>
    </row>
    <row r="50098" spans="23:23">
      <c r="W50098" s="503"/>
    </row>
    <row r="50099" spans="23:23">
      <c r="W50099" s="503"/>
    </row>
    <row r="50100" spans="23:23">
      <c r="W50100" s="503"/>
    </row>
    <row r="50101" spans="23:23">
      <c r="W50101" s="503"/>
    </row>
    <row r="50102" spans="23:23">
      <c r="W50102" s="503"/>
    </row>
    <row r="50103" spans="23:23">
      <c r="W50103" s="503"/>
    </row>
    <row r="50104" spans="23:23">
      <c r="W50104" s="503"/>
    </row>
    <row r="50105" spans="23:23">
      <c r="W50105" s="503"/>
    </row>
    <row r="50106" spans="23:23">
      <c r="W50106" s="503"/>
    </row>
    <row r="50107" spans="23:23">
      <c r="W50107" s="503"/>
    </row>
    <row r="50108" spans="23:23">
      <c r="W50108" s="503"/>
    </row>
    <row r="50109" spans="23:23">
      <c r="W50109" s="503"/>
    </row>
    <row r="50110" spans="23:23">
      <c r="W50110" s="503"/>
    </row>
    <row r="50111" spans="23:23">
      <c r="W50111" s="503"/>
    </row>
    <row r="50112" spans="23:23">
      <c r="W50112" s="503"/>
    </row>
    <row r="50113" spans="23:23">
      <c r="W50113" s="503"/>
    </row>
    <row r="50114" spans="23:23">
      <c r="W50114" s="503"/>
    </row>
    <row r="50115" spans="23:23">
      <c r="W50115" s="503"/>
    </row>
    <row r="50116" spans="23:23">
      <c r="W50116" s="503"/>
    </row>
    <row r="50117" spans="23:23">
      <c r="W50117" s="503"/>
    </row>
    <row r="50118" spans="23:23">
      <c r="W50118" s="503"/>
    </row>
    <row r="50119" spans="23:23">
      <c r="W50119" s="503"/>
    </row>
    <row r="50120" spans="23:23">
      <c r="W50120" s="503"/>
    </row>
    <row r="50121" spans="23:23">
      <c r="W50121" s="503"/>
    </row>
    <row r="50122" spans="23:23">
      <c r="W50122" s="503"/>
    </row>
    <row r="50123" spans="23:23">
      <c r="W50123" s="503"/>
    </row>
    <row r="50124" spans="23:23">
      <c r="W50124" s="503"/>
    </row>
    <row r="50125" spans="23:23">
      <c r="W50125" s="503"/>
    </row>
    <row r="50126" spans="23:23">
      <c r="W50126" s="503"/>
    </row>
    <row r="50127" spans="23:23">
      <c r="W50127" s="503"/>
    </row>
    <row r="50128" spans="23:23">
      <c r="W50128" s="503"/>
    </row>
    <row r="50129" spans="23:23">
      <c r="W50129" s="503"/>
    </row>
    <row r="50130" spans="23:23">
      <c r="W50130" s="503"/>
    </row>
    <row r="50131" spans="23:23">
      <c r="W50131" s="503"/>
    </row>
    <row r="50132" spans="23:23">
      <c r="W50132" s="503"/>
    </row>
    <row r="50133" spans="23:23">
      <c r="W50133" s="503"/>
    </row>
    <row r="50134" spans="23:23">
      <c r="W50134" s="503"/>
    </row>
    <row r="50135" spans="23:23">
      <c r="W50135" s="503"/>
    </row>
    <row r="50136" spans="23:23">
      <c r="W50136" s="503"/>
    </row>
    <row r="50137" spans="23:23">
      <c r="W50137" s="503"/>
    </row>
    <row r="50138" spans="23:23">
      <c r="W50138" s="503"/>
    </row>
    <row r="50139" spans="23:23">
      <c r="W50139" s="503"/>
    </row>
    <row r="50140" spans="23:23">
      <c r="W50140" s="503"/>
    </row>
    <row r="50141" spans="23:23">
      <c r="W50141" s="503"/>
    </row>
    <row r="50142" spans="23:23">
      <c r="W50142" s="503"/>
    </row>
    <row r="50143" spans="23:23">
      <c r="W50143" s="503"/>
    </row>
    <row r="50144" spans="23:23">
      <c r="W50144" s="503"/>
    </row>
    <row r="50145" spans="23:23">
      <c r="W50145" s="503"/>
    </row>
    <row r="50146" spans="23:23">
      <c r="W50146" s="503"/>
    </row>
    <row r="50147" spans="23:23">
      <c r="W50147" s="503"/>
    </row>
    <row r="50148" spans="23:23">
      <c r="W50148" s="503"/>
    </row>
    <row r="50149" spans="23:23">
      <c r="W50149" s="503"/>
    </row>
    <row r="50150" spans="23:23">
      <c r="W50150" s="503"/>
    </row>
    <row r="50151" spans="23:23">
      <c r="W50151" s="503"/>
    </row>
    <row r="50152" spans="23:23">
      <c r="W50152" s="503"/>
    </row>
    <row r="50153" spans="23:23">
      <c r="W50153" s="503"/>
    </row>
    <row r="50154" spans="23:23">
      <c r="W50154" s="503"/>
    </row>
    <row r="50155" spans="23:23">
      <c r="W50155" s="503"/>
    </row>
    <row r="50156" spans="23:23">
      <c r="W50156" s="503"/>
    </row>
    <row r="50157" spans="23:23">
      <c r="W50157" s="503"/>
    </row>
    <row r="50158" spans="23:23">
      <c r="W50158" s="503"/>
    </row>
    <row r="50159" spans="23:23">
      <c r="W50159" s="503"/>
    </row>
    <row r="50160" spans="23:23">
      <c r="W50160" s="503"/>
    </row>
    <row r="50161" spans="23:23">
      <c r="W50161" s="503"/>
    </row>
    <row r="50162" spans="23:23">
      <c r="W50162" s="503"/>
    </row>
    <row r="50163" spans="23:23">
      <c r="W50163" s="503"/>
    </row>
    <row r="50164" spans="23:23">
      <c r="W50164" s="503"/>
    </row>
    <row r="50165" spans="23:23">
      <c r="W50165" s="503"/>
    </row>
    <row r="50166" spans="23:23">
      <c r="W50166" s="503"/>
    </row>
    <row r="50167" spans="23:23">
      <c r="W50167" s="503"/>
    </row>
    <row r="50168" spans="23:23">
      <c r="W50168" s="503"/>
    </row>
    <row r="50169" spans="23:23">
      <c r="W50169" s="503"/>
    </row>
    <row r="50170" spans="23:23">
      <c r="W50170" s="503"/>
    </row>
    <row r="50171" spans="23:23">
      <c r="W50171" s="503"/>
    </row>
    <row r="50172" spans="23:23">
      <c r="W50172" s="503"/>
    </row>
    <row r="50173" spans="23:23">
      <c r="W50173" s="503"/>
    </row>
    <row r="50174" spans="23:23">
      <c r="W50174" s="503"/>
    </row>
    <row r="50175" spans="23:23">
      <c r="W50175" s="503"/>
    </row>
    <row r="50176" spans="23:23">
      <c r="W50176" s="503"/>
    </row>
    <row r="50177" spans="23:23">
      <c r="W50177" s="503"/>
    </row>
    <row r="50178" spans="23:23">
      <c r="W50178" s="503"/>
    </row>
    <row r="50179" spans="23:23">
      <c r="W50179" s="503"/>
    </row>
    <row r="50180" spans="23:23">
      <c r="W50180" s="503"/>
    </row>
    <row r="50181" spans="23:23">
      <c r="W50181" s="503"/>
    </row>
    <row r="50182" spans="23:23">
      <c r="W50182" s="503"/>
    </row>
    <row r="50183" spans="23:23">
      <c r="W50183" s="503"/>
    </row>
    <row r="50184" spans="23:23">
      <c r="W50184" s="503"/>
    </row>
    <row r="50185" spans="23:23">
      <c r="W50185" s="503"/>
    </row>
    <row r="50186" spans="23:23">
      <c r="W50186" s="503"/>
    </row>
    <row r="50187" spans="23:23">
      <c r="W50187" s="503"/>
    </row>
    <row r="50188" spans="23:23">
      <c r="W50188" s="503"/>
    </row>
    <row r="50189" spans="23:23">
      <c r="W50189" s="503"/>
    </row>
    <row r="50190" spans="23:23">
      <c r="W50190" s="503"/>
    </row>
    <row r="50191" spans="23:23">
      <c r="W50191" s="503"/>
    </row>
    <row r="50192" spans="23:23">
      <c r="W50192" s="503"/>
    </row>
    <row r="50193" spans="23:23">
      <c r="W50193" s="503"/>
    </row>
    <row r="50194" spans="23:23">
      <c r="W50194" s="503"/>
    </row>
    <row r="50195" spans="23:23">
      <c r="W50195" s="503"/>
    </row>
    <row r="50196" spans="23:23">
      <c r="W50196" s="503"/>
    </row>
    <row r="50197" spans="23:23">
      <c r="W50197" s="503"/>
    </row>
    <row r="50198" spans="23:23">
      <c r="W50198" s="503"/>
    </row>
    <row r="50199" spans="23:23">
      <c r="W50199" s="503"/>
    </row>
    <row r="50200" spans="23:23">
      <c r="W50200" s="503"/>
    </row>
    <row r="50201" spans="23:23">
      <c r="W50201" s="503"/>
    </row>
    <row r="50202" spans="23:23">
      <c r="W50202" s="503"/>
    </row>
    <row r="50203" spans="23:23">
      <c r="W50203" s="503"/>
    </row>
    <row r="50204" spans="23:23">
      <c r="W50204" s="503"/>
    </row>
    <row r="50205" spans="23:23">
      <c r="W50205" s="503"/>
    </row>
    <row r="50206" spans="23:23">
      <c r="W50206" s="503"/>
    </row>
    <row r="50207" spans="23:23">
      <c r="W50207" s="503"/>
    </row>
    <row r="50208" spans="23:23">
      <c r="W50208" s="503"/>
    </row>
    <row r="50209" spans="23:23">
      <c r="W50209" s="503"/>
    </row>
    <row r="50210" spans="23:23">
      <c r="W50210" s="503"/>
    </row>
    <row r="50211" spans="23:23">
      <c r="W50211" s="503"/>
    </row>
    <row r="50212" spans="23:23">
      <c r="W50212" s="503"/>
    </row>
    <row r="50213" spans="23:23">
      <c r="W50213" s="503"/>
    </row>
    <row r="50214" spans="23:23">
      <c r="W50214" s="503"/>
    </row>
    <row r="50215" spans="23:23">
      <c r="W50215" s="503"/>
    </row>
    <row r="50216" spans="23:23">
      <c r="W50216" s="503"/>
    </row>
    <row r="50217" spans="23:23">
      <c r="W50217" s="503"/>
    </row>
    <row r="50218" spans="23:23">
      <c r="W50218" s="503"/>
    </row>
    <row r="50219" spans="23:23">
      <c r="W50219" s="503"/>
    </row>
    <row r="50220" spans="23:23">
      <c r="W50220" s="503"/>
    </row>
    <row r="50221" spans="23:23">
      <c r="W50221" s="503"/>
    </row>
    <row r="50222" spans="23:23">
      <c r="W50222" s="503"/>
    </row>
    <row r="50223" spans="23:23">
      <c r="W50223" s="503"/>
    </row>
    <row r="50224" spans="23:23">
      <c r="W50224" s="503"/>
    </row>
    <row r="50225" spans="23:23">
      <c r="W50225" s="503"/>
    </row>
    <row r="50226" spans="23:23">
      <c r="W50226" s="503"/>
    </row>
    <row r="50227" spans="23:23">
      <c r="W50227" s="503"/>
    </row>
    <row r="50228" spans="23:23">
      <c r="W50228" s="503"/>
    </row>
    <row r="50229" spans="23:23">
      <c r="W50229" s="503"/>
    </row>
    <row r="50230" spans="23:23">
      <c r="W50230" s="503"/>
    </row>
    <row r="50231" spans="23:23">
      <c r="W50231" s="503"/>
    </row>
    <row r="50232" spans="23:23">
      <c r="W50232" s="503"/>
    </row>
    <row r="50233" spans="23:23">
      <c r="W50233" s="503"/>
    </row>
    <row r="50234" spans="23:23">
      <c r="W50234" s="503"/>
    </row>
    <row r="50235" spans="23:23">
      <c r="W50235" s="503"/>
    </row>
    <row r="50236" spans="23:23">
      <c r="W50236" s="503"/>
    </row>
    <row r="50237" spans="23:23">
      <c r="W50237" s="503"/>
    </row>
    <row r="50238" spans="23:23">
      <c r="W50238" s="503"/>
    </row>
    <row r="50239" spans="23:23">
      <c r="W50239" s="503"/>
    </row>
    <row r="50240" spans="23:23">
      <c r="W50240" s="503"/>
    </row>
    <row r="50241" spans="23:23">
      <c r="W50241" s="503"/>
    </row>
    <row r="50242" spans="23:23">
      <c r="W50242" s="503"/>
    </row>
    <row r="50243" spans="23:23">
      <c r="W50243" s="503"/>
    </row>
    <row r="50244" spans="23:23">
      <c r="W50244" s="503"/>
    </row>
    <row r="50245" spans="23:23">
      <c r="W50245" s="503"/>
    </row>
    <row r="50246" spans="23:23">
      <c r="W50246" s="503"/>
    </row>
    <row r="50247" spans="23:23">
      <c r="W50247" s="503"/>
    </row>
    <row r="50248" spans="23:23">
      <c r="W50248" s="503"/>
    </row>
    <row r="50249" spans="23:23">
      <c r="W50249" s="503"/>
    </row>
    <row r="50250" spans="23:23">
      <c r="W50250" s="503"/>
    </row>
    <row r="50251" spans="23:23">
      <c r="W50251" s="503"/>
    </row>
    <row r="50252" spans="23:23">
      <c r="W50252" s="503"/>
    </row>
    <row r="50253" spans="23:23">
      <c r="W50253" s="503"/>
    </row>
    <row r="50254" spans="23:23">
      <c r="W50254" s="503"/>
    </row>
    <row r="50255" spans="23:23">
      <c r="W50255" s="503"/>
    </row>
    <row r="50256" spans="23:23">
      <c r="W50256" s="503"/>
    </row>
    <row r="50257" spans="23:23">
      <c r="W50257" s="503"/>
    </row>
    <row r="50258" spans="23:23">
      <c r="W50258" s="503"/>
    </row>
    <row r="50259" spans="23:23">
      <c r="W50259" s="503"/>
    </row>
    <row r="50260" spans="23:23">
      <c r="W50260" s="503"/>
    </row>
    <row r="50261" spans="23:23">
      <c r="W50261" s="503"/>
    </row>
    <row r="50262" spans="23:23">
      <c r="W50262" s="503"/>
    </row>
    <row r="50263" spans="23:23">
      <c r="W50263" s="503"/>
    </row>
    <row r="50264" spans="23:23">
      <c r="W50264" s="503"/>
    </row>
    <row r="50265" spans="23:23">
      <c r="W50265" s="503"/>
    </row>
    <row r="50266" spans="23:23">
      <c r="W50266" s="503"/>
    </row>
    <row r="50267" spans="23:23">
      <c r="W50267" s="503"/>
    </row>
    <row r="50268" spans="23:23">
      <c r="W50268" s="503"/>
    </row>
    <row r="50269" spans="23:23">
      <c r="W50269" s="503"/>
    </row>
    <row r="50270" spans="23:23">
      <c r="W50270" s="503"/>
    </row>
    <row r="50271" spans="23:23">
      <c r="W50271" s="503"/>
    </row>
    <row r="50272" spans="23:23">
      <c r="W50272" s="503"/>
    </row>
    <row r="50273" spans="23:23">
      <c r="W50273" s="503"/>
    </row>
    <row r="50274" spans="23:23">
      <c r="W50274" s="503"/>
    </row>
    <row r="50275" spans="23:23">
      <c r="W50275" s="503"/>
    </row>
    <row r="50276" spans="23:23">
      <c r="W50276" s="503"/>
    </row>
    <row r="50277" spans="23:23">
      <c r="W50277" s="503"/>
    </row>
    <row r="50278" spans="23:23">
      <c r="W50278" s="503"/>
    </row>
    <row r="50279" spans="23:23">
      <c r="W50279" s="503"/>
    </row>
    <row r="50280" spans="23:23">
      <c r="W50280" s="503"/>
    </row>
    <row r="50281" spans="23:23">
      <c r="W50281" s="503"/>
    </row>
    <row r="50282" spans="23:23">
      <c r="W50282" s="503"/>
    </row>
    <row r="50283" spans="23:23">
      <c r="W50283" s="503"/>
    </row>
    <row r="50284" spans="23:23">
      <c r="W50284" s="503"/>
    </row>
    <row r="50285" spans="23:23">
      <c r="W50285" s="503"/>
    </row>
    <row r="50286" spans="23:23">
      <c r="W50286" s="503"/>
    </row>
    <row r="50287" spans="23:23">
      <c r="W50287" s="503"/>
    </row>
    <row r="50288" spans="23:23">
      <c r="W50288" s="503"/>
    </row>
    <row r="50289" spans="23:23">
      <c r="W50289" s="503"/>
    </row>
    <row r="50290" spans="23:23">
      <c r="W50290" s="503"/>
    </row>
    <row r="50291" spans="23:23">
      <c r="W50291" s="503"/>
    </row>
    <row r="50292" spans="23:23">
      <c r="W50292" s="503"/>
    </row>
    <row r="50293" spans="23:23">
      <c r="W50293" s="503"/>
    </row>
    <row r="50294" spans="23:23">
      <c r="W50294" s="503"/>
    </row>
    <row r="50295" spans="23:23">
      <c r="W50295" s="503"/>
    </row>
    <row r="50296" spans="23:23">
      <c r="W50296" s="503"/>
    </row>
    <row r="50297" spans="23:23">
      <c r="W50297" s="503"/>
    </row>
    <row r="50298" spans="23:23">
      <c r="W50298" s="503"/>
    </row>
    <row r="50299" spans="23:23">
      <c r="W50299" s="503"/>
    </row>
    <row r="50300" spans="23:23">
      <c r="W50300" s="503"/>
    </row>
    <row r="50301" spans="23:23">
      <c r="W50301" s="503"/>
    </row>
    <row r="50302" spans="23:23">
      <c r="W50302" s="503"/>
    </row>
    <row r="50303" spans="23:23">
      <c r="W50303" s="503"/>
    </row>
    <row r="50304" spans="23:23">
      <c r="W50304" s="503"/>
    </row>
    <row r="50305" spans="23:23">
      <c r="W50305" s="503"/>
    </row>
    <row r="50306" spans="23:23">
      <c r="W50306" s="503"/>
    </row>
    <row r="50307" spans="23:23">
      <c r="W50307" s="503"/>
    </row>
    <row r="50308" spans="23:23">
      <c r="W50308" s="503"/>
    </row>
    <row r="50309" spans="23:23">
      <c r="W50309" s="503"/>
    </row>
    <row r="50310" spans="23:23">
      <c r="W50310" s="503"/>
    </row>
    <row r="50311" spans="23:23">
      <c r="W50311" s="503"/>
    </row>
    <row r="50312" spans="23:23">
      <c r="W50312" s="503"/>
    </row>
    <row r="50313" spans="23:23">
      <c r="W50313" s="503"/>
    </row>
    <row r="50314" spans="23:23">
      <c r="W50314" s="503"/>
    </row>
    <row r="50315" spans="23:23">
      <c r="W50315" s="503"/>
    </row>
    <row r="50316" spans="23:23">
      <c r="W50316" s="503"/>
    </row>
    <row r="50317" spans="23:23">
      <c r="W50317" s="503"/>
    </row>
    <row r="50318" spans="23:23">
      <c r="W50318" s="503"/>
    </row>
    <row r="50319" spans="23:23">
      <c r="W50319" s="503"/>
    </row>
    <row r="50320" spans="23:23">
      <c r="W50320" s="503"/>
    </row>
    <row r="50321" spans="23:23">
      <c r="W50321" s="503"/>
    </row>
    <row r="50322" spans="23:23">
      <c r="W50322" s="503"/>
    </row>
    <row r="50323" spans="23:23">
      <c r="W50323" s="503"/>
    </row>
    <row r="50324" spans="23:23">
      <c r="W50324" s="503"/>
    </row>
    <row r="50325" spans="23:23">
      <c r="W50325" s="503"/>
    </row>
    <row r="50326" spans="23:23">
      <c r="W50326" s="503"/>
    </row>
    <row r="50327" spans="23:23">
      <c r="W50327" s="503"/>
    </row>
    <row r="50328" spans="23:23">
      <c r="W50328" s="503"/>
    </row>
    <row r="50329" spans="23:23">
      <c r="W50329" s="503"/>
    </row>
    <row r="50330" spans="23:23">
      <c r="W50330" s="503"/>
    </row>
    <row r="50331" spans="23:23">
      <c r="W50331" s="503"/>
    </row>
    <row r="50332" spans="23:23">
      <c r="W50332" s="503"/>
    </row>
    <row r="50333" spans="23:23">
      <c r="W50333" s="503"/>
    </row>
    <row r="50334" spans="23:23">
      <c r="W50334" s="503"/>
    </row>
    <row r="50335" spans="23:23">
      <c r="W50335" s="503"/>
    </row>
    <row r="50336" spans="23:23">
      <c r="W50336" s="503"/>
    </row>
    <row r="50337" spans="23:23">
      <c r="W50337" s="503"/>
    </row>
    <row r="50338" spans="23:23">
      <c r="W50338" s="503"/>
    </row>
    <row r="50339" spans="23:23">
      <c r="W50339" s="503"/>
    </row>
    <row r="50340" spans="23:23">
      <c r="W50340" s="503"/>
    </row>
    <row r="50341" spans="23:23">
      <c r="W50341" s="503"/>
    </row>
    <row r="50342" spans="23:23">
      <c r="W50342" s="503"/>
    </row>
    <row r="50343" spans="23:23">
      <c r="W50343" s="503"/>
    </row>
    <row r="50344" spans="23:23">
      <c r="W50344" s="503"/>
    </row>
    <row r="50345" spans="23:23">
      <c r="W50345" s="503"/>
    </row>
    <row r="50346" spans="23:23">
      <c r="W50346" s="503"/>
    </row>
    <row r="50347" spans="23:23">
      <c r="W50347" s="503"/>
    </row>
    <row r="50348" spans="23:23">
      <c r="W50348" s="503"/>
    </row>
    <row r="50349" spans="23:23">
      <c r="W50349" s="503"/>
    </row>
    <row r="50350" spans="23:23">
      <c r="W50350" s="503"/>
    </row>
    <row r="50351" spans="23:23">
      <c r="W50351" s="503"/>
    </row>
    <row r="50352" spans="23:23">
      <c r="W50352" s="503"/>
    </row>
    <row r="50353" spans="23:23">
      <c r="W50353" s="503"/>
    </row>
    <row r="50354" spans="23:23">
      <c r="W50354" s="503"/>
    </row>
    <row r="50355" spans="23:23">
      <c r="W50355" s="503"/>
    </row>
    <row r="50356" spans="23:23">
      <c r="W50356" s="503"/>
    </row>
    <row r="50357" spans="23:23">
      <c r="W50357" s="503"/>
    </row>
    <row r="50358" spans="23:23">
      <c r="W50358" s="503"/>
    </row>
    <row r="50359" spans="23:23">
      <c r="W50359" s="503"/>
    </row>
    <row r="50360" spans="23:23">
      <c r="W50360" s="503"/>
    </row>
    <row r="50361" spans="23:23">
      <c r="W50361" s="503"/>
    </row>
    <row r="50362" spans="23:23">
      <c r="W50362" s="503"/>
    </row>
    <row r="50363" spans="23:23">
      <c r="W50363" s="503"/>
    </row>
    <row r="50364" spans="23:23">
      <c r="W50364" s="503"/>
    </row>
    <row r="50365" spans="23:23">
      <c r="W50365" s="503"/>
    </row>
    <row r="50366" spans="23:23">
      <c r="W50366" s="503"/>
    </row>
    <row r="50367" spans="23:23">
      <c r="W50367" s="503"/>
    </row>
    <row r="50368" spans="23:23">
      <c r="W50368" s="503"/>
    </row>
    <row r="50369" spans="23:23">
      <c r="W50369" s="503"/>
    </row>
    <row r="50370" spans="23:23">
      <c r="W50370" s="503"/>
    </row>
    <row r="50371" spans="23:23">
      <c r="W50371" s="503"/>
    </row>
    <row r="50372" spans="23:23">
      <c r="W50372" s="503"/>
    </row>
    <row r="50373" spans="23:23">
      <c r="W50373" s="503"/>
    </row>
    <row r="50374" spans="23:23">
      <c r="W50374" s="503"/>
    </row>
    <row r="50375" spans="23:23">
      <c r="W50375" s="503"/>
    </row>
    <row r="50376" spans="23:23">
      <c r="W50376" s="503"/>
    </row>
    <row r="50377" spans="23:23">
      <c r="W50377" s="503"/>
    </row>
    <row r="50378" spans="23:23">
      <c r="W50378" s="503"/>
    </row>
    <row r="50379" spans="23:23">
      <c r="W50379" s="503"/>
    </row>
    <row r="50380" spans="23:23">
      <c r="W50380" s="503"/>
    </row>
    <row r="50381" spans="23:23">
      <c r="W50381" s="503"/>
    </row>
    <row r="50382" spans="23:23">
      <c r="W50382" s="503"/>
    </row>
    <row r="50383" spans="23:23">
      <c r="W50383" s="503"/>
    </row>
    <row r="50384" spans="23:23">
      <c r="W50384" s="503"/>
    </row>
    <row r="50385" spans="23:23">
      <c r="W50385" s="503"/>
    </row>
    <row r="50386" spans="23:23">
      <c r="W50386" s="503"/>
    </row>
    <row r="50387" spans="23:23">
      <c r="W50387" s="503"/>
    </row>
    <row r="50388" spans="23:23">
      <c r="W50388" s="503"/>
    </row>
    <row r="50389" spans="23:23">
      <c r="W50389" s="503"/>
    </row>
    <row r="50390" spans="23:23">
      <c r="W50390" s="503"/>
    </row>
    <row r="50391" spans="23:23">
      <c r="W50391" s="503"/>
    </row>
    <row r="50392" spans="23:23">
      <c r="W50392" s="503"/>
    </row>
    <row r="50393" spans="23:23">
      <c r="W50393" s="503"/>
    </row>
    <row r="50394" spans="23:23">
      <c r="W50394" s="503"/>
    </row>
    <row r="50395" spans="23:23">
      <c r="W50395" s="503"/>
    </row>
    <row r="50396" spans="23:23">
      <c r="W50396" s="503"/>
    </row>
    <row r="50397" spans="23:23">
      <c r="W50397" s="503"/>
    </row>
    <row r="50398" spans="23:23">
      <c r="W50398" s="503"/>
    </row>
    <row r="50399" spans="23:23">
      <c r="W50399" s="503"/>
    </row>
    <row r="50400" spans="23:23">
      <c r="W50400" s="503"/>
    </row>
    <row r="50401" spans="23:23">
      <c r="W50401" s="503"/>
    </row>
    <row r="50402" spans="23:23">
      <c r="W50402" s="503"/>
    </row>
    <row r="50403" spans="23:23">
      <c r="W50403" s="503"/>
    </row>
    <row r="50404" spans="23:23">
      <c r="W50404" s="503"/>
    </row>
    <row r="50405" spans="23:23">
      <c r="W50405" s="503"/>
    </row>
    <row r="50406" spans="23:23">
      <c r="W50406" s="503"/>
    </row>
    <row r="50407" spans="23:23">
      <c r="W50407" s="503"/>
    </row>
    <row r="50408" spans="23:23">
      <c r="W50408" s="503"/>
    </row>
    <row r="50409" spans="23:23">
      <c r="W50409" s="503"/>
    </row>
    <row r="50410" spans="23:23">
      <c r="W50410" s="503"/>
    </row>
    <row r="50411" spans="23:23">
      <c r="W50411" s="503"/>
    </row>
    <row r="50412" spans="23:23">
      <c r="W50412" s="503"/>
    </row>
    <row r="50413" spans="23:23">
      <c r="W50413" s="503"/>
    </row>
    <row r="50414" spans="23:23">
      <c r="W50414" s="503"/>
    </row>
    <row r="50415" spans="23:23">
      <c r="W50415" s="503"/>
    </row>
    <row r="50416" spans="23:23">
      <c r="W50416" s="503"/>
    </row>
    <row r="50417" spans="23:23">
      <c r="W50417" s="503"/>
    </row>
    <row r="50418" spans="23:23">
      <c r="W50418" s="503"/>
    </row>
    <row r="50419" spans="23:23">
      <c r="W50419" s="503"/>
    </row>
    <row r="50420" spans="23:23">
      <c r="W50420" s="503"/>
    </row>
    <row r="50421" spans="23:23">
      <c r="W50421" s="503"/>
    </row>
    <row r="50422" spans="23:23">
      <c r="W50422" s="503"/>
    </row>
    <row r="50423" spans="23:23">
      <c r="W50423" s="503"/>
    </row>
    <row r="50424" spans="23:23">
      <c r="W50424" s="503"/>
    </row>
    <row r="50425" spans="23:23">
      <c r="W50425" s="503"/>
    </row>
    <row r="50426" spans="23:23">
      <c r="W50426" s="503"/>
    </row>
    <row r="50427" spans="23:23">
      <c r="W50427" s="503"/>
    </row>
    <row r="50428" spans="23:23">
      <c r="W50428" s="503"/>
    </row>
    <row r="50429" spans="23:23">
      <c r="W50429" s="503"/>
    </row>
    <row r="50430" spans="23:23">
      <c r="W50430" s="503"/>
    </row>
    <row r="50431" spans="23:23">
      <c r="W50431" s="503"/>
    </row>
    <row r="50432" spans="23:23">
      <c r="W50432" s="503"/>
    </row>
    <row r="50433" spans="23:23">
      <c r="W50433" s="503"/>
    </row>
    <row r="50434" spans="23:23">
      <c r="W50434" s="503"/>
    </row>
    <row r="50435" spans="23:23">
      <c r="W50435" s="503"/>
    </row>
    <row r="50436" spans="23:23">
      <c r="W50436" s="503"/>
    </row>
    <row r="50437" spans="23:23">
      <c r="W50437" s="503"/>
    </row>
    <row r="50438" spans="23:23">
      <c r="W50438" s="503"/>
    </row>
    <row r="50439" spans="23:23">
      <c r="W50439" s="503"/>
    </row>
    <row r="50440" spans="23:23">
      <c r="W50440" s="503"/>
    </row>
    <row r="50441" spans="23:23">
      <c r="W50441" s="503"/>
    </row>
    <row r="50442" spans="23:23">
      <c r="W50442" s="503"/>
    </row>
    <row r="50443" spans="23:23">
      <c r="W50443" s="503"/>
    </row>
    <row r="50444" spans="23:23">
      <c r="W50444" s="503"/>
    </row>
    <row r="50445" spans="23:23">
      <c r="W50445" s="503"/>
    </row>
    <row r="50446" spans="23:23">
      <c r="W50446" s="503"/>
    </row>
    <row r="50447" spans="23:23">
      <c r="W50447" s="503"/>
    </row>
    <row r="50448" spans="23:23">
      <c r="W50448" s="503"/>
    </row>
    <row r="50449" spans="23:23">
      <c r="W50449" s="503"/>
    </row>
    <row r="50450" spans="23:23">
      <c r="W50450" s="503"/>
    </row>
    <row r="50451" spans="23:23">
      <c r="W50451" s="503"/>
    </row>
    <row r="50452" spans="23:23">
      <c r="W50452" s="503"/>
    </row>
    <row r="50453" spans="23:23">
      <c r="W50453" s="503"/>
    </row>
    <row r="50454" spans="23:23">
      <c r="W50454" s="503"/>
    </row>
    <row r="50455" spans="23:23">
      <c r="W50455" s="503"/>
    </row>
    <row r="50456" spans="23:23">
      <c r="W50456" s="503"/>
    </row>
    <row r="50457" spans="23:23">
      <c r="W50457" s="503"/>
    </row>
    <row r="50458" spans="23:23">
      <c r="W50458" s="503"/>
    </row>
    <row r="50459" spans="23:23">
      <c r="W50459" s="503"/>
    </row>
    <row r="50460" spans="23:23">
      <c r="W50460" s="503"/>
    </row>
    <row r="50461" spans="23:23">
      <c r="W50461" s="503"/>
    </row>
    <row r="50462" spans="23:23">
      <c r="W50462" s="503"/>
    </row>
    <row r="50463" spans="23:23">
      <c r="W50463" s="503"/>
    </row>
    <row r="50464" spans="23:23">
      <c r="W50464" s="503"/>
    </row>
    <row r="50465" spans="23:23">
      <c r="W50465" s="503"/>
    </row>
    <row r="50466" spans="23:23">
      <c r="W50466" s="503"/>
    </row>
    <row r="50467" spans="23:23">
      <c r="W50467" s="503"/>
    </row>
    <row r="50468" spans="23:23">
      <c r="W50468" s="503"/>
    </row>
    <row r="50469" spans="23:23">
      <c r="W50469" s="503"/>
    </row>
    <row r="50470" spans="23:23">
      <c r="W50470" s="503"/>
    </row>
    <row r="50471" spans="23:23">
      <c r="W50471" s="503"/>
    </row>
    <row r="50472" spans="23:23">
      <c r="W50472" s="503"/>
    </row>
    <row r="50473" spans="23:23">
      <c r="W50473" s="503"/>
    </row>
    <row r="50474" spans="23:23">
      <c r="W50474" s="503"/>
    </row>
    <row r="50475" spans="23:23">
      <c r="W50475" s="503"/>
    </row>
    <row r="50476" spans="23:23">
      <c r="W50476" s="503"/>
    </row>
    <row r="50477" spans="23:23">
      <c r="W50477" s="503"/>
    </row>
    <row r="50478" spans="23:23">
      <c r="W50478" s="503"/>
    </row>
    <row r="50479" spans="23:23">
      <c r="W50479" s="503"/>
    </row>
    <row r="50480" spans="23:23">
      <c r="W50480" s="503"/>
    </row>
    <row r="50481" spans="23:23">
      <c r="W50481" s="503"/>
    </row>
    <row r="50482" spans="23:23">
      <c r="W50482" s="503"/>
    </row>
    <row r="50483" spans="23:23">
      <c r="W50483" s="503"/>
    </row>
    <row r="50484" spans="23:23">
      <c r="W50484" s="503"/>
    </row>
    <row r="50485" spans="23:23">
      <c r="W50485" s="503"/>
    </row>
    <row r="50486" spans="23:23">
      <c r="W50486" s="503"/>
    </row>
    <row r="50487" spans="23:23">
      <c r="W50487" s="503"/>
    </row>
    <row r="50488" spans="23:23">
      <c r="W50488" s="503"/>
    </row>
    <row r="50489" spans="23:23">
      <c r="W50489" s="503"/>
    </row>
    <row r="50490" spans="23:23">
      <c r="W50490" s="503"/>
    </row>
    <row r="50491" spans="23:23">
      <c r="W50491" s="503"/>
    </row>
    <row r="50492" spans="23:23">
      <c r="W50492" s="503"/>
    </row>
    <row r="50493" spans="23:23">
      <c r="W50493" s="503"/>
    </row>
    <row r="50494" spans="23:23">
      <c r="W50494" s="503"/>
    </row>
    <row r="50495" spans="23:23">
      <c r="W50495" s="503"/>
    </row>
    <row r="50496" spans="23:23">
      <c r="W50496" s="503"/>
    </row>
    <row r="50497" spans="23:23">
      <c r="W50497" s="503"/>
    </row>
    <row r="50498" spans="23:23">
      <c r="W50498" s="503"/>
    </row>
    <row r="50499" spans="23:23">
      <c r="W50499" s="503"/>
    </row>
    <row r="50500" spans="23:23">
      <c r="W50500" s="503"/>
    </row>
    <row r="50501" spans="23:23">
      <c r="W50501" s="503"/>
    </row>
    <row r="50502" spans="23:23">
      <c r="W50502" s="503"/>
    </row>
    <row r="50503" spans="23:23">
      <c r="W50503" s="503"/>
    </row>
    <row r="50504" spans="23:23">
      <c r="W50504" s="503"/>
    </row>
    <row r="50505" spans="23:23">
      <c r="W50505" s="503"/>
    </row>
    <row r="50506" spans="23:23">
      <c r="W50506" s="503"/>
    </row>
    <row r="50507" spans="23:23">
      <c r="W50507" s="503"/>
    </row>
    <row r="50508" spans="23:23">
      <c r="W50508" s="503"/>
    </row>
    <row r="50509" spans="23:23">
      <c r="W50509" s="503"/>
    </row>
    <row r="50510" spans="23:23">
      <c r="W50510" s="503"/>
    </row>
    <row r="50511" spans="23:23">
      <c r="W50511" s="503"/>
    </row>
    <row r="50512" spans="23:23">
      <c r="W50512" s="503"/>
    </row>
    <row r="50513" spans="23:23">
      <c r="W50513" s="503"/>
    </row>
    <row r="50514" spans="23:23">
      <c r="W50514" s="503"/>
    </row>
    <row r="50515" spans="23:23">
      <c r="W50515" s="503"/>
    </row>
    <row r="50516" spans="23:23">
      <c r="W50516" s="503"/>
    </row>
    <row r="50517" spans="23:23">
      <c r="W50517" s="503"/>
    </row>
    <row r="50518" spans="23:23">
      <c r="W50518" s="503"/>
    </row>
    <row r="50519" spans="23:23">
      <c r="W50519" s="503"/>
    </row>
    <row r="50520" spans="23:23">
      <c r="W50520" s="503"/>
    </row>
    <row r="50521" spans="23:23">
      <c r="W50521" s="503"/>
    </row>
    <row r="50522" spans="23:23">
      <c r="W50522" s="503"/>
    </row>
    <row r="50523" spans="23:23">
      <c r="W50523" s="503"/>
    </row>
    <row r="50524" spans="23:23">
      <c r="W50524" s="503"/>
    </row>
    <row r="50525" spans="23:23">
      <c r="W50525" s="503"/>
    </row>
    <row r="50526" spans="23:23">
      <c r="W50526" s="503"/>
    </row>
    <row r="50527" spans="23:23">
      <c r="W50527" s="503"/>
    </row>
    <row r="50528" spans="23:23">
      <c r="W50528" s="503"/>
    </row>
    <row r="50529" spans="23:23">
      <c r="W50529" s="503"/>
    </row>
    <row r="50530" spans="23:23">
      <c r="W50530" s="503"/>
    </row>
    <row r="50531" spans="23:23">
      <c r="W50531" s="503"/>
    </row>
    <row r="50532" spans="23:23">
      <c r="W50532" s="503"/>
    </row>
    <row r="50533" spans="23:23">
      <c r="W50533" s="503"/>
    </row>
    <row r="50534" spans="23:23">
      <c r="W50534" s="503"/>
    </row>
    <row r="50535" spans="23:23">
      <c r="W50535" s="503"/>
    </row>
    <row r="50536" spans="23:23">
      <c r="W50536" s="503"/>
    </row>
    <row r="50537" spans="23:23">
      <c r="W50537" s="503"/>
    </row>
    <row r="50538" spans="23:23">
      <c r="W50538" s="503"/>
    </row>
    <row r="50539" spans="23:23">
      <c r="W50539" s="503"/>
    </row>
    <row r="50540" spans="23:23">
      <c r="W50540" s="503"/>
    </row>
    <row r="50541" spans="23:23">
      <c r="W50541" s="503"/>
    </row>
    <row r="50542" spans="23:23">
      <c r="W50542" s="503"/>
    </row>
    <row r="50543" spans="23:23">
      <c r="W50543" s="503"/>
    </row>
    <row r="50544" spans="23:23">
      <c r="W50544" s="503"/>
    </row>
    <row r="50545" spans="23:23">
      <c r="W50545" s="503"/>
    </row>
    <row r="50546" spans="23:23">
      <c r="W50546" s="503"/>
    </row>
    <row r="50547" spans="23:23">
      <c r="W50547" s="503"/>
    </row>
    <row r="50548" spans="23:23">
      <c r="W50548" s="503"/>
    </row>
    <row r="50549" spans="23:23">
      <c r="W50549" s="503"/>
    </row>
    <row r="50550" spans="23:23">
      <c r="W50550" s="503"/>
    </row>
    <row r="50551" spans="23:23">
      <c r="W50551" s="503"/>
    </row>
    <row r="50552" spans="23:23">
      <c r="W50552" s="503"/>
    </row>
    <row r="50553" spans="23:23">
      <c r="W50553" s="503"/>
    </row>
    <row r="50554" spans="23:23">
      <c r="W50554" s="503"/>
    </row>
    <row r="50555" spans="23:23">
      <c r="W50555" s="503"/>
    </row>
    <row r="50556" spans="23:23">
      <c r="W50556" s="503"/>
    </row>
    <row r="50557" spans="23:23">
      <c r="W50557" s="503"/>
    </row>
    <row r="50558" spans="23:23">
      <c r="W50558" s="503"/>
    </row>
    <row r="50559" spans="23:23">
      <c r="W50559" s="503"/>
    </row>
    <row r="50560" spans="23:23">
      <c r="W50560" s="503"/>
    </row>
    <row r="50561" spans="23:23">
      <c r="W50561" s="503"/>
    </row>
    <row r="50562" spans="23:23">
      <c r="W50562" s="503"/>
    </row>
    <row r="50563" spans="23:23">
      <c r="W50563" s="503"/>
    </row>
    <row r="50564" spans="23:23">
      <c r="W50564" s="503"/>
    </row>
    <row r="50565" spans="23:23">
      <c r="W50565" s="503"/>
    </row>
    <row r="50566" spans="23:23">
      <c r="W50566" s="503"/>
    </row>
    <row r="50567" spans="23:23">
      <c r="W50567" s="503"/>
    </row>
    <row r="50568" spans="23:23">
      <c r="W50568" s="503"/>
    </row>
    <row r="50569" spans="23:23">
      <c r="W50569" s="503"/>
    </row>
    <row r="50570" spans="23:23">
      <c r="W50570" s="503"/>
    </row>
    <row r="50571" spans="23:23">
      <c r="W50571" s="503"/>
    </row>
    <row r="50572" spans="23:23">
      <c r="W50572" s="503"/>
    </row>
    <row r="50573" spans="23:23">
      <c r="W50573" s="503"/>
    </row>
    <row r="50574" spans="23:23">
      <c r="W50574" s="503"/>
    </row>
    <row r="50575" spans="23:23">
      <c r="W50575" s="503"/>
    </row>
    <row r="50576" spans="23:23">
      <c r="W50576" s="503"/>
    </row>
    <row r="50577" spans="23:23">
      <c r="W50577" s="503"/>
    </row>
    <row r="50578" spans="23:23">
      <c r="W50578" s="503"/>
    </row>
    <row r="50579" spans="23:23">
      <c r="W50579" s="503"/>
    </row>
    <row r="50580" spans="23:23">
      <c r="W50580" s="503"/>
    </row>
    <row r="50581" spans="23:23">
      <c r="W50581" s="503"/>
    </row>
    <row r="50582" spans="23:23">
      <c r="W50582" s="503"/>
    </row>
    <row r="50583" spans="23:23">
      <c r="W50583" s="503"/>
    </row>
    <row r="50584" spans="23:23">
      <c r="W50584" s="503"/>
    </row>
    <row r="50585" spans="23:23">
      <c r="W50585" s="503"/>
    </row>
    <row r="50586" spans="23:23">
      <c r="W50586" s="503"/>
    </row>
    <row r="50587" spans="23:23">
      <c r="W50587" s="503"/>
    </row>
    <row r="50588" spans="23:23">
      <c r="W50588" s="503"/>
    </row>
    <row r="50589" spans="23:23">
      <c r="W50589" s="503"/>
    </row>
    <row r="50590" spans="23:23">
      <c r="W50590" s="503"/>
    </row>
    <row r="50591" spans="23:23">
      <c r="W50591" s="503"/>
    </row>
    <row r="50592" spans="23:23">
      <c r="W50592" s="503"/>
    </row>
    <row r="50593" spans="23:23">
      <c r="W50593" s="503"/>
    </row>
    <row r="50594" spans="23:23">
      <c r="W50594" s="503"/>
    </row>
    <row r="50595" spans="23:23">
      <c r="W50595" s="503"/>
    </row>
    <row r="50596" spans="23:23">
      <c r="W50596" s="503"/>
    </row>
    <row r="50597" spans="23:23">
      <c r="W50597" s="503"/>
    </row>
    <row r="50598" spans="23:23">
      <c r="W50598" s="503"/>
    </row>
    <row r="50599" spans="23:23">
      <c r="W50599" s="503"/>
    </row>
    <row r="50600" spans="23:23">
      <c r="W50600" s="503"/>
    </row>
    <row r="50601" spans="23:23">
      <c r="W50601" s="503"/>
    </row>
    <row r="50602" spans="23:23">
      <c r="W50602" s="503"/>
    </row>
    <row r="50603" spans="23:23">
      <c r="W50603" s="503"/>
    </row>
    <row r="50604" spans="23:23">
      <c r="W50604" s="503"/>
    </row>
    <row r="50605" spans="23:23">
      <c r="W50605" s="503"/>
    </row>
    <row r="50606" spans="23:23">
      <c r="W50606" s="503"/>
    </row>
    <row r="50607" spans="23:23">
      <c r="W50607" s="503"/>
    </row>
    <row r="50608" spans="23:23">
      <c r="W50608" s="503"/>
    </row>
    <row r="50609" spans="23:23">
      <c r="W50609" s="503"/>
    </row>
    <row r="50610" spans="23:23">
      <c r="W50610" s="503"/>
    </row>
    <row r="50611" spans="23:23">
      <c r="W50611" s="503"/>
    </row>
    <row r="50612" spans="23:23">
      <c r="W50612" s="503"/>
    </row>
    <row r="50613" spans="23:23">
      <c r="W50613" s="503"/>
    </row>
    <row r="50614" spans="23:23">
      <c r="W50614" s="503"/>
    </row>
    <row r="50615" spans="23:23">
      <c r="W50615" s="503"/>
    </row>
    <row r="50616" spans="23:23">
      <c r="W50616" s="503"/>
    </row>
    <row r="50617" spans="23:23">
      <c r="W50617" s="503"/>
    </row>
    <row r="50618" spans="23:23">
      <c r="W50618" s="503"/>
    </row>
    <row r="50619" spans="23:23">
      <c r="W50619" s="503"/>
    </row>
    <row r="50620" spans="23:23">
      <c r="W50620" s="503"/>
    </row>
    <row r="50621" spans="23:23">
      <c r="W50621" s="503"/>
    </row>
    <row r="50622" spans="23:23">
      <c r="W50622" s="503"/>
    </row>
    <row r="50623" spans="23:23">
      <c r="W50623" s="503"/>
    </row>
    <row r="50624" spans="23:23">
      <c r="W50624" s="503"/>
    </row>
    <row r="50625" spans="23:23">
      <c r="W50625" s="503"/>
    </row>
    <row r="50626" spans="23:23">
      <c r="W50626" s="503"/>
    </row>
    <row r="50627" spans="23:23">
      <c r="W50627" s="503"/>
    </row>
    <row r="50628" spans="23:23">
      <c r="W50628" s="503"/>
    </row>
    <row r="50629" spans="23:23">
      <c r="W50629" s="503"/>
    </row>
    <row r="50630" spans="23:23">
      <c r="W50630" s="503"/>
    </row>
    <row r="50631" spans="23:23">
      <c r="W50631" s="503"/>
    </row>
    <row r="50632" spans="23:23">
      <c r="W50632" s="503"/>
    </row>
    <row r="50633" spans="23:23">
      <c r="W50633" s="503"/>
    </row>
    <row r="50634" spans="23:23">
      <c r="W50634" s="503"/>
    </row>
    <row r="50635" spans="23:23">
      <c r="W50635" s="503"/>
    </row>
    <row r="50636" spans="23:23">
      <c r="W50636" s="503"/>
    </row>
    <row r="50637" spans="23:23">
      <c r="W50637" s="503"/>
    </row>
    <row r="50638" spans="23:23">
      <c r="W50638" s="503"/>
    </row>
    <row r="50639" spans="23:23">
      <c r="W50639" s="503"/>
    </row>
    <row r="50640" spans="23:23">
      <c r="W50640" s="503"/>
    </row>
    <row r="50641" spans="23:23">
      <c r="W50641" s="503"/>
    </row>
    <row r="50642" spans="23:23">
      <c r="W50642" s="503"/>
    </row>
    <row r="50643" spans="23:23">
      <c r="W50643" s="503"/>
    </row>
    <row r="50644" spans="23:23">
      <c r="W50644" s="503"/>
    </row>
    <row r="50645" spans="23:23">
      <c r="W50645" s="503"/>
    </row>
    <row r="50646" spans="23:23">
      <c r="W50646" s="503"/>
    </row>
    <row r="50647" spans="23:23">
      <c r="W50647" s="503"/>
    </row>
    <row r="50648" spans="23:23">
      <c r="W50648" s="503"/>
    </row>
    <row r="50649" spans="23:23">
      <c r="W50649" s="503"/>
    </row>
    <row r="50650" spans="23:23">
      <c r="W50650" s="503"/>
    </row>
    <row r="50651" spans="23:23">
      <c r="W50651" s="503"/>
    </row>
    <row r="50652" spans="23:23">
      <c r="W50652" s="503"/>
    </row>
    <row r="50653" spans="23:23">
      <c r="W50653" s="503"/>
    </row>
    <row r="50654" spans="23:23">
      <c r="W50654" s="503"/>
    </row>
    <row r="50655" spans="23:23">
      <c r="W50655" s="503"/>
    </row>
    <row r="50656" spans="23:23">
      <c r="W50656" s="503"/>
    </row>
    <row r="50657" spans="23:23">
      <c r="W50657" s="503"/>
    </row>
    <row r="50658" spans="23:23">
      <c r="W50658" s="503"/>
    </row>
    <row r="50659" spans="23:23">
      <c r="W50659" s="503"/>
    </row>
    <row r="50660" spans="23:23">
      <c r="W50660" s="503"/>
    </row>
    <row r="50661" spans="23:23">
      <c r="W50661" s="503"/>
    </row>
    <row r="50662" spans="23:23">
      <c r="W50662" s="503"/>
    </row>
    <row r="50663" spans="23:23">
      <c r="W50663" s="503"/>
    </row>
    <row r="50664" spans="23:23">
      <c r="W50664" s="503"/>
    </row>
    <row r="50665" spans="23:23">
      <c r="W50665" s="503"/>
    </row>
    <row r="50666" spans="23:23">
      <c r="W50666" s="503"/>
    </row>
    <row r="50667" spans="23:23">
      <c r="W50667" s="503"/>
    </row>
    <row r="50668" spans="23:23">
      <c r="W50668" s="503"/>
    </row>
    <row r="50669" spans="23:23">
      <c r="W50669" s="503"/>
    </row>
    <row r="50670" spans="23:23">
      <c r="W50670" s="503"/>
    </row>
    <row r="50671" spans="23:23">
      <c r="W50671" s="503"/>
    </row>
    <row r="50672" spans="23:23">
      <c r="W50672" s="503"/>
    </row>
    <row r="50673" spans="23:23">
      <c r="W50673" s="503"/>
    </row>
    <row r="50674" spans="23:23">
      <c r="W50674" s="503"/>
    </row>
    <row r="50675" spans="23:23">
      <c r="W50675" s="503"/>
    </row>
    <row r="50676" spans="23:23">
      <c r="W50676" s="503"/>
    </row>
    <row r="50677" spans="23:23">
      <c r="W50677" s="503"/>
    </row>
    <row r="50678" spans="23:23">
      <c r="W50678" s="503"/>
    </row>
    <row r="50679" spans="23:23">
      <c r="W50679" s="503"/>
    </row>
    <row r="50680" spans="23:23">
      <c r="W50680" s="503"/>
    </row>
    <row r="50681" spans="23:23">
      <c r="W50681" s="503"/>
    </row>
    <row r="50682" spans="23:23">
      <c r="W50682" s="503"/>
    </row>
    <row r="50683" spans="23:23">
      <c r="W50683" s="503"/>
    </row>
    <row r="50684" spans="23:23">
      <c r="W50684" s="503"/>
    </row>
    <row r="50685" spans="23:23">
      <c r="W50685" s="503"/>
    </row>
    <row r="50686" spans="23:23">
      <c r="W50686" s="503"/>
    </row>
    <row r="50687" spans="23:23">
      <c r="W50687" s="503"/>
    </row>
    <row r="50688" spans="23:23">
      <c r="W50688" s="503"/>
    </row>
    <row r="50689" spans="23:23">
      <c r="W50689" s="503"/>
    </row>
    <row r="50690" spans="23:23">
      <c r="W50690" s="503"/>
    </row>
    <row r="50691" spans="23:23">
      <c r="W50691" s="503"/>
    </row>
    <row r="50692" spans="23:23">
      <c r="W50692" s="503"/>
    </row>
    <row r="50693" spans="23:23">
      <c r="W50693" s="503"/>
    </row>
    <row r="50694" spans="23:23">
      <c r="W50694" s="503"/>
    </row>
    <row r="50695" spans="23:23">
      <c r="W50695" s="503"/>
    </row>
    <row r="50696" spans="23:23">
      <c r="W50696" s="503"/>
    </row>
    <row r="50697" spans="23:23">
      <c r="W50697" s="503"/>
    </row>
    <row r="50698" spans="23:23">
      <c r="W50698" s="503"/>
    </row>
    <row r="50699" spans="23:23">
      <c r="W50699" s="503"/>
    </row>
    <row r="50700" spans="23:23">
      <c r="W50700" s="503"/>
    </row>
    <row r="50701" spans="23:23">
      <c r="W50701" s="503"/>
    </row>
    <row r="50702" spans="23:23">
      <c r="W50702" s="503"/>
    </row>
    <row r="50703" spans="23:23">
      <c r="W50703" s="503"/>
    </row>
    <row r="50704" spans="23:23">
      <c r="W50704" s="503"/>
    </row>
    <row r="50705" spans="23:23">
      <c r="W50705" s="503"/>
    </row>
    <row r="50706" spans="23:23">
      <c r="W50706" s="503"/>
    </row>
    <row r="50707" spans="23:23">
      <c r="W50707" s="503"/>
    </row>
    <row r="50708" spans="23:23">
      <c r="W50708" s="503"/>
    </row>
    <row r="50709" spans="23:23">
      <c r="W50709" s="503"/>
    </row>
    <row r="50710" spans="23:23">
      <c r="W50710" s="503"/>
    </row>
    <row r="50711" spans="23:23">
      <c r="W50711" s="503"/>
    </row>
    <row r="50712" spans="23:23">
      <c r="W50712" s="503"/>
    </row>
    <row r="50713" spans="23:23">
      <c r="W50713" s="503"/>
    </row>
    <row r="50714" spans="23:23">
      <c r="W50714" s="503"/>
    </row>
    <row r="50715" spans="23:23">
      <c r="W50715" s="503"/>
    </row>
    <row r="50716" spans="23:23">
      <c r="W50716" s="503"/>
    </row>
    <row r="50717" spans="23:23">
      <c r="W50717" s="503"/>
    </row>
    <row r="50718" spans="23:23">
      <c r="W50718" s="503"/>
    </row>
    <row r="50719" spans="23:23">
      <c r="W50719" s="503"/>
    </row>
    <row r="50720" spans="23:23">
      <c r="W50720" s="503"/>
    </row>
    <row r="50721" spans="23:23">
      <c r="W50721" s="503"/>
    </row>
    <row r="50722" spans="23:23">
      <c r="W50722" s="503"/>
    </row>
    <row r="50723" spans="23:23">
      <c r="W50723" s="503"/>
    </row>
    <row r="50724" spans="23:23">
      <c r="W50724" s="503"/>
    </row>
    <row r="50725" spans="23:23">
      <c r="W50725" s="503"/>
    </row>
    <row r="50726" spans="23:23">
      <c r="W50726" s="503"/>
    </row>
    <row r="50727" spans="23:23">
      <c r="W50727" s="503"/>
    </row>
    <row r="50728" spans="23:23">
      <c r="W50728" s="503"/>
    </row>
    <row r="50729" spans="23:23">
      <c r="W50729" s="503"/>
    </row>
    <row r="50730" spans="23:23">
      <c r="W50730" s="503"/>
    </row>
    <row r="50731" spans="23:23">
      <c r="W50731" s="503"/>
    </row>
    <row r="50732" spans="23:23">
      <c r="W50732" s="503"/>
    </row>
    <row r="50733" spans="23:23">
      <c r="W50733" s="503"/>
    </row>
    <row r="50734" spans="23:23">
      <c r="W50734" s="503"/>
    </row>
    <row r="50735" spans="23:23">
      <c r="W50735" s="503"/>
    </row>
    <row r="50736" spans="23:23">
      <c r="W50736" s="503"/>
    </row>
    <row r="50737" spans="23:23">
      <c r="W50737" s="503"/>
    </row>
    <row r="50738" spans="23:23">
      <c r="W50738" s="503"/>
    </row>
    <row r="50739" spans="23:23">
      <c r="W50739" s="503"/>
    </row>
    <row r="50740" spans="23:23">
      <c r="W50740" s="503"/>
    </row>
    <row r="50741" spans="23:23">
      <c r="W50741" s="503"/>
    </row>
    <row r="50742" spans="23:23">
      <c r="W50742" s="503"/>
    </row>
    <row r="50743" spans="23:23">
      <c r="W50743" s="503"/>
    </row>
    <row r="50744" spans="23:23">
      <c r="W50744" s="503"/>
    </row>
    <row r="50745" spans="23:23">
      <c r="W50745" s="503"/>
    </row>
    <row r="50746" spans="23:23">
      <c r="W50746" s="503"/>
    </row>
    <row r="50747" spans="23:23">
      <c r="W50747" s="503"/>
    </row>
    <row r="50748" spans="23:23">
      <c r="W50748" s="503"/>
    </row>
    <row r="50749" spans="23:23">
      <c r="W50749" s="503"/>
    </row>
    <row r="50750" spans="23:23">
      <c r="W50750" s="503"/>
    </row>
    <row r="50751" spans="23:23">
      <c r="W50751" s="503"/>
    </row>
    <row r="50752" spans="23:23">
      <c r="W50752" s="503"/>
    </row>
    <row r="50753" spans="23:23">
      <c r="W50753" s="503"/>
    </row>
    <row r="50754" spans="23:23">
      <c r="W50754" s="503"/>
    </row>
    <row r="50755" spans="23:23">
      <c r="W50755" s="503"/>
    </row>
    <row r="50756" spans="23:23">
      <c r="W50756" s="503"/>
    </row>
    <row r="50757" spans="23:23">
      <c r="W50757" s="503"/>
    </row>
    <row r="50758" spans="23:23">
      <c r="W50758" s="503"/>
    </row>
    <row r="50759" spans="23:23">
      <c r="W50759" s="503"/>
    </row>
    <row r="50760" spans="23:23">
      <c r="W50760" s="503"/>
    </row>
    <row r="50761" spans="23:23">
      <c r="W50761" s="503"/>
    </row>
    <row r="50762" spans="23:23">
      <c r="W50762" s="503"/>
    </row>
    <row r="50763" spans="23:23">
      <c r="W50763" s="503"/>
    </row>
    <row r="50764" spans="23:23">
      <c r="W50764" s="503"/>
    </row>
    <row r="50765" spans="23:23">
      <c r="W50765" s="503"/>
    </row>
    <row r="50766" spans="23:23">
      <c r="W50766" s="503"/>
    </row>
    <row r="50767" spans="23:23">
      <c r="W50767" s="503"/>
    </row>
    <row r="50768" spans="23:23">
      <c r="W50768" s="503"/>
    </row>
    <row r="50769" spans="23:23">
      <c r="W50769" s="503"/>
    </row>
    <row r="50770" spans="23:23">
      <c r="W50770" s="503"/>
    </row>
    <row r="50771" spans="23:23">
      <c r="W50771" s="503"/>
    </row>
    <row r="50772" spans="23:23">
      <c r="W50772" s="503"/>
    </row>
    <row r="50773" spans="23:23">
      <c r="W50773" s="503"/>
    </row>
    <row r="50774" spans="23:23">
      <c r="W50774" s="503"/>
    </row>
    <row r="50775" spans="23:23">
      <c r="W50775" s="503"/>
    </row>
    <row r="50776" spans="23:23">
      <c r="W50776" s="503"/>
    </row>
    <row r="50777" spans="23:23">
      <c r="W50777" s="503"/>
    </row>
    <row r="50778" spans="23:23">
      <c r="W50778" s="503"/>
    </row>
    <row r="50779" spans="23:23">
      <c r="W50779" s="503"/>
    </row>
    <row r="50780" spans="23:23">
      <c r="W50780" s="503"/>
    </row>
    <row r="50781" spans="23:23">
      <c r="W50781" s="503"/>
    </row>
    <row r="50782" spans="23:23">
      <c r="W50782" s="503"/>
    </row>
    <row r="50783" spans="23:23">
      <c r="W50783" s="503"/>
    </row>
    <row r="50784" spans="23:23">
      <c r="W50784" s="503"/>
    </row>
    <row r="50785" spans="23:23">
      <c r="W50785" s="503"/>
    </row>
    <row r="50786" spans="23:23">
      <c r="W50786" s="503"/>
    </row>
    <row r="50787" spans="23:23">
      <c r="W50787" s="503"/>
    </row>
    <row r="50788" spans="23:23">
      <c r="W50788" s="503"/>
    </row>
    <row r="50789" spans="23:23">
      <c r="W50789" s="503"/>
    </row>
    <row r="50790" spans="23:23">
      <c r="W50790" s="503"/>
    </row>
    <row r="50791" spans="23:23">
      <c r="W50791" s="503"/>
    </row>
    <row r="50792" spans="23:23">
      <c r="W50792" s="503"/>
    </row>
    <row r="50793" spans="23:23">
      <c r="W50793" s="503"/>
    </row>
    <row r="50794" spans="23:23">
      <c r="W50794" s="503"/>
    </row>
    <row r="50795" spans="23:23">
      <c r="W50795" s="503"/>
    </row>
    <row r="50796" spans="23:23">
      <c r="W50796" s="503"/>
    </row>
    <row r="50797" spans="23:23">
      <c r="W50797" s="503"/>
    </row>
    <row r="50798" spans="23:23">
      <c r="W50798" s="503"/>
    </row>
    <row r="50799" spans="23:23">
      <c r="W50799" s="503"/>
    </row>
    <row r="50800" spans="23:23">
      <c r="W50800" s="503"/>
    </row>
    <row r="50801" spans="23:23">
      <c r="W50801" s="503"/>
    </row>
    <row r="50802" spans="23:23">
      <c r="W50802" s="503"/>
    </row>
    <row r="50803" spans="23:23">
      <c r="W50803" s="503"/>
    </row>
    <row r="50804" spans="23:23">
      <c r="W50804" s="503"/>
    </row>
    <row r="50805" spans="23:23">
      <c r="W50805" s="503"/>
    </row>
    <row r="50806" spans="23:23">
      <c r="W50806" s="503"/>
    </row>
    <row r="50807" spans="23:23">
      <c r="W50807" s="503"/>
    </row>
    <row r="50808" spans="23:23">
      <c r="W50808" s="503"/>
    </row>
    <row r="50809" spans="23:23">
      <c r="W50809" s="503"/>
    </row>
    <row r="50810" spans="23:23">
      <c r="W50810" s="503"/>
    </row>
    <row r="50811" spans="23:23">
      <c r="W50811" s="503"/>
    </row>
    <row r="50812" spans="23:23">
      <c r="W50812" s="503"/>
    </row>
    <row r="50813" spans="23:23">
      <c r="W50813" s="503"/>
    </row>
    <row r="50814" spans="23:23">
      <c r="W50814" s="503"/>
    </row>
    <row r="50815" spans="23:23">
      <c r="W50815" s="503"/>
    </row>
    <row r="50816" spans="23:23">
      <c r="W50816" s="503"/>
    </row>
    <row r="50817" spans="23:23">
      <c r="W50817" s="503"/>
    </row>
    <row r="50818" spans="23:23">
      <c r="W50818" s="503"/>
    </row>
    <row r="50819" spans="23:23">
      <c r="W50819" s="503"/>
    </row>
    <row r="50820" spans="23:23">
      <c r="W50820" s="503"/>
    </row>
    <row r="50821" spans="23:23">
      <c r="W50821" s="503"/>
    </row>
    <row r="50822" spans="23:23">
      <c r="W50822" s="503"/>
    </row>
    <row r="50823" spans="23:23">
      <c r="W50823" s="503"/>
    </row>
    <row r="50824" spans="23:23">
      <c r="W50824" s="503"/>
    </row>
    <row r="50825" spans="23:23">
      <c r="W50825" s="503"/>
    </row>
    <row r="50826" spans="23:23">
      <c r="W50826" s="503"/>
    </row>
    <row r="50827" spans="23:23">
      <c r="W50827" s="503"/>
    </row>
    <row r="50828" spans="23:23">
      <c r="W50828" s="503"/>
    </row>
    <row r="50829" spans="23:23">
      <c r="W50829" s="503"/>
    </row>
    <row r="50830" spans="23:23">
      <c r="W50830" s="503"/>
    </row>
    <row r="50831" spans="23:23">
      <c r="W50831" s="503"/>
    </row>
    <row r="50832" spans="23:23">
      <c r="W50832" s="503"/>
    </row>
    <row r="50833" spans="23:23">
      <c r="W50833" s="503"/>
    </row>
    <row r="50834" spans="23:23">
      <c r="W50834" s="503"/>
    </row>
    <row r="50835" spans="23:23">
      <c r="W50835" s="503"/>
    </row>
    <row r="50836" spans="23:23">
      <c r="W50836" s="503"/>
    </row>
    <row r="50837" spans="23:23">
      <c r="W50837" s="503"/>
    </row>
    <row r="50838" spans="23:23">
      <c r="W50838" s="503"/>
    </row>
    <row r="50839" spans="23:23">
      <c r="W50839" s="503"/>
    </row>
    <row r="50840" spans="23:23">
      <c r="W50840" s="503"/>
    </row>
    <row r="50841" spans="23:23">
      <c r="W50841" s="503"/>
    </row>
    <row r="50842" spans="23:23">
      <c r="W50842" s="503"/>
    </row>
    <row r="50843" spans="23:23">
      <c r="W50843" s="503"/>
    </row>
    <row r="50844" spans="23:23">
      <c r="W50844" s="503"/>
    </row>
    <row r="50845" spans="23:23">
      <c r="W50845" s="503"/>
    </row>
    <row r="50846" spans="23:23">
      <c r="W50846" s="503"/>
    </row>
    <row r="50847" spans="23:23">
      <c r="W50847" s="503"/>
    </row>
    <row r="50848" spans="23:23">
      <c r="W50848" s="503"/>
    </row>
    <row r="50849" spans="23:23">
      <c r="W50849" s="503"/>
    </row>
    <row r="50850" spans="23:23">
      <c r="W50850" s="503"/>
    </row>
    <row r="50851" spans="23:23">
      <c r="W50851" s="503"/>
    </row>
    <row r="50852" spans="23:23">
      <c r="W50852" s="503"/>
    </row>
    <row r="50853" spans="23:23">
      <c r="W50853" s="503"/>
    </row>
    <row r="50854" spans="23:23">
      <c r="W50854" s="503"/>
    </row>
    <row r="50855" spans="23:23">
      <c r="W50855" s="503"/>
    </row>
    <row r="50856" spans="23:23">
      <c r="W50856" s="503"/>
    </row>
    <row r="50857" spans="23:23">
      <c r="W50857" s="503"/>
    </row>
    <row r="50858" spans="23:23">
      <c r="W50858" s="503"/>
    </row>
    <row r="50859" spans="23:23">
      <c r="W50859" s="503"/>
    </row>
    <row r="50860" spans="23:23">
      <c r="W50860" s="503"/>
    </row>
    <row r="50861" spans="23:23">
      <c r="W50861" s="503"/>
    </row>
    <row r="50862" spans="23:23">
      <c r="W50862" s="503"/>
    </row>
    <row r="50863" spans="23:23">
      <c r="W50863" s="503"/>
    </row>
    <row r="50864" spans="23:23">
      <c r="W50864" s="503"/>
    </row>
    <row r="50865" spans="23:23">
      <c r="W50865" s="503"/>
    </row>
    <row r="50866" spans="23:23">
      <c r="W50866" s="503"/>
    </row>
    <row r="50867" spans="23:23">
      <c r="W50867" s="503"/>
    </row>
    <row r="50868" spans="23:23">
      <c r="W50868" s="503"/>
    </row>
    <row r="50869" spans="23:23">
      <c r="W50869" s="503"/>
    </row>
    <row r="50870" spans="23:23">
      <c r="W50870" s="503"/>
    </row>
    <row r="50871" spans="23:23">
      <c r="W50871" s="503"/>
    </row>
    <row r="50872" spans="23:23">
      <c r="W50872" s="503"/>
    </row>
    <row r="50873" spans="23:23">
      <c r="W50873" s="503"/>
    </row>
    <row r="50874" spans="23:23">
      <c r="W50874" s="503"/>
    </row>
    <row r="50875" spans="23:23">
      <c r="W50875" s="503"/>
    </row>
    <row r="50876" spans="23:23">
      <c r="W50876" s="503"/>
    </row>
    <row r="50877" spans="23:23">
      <c r="W50877" s="503"/>
    </row>
    <row r="50878" spans="23:23">
      <c r="W50878" s="503"/>
    </row>
    <row r="50879" spans="23:23">
      <c r="W50879" s="503"/>
    </row>
    <row r="50880" spans="23:23">
      <c r="W50880" s="503"/>
    </row>
    <row r="50881" spans="23:23">
      <c r="W50881" s="503"/>
    </row>
    <row r="50882" spans="23:23">
      <c r="W50882" s="503"/>
    </row>
    <row r="50883" spans="23:23">
      <c r="W50883" s="503"/>
    </row>
    <row r="50884" spans="23:23">
      <c r="W50884" s="503"/>
    </row>
    <row r="50885" spans="23:23">
      <c r="W50885" s="503"/>
    </row>
    <row r="50886" spans="23:23">
      <c r="W50886" s="503"/>
    </row>
    <row r="50887" spans="23:23">
      <c r="W50887" s="503"/>
    </row>
    <row r="50888" spans="23:23">
      <c r="W50888" s="503"/>
    </row>
    <row r="50889" spans="23:23">
      <c r="W50889" s="503"/>
    </row>
    <row r="50890" spans="23:23">
      <c r="W50890" s="503"/>
    </row>
    <row r="50891" spans="23:23">
      <c r="W50891" s="503"/>
    </row>
    <row r="50892" spans="23:23">
      <c r="W50892" s="503"/>
    </row>
    <row r="50893" spans="23:23">
      <c r="W50893" s="503"/>
    </row>
    <row r="50894" spans="23:23">
      <c r="W50894" s="503"/>
    </row>
    <row r="50895" spans="23:23">
      <c r="W50895" s="503"/>
    </row>
    <row r="50896" spans="23:23">
      <c r="W50896" s="503"/>
    </row>
    <row r="50897" spans="23:23">
      <c r="W50897" s="503"/>
    </row>
    <row r="50898" spans="23:23">
      <c r="W50898" s="503"/>
    </row>
    <row r="50899" spans="23:23">
      <c r="W50899" s="503"/>
    </row>
    <row r="50900" spans="23:23">
      <c r="W50900" s="503"/>
    </row>
    <row r="50901" spans="23:23">
      <c r="W50901" s="503"/>
    </row>
    <row r="50902" spans="23:23">
      <c r="W50902" s="503"/>
    </row>
    <row r="50903" spans="23:23">
      <c r="W50903" s="503"/>
    </row>
    <row r="50904" spans="23:23">
      <c r="W50904" s="503"/>
    </row>
    <row r="50905" spans="23:23">
      <c r="W50905" s="503"/>
    </row>
    <row r="50906" spans="23:23">
      <c r="W50906" s="503"/>
    </row>
    <row r="50907" spans="23:23">
      <c r="W50907" s="503"/>
    </row>
    <row r="50908" spans="23:23">
      <c r="W50908" s="503"/>
    </row>
    <row r="50909" spans="23:23">
      <c r="W50909" s="503"/>
    </row>
    <row r="50910" spans="23:23">
      <c r="W50910" s="503"/>
    </row>
    <row r="50911" spans="23:23">
      <c r="W50911" s="503"/>
    </row>
    <row r="50912" spans="23:23">
      <c r="W50912" s="503"/>
    </row>
    <row r="50913" spans="23:23">
      <c r="W50913" s="503"/>
    </row>
    <row r="50914" spans="23:23">
      <c r="W50914" s="503"/>
    </row>
    <row r="50915" spans="23:23">
      <c r="W50915" s="503"/>
    </row>
    <row r="50916" spans="23:23">
      <c r="W50916" s="503"/>
    </row>
    <row r="50917" spans="23:23">
      <c r="W50917" s="503"/>
    </row>
    <row r="50918" spans="23:23">
      <c r="W50918" s="503"/>
    </row>
    <row r="50919" spans="23:23">
      <c r="W50919" s="503"/>
    </row>
    <row r="50920" spans="23:23">
      <c r="W50920" s="503"/>
    </row>
    <row r="50921" spans="23:23">
      <c r="W50921" s="503"/>
    </row>
    <row r="50922" spans="23:23">
      <c r="W50922" s="503"/>
    </row>
    <row r="50923" spans="23:23">
      <c r="W50923" s="503"/>
    </row>
    <row r="50924" spans="23:23">
      <c r="W50924" s="503"/>
    </row>
    <row r="50925" spans="23:23">
      <c r="W50925" s="503"/>
    </row>
    <row r="50926" spans="23:23">
      <c r="W50926" s="503"/>
    </row>
    <row r="50927" spans="23:23">
      <c r="W50927" s="503"/>
    </row>
    <row r="50928" spans="23:23">
      <c r="W50928" s="503"/>
    </row>
    <row r="50929" spans="23:23">
      <c r="W50929" s="503"/>
    </row>
    <row r="50930" spans="23:23">
      <c r="W50930" s="503"/>
    </row>
    <row r="50931" spans="23:23">
      <c r="W50931" s="503"/>
    </row>
    <row r="50932" spans="23:23">
      <c r="W50932" s="503"/>
    </row>
    <row r="50933" spans="23:23">
      <c r="W50933" s="503"/>
    </row>
    <row r="50934" spans="23:23">
      <c r="W50934" s="503"/>
    </row>
    <row r="50935" spans="23:23">
      <c r="W50935" s="503"/>
    </row>
    <row r="50936" spans="23:23">
      <c r="W50936" s="503"/>
    </row>
    <row r="50937" spans="23:23">
      <c r="W50937" s="503"/>
    </row>
    <row r="50938" spans="23:23">
      <c r="W50938" s="503"/>
    </row>
    <row r="50939" spans="23:23">
      <c r="W50939" s="503"/>
    </row>
    <row r="50940" spans="23:23">
      <c r="W50940" s="503"/>
    </row>
    <row r="50941" spans="23:23">
      <c r="W50941" s="503"/>
    </row>
    <row r="50942" spans="23:23">
      <c r="W50942" s="503"/>
    </row>
    <row r="50943" spans="23:23">
      <c r="W50943" s="503"/>
    </row>
    <row r="50944" spans="23:23">
      <c r="W50944" s="503"/>
    </row>
    <row r="50945" spans="23:23">
      <c r="W50945" s="503"/>
    </row>
    <row r="50946" spans="23:23">
      <c r="W50946" s="503"/>
    </row>
    <row r="50947" spans="23:23">
      <c r="W50947" s="503"/>
    </row>
    <row r="50948" spans="23:23">
      <c r="W50948" s="503"/>
    </row>
    <row r="50949" spans="23:23">
      <c r="W50949" s="503"/>
    </row>
    <row r="50950" spans="23:23">
      <c r="W50950" s="503"/>
    </row>
    <row r="50951" spans="23:23">
      <c r="W50951" s="503"/>
    </row>
    <row r="50952" spans="23:23">
      <c r="W50952" s="503"/>
    </row>
    <row r="50953" spans="23:23">
      <c r="W50953" s="503"/>
    </row>
    <row r="50954" spans="23:23">
      <c r="W50954" s="503"/>
    </row>
    <row r="50955" spans="23:23">
      <c r="W50955" s="503"/>
    </row>
    <row r="50956" spans="23:23">
      <c r="W50956" s="503"/>
    </row>
    <row r="50957" spans="23:23">
      <c r="W50957" s="503"/>
    </row>
    <row r="50958" spans="23:23">
      <c r="W50958" s="503"/>
    </row>
    <row r="50959" spans="23:23">
      <c r="W50959" s="503"/>
    </row>
    <row r="50960" spans="23:23">
      <c r="W50960" s="503"/>
    </row>
    <row r="50961" spans="23:23">
      <c r="W50961" s="503"/>
    </row>
    <row r="50962" spans="23:23">
      <c r="W50962" s="503"/>
    </row>
    <row r="50963" spans="23:23">
      <c r="W50963" s="503"/>
    </row>
    <row r="50964" spans="23:23">
      <c r="W50964" s="503"/>
    </row>
    <row r="50965" spans="23:23">
      <c r="W50965" s="503"/>
    </row>
    <row r="50966" spans="23:23">
      <c r="W50966" s="503"/>
    </row>
    <row r="50967" spans="23:23">
      <c r="W50967" s="503"/>
    </row>
    <row r="50968" spans="23:23">
      <c r="W50968" s="503"/>
    </row>
    <row r="50969" spans="23:23">
      <c r="W50969" s="503"/>
    </row>
    <row r="50970" spans="23:23">
      <c r="W50970" s="503"/>
    </row>
    <row r="50971" spans="23:23">
      <c r="W50971" s="503"/>
    </row>
    <row r="50972" spans="23:23">
      <c r="W50972" s="503"/>
    </row>
    <row r="50973" spans="23:23">
      <c r="W50973" s="503"/>
    </row>
    <row r="50974" spans="23:23">
      <c r="W50974" s="503"/>
    </row>
    <row r="50975" spans="23:23">
      <c r="W50975" s="503"/>
    </row>
    <row r="50976" spans="23:23">
      <c r="W50976" s="503"/>
    </row>
    <row r="50977" spans="23:23">
      <c r="W50977" s="503"/>
    </row>
    <row r="50978" spans="23:23">
      <c r="W50978" s="503"/>
    </row>
    <row r="50979" spans="23:23">
      <c r="W50979" s="503"/>
    </row>
    <row r="50980" spans="23:23">
      <c r="W50980" s="503"/>
    </row>
    <row r="50981" spans="23:23">
      <c r="W50981" s="503"/>
    </row>
    <row r="50982" spans="23:23">
      <c r="W50982" s="503"/>
    </row>
    <row r="50983" spans="23:23">
      <c r="W50983" s="503"/>
    </row>
    <row r="50984" spans="23:23">
      <c r="W50984" s="503"/>
    </row>
    <row r="50985" spans="23:23">
      <c r="W50985" s="503"/>
    </row>
    <row r="50986" spans="23:23">
      <c r="W50986" s="503"/>
    </row>
    <row r="50987" spans="23:23">
      <c r="W50987" s="503"/>
    </row>
    <row r="50988" spans="23:23">
      <c r="W50988" s="503"/>
    </row>
    <row r="50989" spans="23:23">
      <c r="W50989" s="503"/>
    </row>
    <row r="50990" spans="23:23">
      <c r="W50990" s="503"/>
    </row>
    <row r="50991" spans="23:23">
      <c r="W50991" s="503"/>
    </row>
    <row r="50992" spans="23:23">
      <c r="W50992" s="503"/>
    </row>
    <row r="50993" spans="23:23">
      <c r="W50993" s="503"/>
    </row>
    <row r="50994" spans="23:23">
      <c r="W50994" s="503"/>
    </row>
    <row r="50995" spans="23:23">
      <c r="W50995" s="503"/>
    </row>
    <row r="50996" spans="23:23">
      <c r="W50996" s="503"/>
    </row>
    <row r="50997" spans="23:23">
      <c r="W50997" s="503"/>
    </row>
    <row r="50998" spans="23:23">
      <c r="W50998" s="503"/>
    </row>
    <row r="50999" spans="23:23">
      <c r="W50999" s="503"/>
    </row>
    <row r="51000" spans="23:23">
      <c r="W51000" s="503"/>
    </row>
    <row r="51001" spans="23:23">
      <c r="W51001" s="503"/>
    </row>
    <row r="51002" spans="23:23">
      <c r="W51002" s="503"/>
    </row>
    <row r="51003" spans="23:23">
      <c r="W51003" s="503"/>
    </row>
    <row r="51004" spans="23:23">
      <c r="W51004" s="503"/>
    </row>
    <row r="51005" spans="23:23">
      <c r="W51005" s="503"/>
    </row>
    <row r="51006" spans="23:23">
      <c r="W51006" s="503"/>
    </row>
    <row r="51007" spans="23:23">
      <c r="W51007" s="503"/>
    </row>
    <row r="51008" spans="23:23">
      <c r="W51008" s="503"/>
    </row>
    <row r="51009" spans="23:23">
      <c r="W51009" s="503"/>
    </row>
    <row r="51010" spans="23:23">
      <c r="W51010" s="503"/>
    </row>
    <row r="51011" spans="23:23">
      <c r="W51011" s="503"/>
    </row>
    <row r="51012" spans="23:23">
      <c r="W51012" s="503"/>
    </row>
    <row r="51013" spans="23:23">
      <c r="W51013" s="503"/>
    </row>
    <row r="51014" spans="23:23">
      <c r="W51014" s="503"/>
    </row>
    <row r="51015" spans="23:23">
      <c r="W51015" s="503"/>
    </row>
    <row r="51016" spans="23:23">
      <c r="W51016" s="503"/>
    </row>
    <row r="51017" spans="23:23">
      <c r="W51017" s="503"/>
    </row>
    <row r="51018" spans="23:23">
      <c r="W51018" s="503"/>
    </row>
    <row r="51019" spans="23:23">
      <c r="W51019" s="503"/>
    </row>
    <row r="51020" spans="23:23">
      <c r="W51020" s="503"/>
    </row>
    <row r="51021" spans="23:23">
      <c r="W51021" s="503"/>
    </row>
    <row r="51022" spans="23:23">
      <c r="W51022" s="503"/>
    </row>
    <row r="51023" spans="23:23">
      <c r="W51023" s="503"/>
    </row>
    <row r="51024" spans="23:23">
      <c r="W51024" s="503"/>
    </row>
    <row r="51025" spans="23:23">
      <c r="W51025" s="503"/>
    </row>
    <row r="51026" spans="23:23">
      <c r="W51026" s="503"/>
    </row>
    <row r="51027" spans="23:23">
      <c r="W51027" s="503"/>
    </row>
    <row r="51028" spans="23:23">
      <c r="W51028" s="503"/>
    </row>
    <row r="51029" spans="23:23">
      <c r="W51029" s="503"/>
    </row>
    <row r="51030" spans="23:23">
      <c r="W51030" s="503"/>
    </row>
    <row r="51031" spans="23:23">
      <c r="W51031" s="503"/>
    </row>
    <row r="51032" spans="23:23">
      <c r="W51032" s="503"/>
    </row>
    <row r="51033" spans="23:23">
      <c r="W51033" s="503"/>
    </row>
    <row r="51034" spans="23:23">
      <c r="W51034" s="503"/>
    </row>
    <row r="51035" spans="23:23">
      <c r="W51035" s="503"/>
    </row>
    <row r="51036" spans="23:23">
      <c r="W51036" s="503"/>
    </row>
    <row r="51037" spans="23:23">
      <c r="W51037" s="503"/>
    </row>
    <row r="51038" spans="23:23">
      <c r="W51038" s="503"/>
    </row>
    <row r="51039" spans="23:23">
      <c r="W51039" s="503"/>
    </row>
    <row r="51040" spans="23:23">
      <c r="W51040" s="503"/>
    </row>
    <row r="51041" spans="23:23">
      <c r="W51041" s="503"/>
    </row>
    <row r="51042" spans="23:23">
      <c r="W51042" s="503"/>
    </row>
    <row r="51043" spans="23:23">
      <c r="W51043" s="503"/>
    </row>
    <row r="51044" spans="23:23">
      <c r="W51044" s="503"/>
    </row>
    <row r="51045" spans="23:23">
      <c r="W51045" s="503"/>
    </row>
    <row r="51046" spans="23:23">
      <c r="W51046" s="503"/>
    </row>
    <row r="51047" spans="23:23">
      <c r="W51047" s="503"/>
    </row>
    <row r="51048" spans="23:23">
      <c r="W51048" s="503"/>
    </row>
    <row r="51049" spans="23:23">
      <c r="W51049" s="503"/>
    </row>
    <row r="51050" spans="23:23">
      <c r="W51050" s="503"/>
    </row>
    <row r="51051" spans="23:23">
      <c r="W51051" s="503"/>
    </row>
    <row r="51052" spans="23:23">
      <c r="W51052" s="503"/>
    </row>
    <row r="51053" spans="23:23">
      <c r="W51053" s="503"/>
    </row>
    <row r="51054" spans="23:23">
      <c r="W51054" s="503"/>
    </row>
    <row r="51055" spans="23:23">
      <c r="W51055" s="503"/>
    </row>
    <row r="51056" spans="23:23">
      <c r="W51056" s="503"/>
    </row>
    <row r="51057" spans="23:23">
      <c r="W51057" s="503"/>
    </row>
    <row r="51058" spans="23:23">
      <c r="W51058" s="503"/>
    </row>
    <row r="51059" spans="23:23">
      <c r="W51059" s="503"/>
    </row>
    <row r="51060" spans="23:23">
      <c r="W51060" s="503"/>
    </row>
    <row r="51061" spans="23:23">
      <c r="W51061" s="503"/>
    </row>
    <row r="51062" spans="23:23">
      <c r="W51062" s="503"/>
    </row>
    <row r="51063" spans="23:23">
      <c r="W51063" s="503"/>
    </row>
    <row r="51064" spans="23:23">
      <c r="W51064" s="503"/>
    </row>
    <row r="51065" spans="23:23">
      <c r="W51065" s="503"/>
    </row>
    <row r="51066" spans="23:23">
      <c r="W51066" s="503"/>
    </row>
    <row r="51067" spans="23:23">
      <c r="W51067" s="503"/>
    </row>
    <row r="51068" spans="23:23">
      <c r="W51068" s="503"/>
    </row>
    <row r="51069" spans="23:23">
      <c r="W51069" s="503"/>
    </row>
    <row r="51070" spans="23:23">
      <c r="W51070" s="503"/>
    </row>
    <row r="51071" spans="23:23">
      <c r="W51071" s="503"/>
    </row>
    <row r="51072" spans="23:23">
      <c r="W51072" s="503"/>
    </row>
    <row r="51073" spans="23:23">
      <c r="W51073" s="503"/>
    </row>
    <row r="51074" spans="23:23">
      <c r="W51074" s="503"/>
    </row>
    <row r="51075" spans="23:23">
      <c r="W51075" s="503"/>
    </row>
    <row r="51076" spans="23:23">
      <c r="W51076" s="503"/>
    </row>
    <row r="51077" spans="23:23">
      <c r="W51077" s="503"/>
    </row>
    <row r="51078" spans="23:23">
      <c r="W51078" s="503"/>
    </row>
    <row r="51079" spans="23:23">
      <c r="W51079" s="503"/>
    </row>
    <row r="51080" spans="23:23">
      <c r="W51080" s="503"/>
    </row>
    <row r="51081" spans="23:23">
      <c r="W51081" s="503"/>
    </row>
    <row r="51082" spans="23:23">
      <c r="W51082" s="503"/>
    </row>
    <row r="51083" spans="23:23">
      <c r="W51083" s="503"/>
    </row>
    <row r="51084" spans="23:23">
      <c r="W51084" s="503"/>
    </row>
    <row r="51085" spans="23:23">
      <c r="W51085" s="503"/>
    </row>
    <row r="51086" spans="23:23">
      <c r="W51086" s="503"/>
    </row>
    <row r="51087" spans="23:23">
      <c r="W51087" s="503"/>
    </row>
    <row r="51088" spans="23:23">
      <c r="W51088" s="503"/>
    </row>
    <row r="51089" spans="23:23">
      <c r="W51089" s="503"/>
    </row>
    <row r="51090" spans="23:23">
      <c r="W51090" s="503"/>
    </row>
    <row r="51091" spans="23:23">
      <c r="W51091" s="503"/>
    </row>
    <row r="51092" spans="23:23">
      <c r="W51092" s="503"/>
    </row>
    <row r="51093" spans="23:23">
      <c r="W51093" s="503"/>
    </row>
    <row r="51094" spans="23:23">
      <c r="W51094" s="503"/>
    </row>
    <row r="51095" spans="23:23">
      <c r="W51095" s="503"/>
    </row>
    <row r="51096" spans="23:23">
      <c r="W51096" s="503"/>
    </row>
    <row r="51097" spans="23:23">
      <c r="W51097" s="503"/>
    </row>
    <row r="51098" spans="23:23">
      <c r="W51098" s="503"/>
    </row>
    <row r="51099" spans="23:23">
      <c r="W51099" s="503"/>
    </row>
    <row r="51100" spans="23:23">
      <c r="W51100" s="503"/>
    </row>
    <row r="51101" spans="23:23">
      <c r="W51101" s="503"/>
    </row>
    <row r="51102" spans="23:23">
      <c r="W51102" s="503"/>
    </row>
    <row r="51103" spans="23:23">
      <c r="W51103" s="503"/>
    </row>
    <row r="51104" spans="23:23">
      <c r="W51104" s="503"/>
    </row>
    <row r="51105" spans="23:23">
      <c r="W51105" s="503"/>
    </row>
    <row r="51106" spans="23:23">
      <c r="W51106" s="503"/>
    </row>
    <row r="51107" spans="23:23">
      <c r="W51107" s="503"/>
    </row>
    <row r="51108" spans="23:23">
      <c r="W51108" s="503"/>
    </row>
    <row r="51109" spans="23:23">
      <c r="W51109" s="503"/>
    </row>
    <row r="51110" spans="23:23">
      <c r="W51110" s="503"/>
    </row>
    <row r="51111" spans="23:23">
      <c r="W51111" s="503"/>
    </row>
    <row r="51112" spans="23:23">
      <c r="W51112" s="503"/>
    </row>
    <row r="51113" spans="23:23">
      <c r="W51113" s="503"/>
    </row>
    <row r="51114" spans="23:23">
      <c r="W51114" s="503"/>
    </row>
    <row r="51115" spans="23:23">
      <c r="W51115" s="503"/>
    </row>
    <row r="51116" spans="23:23">
      <c r="W51116" s="503"/>
    </row>
    <row r="51117" spans="23:23">
      <c r="W51117" s="503"/>
    </row>
    <row r="51118" spans="23:23">
      <c r="W51118" s="503"/>
    </row>
    <row r="51119" spans="23:23">
      <c r="W51119" s="503"/>
    </row>
    <row r="51120" spans="23:23">
      <c r="W51120" s="503"/>
    </row>
    <row r="51121" spans="23:23">
      <c r="W51121" s="503"/>
    </row>
    <row r="51122" spans="23:23">
      <c r="W51122" s="503"/>
    </row>
    <row r="51123" spans="23:23">
      <c r="W51123" s="503"/>
    </row>
    <row r="51124" spans="23:23">
      <c r="W51124" s="503"/>
    </row>
    <row r="51125" spans="23:23">
      <c r="W51125" s="503"/>
    </row>
    <row r="51126" spans="23:23">
      <c r="W51126" s="503"/>
    </row>
    <row r="51127" spans="23:23">
      <c r="W51127" s="503"/>
    </row>
    <row r="51128" spans="23:23">
      <c r="W51128" s="503"/>
    </row>
    <row r="51129" spans="23:23">
      <c r="W51129" s="503"/>
    </row>
    <row r="51130" spans="23:23">
      <c r="W51130" s="503"/>
    </row>
    <row r="51131" spans="23:23">
      <c r="W51131" s="503"/>
    </row>
    <row r="51132" spans="23:23">
      <c r="W51132" s="503"/>
    </row>
    <row r="51133" spans="23:23">
      <c r="W51133" s="503"/>
    </row>
    <row r="51134" spans="23:23">
      <c r="W51134" s="503"/>
    </row>
    <row r="51135" spans="23:23">
      <c r="W51135" s="503"/>
    </row>
    <row r="51136" spans="23:23">
      <c r="W51136" s="503"/>
    </row>
    <row r="51137" spans="23:23">
      <c r="W51137" s="503"/>
    </row>
    <row r="51138" spans="23:23">
      <c r="W51138" s="503"/>
    </row>
    <row r="51139" spans="23:23">
      <c r="W51139" s="503"/>
    </row>
    <row r="51140" spans="23:23">
      <c r="W51140" s="503"/>
    </row>
    <row r="51141" spans="23:23">
      <c r="W51141" s="503"/>
    </row>
    <row r="51142" spans="23:23">
      <c r="W51142" s="503"/>
    </row>
    <row r="51143" spans="23:23">
      <c r="W51143" s="503"/>
    </row>
    <row r="51144" spans="23:23">
      <c r="W51144" s="503"/>
    </row>
    <row r="51145" spans="23:23">
      <c r="W51145" s="503"/>
    </row>
    <row r="51146" spans="23:23">
      <c r="W51146" s="503"/>
    </row>
    <row r="51147" spans="23:23">
      <c r="W51147" s="503"/>
    </row>
    <row r="51148" spans="23:23">
      <c r="W51148" s="503"/>
    </row>
    <row r="51149" spans="23:23">
      <c r="W51149" s="503"/>
    </row>
    <row r="51150" spans="23:23">
      <c r="W51150" s="503"/>
    </row>
    <row r="51151" spans="23:23">
      <c r="W51151" s="503"/>
    </row>
    <row r="51152" spans="23:23">
      <c r="W51152" s="503"/>
    </row>
    <row r="51153" spans="23:23">
      <c r="W51153" s="503"/>
    </row>
    <row r="51154" spans="23:23">
      <c r="W51154" s="503"/>
    </row>
    <row r="51155" spans="23:23">
      <c r="W51155" s="503"/>
    </row>
    <row r="51156" spans="23:23">
      <c r="W51156" s="503"/>
    </row>
    <row r="51157" spans="23:23">
      <c r="W51157" s="503"/>
    </row>
    <row r="51158" spans="23:23">
      <c r="W51158" s="503"/>
    </row>
    <row r="51159" spans="23:23">
      <c r="W51159" s="503"/>
    </row>
    <row r="51160" spans="23:23">
      <c r="W51160" s="503"/>
    </row>
    <row r="51161" spans="23:23">
      <c r="W51161" s="503"/>
    </row>
    <row r="51162" spans="23:23">
      <c r="W51162" s="503"/>
    </row>
    <row r="51163" spans="23:23">
      <c r="W51163" s="503"/>
    </row>
    <row r="51164" spans="23:23">
      <c r="W51164" s="503"/>
    </row>
    <row r="51165" spans="23:23">
      <c r="W51165" s="503"/>
    </row>
    <row r="51166" spans="23:23">
      <c r="W51166" s="503"/>
    </row>
    <row r="51167" spans="23:23">
      <c r="W51167" s="503"/>
    </row>
    <row r="51168" spans="23:23">
      <c r="W51168" s="503"/>
    </row>
    <row r="51169" spans="23:23">
      <c r="W51169" s="503"/>
    </row>
    <row r="51170" spans="23:23">
      <c r="W51170" s="503"/>
    </row>
    <row r="51171" spans="23:23">
      <c r="W51171" s="503"/>
    </row>
    <row r="51172" spans="23:23">
      <c r="W51172" s="503"/>
    </row>
    <row r="51173" spans="23:23">
      <c r="W51173" s="503"/>
    </row>
    <row r="51174" spans="23:23">
      <c r="W51174" s="503"/>
    </row>
    <row r="51175" spans="23:23">
      <c r="W51175" s="503"/>
    </row>
    <row r="51176" spans="23:23">
      <c r="W51176" s="503"/>
    </row>
    <row r="51177" spans="23:23">
      <c r="W51177" s="503"/>
    </row>
    <row r="51178" spans="23:23">
      <c r="W51178" s="503"/>
    </row>
    <row r="51179" spans="23:23">
      <c r="W51179" s="503"/>
    </row>
    <row r="51180" spans="23:23">
      <c r="W51180" s="503"/>
    </row>
    <row r="51181" spans="23:23">
      <c r="W51181" s="503"/>
    </row>
    <row r="51182" spans="23:23">
      <c r="W51182" s="503"/>
    </row>
    <row r="51183" spans="23:23">
      <c r="W51183" s="503"/>
    </row>
    <row r="51184" spans="23:23">
      <c r="W51184" s="503"/>
    </row>
    <row r="51185" spans="23:23">
      <c r="W51185" s="503"/>
    </row>
    <row r="51186" spans="23:23">
      <c r="W51186" s="503"/>
    </row>
    <row r="51187" spans="23:23">
      <c r="W51187" s="503"/>
    </row>
    <row r="51188" spans="23:23">
      <c r="W51188" s="503"/>
    </row>
    <row r="51189" spans="23:23">
      <c r="W51189" s="503"/>
    </row>
    <row r="51190" spans="23:23">
      <c r="W51190" s="503"/>
    </row>
    <row r="51191" spans="23:23">
      <c r="W51191" s="503"/>
    </row>
    <row r="51192" spans="23:23">
      <c r="W51192" s="503"/>
    </row>
    <row r="51193" spans="23:23">
      <c r="W51193" s="503"/>
    </row>
    <row r="51194" spans="23:23">
      <c r="W51194" s="503"/>
    </row>
    <row r="51195" spans="23:23">
      <c r="W51195" s="503"/>
    </row>
    <row r="51196" spans="23:23">
      <c r="W51196" s="503"/>
    </row>
    <row r="51197" spans="23:23">
      <c r="W51197" s="503"/>
    </row>
    <row r="51198" spans="23:23">
      <c r="W51198" s="503"/>
    </row>
    <row r="51199" spans="23:23">
      <c r="W51199" s="503"/>
    </row>
    <row r="51200" spans="23:23">
      <c r="W51200" s="503"/>
    </row>
    <row r="51201" spans="23:23">
      <c r="W51201" s="503"/>
    </row>
    <row r="51202" spans="23:23">
      <c r="W51202" s="503"/>
    </row>
    <row r="51203" spans="23:23">
      <c r="W51203" s="503"/>
    </row>
    <row r="51204" spans="23:23">
      <c r="W51204" s="503"/>
    </row>
    <row r="51205" spans="23:23">
      <c r="W51205" s="503"/>
    </row>
    <row r="51206" spans="23:23">
      <c r="W51206" s="503"/>
    </row>
    <row r="51207" spans="23:23">
      <c r="W51207" s="503"/>
    </row>
    <row r="51208" spans="23:23">
      <c r="W51208" s="503"/>
    </row>
    <row r="51209" spans="23:23">
      <c r="W51209" s="503"/>
    </row>
    <row r="51210" spans="23:23">
      <c r="W51210" s="503"/>
    </row>
    <row r="51211" spans="23:23">
      <c r="W51211" s="503"/>
    </row>
    <row r="51212" spans="23:23">
      <c r="W51212" s="503"/>
    </row>
    <row r="51213" spans="23:23">
      <c r="W51213" s="503"/>
    </row>
    <row r="51214" spans="23:23">
      <c r="W51214" s="503"/>
    </row>
    <row r="51215" spans="23:23">
      <c r="W51215" s="503"/>
    </row>
    <row r="51216" spans="23:23">
      <c r="W51216" s="503"/>
    </row>
    <row r="51217" spans="23:23">
      <c r="W51217" s="503"/>
    </row>
    <row r="51218" spans="23:23">
      <c r="W51218" s="503"/>
    </row>
    <row r="51219" spans="23:23">
      <c r="W51219" s="503"/>
    </row>
    <row r="51220" spans="23:23">
      <c r="W51220" s="503"/>
    </row>
    <row r="51221" spans="23:23">
      <c r="W51221" s="503"/>
    </row>
    <row r="51222" spans="23:23">
      <c r="W51222" s="503"/>
    </row>
    <row r="51223" spans="23:23">
      <c r="W51223" s="503"/>
    </row>
    <row r="51224" spans="23:23">
      <c r="W51224" s="503"/>
    </row>
    <row r="51225" spans="23:23">
      <c r="W51225" s="503"/>
    </row>
    <row r="51226" spans="23:23">
      <c r="W51226" s="503"/>
    </row>
    <row r="51227" spans="23:23">
      <c r="W51227" s="503"/>
    </row>
    <row r="51228" spans="23:23">
      <c r="W51228" s="503"/>
    </row>
    <row r="51229" spans="23:23">
      <c r="W51229" s="503"/>
    </row>
    <row r="51230" spans="23:23">
      <c r="W51230" s="503"/>
    </row>
    <row r="51231" spans="23:23">
      <c r="W51231" s="503"/>
    </row>
    <row r="51232" spans="23:23">
      <c r="W51232" s="503"/>
    </row>
    <row r="51233" spans="23:23">
      <c r="W51233" s="503"/>
    </row>
    <row r="51234" spans="23:23">
      <c r="W51234" s="503"/>
    </row>
    <row r="51235" spans="23:23">
      <c r="W51235" s="503"/>
    </row>
    <row r="51236" spans="23:23">
      <c r="W51236" s="503"/>
    </row>
    <row r="51237" spans="23:23">
      <c r="W51237" s="503"/>
    </row>
    <row r="51238" spans="23:23">
      <c r="W51238" s="503"/>
    </row>
    <row r="51239" spans="23:23">
      <c r="W51239" s="503"/>
    </row>
    <row r="51240" spans="23:23">
      <c r="W51240" s="503"/>
    </row>
    <row r="51241" spans="23:23">
      <c r="W51241" s="503"/>
    </row>
    <row r="51242" spans="23:23">
      <c r="W51242" s="503"/>
    </row>
    <row r="51243" spans="23:23">
      <c r="W51243" s="503"/>
    </row>
    <row r="51244" spans="23:23">
      <c r="W51244" s="503"/>
    </row>
    <row r="51245" spans="23:23">
      <c r="W51245" s="503"/>
    </row>
    <row r="51246" spans="23:23">
      <c r="W51246" s="503"/>
    </row>
    <row r="51247" spans="23:23">
      <c r="W51247" s="503"/>
    </row>
    <row r="51248" spans="23:23">
      <c r="W51248" s="503"/>
    </row>
    <row r="51249" spans="23:23">
      <c r="W51249" s="503"/>
    </row>
    <row r="51250" spans="23:23">
      <c r="W51250" s="503"/>
    </row>
    <row r="51251" spans="23:23">
      <c r="W51251" s="503"/>
    </row>
    <row r="51252" spans="23:23">
      <c r="W51252" s="503"/>
    </row>
    <row r="51253" spans="23:23">
      <c r="W51253" s="503"/>
    </row>
    <row r="51254" spans="23:23">
      <c r="W51254" s="503"/>
    </row>
    <row r="51255" spans="23:23">
      <c r="W51255" s="503"/>
    </row>
    <row r="51256" spans="23:23">
      <c r="W51256" s="503"/>
    </row>
    <row r="51257" spans="23:23">
      <c r="W51257" s="503"/>
    </row>
    <row r="51258" spans="23:23">
      <c r="W51258" s="503"/>
    </row>
    <row r="51259" spans="23:23">
      <c r="W51259" s="503"/>
    </row>
    <row r="51260" spans="23:23">
      <c r="W51260" s="503"/>
    </row>
    <row r="51261" spans="23:23">
      <c r="W51261" s="503"/>
    </row>
    <row r="51262" spans="23:23">
      <c r="W51262" s="503"/>
    </row>
    <row r="51263" spans="23:23">
      <c r="W51263" s="503"/>
    </row>
    <row r="51264" spans="23:23">
      <c r="W51264" s="503"/>
    </row>
    <row r="51265" spans="23:23">
      <c r="W51265" s="503"/>
    </row>
    <row r="51266" spans="23:23">
      <c r="W51266" s="503"/>
    </row>
    <row r="51267" spans="23:23">
      <c r="W51267" s="503"/>
    </row>
    <row r="51268" spans="23:23">
      <c r="W51268" s="503"/>
    </row>
    <row r="51269" spans="23:23">
      <c r="W51269" s="503"/>
    </row>
    <row r="51270" spans="23:23">
      <c r="W51270" s="503"/>
    </row>
    <row r="51271" spans="23:23">
      <c r="W51271" s="503"/>
    </row>
    <row r="51272" spans="23:23">
      <c r="W51272" s="503"/>
    </row>
    <row r="51273" spans="23:23">
      <c r="W51273" s="503"/>
    </row>
    <row r="51274" spans="23:23">
      <c r="W51274" s="503"/>
    </row>
    <row r="51275" spans="23:23">
      <c r="W51275" s="503"/>
    </row>
    <row r="51276" spans="23:23">
      <c r="W51276" s="503"/>
    </row>
    <row r="51277" spans="23:23">
      <c r="W51277" s="503"/>
    </row>
    <row r="51278" spans="23:23">
      <c r="W51278" s="503"/>
    </row>
    <row r="51279" spans="23:23">
      <c r="W51279" s="503"/>
    </row>
    <row r="51280" spans="23:23">
      <c r="W51280" s="503"/>
    </row>
    <row r="51281" spans="23:23">
      <c r="W51281" s="503"/>
    </row>
    <row r="51282" spans="23:23">
      <c r="W51282" s="503"/>
    </row>
    <row r="51283" spans="23:23">
      <c r="W51283" s="503"/>
    </row>
    <row r="51284" spans="23:23">
      <c r="W51284" s="503"/>
    </row>
    <row r="51285" spans="23:23">
      <c r="W51285" s="503"/>
    </row>
    <row r="51286" spans="23:23">
      <c r="W51286" s="503"/>
    </row>
    <row r="51287" spans="23:23">
      <c r="W51287" s="503"/>
    </row>
    <row r="51288" spans="23:23">
      <c r="W51288" s="503"/>
    </row>
    <row r="51289" spans="23:23">
      <c r="W51289" s="503"/>
    </row>
    <row r="51290" spans="23:23">
      <c r="W51290" s="503"/>
    </row>
    <row r="51291" spans="23:23">
      <c r="W51291" s="503"/>
    </row>
    <row r="51292" spans="23:23">
      <c r="W51292" s="503"/>
    </row>
    <row r="51293" spans="23:23">
      <c r="W51293" s="503"/>
    </row>
    <row r="51294" spans="23:23">
      <c r="W51294" s="503"/>
    </row>
    <row r="51295" spans="23:23">
      <c r="W51295" s="503"/>
    </row>
    <row r="51296" spans="23:23">
      <c r="W51296" s="503"/>
    </row>
    <row r="51297" spans="23:23">
      <c r="W51297" s="503"/>
    </row>
    <row r="51298" spans="23:23">
      <c r="W51298" s="503"/>
    </row>
    <row r="51299" spans="23:23">
      <c r="W51299" s="503"/>
    </row>
    <row r="51300" spans="23:23">
      <c r="W51300" s="503"/>
    </row>
    <row r="51301" spans="23:23">
      <c r="W51301" s="503"/>
    </row>
    <row r="51302" spans="23:23">
      <c r="W51302" s="503"/>
    </row>
    <row r="51303" spans="23:23">
      <c r="W51303" s="503"/>
    </row>
    <row r="51304" spans="23:23">
      <c r="W51304" s="503"/>
    </row>
    <row r="51305" spans="23:23">
      <c r="W51305" s="503"/>
    </row>
    <row r="51306" spans="23:23">
      <c r="W51306" s="503"/>
    </row>
    <row r="51307" spans="23:23">
      <c r="W51307" s="503"/>
    </row>
    <row r="51308" spans="23:23">
      <c r="W51308" s="503"/>
    </row>
    <row r="51309" spans="23:23">
      <c r="W51309" s="503"/>
    </row>
    <row r="51310" spans="23:23">
      <c r="W51310" s="503"/>
    </row>
    <row r="51311" spans="23:23">
      <c r="W51311" s="503"/>
    </row>
    <row r="51312" spans="23:23">
      <c r="W51312" s="503"/>
    </row>
    <row r="51313" spans="23:23">
      <c r="W51313" s="503"/>
    </row>
    <row r="51314" spans="23:23">
      <c r="W51314" s="503"/>
    </row>
    <row r="51315" spans="23:23">
      <c r="W51315" s="503"/>
    </row>
    <row r="51316" spans="23:23">
      <c r="W51316" s="503"/>
    </row>
    <row r="51317" spans="23:23">
      <c r="W51317" s="503"/>
    </row>
    <row r="51318" spans="23:23">
      <c r="W51318" s="503"/>
    </row>
    <row r="51319" spans="23:23">
      <c r="W51319" s="503"/>
    </row>
    <row r="51320" spans="23:23">
      <c r="W51320" s="503"/>
    </row>
    <row r="51321" spans="23:23">
      <c r="W51321" s="503"/>
    </row>
    <row r="51322" spans="23:23">
      <c r="W51322" s="503"/>
    </row>
    <row r="51323" spans="23:23">
      <c r="W51323" s="503"/>
    </row>
    <row r="51324" spans="23:23">
      <c r="W51324" s="503"/>
    </row>
    <row r="51325" spans="23:23">
      <c r="W51325" s="503"/>
    </row>
    <row r="51326" spans="23:23">
      <c r="W51326" s="503"/>
    </row>
    <row r="51327" spans="23:23">
      <c r="W51327" s="503"/>
    </row>
    <row r="51328" spans="23:23">
      <c r="W51328" s="503"/>
    </row>
    <row r="51329" spans="23:23">
      <c r="W51329" s="503"/>
    </row>
    <row r="51330" spans="23:23">
      <c r="W51330" s="503"/>
    </row>
    <row r="51331" spans="23:23">
      <c r="W51331" s="503"/>
    </row>
    <row r="51332" spans="23:23">
      <c r="W51332" s="503"/>
    </row>
    <row r="51333" spans="23:23">
      <c r="W51333" s="503"/>
    </row>
    <row r="51334" spans="23:23">
      <c r="W51334" s="503"/>
    </row>
    <row r="51335" spans="23:23">
      <c r="W51335" s="503"/>
    </row>
    <row r="51336" spans="23:23">
      <c r="W51336" s="503"/>
    </row>
    <row r="51337" spans="23:23">
      <c r="W51337" s="503"/>
    </row>
    <row r="51338" spans="23:23">
      <c r="W51338" s="503"/>
    </row>
    <row r="51339" spans="23:23">
      <c r="W51339" s="503"/>
    </row>
    <row r="51340" spans="23:23">
      <c r="W51340" s="503"/>
    </row>
    <row r="51341" spans="23:23">
      <c r="W51341" s="503"/>
    </row>
    <row r="51342" spans="23:23">
      <c r="W51342" s="503"/>
    </row>
    <row r="51343" spans="23:23">
      <c r="W51343" s="503"/>
    </row>
    <row r="51344" spans="23:23">
      <c r="W51344" s="503"/>
    </row>
    <row r="51345" spans="23:23">
      <c r="W51345" s="503"/>
    </row>
    <row r="51346" spans="23:23">
      <c r="W51346" s="503"/>
    </row>
    <row r="51347" spans="23:23">
      <c r="W51347" s="503"/>
    </row>
    <row r="51348" spans="23:23">
      <c r="W51348" s="503"/>
    </row>
    <row r="51349" spans="23:23">
      <c r="W51349" s="503"/>
    </row>
    <row r="51350" spans="23:23">
      <c r="W51350" s="503"/>
    </row>
    <row r="51351" spans="23:23">
      <c r="W51351" s="503"/>
    </row>
    <row r="51352" spans="23:23">
      <c r="W51352" s="503"/>
    </row>
    <row r="51353" spans="23:23">
      <c r="W51353" s="503"/>
    </row>
    <row r="51354" spans="23:23">
      <c r="W51354" s="503"/>
    </row>
    <row r="51355" spans="23:23">
      <c r="W51355" s="503"/>
    </row>
    <row r="51356" spans="23:23">
      <c r="W51356" s="503"/>
    </row>
    <row r="51357" spans="23:23">
      <c r="W51357" s="503"/>
    </row>
    <row r="51358" spans="23:23">
      <c r="W51358" s="503"/>
    </row>
    <row r="51359" spans="23:23">
      <c r="W51359" s="503"/>
    </row>
    <row r="51360" spans="23:23">
      <c r="W51360" s="503"/>
    </row>
    <row r="51361" spans="23:23">
      <c r="W51361" s="503"/>
    </row>
    <row r="51362" spans="23:23">
      <c r="W51362" s="503"/>
    </row>
    <row r="51363" spans="23:23">
      <c r="W51363" s="503"/>
    </row>
    <row r="51364" spans="23:23">
      <c r="W51364" s="503"/>
    </row>
    <row r="51365" spans="23:23">
      <c r="W51365" s="503"/>
    </row>
    <row r="51366" spans="23:23">
      <c r="W51366" s="503"/>
    </row>
    <row r="51367" spans="23:23">
      <c r="W51367" s="503"/>
    </row>
    <row r="51368" spans="23:23">
      <c r="W51368" s="503"/>
    </row>
    <row r="51369" spans="23:23">
      <c r="W51369" s="503"/>
    </row>
    <row r="51370" spans="23:23">
      <c r="W51370" s="503"/>
    </row>
    <row r="51371" spans="23:23">
      <c r="W51371" s="503"/>
    </row>
    <row r="51372" spans="23:23">
      <c r="W51372" s="503"/>
    </row>
    <row r="51373" spans="23:23">
      <c r="W51373" s="503"/>
    </row>
    <row r="51374" spans="23:23">
      <c r="W51374" s="503"/>
    </row>
    <row r="51375" spans="23:23">
      <c r="W51375" s="503"/>
    </row>
    <row r="51376" spans="23:23">
      <c r="W51376" s="503"/>
    </row>
    <row r="51377" spans="23:23">
      <c r="W51377" s="503"/>
    </row>
    <row r="51378" spans="23:23">
      <c r="W51378" s="503"/>
    </row>
    <row r="51379" spans="23:23">
      <c r="W51379" s="503"/>
    </row>
    <row r="51380" spans="23:23">
      <c r="W51380" s="503"/>
    </row>
    <row r="51381" spans="23:23">
      <c r="W51381" s="503"/>
    </row>
    <row r="51382" spans="23:23">
      <c r="W51382" s="503"/>
    </row>
    <row r="51383" spans="23:23">
      <c r="W51383" s="503"/>
    </row>
    <row r="51384" spans="23:23">
      <c r="W51384" s="503"/>
    </row>
    <row r="51385" spans="23:23">
      <c r="W51385" s="503"/>
    </row>
    <row r="51386" spans="23:23">
      <c r="W51386" s="503"/>
    </row>
    <row r="51387" spans="23:23">
      <c r="W51387" s="503"/>
    </row>
    <row r="51388" spans="23:23">
      <c r="W51388" s="503"/>
    </row>
    <row r="51389" spans="23:23">
      <c r="W51389" s="503"/>
    </row>
    <row r="51390" spans="23:23">
      <c r="W51390" s="503"/>
    </row>
    <row r="51391" spans="23:23">
      <c r="W51391" s="503"/>
    </row>
    <row r="51392" spans="23:23">
      <c r="W51392" s="503"/>
    </row>
    <row r="51393" spans="23:23">
      <c r="W51393" s="503"/>
    </row>
    <row r="51394" spans="23:23">
      <c r="W51394" s="503"/>
    </row>
    <row r="51395" spans="23:23">
      <c r="W51395" s="503"/>
    </row>
    <row r="51396" spans="23:23">
      <c r="W51396" s="503"/>
    </row>
    <row r="51397" spans="23:23">
      <c r="W51397" s="503"/>
    </row>
    <row r="51398" spans="23:23">
      <c r="W51398" s="503"/>
    </row>
    <row r="51399" spans="23:23">
      <c r="W51399" s="503"/>
    </row>
    <row r="51400" spans="23:23">
      <c r="W51400" s="503"/>
    </row>
    <row r="51401" spans="23:23">
      <c r="W51401" s="503"/>
    </row>
    <row r="51402" spans="23:23">
      <c r="W51402" s="503"/>
    </row>
    <row r="51403" spans="23:23">
      <c r="W51403" s="503"/>
    </row>
    <row r="51404" spans="23:23">
      <c r="W51404" s="503"/>
    </row>
    <row r="51405" spans="23:23">
      <c r="W51405" s="503"/>
    </row>
    <row r="51406" spans="23:23">
      <c r="W51406" s="503"/>
    </row>
    <row r="51407" spans="23:23">
      <c r="W51407" s="503"/>
    </row>
    <row r="51408" spans="23:23">
      <c r="W51408" s="503"/>
    </row>
    <row r="51409" spans="23:23">
      <c r="W51409" s="503"/>
    </row>
    <row r="51410" spans="23:23">
      <c r="W51410" s="503"/>
    </row>
    <row r="51411" spans="23:23">
      <c r="W51411" s="503"/>
    </row>
    <row r="51412" spans="23:23">
      <c r="W51412" s="503"/>
    </row>
    <row r="51413" spans="23:23">
      <c r="W51413" s="503"/>
    </row>
    <row r="51414" spans="23:23">
      <c r="W51414" s="503"/>
    </row>
    <row r="51415" spans="23:23">
      <c r="W51415" s="503"/>
    </row>
    <row r="51416" spans="23:23">
      <c r="W51416" s="503"/>
    </row>
    <row r="51417" spans="23:23">
      <c r="W51417" s="503"/>
    </row>
    <row r="51418" spans="23:23">
      <c r="W51418" s="503"/>
    </row>
    <row r="51419" spans="23:23">
      <c r="W51419" s="503"/>
    </row>
    <row r="51420" spans="23:23">
      <c r="W51420" s="503"/>
    </row>
    <row r="51421" spans="23:23">
      <c r="W51421" s="503"/>
    </row>
    <row r="51422" spans="23:23">
      <c r="W51422" s="503"/>
    </row>
    <row r="51423" spans="23:23">
      <c r="W51423" s="503"/>
    </row>
    <row r="51424" spans="23:23">
      <c r="W51424" s="503"/>
    </row>
    <row r="51425" spans="23:23">
      <c r="W51425" s="503"/>
    </row>
    <row r="51426" spans="23:23">
      <c r="W51426" s="503"/>
    </row>
    <row r="51427" spans="23:23">
      <c r="W51427" s="503"/>
    </row>
    <row r="51428" spans="23:23">
      <c r="W51428" s="503"/>
    </row>
    <row r="51429" spans="23:23">
      <c r="W51429" s="503"/>
    </row>
    <row r="51430" spans="23:23">
      <c r="W51430" s="503"/>
    </row>
    <row r="51431" spans="23:23">
      <c r="W51431" s="503"/>
    </row>
    <row r="51432" spans="23:23">
      <c r="W51432" s="503"/>
    </row>
    <row r="51433" spans="23:23">
      <c r="W51433" s="503"/>
    </row>
    <row r="51434" spans="23:23">
      <c r="W51434" s="503"/>
    </row>
    <row r="51435" spans="23:23">
      <c r="W51435" s="503"/>
    </row>
    <row r="51436" spans="23:23">
      <c r="W51436" s="503"/>
    </row>
    <row r="51437" spans="23:23">
      <c r="W51437" s="503"/>
    </row>
    <row r="51438" spans="23:23">
      <c r="W51438" s="503"/>
    </row>
    <row r="51439" spans="23:23">
      <c r="W51439" s="503"/>
    </row>
    <row r="51440" spans="23:23">
      <c r="W51440" s="503"/>
    </row>
    <row r="51441" spans="23:23">
      <c r="W51441" s="503"/>
    </row>
    <row r="51442" spans="23:23">
      <c r="W51442" s="503"/>
    </row>
    <row r="51443" spans="23:23">
      <c r="W51443" s="503"/>
    </row>
    <row r="51444" spans="23:23">
      <c r="W51444" s="503"/>
    </row>
    <row r="51445" spans="23:23">
      <c r="W51445" s="503"/>
    </row>
    <row r="51446" spans="23:23">
      <c r="W51446" s="503"/>
    </row>
    <row r="51447" spans="23:23">
      <c r="W51447" s="503"/>
    </row>
    <row r="51448" spans="23:23">
      <c r="W51448" s="503"/>
    </row>
    <row r="51449" spans="23:23">
      <c r="W51449" s="503"/>
    </row>
    <row r="51450" spans="23:23">
      <c r="W51450" s="503"/>
    </row>
    <row r="51451" spans="23:23">
      <c r="W51451" s="503"/>
    </row>
    <row r="51452" spans="23:23">
      <c r="W51452" s="503"/>
    </row>
    <row r="51453" spans="23:23">
      <c r="W51453" s="503"/>
    </row>
    <row r="51454" spans="23:23">
      <c r="W51454" s="503"/>
    </row>
    <row r="51455" spans="23:23">
      <c r="W51455" s="503"/>
    </row>
    <row r="51456" spans="23:23">
      <c r="W51456" s="503"/>
    </row>
    <row r="51457" spans="23:23">
      <c r="W51457" s="503"/>
    </row>
    <row r="51458" spans="23:23">
      <c r="W51458" s="503"/>
    </row>
    <row r="51459" spans="23:23">
      <c r="W51459" s="503"/>
    </row>
    <row r="51460" spans="23:23">
      <c r="W51460" s="503"/>
    </row>
    <row r="51461" spans="23:23">
      <c r="W51461" s="503"/>
    </row>
    <row r="51462" spans="23:23">
      <c r="W51462" s="503"/>
    </row>
    <row r="51463" spans="23:23">
      <c r="W51463" s="503"/>
    </row>
    <row r="51464" spans="23:23">
      <c r="W51464" s="503"/>
    </row>
    <row r="51465" spans="23:23">
      <c r="W51465" s="503"/>
    </row>
    <row r="51466" spans="23:23">
      <c r="W51466" s="503"/>
    </row>
    <row r="51467" spans="23:23">
      <c r="W51467" s="503"/>
    </row>
    <row r="51468" spans="23:23">
      <c r="W51468" s="503"/>
    </row>
    <row r="51469" spans="23:23">
      <c r="W51469" s="503"/>
    </row>
    <row r="51470" spans="23:23">
      <c r="W51470" s="503"/>
    </row>
    <row r="51471" spans="23:23">
      <c r="W51471" s="503"/>
    </row>
    <row r="51472" spans="23:23">
      <c r="W51472" s="503"/>
    </row>
    <row r="51473" spans="23:23">
      <c r="W51473" s="503"/>
    </row>
    <row r="51474" spans="23:23">
      <c r="W51474" s="503"/>
    </row>
    <row r="51475" spans="23:23">
      <c r="W51475" s="503"/>
    </row>
    <row r="51476" spans="23:23">
      <c r="W51476" s="503"/>
    </row>
    <row r="51477" spans="23:23">
      <c r="W51477" s="503"/>
    </row>
    <row r="51478" spans="23:23">
      <c r="W51478" s="503"/>
    </row>
    <row r="51479" spans="23:23">
      <c r="W51479" s="503"/>
    </row>
    <row r="51480" spans="23:23">
      <c r="W51480" s="503"/>
    </row>
    <row r="51481" spans="23:23">
      <c r="W51481" s="503"/>
    </row>
    <row r="51482" spans="23:23">
      <c r="W51482" s="503"/>
    </row>
    <row r="51483" spans="23:23">
      <c r="W51483" s="503"/>
    </row>
    <row r="51484" spans="23:23">
      <c r="W51484" s="503"/>
    </row>
    <row r="51485" spans="23:23">
      <c r="W51485" s="503"/>
    </row>
    <row r="51486" spans="23:23">
      <c r="W51486" s="503"/>
    </row>
    <row r="51487" spans="23:23">
      <c r="W51487" s="503"/>
    </row>
    <row r="51488" spans="23:23">
      <c r="W51488" s="503"/>
    </row>
    <row r="51489" spans="23:23">
      <c r="W51489" s="503"/>
    </row>
    <row r="51490" spans="23:23">
      <c r="W51490" s="503"/>
    </row>
    <row r="51491" spans="23:23">
      <c r="W51491" s="503"/>
    </row>
    <row r="51492" spans="23:23">
      <c r="W51492" s="503"/>
    </row>
    <row r="51493" spans="23:23">
      <c r="W51493" s="503"/>
    </row>
    <row r="51494" spans="23:23">
      <c r="W51494" s="503"/>
    </row>
    <row r="51495" spans="23:23">
      <c r="W51495" s="503"/>
    </row>
    <row r="51496" spans="23:23">
      <c r="W51496" s="503"/>
    </row>
    <row r="51497" spans="23:23">
      <c r="W51497" s="503"/>
    </row>
    <row r="51498" spans="23:23">
      <c r="W51498" s="503"/>
    </row>
    <row r="51499" spans="23:23">
      <c r="W51499" s="503"/>
    </row>
    <row r="51500" spans="23:23">
      <c r="W51500" s="503"/>
    </row>
    <row r="51501" spans="23:23">
      <c r="W51501" s="503"/>
    </row>
    <row r="51502" spans="23:23">
      <c r="W51502" s="503"/>
    </row>
    <row r="51503" spans="23:23">
      <c r="W51503" s="503"/>
    </row>
    <row r="51504" spans="23:23">
      <c r="W51504" s="503"/>
    </row>
    <row r="51505" spans="23:23">
      <c r="W51505" s="503"/>
    </row>
    <row r="51506" spans="23:23">
      <c r="W51506" s="503"/>
    </row>
    <row r="51507" spans="23:23">
      <c r="W51507" s="503"/>
    </row>
    <row r="51508" spans="23:23">
      <c r="W51508" s="503"/>
    </row>
    <row r="51509" spans="23:23">
      <c r="W51509" s="503"/>
    </row>
    <row r="51510" spans="23:23">
      <c r="W51510" s="503"/>
    </row>
    <row r="51511" spans="23:23">
      <c r="W51511" s="503"/>
    </row>
    <row r="51512" spans="23:23">
      <c r="W51512" s="503"/>
    </row>
    <row r="51513" spans="23:23">
      <c r="W51513" s="503"/>
    </row>
    <row r="51514" spans="23:23">
      <c r="W51514" s="503"/>
    </row>
    <row r="51515" spans="23:23">
      <c r="W51515" s="503"/>
    </row>
    <row r="51516" spans="23:23">
      <c r="W51516" s="503"/>
    </row>
    <row r="51517" spans="23:23">
      <c r="W51517" s="503"/>
    </row>
    <row r="51518" spans="23:23">
      <c r="W51518" s="503"/>
    </row>
    <row r="51519" spans="23:23">
      <c r="W51519" s="503"/>
    </row>
    <row r="51520" spans="23:23">
      <c r="W51520" s="503"/>
    </row>
    <row r="51521" spans="23:23">
      <c r="W51521" s="503"/>
    </row>
    <row r="51522" spans="23:23">
      <c r="W51522" s="503"/>
    </row>
    <row r="51523" spans="23:23">
      <c r="W51523" s="503"/>
    </row>
    <row r="51524" spans="23:23">
      <c r="W51524" s="503"/>
    </row>
    <row r="51525" spans="23:23">
      <c r="W51525" s="503"/>
    </row>
    <row r="51526" spans="23:23">
      <c r="W51526" s="503"/>
    </row>
    <row r="51527" spans="23:23">
      <c r="W51527" s="503"/>
    </row>
    <row r="51528" spans="23:23">
      <c r="W51528" s="503"/>
    </row>
    <row r="51529" spans="23:23">
      <c r="W51529" s="503"/>
    </row>
    <row r="51530" spans="23:23">
      <c r="W51530" s="503"/>
    </row>
    <row r="51531" spans="23:23">
      <c r="W51531" s="503"/>
    </row>
    <row r="51532" spans="23:23">
      <c r="W51532" s="503"/>
    </row>
    <row r="51533" spans="23:23">
      <c r="W51533" s="503"/>
    </row>
    <row r="51534" spans="23:23">
      <c r="W51534" s="503"/>
    </row>
    <row r="51535" spans="23:23">
      <c r="W51535" s="503"/>
    </row>
    <row r="51536" spans="23:23">
      <c r="W51536" s="503"/>
    </row>
    <row r="51537" spans="23:23">
      <c r="W51537" s="503"/>
    </row>
    <row r="51538" spans="23:23">
      <c r="W51538" s="503"/>
    </row>
    <row r="51539" spans="23:23">
      <c r="W51539" s="503"/>
    </row>
    <row r="51540" spans="23:23">
      <c r="W51540" s="503"/>
    </row>
    <row r="51541" spans="23:23">
      <c r="W51541" s="503"/>
    </row>
    <row r="51542" spans="23:23">
      <c r="W51542" s="503"/>
    </row>
    <row r="51543" spans="23:23">
      <c r="W51543" s="503"/>
    </row>
    <row r="51544" spans="23:23">
      <c r="W51544" s="503"/>
    </row>
    <row r="51545" spans="23:23">
      <c r="W51545" s="503"/>
    </row>
    <row r="51546" spans="23:23">
      <c r="W51546" s="503"/>
    </row>
    <row r="51547" spans="23:23">
      <c r="W51547" s="503"/>
    </row>
    <row r="51548" spans="23:23">
      <c r="W51548" s="503"/>
    </row>
    <row r="51549" spans="23:23">
      <c r="W51549" s="503"/>
    </row>
    <row r="51550" spans="23:23">
      <c r="W51550" s="503"/>
    </row>
    <row r="51551" spans="23:23">
      <c r="W51551" s="503"/>
    </row>
    <row r="51552" spans="23:23">
      <c r="W51552" s="503"/>
    </row>
    <row r="51553" spans="23:23">
      <c r="W51553" s="503"/>
    </row>
    <row r="51554" spans="23:23">
      <c r="W51554" s="503"/>
    </row>
    <row r="51555" spans="23:23">
      <c r="W51555" s="503"/>
    </row>
    <row r="51556" spans="23:23">
      <c r="W51556" s="503"/>
    </row>
    <row r="51557" spans="23:23">
      <c r="W51557" s="503"/>
    </row>
    <row r="51558" spans="23:23">
      <c r="W51558" s="503"/>
    </row>
    <row r="51559" spans="23:23">
      <c r="W51559" s="503"/>
    </row>
    <row r="51560" spans="23:23">
      <c r="W51560" s="503"/>
    </row>
    <row r="51561" spans="23:23">
      <c r="W51561" s="503"/>
    </row>
    <row r="51562" spans="23:23">
      <c r="W51562" s="503"/>
    </row>
    <row r="51563" spans="23:23">
      <c r="W51563" s="503"/>
    </row>
    <row r="51564" spans="23:23">
      <c r="W51564" s="503"/>
    </row>
    <row r="51565" spans="23:23">
      <c r="W51565" s="503"/>
    </row>
    <row r="51566" spans="23:23">
      <c r="W51566" s="503"/>
    </row>
    <row r="51567" spans="23:23">
      <c r="W51567" s="503"/>
    </row>
    <row r="51568" spans="23:23">
      <c r="W51568" s="503"/>
    </row>
    <row r="51569" spans="23:23">
      <c r="W51569" s="503"/>
    </row>
    <row r="51570" spans="23:23">
      <c r="W51570" s="503"/>
    </row>
    <row r="51571" spans="23:23">
      <c r="W51571" s="503"/>
    </row>
    <row r="51572" spans="23:23">
      <c r="W51572" s="503"/>
    </row>
    <row r="51573" spans="23:23">
      <c r="W51573" s="503"/>
    </row>
    <row r="51574" spans="23:23">
      <c r="W51574" s="503"/>
    </row>
    <row r="51575" spans="23:23">
      <c r="W51575" s="503"/>
    </row>
    <row r="51576" spans="23:23">
      <c r="W51576" s="503"/>
    </row>
    <row r="51577" spans="23:23">
      <c r="W51577" s="503"/>
    </row>
    <row r="51578" spans="23:23">
      <c r="W51578" s="503"/>
    </row>
    <row r="51579" spans="23:23">
      <c r="W51579" s="503"/>
    </row>
    <row r="51580" spans="23:23">
      <c r="W51580" s="503"/>
    </row>
    <row r="51581" spans="23:23">
      <c r="W51581" s="503"/>
    </row>
    <row r="51582" spans="23:23">
      <c r="W51582" s="503"/>
    </row>
    <row r="51583" spans="23:23">
      <c r="W51583" s="503"/>
    </row>
    <row r="51584" spans="23:23">
      <c r="W51584" s="503"/>
    </row>
    <row r="51585" spans="23:23">
      <c r="W51585" s="503"/>
    </row>
    <row r="51586" spans="23:23">
      <c r="W51586" s="503"/>
    </row>
    <row r="51587" spans="23:23">
      <c r="W51587" s="503"/>
    </row>
    <row r="51588" spans="23:23">
      <c r="W51588" s="503"/>
    </row>
    <row r="51589" spans="23:23">
      <c r="W51589" s="503"/>
    </row>
    <row r="51590" spans="23:23">
      <c r="W51590" s="503"/>
    </row>
    <row r="51591" spans="23:23">
      <c r="W51591" s="503"/>
    </row>
    <row r="51592" spans="23:23">
      <c r="W51592" s="503"/>
    </row>
    <row r="51593" spans="23:23">
      <c r="W51593" s="503"/>
    </row>
    <row r="51594" spans="23:23">
      <c r="W51594" s="503"/>
    </row>
    <row r="51595" spans="23:23">
      <c r="W51595" s="503"/>
    </row>
    <row r="51596" spans="23:23">
      <c r="W51596" s="503"/>
    </row>
    <row r="51597" spans="23:23">
      <c r="W51597" s="503"/>
    </row>
    <row r="51598" spans="23:23">
      <c r="W51598" s="503"/>
    </row>
    <row r="51599" spans="23:23">
      <c r="W51599" s="503"/>
    </row>
    <row r="51600" spans="23:23">
      <c r="W51600" s="503"/>
    </row>
    <row r="51601" spans="23:23">
      <c r="W51601" s="503"/>
    </row>
    <row r="51602" spans="23:23">
      <c r="W51602" s="503"/>
    </row>
    <row r="51603" spans="23:23">
      <c r="W51603" s="503"/>
    </row>
    <row r="51604" spans="23:23">
      <c r="W51604" s="503"/>
    </row>
    <row r="51605" spans="23:23">
      <c r="W51605" s="503"/>
    </row>
    <row r="51606" spans="23:23">
      <c r="W51606" s="503"/>
    </row>
    <row r="51607" spans="23:23">
      <c r="W51607" s="503"/>
    </row>
    <row r="51608" spans="23:23">
      <c r="W51608" s="503"/>
    </row>
    <row r="51609" spans="23:23">
      <c r="W51609" s="503"/>
    </row>
    <row r="51610" spans="23:23">
      <c r="W51610" s="503"/>
    </row>
    <row r="51611" spans="23:23">
      <c r="W51611" s="503"/>
    </row>
    <row r="51612" spans="23:23">
      <c r="W51612" s="503"/>
    </row>
    <row r="51613" spans="23:23">
      <c r="W51613" s="503"/>
    </row>
    <row r="51614" spans="23:23">
      <c r="W51614" s="503"/>
    </row>
    <row r="51615" spans="23:23">
      <c r="W51615" s="503"/>
    </row>
    <row r="51616" spans="23:23">
      <c r="W51616" s="503"/>
    </row>
    <row r="51617" spans="23:23">
      <c r="W51617" s="503"/>
    </row>
    <row r="51618" spans="23:23">
      <c r="W51618" s="503"/>
    </row>
    <row r="51619" spans="23:23">
      <c r="W51619" s="503"/>
    </row>
    <row r="51620" spans="23:23">
      <c r="W51620" s="503"/>
    </row>
    <row r="51621" spans="23:23">
      <c r="W51621" s="503"/>
    </row>
    <row r="51622" spans="23:23">
      <c r="W51622" s="503"/>
    </row>
    <row r="51623" spans="23:23">
      <c r="W51623" s="503"/>
    </row>
    <row r="51624" spans="23:23">
      <c r="W51624" s="503"/>
    </row>
    <row r="51625" spans="23:23">
      <c r="W51625" s="503"/>
    </row>
    <row r="51626" spans="23:23">
      <c r="W51626" s="503"/>
    </row>
    <row r="51627" spans="23:23">
      <c r="W51627" s="503"/>
    </row>
    <row r="51628" spans="23:23">
      <c r="W51628" s="503"/>
    </row>
    <row r="51629" spans="23:23">
      <c r="W51629" s="503"/>
    </row>
    <row r="51630" spans="23:23">
      <c r="W51630" s="503"/>
    </row>
    <row r="51631" spans="23:23">
      <c r="W51631" s="503"/>
    </row>
    <row r="51632" spans="23:23">
      <c r="W51632" s="503"/>
    </row>
    <row r="51633" spans="23:23">
      <c r="W51633" s="503"/>
    </row>
    <row r="51634" spans="23:23">
      <c r="W51634" s="503"/>
    </row>
    <row r="51635" spans="23:23">
      <c r="W51635" s="503"/>
    </row>
    <row r="51636" spans="23:23">
      <c r="W51636" s="503"/>
    </row>
    <row r="51637" spans="23:23">
      <c r="W51637" s="503"/>
    </row>
    <row r="51638" spans="23:23">
      <c r="W51638" s="503"/>
    </row>
    <row r="51639" spans="23:23">
      <c r="W51639" s="503"/>
    </row>
    <row r="51640" spans="23:23">
      <c r="W51640" s="503"/>
    </row>
    <row r="51641" spans="23:23">
      <c r="W51641" s="503"/>
    </row>
    <row r="51642" spans="23:23">
      <c r="W51642" s="503"/>
    </row>
    <row r="51643" spans="23:23">
      <c r="W51643" s="503"/>
    </row>
    <row r="51644" spans="23:23">
      <c r="W51644" s="503"/>
    </row>
    <row r="51645" spans="23:23">
      <c r="W51645" s="503"/>
    </row>
    <row r="51646" spans="23:23">
      <c r="W51646" s="503"/>
    </row>
    <row r="51647" spans="23:23">
      <c r="W51647" s="503"/>
    </row>
    <row r="51648" spans="23:23">
      <c r="W51648" s="503"/>
    </row>
    <row r="51649" spans="23:23">
      <c r="W51649" s="503"/>
    </row>
    <row r="51650" spans="23:23">
      <c r="W51650" s="503"/>
    </row>
    <row r="51651" spans="23:23">
      <c r="W51651" s="503"/>
    </row>
    <row r="51652" spans="23:23">
      <c r="W51652" s="503"/>
    </row>
    <row r="51653" spans="23:23">
      <c r="W51653" s="503"/>
    </row>
    <row r="51654" spans="23:23">
      <c r="W51654" s="503"/>
    </row>
    <row r="51655" spans="23:23">
      <c r="W51655" s="503"/>
    </row>
    <row r="51656" spans="23:23">
      <c r="W51656" s="503"/>
    </row>
    <row r="51657" spans="23:23">
      <c r="W51657" s="503"/>
    </row>
    <row r="51658" spans="23:23">
      <c r="W51658" s="503"/>
    </row>
    <row r="51659" spans="23:23">
      <c r="W51659" s="503"/>
    </row>
    <row r="51660" spans="23:23">
      <c r="W51660" s="503"/>
    </row>
    <row r="51661" spans="23:23">
      <c r="W51661" s="503"/>
    </row>
    <row r="51662" spans="23:23">
      <c r="W51662" s="503"/>
    </row>
    <row r="51663" spans="23:23">
      <c r="W51663" s="503"/>
    </row>
    <row r="51664" spans="23:23">
      <c r="W51664" s="503"/>
    </row>
    <row r="51665" spans="23:23">
      <c r="W51665" s="503"/>
    </row>
    <row r="51666" spans="23:23">
      <c r="W51666" s="503"/>
    </row>
    <row r="51667" spans="23:23">
      <c r="W51667" s="503"/>
    </row>
    <row r="51668" spans="23:23">
      <c r="W51668" s="503"/>
    </row>
    <row r="51669" spans="23:23">
      <c r="W51669" s="503"/>
    </row>
    <row r="51670" spans="23:23">
      <c r="W51670" s="503"/>
    </row>
    <row r="51671" spans="23:23">
      <c r="W51671" s="503"/>
    </row>
    <row r="51672" spans="23:23">
      <c r="W51672" s="503"/>
    </row>
    <row r="51673" spans="23:23">
      <c r="W51673" s="503"/>
    </row>
    <row r="51674" spans="23:23">
      <c r="W51674" s="503"/>
    </row>
    <row r="51675" spans="23:23">
      <c r="W51675" s="503"/>
    </row>
    <row r="51676" spans="23:23">
      <c r="W51676" s="503"/>
    </row>
    <row r="51677" spans="23:23">
      <c r="W51677" s="503"/>
    </row>
    <row r="51678" spans="23:23">
      <c r="W51678" s="503"/>
    </row>
    <row r="51679" spans="23:23">
      <c r="W51679" s="503"/>
    </row>
    <row r="51680" spans="23:23">
      <c r="W51680" s="503"/>
    </row>
    <row r="51681" spans="23:23">
      <c r="W51681" s="503"/>
    </row>
    <row r="51682" spans="23:23">
      <c r="W51682" s="503"/>
    </row>
    <row r="51683" spans="23:23">
      <c r="W51683" s="503"/>
    </row>
    <row r="51684" spans="23:23">
      <c r="W51684" s="503"/>
    </row>
    <row r="51685" spans="23:23">
      <c r="W51685" s="503"/>
    </row>
    <row r="51686" spans="23:23">
      <c r="W51686" s="503"/>
    </row>
    <row r="51687" spans="23:23">
      <c r="W51687" s="503"/>
    </row>
    <row r="51688" spans="23:23">
      <c r="W51688" s="503"/>
    </row>
    <row r="51689" spans="23:23">
      <c r="W51689" s="503"/>
    </row>
    <row r="51690" spans="23:23">
      <c r="W51690" s="503"/>
    </row>
    <row r="51691" spans="23:23">
      <c r="W51691" s="503"/>
    </row>
    <row r="51692" spans="23:23">
      <c r="W51692" s="503"/>
    </row>
    <row r="51693" spans="23:23">
      <c r="W51693" s="503"/>
    </row>
    <row r="51694" spans="23:23">
      <c r="W51694" s="503"/>
    </row>
    <row r="51695" spans="23:23">
      <c r="W51695" s="503"/>
    </row>
    <row r="51696" spans="23:23">
      <c r="W51696" s="503"/>
    </row>
    <row r="51697" spans="23:23">
      <c r="W51697" s="503"/>
    </row>
    <row r="51698" spans="23:23">
      <c r="W51698" s="503"/>
    </row>
    <row r="51699" spans="23:23">
      <c r="W51699" s="503"/>
    </row>
    <row r="51700" spans="23:23">
      <c r="W51700" s="503"/>
    </row>
    <row r="51701" spans="23:23">
      <c r="W51701" s="503"/>
    </row>
    <row r="51702" spans="23:23">
      <c r="W51702" s="503"/>
    </row>
    <row r="51703" spans="23:23">
      <c r="W51703" s="503"/>
    </row>
    <row r="51704" spans="23:23">
      <c r="W51704" s="503"/>
    </row>
    <row r="51705" spans="23:23">
      <c r="W51705" s="503"/>
    </row>
    <row r="51706" spans="23:23">
      <c r="W51706" s="503"/>
    </row>
    <row r="51707" spans="23:23">
      <c r="W51707" s="503"/>
    </row>
    <row r="51708" spans="23:23">
      <c r="W51708" s="503"/>
    </row>
    <row r="51709" spans="23:23">
      <c r="W51709" s="503"/>
    </row>
    <row r="51710" spans="23:23">
      <c r="W51710" s="503"/>
    </row>
    <row r="51711" spans="23:23">
      <c r="W51711" s="503"/>
    </row>
    <row r="51712" spans="23:23">
      <c r="W51712" s="503"/>
    </row>
    <row r="51713" spans="23:23">
      <c r="W51713" s="503"/>
    </row>
    <row r="51714" spans="23:23">
      <c r="W51714" s="503"/>
    </row>
    <row r="51715" spans="23:23">
      <c r="W51715" s="503"/>
    </row>
    <row r="51716" spans="23:23">
      <c r="W51716" s="503"/>
    </row>
    <row r="51717" spans="23:23">
      <c r="W51717" s="503"/>
    </row>
    <row r="51718" spans="23:23">
      <c r="W51718" s="503"/>
    </row>
    <row r="51719" spans="23:23">
      <c r="W51719" s="503"/>
    </row>
    <row r="51720" spans="23:23">
      <c r="W51720" s="503"/>
    </row>
    <row r="51721" spans="23:23">
      <c r="W51721" s="503"/>
    </row>
    <row r="51722" spans="23:23">
      <c r="W51722" s="503"/>
    </row>
    <row r="51723" spans="23:23">
      <c r="W51723" s="503"/>
    </row>
    <row r="51724" spans="23:23">
      <c r="W51724" s="503"/>
    </row>
    <row r="51725" spans="23:23">
      <c r="W51725" s="503"/>
    </row>
    <row r="51726" spans="23:23">
      <c r="W51726" s="503"/>
    </row>
    <row r="51727" spans="23:23">
      <c r="W51727" s="503"/>
    </row>
    <row r="51728" spans="23:23">
      <c r="W51728" s="503"/>
    </row>
    <row r="51729" spans="23:23">
      <c r="W51729" s="503"/>
    </row>
    <row r="51730" spans="23:23">
      <c r="W51730" s="503"/>
    </row>
    <row r="51731" spans="23:23">
      <c r="W51731" s="503"/>
    </row>
    <row r="51732" spans="23:23">
      <c r="W51732" s="503"/>
    </row>
    <row r="51733" spans="23:23">
      <c r="W51733" s="503"/>
    </row>
    <row r="51734" spans="23:23">
      <c r="W51734" s="503"/>
    </row>
    <row r="51735" spans="23:23">
      <c r="W51735" s="503"/>
    </row>
    <row r="51736" spans="23:23">
      <c r="W51736" s="503"/>
    </row>
    <row r="51737" spans="23:23">
      <c r="W51737" s="503"/>
    </row>
    <row r="51738" spans="23:23">
      <c r="W51738" s="503"/>
    </row>
    <row r="51739" spans="23:23">
      <c r="W51739" s="503"/>
    </row>
    <row r="51740" spans="23:23">
      <c r="W51740" s="503"/>
    </row>
    <row r="51741" spans="23:23">
      <c r="W51741" s="503"/>
    </row>
    <row r="51742" spans="23:23">
      <c r="W51742" s="503"/>
    </row>
    <row r="51743" spans="23:23">
      <c r="W51743" s="503"/>
    </row>
    <row r="51744" spans="23:23">
      <c r="W51744" s="503"/>
    </row>
    <row r="51745" spans="23:23">
      <c r="W51745" s="503"/>
    </row>
    <row r="51746" spans="23:23">
      <c r="W51746" s="503"/>
    </row>
    <row r="51747" spans="23:23">
      <c r="W51747" s="503"/>
    </row>
    <row r="51748" spans="23:23">
      <c r="W51748" s="503"/>
    </row>
    <row r="51749" spans="23:23">
      <c r="W51749" s="503"/>
    </row>
    <row r="51750" spans="23:23">
      <c r="W51750" s="503"/>
    </row>
    <row r="51751" spans="23:23">
      <c r="W51751" s="503"/>
    </row>
    <row r="51752" spans="23:23">
      <c r="W51752" s="503"/>
    </row>
    <row r="51753" spans="23:23">
      <c r="W51753" s="503"/>
    </row>
    <row r="51754" spans="23:23">
      <c r="W51754" s="503"/>
    </row>
    <row r="51755" spans="23:23">
      <c r="W51755" s="503"/>
    </row>
    <row r="51756" spans="23:23">
      <c r="W51756" s="503"/>
    </row>
    <row r="51757" spans="23:23">
      <c r="W51757" s="503"/>
    </row>
    <row r="51758" spans="23:23">
      <c r="W51758" s="503"/>
    </row>
    <row r="51759" spans="23:23">
      <c r="W51759" s="503"/>
    </row>
    <row r="51760" spans="23:23">
      <c r="W51760" s="503"/>
    </row>
    <row r="51761" spans="23:23">
      <c r="W51761" s="503"/>
    </row>
    <row r="51762" spans="23:23">
      <c r="W51762" s="503"/>
    </row>
    <row r="51763" spans="23:23">
      <c r="W51763" s="503"/>
    </row>
    <row r="51764" spans="23:23">
      <c r="W51764" s="503"/>
    </row>
    <row r="51765" spans="23:23">
      <c r="W51765" s="503"/>
    </row>
    <row r="51766" spans="23:23">
      <c r="W51766" s="503"/>
    </row>
    <row r="51767" spans="23:23">
      <c r="W51767" s="503"/>
    </row>
    <row r="51768" spans="23:23">
      <c r="W51768" s="503"/>
    </row>
    <row r="51769" spans="23:23">
      <c r="W51769" s="503"/>
    </row>
    <row r="51770" spans="23:23">
      <c r="W51770" s="503"/>
    </row>
    <row r="51771" spans="23:23">
      <c r="W51771" s="503"/>
    </row>
    <row r="51772" spans="23:23">
      <c r="W51772" s="503"/>
    </row>
    <row r="51773" spans="23:23">
      <c r="W51773" s="503"/>
    </row>
    <row r="51774" spans="23:23">
      <c r="W51774" s="503"/>
    </row>
    <row r="51775" spans="23:23">
      <c r="W51775" s="503"/>
    </row>
    <row r="51776" spans="23:23">
      <c r="W51776" s="503"/>
    </row>
    <row r="51777" spans="23:23">
      <c r="W51777" s="503"/>
    </row>
    <row r="51778" spans="23:23">
      <c r="W51778" s="503"/>
    </row>
    <row r="51779" spans="23:23">
      <c r="W51779" s="503"/>
    </row>
    <row r="51780" spans="23:23">
      <c r="W51780" s="503"/>
    </row>
    <row r="51781" spans="23:23">
      <c r="W51781" s="503"/>
    </row>
    <row r="51782" spans="23:23">
      <c r="W51782" s="503"/>
    </row>
    <row r="51783" spans="23:23">
      <c r="W51783" s="503"/>
    </row>
    <row r="51784" spans="23:23">
      <c r="W51784" s="503"/>
    </row>
    <row r="51785" spans="23:23">
      <c r="W51785" s="503"/>
    </row>
    <row r="51786" spans="23:23">
      <c r="W51786" s="503"/>
    </row>
    <row r="51787" spans="23:23">
      <c r="W51787" s="503"/>
    </row>
    <row r="51788" spans="23:23">
      <c r="W51788" s="503"/>
    </row>
    <row r="51789" spans="23:23">
      <c r="W51789" s="503"/>
    </row>
    <row r="51790" spans="23:23">
      <c r="W51790" s="503"/>
    </row>
    <row r="51791" spans="23:23">
      <c r="W51791" s="503"/>
    </row>
    <row r="51792" spans="23:23">
      <c r="W51792" s="503"/>
    </row>
    <row r="51793" spans="23:23">
      <c r="W51793" s="503"/>
    </row>
    <row r="51794" spans="23:23">
      <c r="W51794" s="503"/>
    </row>
    <row r="51795" spans="23:23">
      <c r="W51795" s="503"/>
    </row>
    <row r="51796" spans="23:23">
      <c r="W51796" s="503"/>
    </row>
    <row r="51797" spans="23:23">
      <c r="W51797" s="503"/>
    </row>
    <row r="51798" spans="23:23">
      <c r="W51798" s="503"/>
    </row>
    <row r="51799" spans="23:23">
      <c r="W51799" s="503"/>
    </row>
    <row r="51800" spans="23:23">
      <c r="W51800" s="503"/>
    </row>
    <row r="51801" spans="23:23">
      <c r="W51801" s="503"/>
    </row>
    <row r="51802" spans="23:23">
      <c r="W51802" s="503"/>
    </row>
    <row r="51803" spans="23:23">
      <c r="W51803" s="503"/>
    </row>
    <row r="51804" spans="23:23">
      <c r="W51804" s="503"/>
    </row>
    <row r="51805" spans="23:23">
      <c r="W51805" s="503"/>
    </row>
    <row r="51806" spans="23:23">
      <c r="W51806" s="503"/>
    </row>
    <row r="51807" spans="23:23">
      <c r="W51807" s="503"/>
    </row>
    <row r="51808" spans="23:23">
      <c r="W51808" s="503"/>
    </row>
    <row r="51809" spans="23:23">
      <c r="W51809" s="503"/>
    </row>
    <row r="51810" spans="23:23">
      <c r="W51810" s="503"/>
    </row>
    <row r="51811" spans="23:23">
      <c r="W51811" s="503"/>
    </row>
    <row r="51812" spans="23:23">
      <c r="W51812" s="503"/>
    </row>
    <row r="51813" spans="23:23">
      <c r="W51813" s="503"/>
    </row>
    <row r="51814" spans="23:23">
      <c r="W51814" s="503"/>
    </row>
    <row r="51815" spans="23:23">
      <c r="W51815" s="503"/>
    </row>
    <row r="51816" spans="23:23">
      <c r="W51816" s="503"/>
    </row>
    <row r="51817" spans="23:23">
      <c r="W51817" s="503"/>
    </row>
    <row r="51818" spans="23:23">
      <c r="W51818" s="503"/>
    </row>
    <row r="51819" spans="23:23">
      <c r="W51819" s="503"/>
    </row>
    <row r="51820" spans="23:23">
      <c r="W51820" s="503"/>
    </row>
    <row r="51821" spans="23:23">
      <c r="W51821" s="503"/>
    </row>
    <row r="51822" spans="23:23">
      <c r="W51822" s="503"/>
    </row>
    <row r="51823" spans="23:23">
      <c r="W51823" s="503"/>
    </row>
    <row r="51824" spans="23:23">
      <c r="W51824" s="503"/>
    </row>
    <row r="51825" spans="23:23">
      <c r="W51825" s="503"/>
    </row>
    <row r="51826" spans="23:23">
      <c r="W51826" s="503"/>
    </row>
    <row r="51827" spans="23:23">
      <c r="W51827" s="503"/>
    </row>
    <row r="51828" spans="23:23">
      <c r="W51828" s="503"/>
    </row>
    <row r="51829" spans="23:23">
      <c r="W51829" s="503"/>
    </row>
    <row r="51830" spans="23:23">
      <c r="W51830" s="503"/>
    </row>
    <row r="51831" spans="23:23">
      <c r="W51831" s="503"/>
    </row>
    <row r="51832" spans="23:23">
      <c r="W51832" s="503"/>
    </row>
    <row r="51833" spans="23:23">
      <c r="W51833" s="503"/>
    </row>
    <row r="51834" spans="23:23">
      <c r="W51834" s="503"/>
    </row>
    <row r="51835" spans="23:23">
      <c r="W51835" s="503"/>
    </row>
    <row r="51836" spans="23:23">
      <c r="W51836" s="503"/>
    </row>
    <row r="51837" spans="23:23">
      <c r="W51837" s="503"/>
    </row>
    <row r="51838" spans="23:23">
      <c r="W51838" s="503"/>
    </row>
    <row r="51839" spans="23:23">
      <c r="W51839" s="503"/>
    </row>
    <row r="51840" spans="23:23">
      <c r="W51840" s="503"/>
    </row>
    <row r="51841" spans="23:23">
      <c r="W51841" s="503"/>
    </row>
    <row r="51842" spans="23:23">
      <c r="W51842" s="503"/>
    </row>
    <row r="51843" spans="23:23">
      <c r="W51843" s="503"/>
    </row>
    <row r="51844" spans="23:23">
      <c r="W51844" s="503"/>
    </row>
    <row r="51845" spans="23:23">
      <c r="W51845" s="503"/>
    </row>
    <row r="51846" spans="23:23">
      <c r="W51846" s="503"/>
    </row>
    <row r="51847" spans="23:23">
      <c r="W51847" s="503"/>
    </row>
    <row r="51848" spans="23:23">
      <c r="W51848" s="503"/>
    </row>
    <row r="51849" spans="23:23">
      <c r="W51849" s="503"/>
    </row>
    <row r="51850" spans="23:23">
      <c r="W51850" s="503"/>
    </row>
    <row r="51851" spans="23:23">
      <c r="W51851" s="503"/>
    </row>
    <row r="51852" spans="23:23">
      <c r="W51852" s="503"/>
    </row>
    <row r="51853" spans="23:23">
      <c r="W51853" s="503"/>
    </row>
    <row r="51854" spans="23:23">
      <c r="W51854" s="503"/>
    </row>
    <row r="51855" spans="23:23">
      <c r="W51855" s="503"/>
    </row>
    <row r="51856" spans="23:23">
      <c r="W51856" s="503"/>
    </row>
    <row r="51857" spans="23:23">
      <c r="W51857" s="503"/>
    </row>
    <row r="51858" spans="23:23">
      <c r="W51858" s="503"/>
    </row>
    <row r="51859" spans="23:23">
      <c r="W51859" s="503"/>
    </row>
    <row r="51860" spans="23:23">
      <c r="W51860" s="503"/>
    </row>
    <row r="51861" spans="23:23">
      <c r="W51861" s="503"/>
    </row>
    <row r="51862" spans="23:23">
      <c r="W51862" s="503"/>
    </row>
    <row r="51863" spans="23:23">
      <c r="W51863" s="503"/>
    </row>
    <row r="51864" spans="23:23">
      <c r="W51864" s="503"/>
    </row>
    <row r="51865" spans="23:23">
      <c r="W51865" s="503"/>
    </row>
    <row r="51866" spans="23:23">
      <c r="W51866" s="503"/>
    </row>
    <row r="51867" spans="23:23">
      <c r="W51867" s="503"/>
    </row>
    <row r="51868" spans="23:23">
      <c r="W51868" s="503"/>
    </row>
    <row r="51869" spans="23:23">
      <c r="W51869" s="503"/>
    </row>
    <row r="51870" spans="23:23">
      <c r="W51870" s="503"/>
    </row>
    <row r="51871" spans="23:23">
      <c r="W51871" s="503"/>
    </row>
    <row r="51872" spans="23:23">
      <c r="W51872" s="503"/>
    </row>
    <row r="51873" spans="23:23">
      <c r="W51873" s="503"/>
    </row>
    <row r="51874" spans="23:23">
      <c r="W51874" s="503"/>
    </row>
    <row r="51875" spans="23:23">
      <c r="W51875" s="503"/>
    </row>
    <row r="51876" spans="23:23">
      <c r="W51876" s="503"/>
    </row>
    <row r="51877" spans="23:23">
      <c r="W51877" s="503"/>
    </row>
    <row r="51878" spans="23:23">
      <c r="W51878" s="503"/>
    </row>
    <row r="51879" spans="23:23">
      <c r="W51879" s="503"/>
    </row>
    <row r="51880" spans="23:23">
      <c r="W51880" s="503"/>
    </row>
    <row r="51881" spans="23:23">
      <c r="W51881" s="503"/>
    </row>
    <row r="51882" spans="23:23">
      <c r="W51882" s="503"/>
    </row>
    <row r="51883" spans="23:23">
      <c r="W51883" s="503"/>
    </row>
    <row r="51884" spans="23:23">
      <c r="W51884" s="503"/>
    </row>
    <row r="51885" spans="23:23">
      <c r="W51885" s="503"/>
    </row>
    <row r="51886" spans="23:23">
      <c r="W51886" s="503"/>
    </row>
    <row r="51887" spans="23:23">
      <c r="W51887" s="503"/>
    </row>
    <row r="51888" spans="23:23">
      <c r="W51888" s="503"/>
    </row>
    <row r="51889" spans="23:23">
      <c r="W51889" s="503"/>
    </row>
    <row r="51890" spans="23:23">
      <c r="W51890" s="503"/>
    </row>
    <row r="51891" spans="23:23">
      <c r="W51891" s="503"/>
    </row>
    <row r="51892" spans="23:23">
      <c r="W51892" s="503"/>
    </row>
    <row r="51893" spans="23:23">
      <c r="W51893" s="503"/>
    </row>
    <row r="51894" spans="23:23">
      <c r="W51894" s="503"/>
    </row>
    <row r="51895" spans="23:23">
      <c r="W51895" s="503"/>
    </row>
    <row r="51896" spans="23:23">
      <c r="W51896" s="503"/>
    </row>
    <row r="51897" spans="23:23">
      <c r="W51897" s="503"/>
    </row>
    <row r="51898" spans="23:23">
      <c r="W51898" s="503"/>
    </row>
    <row r="51899" spans="23:23">
      <c r="W51899" s="503"/>
    </row>
    <row r="51900" spans="23:23">
      <c r="W51900" s="503"/>
    </row>
    <row r="51901" spans="23:23">
      <c r="W51901" s="503"/>
    </row>
    <row r="51902" spans="23:23">
      <c r="W51902" s="503"/>
    </row>
    <row r="51903" spans="23:23">
      <c r="W51903" s="503"/>
    </row>
    <row r="51904" spans="23:23">
      <c r="W51904" s="503"/>
    </row>
    <row r="51905" spans="23:23">
      <c r="W51905" s="503"/>
    </row>
    <row r="51906" spans="23:23">
      <c r="W51906" s="503"/>
    </row>
    <row r="51907" spans="23:23">
      <c r="W51907" s="503"/>
    </row>
    <row r="51908" spans="23:23">
      <c r="W51908" s="503"/>
    </row>
    <row r="51909" spans="23:23">
      <c r="W51909" s="503"/>
    </row>
    <row r="51910" spans="23:23">
      <c r="W51910" s="503"/>
    </row>
    <row r="51911" spans="23:23">
      <c r="W51911" s="503"/>
    </row>
    <row r="51912" spans="23:23">
      <c r="W51912" s="503"/>
    </row>
    <row r="51913" spans="23:23">
      <c r="W51913" s="503"/>
    </row>
    <row r="51914" spans="23:23">
      <c r="W51914" s="503"/>
    </row>
    <row r="51915" spans="23:23">
      <c r="W51915" s="503"/>
    </row>
    <row r="51916" spans="23:23">
      <c r="W51916" s="503"/>
    </row>
    <row r="51917" spans="23:23">
      <c r="W51917" s="503"/>
    </row>
    <row r="51918" spans="23:23">
      <c r="W51918" s="503"/>
    </row>
    <row r="51919" spans="23:23">
      <c r="W51919" s="503"/>
    </row>
    <row r="51920" spans="23:23">
      <c r="W51920" s="503"/>
    </row>
    <row r="51921" spans="23:23">
      <c r="W51921" s="503"/>
    </row>
    <row r="51922" spans="23:23">
      <c r="W51922" s="503"/>
    </row>
    <row r="51923" spans="23:23">
      <c r="W51923" s="503"/>
    </row>
    <row r="51924" spans="23:23">
      <c r="W51924" s="503"/>
    </row>
    <row r="51925" spans="23:23">
      <c r="W51925" s="503"/>
    </row>
    <row r="51926" spans="23:23">
      <c r="W51926" s="503"/>
    </row>
    <row r="51927" spans="23:23">
      <c r="W51927" s="503"/>
    </row>
    <row r="51928" spans="23:23">
      <c r="W51928" s="503"/>
    </row>
    <row r="51929" spans="23:23">
      <c r="W51929" s="503"/>
    </row>
    <row r="51930" spans="23:23">
      <c r="W51930" s="503"/>
    </row>
    <row r="51931" spans="23:23">
      <c r="W51931" s="503"/>
    </row>
    <row r="51932" spans="23:23">
      <c r="W51932" s="503"/>
    </row>
    <row r="51933" spans="23:23">
      <c r="W51933" s="503"/>
    </row>
    <row r="51934" spans="23:23">
      <c r="W51934" s="503"/>
    </row>
    <row r="51935" spans="23:23">
      <c r="W51935" s="503"/>
    </row>
    <row r="51936" spans="23:23">
      <c r="W51936" s="503"/>
    </row>
    <row r="51937" spans="23:23">
      <c r="W51937" s="503"/>
    </row>
    <row r="51938" spans="23:23">
      <c r="W51938" s="503"/>
    </row>
    <row r="51939" spans="23:23">
      <c r="W51939" s="503"/>
    </row>
    <row r="51940" spans="23:23">
      <c r="W51940" s="503"/>
    </row>
    <row r="51941" spans="23:23">
      <c r="W51941" s="503"/>
    </row>
    <row r="51942" spans="23:23">
      <c r="W51942" s="503"/>
    </row>
    <row r="51943" spans="23:23">
      <c r="W51943" s="503"/>
    </row>
    <row r="51944" spans="23:23">
      <c r="W51944" s="503"/>
    </row>
    <row r="51945" spans="23:23">
      <c r="W51945" s="503"/>
    </row>
    <row r="51946" spans="23:23">
      <c r="W51946" s="503"/>
    </row>
    <row r="51947" spans="23:23">
      <c r="W51947" s="503"/>
    </row>
    <row r="51948" spans="23:23">
      <c r="W51948" s="503"/>
    </row>
    <row r="51949" spans="23:23">
      <c r="W51949" s="503"/>
    </row>
    <row r="51950" spans="23:23">
      <c r="W51950" s="503"/>
    </row>
    <row r="51951" spans="23:23">
      <c r="W51951" s="503"/>
    </row>
    <row r="51952" spans="23:23">
      <c r="W51952" s="503"/>
    </row>
    <row r="51953" spans="23:23">
      <c r="W51953" s="503"/>
    </row>
    <row r="51954" spans="23:23">
      <c r="W51954" s="503"/>
    </row>
    <row r="51955" spans="23:23">
      <c r="W51955" s="503"/>
    </row>
    <row r="51956" spans="23:23">
      <c r="W51956" s="503"/>
    </row>
    <row r="51957" spans="23:23">
      <c r="W51957" s="503"/>
    </row>
    <row r="51958" spans="23:23">
      <c r="W51958" s="503"/>
    </row>
    <row r="51959" spans="23:23">
      <c r="W51959" s="503"/>
    </row>
    <row r="51960" spans="23:23">
      <c r="W51960" s="503"/>
    </row>
    <row r="51961" spans="23:23">
      <c r="W51961" s="503"/>
    </row>
    <row r="51962" spans="23:23">
      <c r="W51962" s="503"/>
    </row>
    <row r="51963" spans="23:23">
      <c r="W51963" s="503"/>
    </row>
    <row r="51964" spans="23:23">
      <c r="W51964" s="503"/>
    </row>
    <row r="51965" spans="23:23">
      <c r="W51965" s="503"/>
    </row>
    <row r="51966" spans="23:23">
      <c r="W51966" s="503"/>
    </row>
    <row r="51967" spans="23:23">
      <c r="W51967" s="503"/>
    </row>
    <row r="51968" spans="23:23">
      <c r="W51968" s="503"/>
    </row>
    <row r="51969" spans="23:23">
      <c r="W51969" s="503"/>
    </row>
    <row r="51970" spans="23:23">
      <c r="W51970" s="503"/>
    </row>
    <row r="51971" spans="23:23">
      <c r="W51971" s="503"/>
    </row>
    <row r="51972" spans="23:23">
      <c r="W51972" s="503"/>
    </row>
    <row r="51973" spans="23:23">
      <c r="W51973" s="503"/>
    </row>
    <row r="51974" spans="23:23">
      <c r="W51974" s="503"/>
    </row>
    <row r="51975" spans="23:23">
      <c r="W51975" s="503"/>
    </row>
    <row r="51976" spans="23:23">
      <c r="W51976" s="503"/>
    </row>
    <row r="51977" spans="23:23">
      <c r="W51977" s="503"/>
    </row>
    <row r="51978" spans="23:23">
      <c r="W51978" s="503"/>
    </row>
    <row r="51979" spans="23:23">
      <c r="W51979" s="503"/>
    </row>
    <row r="51980" spans="23:23">
      <c r="W51980" s="503"/>
    </row>
    <row r="51981" spans="23:23">
      <c r="W51981" s="503"/>
    </row>
    <row r="51982" spans="23:23">
      <c r="W51982" s="503"/>
    </row>
    <row r="51983" spans="23:23">
      <c r="W51983" s="503"/>
    </row>
    <row r="51984" spans="23:23">
      <c r="W51984" s="503"/>
    </row>
    <row r="51985" spans="23:23">
      <c r="W51985" s="503"/>
    </row>
    <row r="51986" spans="23:23">
      <c r="W51986" s="503"/>
    </row>
    <row r="51987" spans="23:23">
      <c r="W51987" s="503"/>
    </row>
    <row r="51988" spans="23:23">
      <c r="W51988" s="503"/>
    </row>
    <row r="51989" spans="23:23">
      <c r="W51989" s="503"/>
    </row>
    <row r="51990" spans="23:23">
      <c r="W51990" s="503"/>
    </row>
    <row r="51991" spans="23:23">
      <c r="W51991" s="503"/>
    </row>
    <row r="51992" spans="23:23">
      <c r="W51992" s="503"/>
    </row>
    <row r="51993" spans="23:23">
      <c r="W51993" s="503"/>
    </row>
    <row r="51994" spans="23:23">
      <c r="W51994" s="503"/>
    </row>
    <row r="51995" spans="23:23">
      <c r="W51995" s="503"/>
    </row>
    <row r="51996" spans="23:23">
      <c r="W51996" s="503"/>
    </row>
    <row r="51997" spans="23:23">
      <c r="W51997" s="503"/>
    </row>
    <row r="51998" spans="23:23">
      <c r="W51998" s="503"/>
    </row>
    <row r="51999" spans="23:23">
      <c r="W51999" s="503"/>
    </row>
    <row r="52000" spans="23:23">
      <c r="W52000" s="503"/>
    </row>
    <row r="52001" spans="23:23">
      <c r="W52001" s="503"/>
    </row>
    <row r="52002" spans="23:23">
      <c r="W52002" s="503"/>
    </row>
    <row r="52003" spans="23:23">
      <c r="W52003" s="503"/>
    </row>
    <row r="52004" spans="23:23">
      <c r="W52004" s="503"/>
    </row>
    <row r="52005" spans="23:23">
      <c r="W52005" s="503"/>
    </row>
    <row r="52006" spans="23:23">
      <c r="W52006" s="503"/>
    </row>
    <row r="52007" spans="23:23">
      <c r="W52007" s="503"/>
    </row>
    <row r="52008" spans="23:23">
      <c r="W52008" s="503"/>
    </row>
    <row r="52009" spans="23:23">
      <c r="W52009" s="503"/>
    </row>
    <row r="52010" spans="23:23">
      <c r="W52010" s="503"/>
    </row>
    <row r="52011" spans="23:23">
      <c r="W52011" s="503"/>
    </row>
    <row r="52012" spans="23:23">
      <c r="W52012" s="503"/>
    </row>
    <row r="52013" spans="23:23">
      <c r="W52013" s="503"/>
    </row>
    <row r="52014" spans="23:23">
      <c r="W52014" s="503"/>
    </row>
    <row r="52015" spans="23:23">
      <c r="W52015" s="503"/>
    </row>
    <row r="52016" spans="23:23">
      <c r="W52016" s="503"/>
    </row>
    <row r="52017" spans="23:23">
      <c r="W52017" s="503"/>
    </row>
    <row r="52018" spans="23:23">
      <c r="W52018" s="503"/>
    </row>
    <row r="52019" spans="23:23">
      <c r="W52019" s="503"/>
    </row>
    <row r="52020" spans="23:23">
      <c r="W52020" s="503"/>
    </row>
    <row r="52021" spans="23:23">
      <c r="W52021" s="503"/>
    </row>
    <row r="52022" spans="23:23">
      <c r="W52022" s="503"/>
    </row>
    <row r="52023" spans="23:23">
      <c r="W52023" s="503"/>
    </row>
    <row r="52024" spans="23:23">
      <c r="W52024" s="503"/>
    </row>
    <row r="52025" spans="23:23">
      <c r="W52025" s="503"/>
    </row>
    <row r="52026" spans="23:23">
      <c r="W52026" s="503"/>
    </row>
    <row r="52027" spans="23:23">
      <c r="W52027" s="503"/>
    </row>
    <row r="52028" spans="23:23">
      <c r="W52028" s="503"/>
    </row>
    <row r="52029" spans="23:23">
      <c r="W52029" s="503"/>
    </row>
    <row r="52030" spans="23:23">
      <c r="W52030" s="503"/>
    </row>
    <row r="52031" spans="23:23">
      <c r="W52031" s="503"/>
    </row>
    <row r="52032" spans="23:23">
      <c r="W52032" s="503"/>
    </row>
    <row r="52033" spans="23:23">
      <c r="W52033" s="503"/>
    </row>
    <row r="52034" spans="23:23">
      <c r="W52034" s="503"/>
    </row>
    <row r="52035" spans="23:23">
      <c r="W52035" s="503"/>
    </row>
    <row r="52036" spans="23:23">
      <c r="W52036" s="503"/>
    </row>
    <row r="52037" spans="23:23">
      <c r="W52037" s="503"/>
    </row>
    <row r="52038" spans="23:23">
      <c r="W52038" s="503"/>
    </row>
    <row r="52039" spans="23:23">
      <c r="W52039" s="503"/>
    </row>
    <row r="52040" spans="23:23">
      <c r="W52040" s="503"/>
    </row>
    <row r="52041" spans="23:23">
      <c r="W52041" s="503"/>
    </row>
    <row r="52042" spans="23:23">
      <c r="W52042" s="503"/>
    </row>
    <row r="52043" spans="23:23">
      <c r="W52043" s="503"/>
    </row>
    <row r="52044" spans="23:23">
      <c r="W52044" s="503"/>
    </row>
    <row r="52045" spans="23:23">
      <c r="W52045" s="503"/>
    </row>
    <row r="52046" spans="23:23">
      <c r="W52046" s="503"/>
    </row>
    <row r="52047" spans="23:23">
      <c r="W52047" s="503"/>
    </row>
    <row r="52048" spans="23:23">
      <c r="W52048" s="503"/>
    </row>
    <row r="52049" spans="23:23">
      <c r="W52049" s="503"/>
    </row>
    <row r="52050" spans="23:23">
      <c r="W52050" s="503"/>
    </row>
    <row r="52051" spans="23:23">
      <c r="W52051" s="503"/>
    </row>
    <row r="52052" spans="23:23">
      <c r="W52052" s="503"/>
    </row>
    <row r="52053" spans="23:23">
      <c r="W52053" s="503"/>
    </row>
    <row r="52054" spans="23:23">
      <c r="W52054" s="503"/>
    </row>
    <row r="52055" spans="23:23">
      <c r="W52055" s="503"/>
    </row>
    <row r="52056" spans="23:23">
      <c r="W52056" s="503"/>
    </row>
    <row r="52057" spans="23:23">
      <c r="W52057" s="503"/>
    </row>
    <row r="52058" spans="23:23">
      <c r="W52058" s="503"/>
    </row>
    <row r="52059" spans="23:23">
      <c r="W52059" s="503"/>
    </row>
    <row r="52060" spans="23:23">
      <c r="W52060" s="503"/>
    </row>
    <row r="52061" spans="23:23">
      <c r="W52061" s="503"/>
    </row>
    <row r="52062" spans="23:23">
      <c r="W52062" s="503"/>
    </row>
    <row r="52063" spans="23:23">
      <c r="W52063" s="503"/>
    </row>
    <row r="52064" spans="23:23">
      <c r="W52064" s="503"/>
    </row>
    <row r="52065" spans="23:23">
      <c r="W52065" s="503"/>
    </row>
    <row r="52066" spans="23:23">
      <c r="W52066" s="503"/>
    </row>
    <row r="52067" spans="23:23">
      <c r="W52067" s="503"/>
    </row>
    <row r="52068" spans="23:23">
      <c r="W52068" s="503"/>
    </row>
    <row r="52069" spans="23:23">
      <c r="W52069" s="503"/>
    </row>
    <row r="52070" spans="23:23">
      <c r="W52070" s="503"/>
    </row>
    <row r="52071" spans="23:23">
      <c r="W52071" s="503"/>
    </row>
    <row r="52072" spans="23:23">
      <c r="W52072" s="503"/>
    </row>
    <row r="52073" spans="23:23">
      <c r="W52073" s="503"/>
    </row>
    <row r="52074" spans="23:23">
      <c r="W52074" s="503"/>
    </row>
    <row r="52075" spans="23:23">
      <c r="W52075" s="503"/>
    </row>
    <row r="52076" spans="23:23">
      <c r="W52076" s="503"/>
    </row>
    <row r="52077" spans="23:23">
      <c r="W52077" s="503"/>
    </row>
    <row r="52078" spans="23:23">
      <c r="W52078" s="503"/>
    </row>
    <row r="52079" spans="23:23">
      <c r="W52079" s="503"/>
    </row>
    <row r="52080" spans="23:23">
      <c r="W52080" s="503"/>
    </row>
    <row r="52081" spans="23:23">
      <c r="W52081" s="503"/>
    </row>
    <row r="52082" spans="23:23">
      <c r="W52082" s="503"/>
    </row>
    <row r="52083" spans="23:23">
      <c r="W52083" s="503"/>
    </row>
    <row r="52084" spans="23:23">
      <c r="W52084" s="503"/>
    </row>
    <row r="52085" spans="23:23">
      <c r="W52085" s="503"/>
    </row>
    <row r="52086" spans="23:23">
      <c r="W52086" s="503"/>
    </row>
    <row r="52087" spans="23:23">
      <c r="W52087" s="503"/>
    </row>
    <row r="52088" spans="23:23">
      <c r="W52088" s="503"/>
    </row>
    <row r="52089" spans="23:23">
      <c r="W52089" s="503"/>
    </row>
    <row r="52090" spans="23:23">
      <c r="W52090" s="503"/>
    </row>
    <row r="52091" spans="23:23">
      <c r="W52091" s="503"/>
    </row>
    <row r="52092" spans="23:23">
      <c r="W52092" s="503"/>
    </row>
    <row r="52093" spans="23:23">
      <c r="W52093" s="503"/>
    </row>
    <row r="52094" spans="23:23">
      <c r="W52094" s="503"/>
    </row>
    <row r="52095" spans="23:23">
      <c r="W52095" s="503"/>
    </row>
    <row r="52096" spans="23:23">
      <c r="W52096" s="503"/>
    </row>
    <row r="52097" spans="23:23">
      <c r="W52097" s="503"/>
    </row>
    <row r="52098" spans="23:23">
      <c r="W52098" s="503"/>
    </row>
    <row r="52099" spans="23:23">
      <c r="W52099" s="503"/>
    </row>
    <row r="52100" spans="23:23">
      <c r="W52100" s="503"/>
    </row>
    <row r="52101" spans="23:23">
      <c r="W52101" s="503"/>
    </row>
    <row r="52102" spans="23:23">
      <c r="W52102" s="503"/>
    </row>
    <row r="52103" spans="23:23">
      <c r="W52103" s="503"/>
    </row>
    <row r="52104" spans="23:23">
      <c r="W52104" s="503"/>
    </row>
    <row r="52105" spans="23:23">
      <c r="W52105" s="503"/>
    </row>
    <row r="52106" spans="23:23">
      <c r="W52106" s="503"/>
    </row>
    <row r="52107" spans="23:23">
      <c r="W52107" s="503"/>
    </row>
    <row r="52108" spans="23:23">
      <c r="W52108" s="503"/>
    </row>
    <row r="52109" spans="23:23">
      <c r="W52109" s="503"/>
    </row>
    <row r="52110" spans="23:23">
      <c r="W52110" s="503"/>
    </row>
    <row r="52111" spans="23:23">
      <c r="W52111" s="503"/>
    </row>
    <row r="52112" spans="23:23">
      <c r="W52112" s="503"/>
    </row>
    <row r="52113" spans="23:23">
      <c r="W52113" s="503"/>
    </row>
    <row r="52114" spans="23:23">
      <c r="W52114" s="503"/>
    </row>
    <row r="52115" spans="23:23">
      <c r="W52115" s="503"/>
    </row>
    <row r="52116" spans="23:23">
      <c r="W52116" s="503"/>
    </row>
    <row r="52117" spans="23:23">
      <c r="W52117" s="503"/>
    </row>
    <row r="52118" spans="23:23">
      <c r="W52118" s="503"/>
    </row>
    <row r="52119" spans="23:23">
      <c r="W52119" s="503"/>
    </row>
    <row r="52120" spans="23:23">
      <c r="W52120" s="503"/>
    </row>
    <row r="52121" spans="23:23">
      <c r="W52121" s="503"/>
    </row>
    <row r="52122" spans="23:23">
      <c r="W52122" s="503"/>
    </row>
    <row r="52123" spans="23:23">
      <c r="W52123" s="503"/>
    </row>
    <row r="52124" spans="23:23">
      <c r="W52124" s="503"/>
    </row>
    <row r="52125" spans="23:23">
      <c r="W52125" s="503"/>
    </row>
    <row r="52126" spans="23:23">
      <c r="W52126" s="503"/>
    </row>
    <row r="52127" spans="23:23">
      <c r="W52127" s="503"/>
    </row>
    <row r="52128" spans="23:23">
      <c r="W52128" s="503"/>
    </row>
    <row r="52129" spans="23:23">
      <c r="W52129" s="503"/>
    </row>
    <row r="52130" spans="23:23">
      <c r="W52130" s="503"/>
    </row>
    <row r="52131" spans="23:23">
      <c r="W52131" s="503"/>
    </row>
    <row r="52132" spans="23:23">
      <c r="W52132" s="503"/>
    </row>
    <row r="52133" spans="23:23">
      <c r="W52133" s="503"/>
    </row>
    <row r="52134" spans="23:23">
      <c r="W52134" s="503"/>
    </row>
    <row r="52135" spans="23:23">
      <c r="W52135" s="503"/>
    </row>
    <row r="52136" spans="23:23">
      <c r="W52136" s="503"/>
    </row>
    <row r="52137" spans="23:23">
      <c r="W52137" s="503"/>
    </row>
    <row r="52138" spans="23:23">
      <c r="W52138" s="503"/>
    </row>
    <row r="52139" spans="23:23">
      <c r="W52139" s="503"/>
    </row>
    <row r="52140" spans="23:23">
      <c r="W52140" s="503"/>
    </row>
    <row r="52141" spans="23:23">
      <c r="W52141" s="503"/>
    </row>
    <row r="52142" spans="23:23">
      <c r="W52142" s="503"/>
    </row>
    <row r="52143" spans="23:23">
      <c r="W52143" s="503"/>
    </row>
    <row r="52144" spans="23:23">
      <c r="W52144" s="503"/>
    </row>
    <row r="52145" spans="23:23">
      <c r="W52145" s="503"/>
    </row>
    <row r="52146" spans="23:23">
      <c r="W52146" s="503"/>
    </row>
    <row r="52147" spans="23:23">
      <c r="W52147" s="503"/>
    </row>
    <row r="52148" spans="23:23">
      <c r="W52148" s="503"/>
    </row>
    <row r="52149" spans="23:23">
      <c r="W52149" s="503"/>
    </row>
    <row r="52150" spans="23:23">
      <c r="W52150" s="503"/>
    </row>
    <row r="52151" spans="23:23">
      <c r="W52151" s="503"/>
    </row>
    <row r="52152" spans="23:23">
      <c r="W52152" s="503"/>
    </row>
    <row r="52153" spans="23:23">
      <c r="W52153" s="503"/>
    </row>
    <row r="52154" spans="23:23">
      <c r="W52154" s="503"/>
    </row>
    <row r="52155" spans="23:23">
      <c r="W52155" s="503"/>
    </row>
    <row r="52156" spans="23:23">
      <c r="W52156" s="503"/>
    </row>
    <row r="52157" spans="23:23">
      <c r="W52157" s="503"/>
    </row>
    <row r="52158" spans="23:23">
      <c r="W52158" s="503"/>
    </row>
    <row r="52159" spans="23:23">
      <c r="W52159" s="503"/>
    </row>
    <row r="52160" spans="23:23">
      <c r="W52160" s="503"/>
    </row>
    <row r="52161" spans="23:23">
      <c r="W52161" s="503"/>
    </row>
    <row r="52162" spans="23:23">
      <c r="W52162" s="503"/>
    </row>
    <row r="52163" spans="23:23">
      <c r="W52163" s="503"/>
    </row>
    <row r="52164" spans="23:23">
      <c r="W52164" s="503"/>
    </row>
    <row r="52165" spans="23:23">
      <c r="W52165" s="503"/>
    </row>
    <row r="52166" spans="23:23">
      <c r="W52166" s="503"/>
    </row>
    <row r="52167" spans="23:23">
      <c r="W52167" s="503"/>
    </row>
    <row r="52168" spans="23:23">
      <c r="W52168" s="503"/>
    </row>
    <row r="52169" spans="23:23">
      <c r="W52169" s="503"/>
    </row>
    <row r="52170" spans="23:23">
      <c r="W52170" s="503"/>
    </row>
    <row r="52171" spans="23:23">
      <c r="W52171" s="503"/>
    </row>
    <row r="52172" spans="23:23">
      <c r="W52172" s="503"/>
    </row>
    <row r="52173" spans="23:23">
      <c r="W52173" s="503"/>
    </row>
    <row r="52174" spans="23:23">
      <c r="W52174" s="503"/>
    </row>
    <row r="52175" spans="23:23">
      <c r="W52175" s="503"/>
    </row>
    <row r="52176" spans="23:23">
      <c r="W52176" s="503"/>
    </row>
    <row r="52177" spans="23:23">
      <c r="W52177" s="503"/>
    </row>
    <row r="52178" spans="23:23">
      <c r="W52178" s="503"/>
    </row>
    <row r="52179" spans="23:23">
      <c r="W52179" s="503"/>
    </row>
    <row r="52180" spans="23:23">
      <c r="W52180" s="503"/>
    </row>
    <row r="52181" spans="23:23">
      <c r="W52181" s="503"/>
    </row>
    <row r="52182" spans="23:23">
      <c r="W52182" s="503"/>
    </row>
    <row r="52183" spans="23:23">
      <c r="W52183" s="503"/>
    </row>
    <row r="52184" spans="23:23">
      <c r="W52184" s="503"/>
    </row>
    <row r="52185" spans="23:23">
      <c r="W52185" s="503"/>
    </row>
    <row r="52186" spans="23:23">
      <c r="W52186" s="503"/>
    </row>
    <row r="52187" spans="23:23">
      <c r="W52187" s="503"/>
    </row>
    <row r="52188" spans="23:23">
      <c r="W52188" s="503"/>
    </row>
    <row r="52189" spans="23:23">
      <c r="W52189" s="503"/>
    </row>
    <row r="52190" spans="23:23">
      <c r="W52190" s="503"/>
    </row>
    <row r="52191" spans="23:23">
      <c r="W52191" s="503"/>
    </row>
    <row r="52192" spans="23:23">
      <c r="W52192" s="503"/>
    </row>
    <row r="52193" spans="23:23">
      <c r="W52193" s="503"/>
    </row>
    <row r="52194" spans="23:23">
      <c r="W52194" s="503"/>
    </row>
    <row r="52195" spans="23:23">
      <c r="W52195" s="503"/>
    </row>
    <row r="52196" spans="23:23">
      <c r="W52196" s="503"/>
    </row>
    <row r="52197" spans="23:23">
      <c r="W52197" s="503"/>
    </row>
    <row r="52198" spans="23:23">
      <c r="W52198" s="503"/>
    </row>
    <row r="52199" spans="23:23">
      <c r="W52199" s="503"/>
    </row>
    <row r="52200" spans="23:23">
      <c r="W52200" s="503"/>
    </row>
    <row r="52201" spans="23:23">
      <c r="W52201" s="503"/>
    </row>
    <row r="52202" spans="23:23">
      <c r="W52202" s="503"/>
    </row>
    <row r="52203" spans="23:23">
      <c r="W52203" s="503"/>
    </row>
    <row r="52204" spans="23:23">
      <c r="W52204" s="503"/>
    </row>
    <row r="52205" spans="23:23">
      <c r="W52205" s="503"/>
    </row>
    <row r="52206" spans="23:23">
      <c r="W52206" s="503"/>
    </row>
    <row r="52207" spans="23:23">
      <c r="W52207" s="503"/>
    </row>
    <row r="52208" spans="23:23">
      <c r="W52208" s="503"/>
    </row>
    <row r="52209" spans="23:23">
      <c r="W52209" s="503"/>
    </row>
    <row r="52210" spans="23:23">
      <c r="W52210" s="503"/>
    </row>
    <row r="52211" spans="23:23">
      <c r="W52211" s="503"/>
    </row>
    <row r="52212" spans="23:23">
      <c r="W52212" s="503"/>
    </row>
    <row r="52213" spans="23:23">
      <c r="W52213" s="503"/>
    </row>
    <row r="52214" spans="23:23">
      <c r="W52214" s="503"/>
    </row>
    <row r="52215" spans="23:23">
      <c r="W52215" s="503"/>
    </row>
    <row r="52216" spans="23:23">
      <c r="W52216" s="503"/>
    </row>
    <row r="52217" spans="23:23">
      <c r="W52217" s="503"/>
    </row>
    <row r="52218" spans="23:23">
      <c r="W52218" s="503"/>
    </row>
    <row r="52219" spans="23:23">
      <c r="W52219" s="503"/>
    </row>
    <row r="52220" spans="23:23">
      <c r="W52220" s="503"/>
    </row>
    <row r="52221" spans="23:23">
      <c r="W52221" s="503"/>
    </row>
    <row r="52222" spans="23:23">
      <c r="W52222" s="503"/>
    </row>
    <row r="52223" spans="23:23">
      <c r="W52223" s="503"/>
    </row>
    <row r="52224" spans="23:23">
      <c r="W52224" s="503"/>
    </row>
    <row r="52225" spans="23:23">
      <c r="W52225" s="503"/>
    </row>
    <row r="52226" spans="23:23">
      <c r="W52226" s="503"/>
    </row>
    <row r="52227" spans="23:23">
      <c r="W52227" s="503"/>
    </row>
    <row r="52228" spans="23:23">
      <c r="W52228" s="503"/>
    </row>
    <row r="52229" spans="23:23">
      <c r="W52229" s="503"/>
    </row>
    <row r="52230" spans="23:23">
      <c r="W52230" s="503"/>
    </row>
    <row r="52231" spans="23:23">
      <c r="W52231" s="503"/>
    </row>
    <row r="52232" spans="23:23">
      <c r="W52232" s="503"/>
    </row>
    <row r="52233" spans="23:23">
      <c r="W52233" s="503"/>
    </row>
    <row r="52234" spans="23:23">
      <c r="W52234" s="503"/>
    </row>
    <row r="52235" spans="23:23">
      <c r="W52235" s="503"/>
    </row>
    <row r="52236" spans="23:23">
      <c r="W52236" s="503"/>
    </row>
    <row r="52237" spans="23:23">
      <c r="W52237" s="503"/>
    </row>
    <row r="52238" spans="23:23">
      <c r="W52238" s="503"/>
    </row>
    <row r="52239" spans="23:23">
      <c r="W52239" s="503"/>
    </row>
    <row r="52240" spans="23:23">
      <c r="W52240" s="503"/>
    </row>
    <row r="52241" spans="23:23">
      <c r="W52241" s="503"/>
    </row>
    <row r="52242" spans="23:23">
      <c r="W52242" s="503"/>
    </row>
    <row r="52243" spans="23:23">
      <c r="W52243" s="503"/>
    </row>
    <row r="52244" spans="23:23">
      <c r="W52244" s="503"/>
    </row>
    <row r="52245" spans="23:23">
      <c r="W52245" s="503"/>
    </row>
    <row r="52246" spans="23:23">
      <c r="W52246" s="503"/>
    </row>
    <row r="52247" spans="23:23">
      <c r="W52247" s="503"/>
    </row>
    <row r="52248" spans="23:23">
      <c r="W52248" s="503"/>
    </row>
    <row r="52249" spans="23:23">
      <c r="W52249" s="503"/>
    </row>
    <row r="52250" spans="23:23">
      <c r="W52250" s="503"/>
    </row>
    <row r="52251" spans="23:23">
      <c r="W52251" s="503"/>
    </row>
    <row r="52252" spans="23:23">
      <c r="W52252" s="503"/>
    </row>
    <row r="52253" spans="23:23">
      <c r="W52253" s="503"/>
    </row>
    <row r="52254" spans="23:23">
      <c r="W52254" s="503"/>
    </row>
    <row r="52255" spans="23:23">
      <c r="W52255" s="503"/>
    </row>
    <row r="52256" spans="23:23">
      <c r="W52256" s="503"/>
    </row>
    <row r="52257" spans="23:23">
      <c r="W52257" s="503"/>
    </row>
    <row r="52258" spans="23:23">
      <c r="W52258" s="503"/>
    </row>
    <row r="52259" spans="23:23">
      <c r="W52259" s="503"/>
    </row>
    <row r="52260" spans="23:23">
      <c r="W52260" s="503"/>
    </row>
    <row r="52261" spans="23:23">
      <c r="W52261" s="503"/>
    </row>
    <row r="52262" spans="23:23">
      <c r="W52262" s="503"/>
    </row>
    <row r="52263" spans="23:23">
      <c r="W52263" s="503"/>
    </row>
    <row r="52264" spans="23:23">
      <c r="W52264" s="503"/>
    </row>
    <row r="52265" spans="23:23">
      <c r="W52265" s="503"/>
    </row>
    <row r="52266" spans="23:23">
      <c r="W52266" s="503"/>
    </row>
    <row r="52267" spans="23:23">
      <c r="W52267" s="503"/>
    </row>
    <row r="52268" spans="23:23">
      <c r="W52268" s="503"/>
    </row>
    <row r="52269" spans="23:23">
      <c r="W52269" s="503"/>
    </row>
    <row r="52270" spans="23:23">
      <c r="W52270" s="503"/>
    </row>
    <row r="52271" spans="23:23">
      <c r="W52271" s="503"/>
    </row>
    <row r="52272" spans="23:23">
      <c r="W52272" s="503"/>
    </row>
    <row r="52273" spans="23:23">
      <c r="W52273" s="503"/>
    </row>
    <row r="52274" spans="23:23">
      <c r="W52274" s="503"/>
    </row>
    <row r="52275" spans="23:23">
      <c r="W52275" s="503"/>
    </row>
    <row r="52276" spans="23:23">
      <c r="W52276" s="503"/>
    </row>
    <row r="52277" spans="23:23">
      <c r="W52277" s="503"/>
    </row>
    <row r="52278" spans="23:23">
      <c r="W52278" s="503"/>
    </row>
    <row r="52279" spans="23:23">
      <c r="W52279" s="503"/>
    </row>
    <row r="52280" spans="23:23">
      <c r="W52280" s="503"/>
    </row>
    <row r="52281" spans="23:23">
      <c r="W52281" s="503"/>
    </row>
    <row r="52282" spans="23:23">
      <c r="W52282" s="503"/>
    </row>
    <row r="52283" spans="23:23">
      <c r="W52283" s="503"/>
    </row>
    <row r="52284" spans="23:23">
      <c r="W52284" s="503"/>
    </row>
    <row r="52285" spans="23:23">
      <c r="W52285" s="503"/>
    </row>
    <row r="52286" spans="23:23">
      <c r="W52286" s="503"/>
    </row>
    <row r="52287" spans="23:23">
      <c r="W52287" s="503"/>
    </row>
    <row r="52288" spans="23:23">
      <c r="W52288" s="503"/>
    </row>
    <row r="52289" spans="23:23">
      <c r="W52289" s="503"/>
    </row>
    <row r="52290" spans="23:23">
      <c r="W52290" s="503"/>
    </row>
    <row r="52291" spans="23:23">
      <c r="W52291" s="503"/>
    </row>
    <row r="52292" spans="23:23">
      <c r="W52292" s="503"/>
    </row>
    <row r="52293" spans="23:23">
      <c r="W52293" s="503"/>
    </row>
    <row r="52294" spans="23:23">
      <c r="W52294" s="503"/>
    </row>
    <row r="52295" spans="23:23">
      <c r="W52295" s="503"/>
    </row>
    <row r="52296" spans="23:23">
      <c r="W52296" s="503"/>
    </row>
    <row r="52297" spans="23:23">
      <c r="W52297" s="503"/>
    </row>
    <row r="52298" spans="23:23">
      <c r="W52298" s="503"/>
    </row>
    <row r="52299" spans="23:23">
      <c r="W52299" s="503"/>
    </row>
    <row r="52300" spans="23:23">
      <c r="W52300" s="503"/>
    </row>
    <row r="52301" spans="23:23">
      <c r="W52301" s="503"/>
    </row>
    <row r="52302" spans="23:23">
      <c r="W52302" s="503"/>
    </row>
    <row r="52303" spans="23:23">
      <c r="W52303" s="503"/>
    </row>
    <row r="52304" spans="23:23">
      <c r="W52304" s="503"/>
    </row>
    <row r="52305" spans="23:23">
      <c r="W52305" s="503"/>
    </row>
    <row r="52306" spans="23:23">
      <c r="W52306" s="503"/>
    </row>
    <row r="52307" spans="23:23">
      <c r="W52307" s="503"/>
    </row>
    <row r="52308" spans="23:23">
      <c r="W52308" s="503"/>
    </row>
    <row r="52309" spans="23:23">
      <c r="W52309" s="503"/>
    </row>
    <row r="52310" spans="23:23">
      <c r="W52310" s="503"/>
    </row>
    <row r="52311" spans="23:23">
      <c r="W52311" s="503"/>
    </row>
    <row r="52312" spans="23:23">
      <c r="W52312" s="503"/>
    </row>
    <row r="52313" spans="23:23">
      <c r="W52313" s="503"/>
    </row>
    <row r="52314" spans="23:23">
      <c r="W52314" s="503"/>
    </row>
    <row r="52315" spans="23:23">
      <c r="W52315" s="503"/>
    </row>
    <row r="52316" spans="23:23">
      <c r="W52316" s="503"/>
    </row>
    <row r="52317" spans="23:23">
      <c r="W52317" s="503"/>
    </row>
    <row r="52318" spans="23:23">
      <c r="W52318" s="503"/>
    </row>
    <row r="52319" spans="23:23">
      <c r="W52319" s="503"/>
    </row>
    <row r="52320" spans="23:23">
      <c r="W52320" s="503"/>
    </row>
    <row r="52321" spans="23:23">
      <c r="W52321" s="503"/>
    </row>
    <row r="52322" spans="23:23">
      <c r="W52322" s="503"/>
    </row>
    <row r="52323" spans="23:23">
      <c r="W52323" s="503"/>
    </row>
    <row r="52324" spans="23:23">
      <c r="W52324" s="503"/>
    </row>
    <row r="52325" spans="23:23">
      <c r="W52325" s="503"/>
    </row>
    <row r="52326" spans="23:23">
      <c r="W52326" s="503"/>
    </row>
    <row r="52327" spans="23:23">
      <c r="W52327" s="503"/>
    </row>
    <row r="52328" spans="23:23">
      <c r="W52328" s="503"/>
    </row>
    <row r="52329" spans="23:23">
      <c r="W52329" s="503"/>
    </row>
    <row r="52330" spans="23:23">
      <c r="W52330" s="503"/>
    </row>
    <row r="52331" spans="23:23">
      <c r="W52331" s="503"/>
    </row>
    <row r="52332" spans="23:23">
      <c r="W52332" s="503"/>
    </row>
    <row r="52333" spans="23:23">
      <c r="W52333" s="503"/>
    </row>
    <row r="52334" spans="23:23">
      <c r="W52334" s="503"/>
    </row>
    <row r="52335" spans="23:23">
      <c r="W52335" s="503"/>
    </row>
    <row r="52336" spans="23:23">
      <c r="W52336" s="503"/>
    </row>
    <row r="52337" spans="23:23">
      <c r="W52337" s="503"/>
    </row>
    <row r="52338" spans="23:23">
      <c r="W52338" s="503"/>
    </row>
    <row r="52339" spans="23:23">
      <c r="W52339" s="503"/>
    </row>
    <row r="52340" spans="23:23">
      <c r="W52340" s="503"/>
    </row>
    <row r="52341" spans="23:23">
      <c r="W52341" s="503"/>
    </row>
    <row r="52342" spans="23:23">
      <c r="W52342" s="503"/>
    </row>
    <row r="52343" spans="23:23">
      <c r="W52343" s="503"/>
    </row>
    <row r="52344" spans="23:23">
      <c r="W52344" s="503"/>
    </row>
    <row r="52345" spans="23:23">
      <c r="W52345" s="503"/>
    </row>
    <row r="52346" spans="23:23">
      <c r="W52346" s="503"/>
    </row>
    <row r="52347" spans="23:23">
      <c r="W52347" s="503"/>
    </row>
    <row r="52348" spans="23:23">
      <c r="W52348" s="503"/>
    </row>
    <row r="52349" spans="23:23">
      <c r="W52349" s="503"/>
    </row>
    <row r="52350" spans="23:23">
      <c r="W52350" s="503"/>
    </row>
    <row r="52351" spans="23:23">
      <c r="W52351" s="503"/>
    </row>
    <row r="52352" spans="23:23">
      <c r="W52352" s="503"/>
    </row>
    <row r="52353" spans="23:23">
      <c r="W52353" s="503"/>
    </row>
    <row r="52354" spans="23:23">
      <c r="W52354" s="503"/>
    </row>
    <row r="52355" spans="23:23">
      <c r="W52355" s="503"/>
    </row>
    <row r="52356" spans="23:23">
      <c r="W52356" s="503"/>
    </row>
    <row r="52357" spans="23:23">
      <c r="W52357" s="503"/>
    </row>
    <row r="52358" spans="23:23">
      <c r="W52358" s="503"/>
    </row>
    <row r="52359" spans="23:23">
      <c r="W52359" s="503"/>
    </row>
    <row r="52360" spans="23:23">
      <c r="W52360" s="503"/>
    </row>
    <row r="52361" spans="23:23">
      <c r="W52361" s="503"/>
    </row>
    <row r="52362" spans="23:23">
      <c r="W52362" s="503"/>
    </row>
    <row r="52363" spans="23:23">
      <c r="W52363" s="503"/>
    </row>
    <row r="52364" spans="23:23">
      <c r="W52364" s="503"/>
    </row>
    <row r="52365" spans="23:23">
      <c r="W52365" s="503"/>
    </row>
    <row r="52366" spans="23:23">
      <c r="W52366" s="503"/>
    </row>
    <row r="52367" spans="23:23">
      <c r="W52367" s="503"/>
    </row>
    <row r="52368" spans="23:23">
      <c r="W52368" s="503"/>
    </row>
    <row r="52369" spans="23:23">
      <c r="W52369" s="503"/>
    </row>
    <row r="52370" spans="23:23">
      <c r="W52370" s="503"/>
    </row>
    <row r="52371" spans="23:23">
      <c r="W52371" s="503"/>
    </row>
    <row r="52372" spans="23:23">
      <c r="W52372" s="503"/>
    </row>
    <row r="52373" spans="23:23">
      <c r="W52373" s="503"/>
    </row>
    <row r="52374" spans="23:23">
      <c r="W52374" s="503"/>
    </row>
    <row r="52375" spans="23:23">
      <c r="W52375" s="503"/>
    </row>
    <row r="52376" spans="23:23">
      <c r="W52376" s="503"/>
    </row>
    <row r="52377" spans="23:23">
      <c r="W52377" s="503"/>
    </row>
    <row r="52378" spans="23:23">
      <c r="W52378" s="503"/>
    </row>
    <row r="52379" spans="23:23">
      <c r="W52379" s="503"/>
    </row>
    <row r="52380" spans="23:23">
      <c r="W52380" s="503"/>
    </row>
    <row r="52381" spans="23:23">
      <c r="W52381" s="503"/>
    </row>
    <row r="52382" spans="23:23">
      <c r="W52382" s="503"/>
    </row>
    <row r="52383" spans="23:23">
      <c r="W52383" s="503"/>
    </row>
    <row r="52384" spans="23:23">
      <c r="W52384" s="503"/>
    </row>
    <row r="52385" spans="23:23">
      <c r="W52385" s="503"/>
    </row>
    <row r="52386" spans="23:23">
      <c r="W52386" s="503"/>
    </row>
    <row r="52387" spans="23:23">
      <c r="W52387" s="503"/>
    </row>
    <row r="52388" spans="23:23">
      <c r="W52388" s="503"/>
    </row>
    <row r="52389" spans="23:23">
      <c r="W52389" s="503"/>
    </row>
    <row r="52390" spans="23:23">
      <c r="W52390" s="503"/>
    </row>
    <row r="52391" spans="23:23">
      <c r="W52391" s="503"/>
    </row>
    <row r="52392" spans="23:23">
      <c r="W52392" s="503"/>
    </row>
    <row r="52393" spans="23:23">
      <c r="W52393" s="503"/>
    </row>
    <row r="52394" spans="23:23">
      <c r="W52394" s="503"/>
    </row>
    <row r="52395" spans="23:23">
      <c r="W52395" s="503"/>
    </row>
    <row r="52396" spans="23:23">
      <c r="W52396" s="503"/>
    </row>
    <row r="52397" spans="23:23">
      <c r="W52397" s="503"/>
    </row>
    <row r="52398" spans="23:23">
      <c r="W52398" s="503"/>
    </row>
    <row r="52399" spans="23:23">
      <c r="W52399" s="503"/>
    </row>
    <row r="52400" spans="23:23">
      <c r="W52400" s="503"/>
    </row>
    <row r="52401" spans="23:23">
      <c r="W52401" s="503"/>
    </row>
    <row r="52402" spans="23:23">
      <c r="W52402" s="503"/>
    </row>
    <row r="52403" spans="23:23">
      <c r="W52403" s="503"/>
    </row>
    <row r="52404" spans="23:23">
      <c r="W52404" s="503"/>
    </row>
    <row r="52405" spans="23:23">
      <c r="W52405" s="503"/>
    </row>
    <row r="52406" spans="23:23">
      <c r="W52406" s="503"/>
    </row>
    <row r="52407" spans="23:23">
      <c r="W52407" s="503"/>
    </row>
    <row r="52408" spans="23:23">
      <c r="W52408" s="503"/>
    </row>
    <row r="52409" spans="23:23">
      <c r="W52409" s="503"/>
    </row>
    <row r="52410" spans="23:23">
      <c r="W52410" s="503"/>
    </row>
    <row r="52411" spans="23:23">
      <c r="W52411" s="503"/>
    </row>
    <row r="52412" spans="23:23">
      <c r="W52412" s="503"/>
    </row>
    <row r="52413" spans="23:23">
      <c r="W52413" s="503"/>
    </row>
    <row r="52414" spans="23:23">
      <c r="W52414" s="503"/>
    </row>
    <row r="52415" spans="23:23">
      <c r="W52415" s="503"/>
    </row>
    <row r="52416" spans="23:23">
      <c r="W52416" s="503"/>
    </row>
    <row r="52417" spans="23:23">
      <c r="W52417" s="503"/>
    </row>
    <row r="52418" spans="23:23">
      <c r="W52418" s="503"/>
    </row>
    <row r="52419" spans="23:23">
      <c r="W52419" s="503"/>
    </row>
    <row r="52420" spans="23:23">
      <c r="W52420" s="503"/>
    </row>
    <row r="52421" spans="23:23">
      <c r="W52421" s="503"/>
    </row>
    <row r="52422" spans="23:23">
      <c r="W52422" s="503"/>
    </row>
    <row r="52423" spans="23:23">
      <c r="W52423" s="503"/>
    </row>
    <row r="52424" spans="23:23">
      <c r="W52424" s="503"/>
    </row>
    <row r="52425" spans="23:23">
      <c r="W52425" s="503"/>
    </row>
    <row r="52426" spans="23:23">
      <c r="W52426" s="503"/>
    </row>
    <row r="52427" spans="23:23">
      <c r="W52427" s="503"/>
    </row>
    <row r="52428" spans="23:23">
      <c r="W52428" s="503"/>
    </row>
    <row r="52429" spans="23:23">
      <c r="W52429" s="503"/>
    </row>
    <row r="52430" spans="23:23">
      <c r="W52430" s="503"/>
    </row>
    <row r="52431" spans="23:23">
      <c r="W52431" s="503"/>
    </row>
    <row r="52432" spans="23:23">
      <c r="W52432" s="503"/>
    </row>
    <row r="52433" spans="23:23">
      <c r="W52433" s="503"/>
    </row>
    <row r="52434" spans="23:23">
      <c r="W52434" s="503"/>
    </row>
    <row r="52435" spans="23:23">
      <c r="W52435" s="503"/>
    </row>
    <row r="52436" spans="23:23">
      <c r="W52436" s="503"/>
    </row>
    <row r="52437" spans="23:23">
      <c r="W52437" s="503"/>
    </row>
    <row r="52438" spans="23:23">
      <c r="W52438" s="503"/>
    </row>
    <row r="52439" spans="23:23">
      <c r="W52439" s="503"/>
    </row>
    <row r="52440" spans="23:23">
      <c r="W52440" s="503"/>
    </row>
    <row r="52441" spans="23:23">
      <c r="W52441" s="503"/>
    </row>
    <row r="52442" spans="23:23">
      <c r="W52442" s="503"/>
    </row>
    <row r="52443" spans="23:23">
      <c r="W52443" s="503"/>
    </row>
    <row r="52444" spans="23:23">
      <c r="W52444" s="503"/>
    </row>
    <row r="52445" spans="23:23">
      <c r="W52445" s="503"/>
    </row>
    <row r="52446" spans="23:23">
      <c r="W52446" s="503"/>
    </row>
    <row r="52447" spans="23:23">
      <c r="W52447" s="503"/>
    </row>
    <row r="52448" spans="23:23">
      <c r="W52448" s="503"/>
    </row>
    <row r="52449" spans="23:23">
      <c r="W52449" s="503"/>
    </row>
    <row r="52450" spans="23:23">
      <c r="W52450" s="503"/>
    </row>
    <row r="52451" spans="23:23">
      <c r="W52451" s="503"/>
    </row>
    <row r="52452" spans="23:23">
      <c r="W52452" s="503"/>
    </row>
    <row r="52453" spans="23:23">
      <c r="W52453" s="503"/>
    </row>
    <row r="52454" spans="23:23">
      <c r="W52454" s="503"/>
    </row>
    <row r="52455" spans="23:23">
      <c r="W52455" s="503"/>
    </row>
    <row r="52456" spans="23:23">
      <c r="W52456" s="503"/>
    </row>
    <row r="52457" spans="23:23">
      <c r="W52457" s="503"/>
    </row>
    <row r="52458" spans="23:23">
      <c r="W52458" s="503"/>
    </row>
    <row r="52459" spans="23:23">
      <c r="W52459" s="503"/>
    </row>
    <row r="52460" spans="23:23">
      <c r="W52460" s="503"/>
    </row>
    <row r="52461" spans="23:23">
      <c r="W52461" s="503"/>
    </row>
    <row r="52462" spans="23:23">
      <c r="W52462" s="503"/>
    </row>
    <row r="52463" spans="23:23">
      <c r="W52463" s="503"/>
    </row>
    <row r="52464" spans="23:23">
      <c r="W52464" s="503"/>
    </row>
    <row r="52465" spans="23:23">
      <c r="W52465" s="503"/>
    </row>
    <row r="52466" spans="23:23">
      <c r="W52466" s="503"/>
    </row>
    <row r="52467" spans="23:23">
      <c r="W52467" s="503"/>
    </row>
    <row r="52468" spans="23:23">
      <c r="W52468" s="503"/>
    </row>
    <row r="52469" spans="23:23">
      <c r="W52469" s="503"/>
    </row>
    <row r="52470" spans="23:23">
      <c r="W52470" s="503"/>
    </row>
    <row r="52471" spans="23:23">
      <c r="W52471" s="503"/>
    </row>
    <row r="52472" spans="23:23">
      <c r="W52472" s="503"/>
    </row>
    <row r="52473" spans="23:23">
      <c r="W52473" s="503"/>
    </row>
    <row r="52474" spans="23:23">
      <c r="W52474" s="503"/>
    </row>
    <row r="52475" spans="23:23">
      <c r="W52475" s="503"/>
    </row>
    <row r="52476" spans="23:23">
      <c r="W52476" s="503"/>
    </row>
    <row r="52477" spans="23:23">
      <c r="W52477" s="503"/>
    </row>
    <row r="52478" spans="23:23">
      <c r="W52478" s="503"/>
    </row>
    <row r="52479" spans="23:23">
      <c r="W52479" s="503"/>
    </row>
    <row r="52480" spans="23:23">
      <c r="W52480" s="503"/>
    </row>
    <row r="52481" spans="23:23">
      <c r="W52481" s="503"/>
    </row>
    <row r="52482" spans="23:23">
      <c r="W52482" s="503"/>
    </row>
    <row r="52483" spans="23:23">
      <c r="W52483" s="503"/>
    </row>
    <row r="52484" spans="23:23">
      <c r="W52484" s="503"/>
    </row>
    <row r="52485" spans="23:23">
      <c r="W52485" s="503"/>
    </row>
    <row r="52486" spans="23:23">
      <c r="W52486" s="503"/>
    </row>
    <row r="52487" spans="23:23">
      <c r="W52487" s="503"/>
    </row>
    <row r="52488" spans="23:23">
      <c r="W52488" s="503"/>
    </row>
    <row r="52489" spans="23:23">
      <c r="W52489" s="503"/>
    </row>
    <row r="52490" spans="23:23">
      <c r="W52490" s="503"/>
    </row>
    <row r="52491" spans="23:23">
      <c r="W52491" s="503"/>
    </row>
    <row r="52492" spans="23:23">
      <c r="W52492" s="503"/>
    </row>
    <row r="52493" spans="23:23">
      <c r="W52493" s="503"/>
    </row>
    <row r="52494" spans="23:23">
      <c r="W52494" s="503"/>
    </row>
    <row r="52495" spans="23:23">
      <c r="W52495" s="503"/>
    </row>
    <row r="52496" spans="23:23">
      <c r="W52496" s="503"/>
    </row>
    <row r="52497" spans="23:23">
      <c r="W52497" s="503"/>
    </row>
    <row r="52498" spans="23:23">
      <c r="W52498" s="503"/>
    </row>
    <row r="52499" spans="23:23">
      <c r="W52499" s="503"/>
    </row>
    <row r="52500" spans="23:23">
      <c r="W52500" s="503"/>
    </row>
    <row r="52501" spans="23:23">
      <c r="W52501" s="503"/>
    </row>
    <row r="52502" spans="23:23">
      <c r="W52502" s="503"/>
    </row>
    <row r="52503" spans="23:23">
      <c r="W52503" s="503"/>
    </row>
    <row r="52504" spans="23:23">
      <c r="W52504" s="503"/>
    </row>
    <row r="52505" spans="23:23">
      <c r="W52505" s="503"/>
    </row>
    <row r="52506" spans="23:23">
      <c r="W52506" s="503"/>
    </row>
    <row r="52507" spans="23:23">
      <c r="W52507" s="503"/>
    </row>
    <row r="52508" spans="23:23">
      <c r="W52508" s="503"/>
    </row>
    <row r="52509" spans="23:23">
      <c r="W52509" s="503"/>
    </row>
    <row r="52510" spans="23:23">
      <c r="W52510" s="503"/>
    </row>
    <row r="52511" spans="23:23">
      <c r="W52511" s="503"/>
    </row>
    <row r="52512" spans="23:23">
      <c r="W52512" s="503"/>
    </row>
    <row r="52513" spans="23:23">
      <c r="W52513" s="503"/>
    </row>
    <row r="52514" spans="23:23">
      <c r="W52514" s="503"/>
    </row>
    <row r="52515" spans="23:23">
      <c r="W52515" s="503"/>
    </row>
    <row r="52516" spans="23:23">
      <c r="W52516" s="503"/>
    </row>
    <row r="52517" spans="23:23">
      <c r="W52517" s="503"/>
    </row>
    <row r="52518" spans="23:23">
      <c r="W52518" s="503"/>
    </row>
    <row r="52519" spans="23:23">
      <c r="W52519" s="503"/>
    </row>
    <row r="52520" spans="23:23">
      <c r="W52520" s="503"/>
    </row>
    <row r="52521" spans="23:23">
      <c r="W52521" s="503"/>
    </row>
    <row r="52522" spans="23:23">
      <c r="W52522" s="503"/>
    </row>
    <row r="52523" spans="23:23">
      <c r="W52523" s="503"/>
    </row>
    <row r="52524" spans="23:23">
      <c r="W52524" s="503"/>
    </row>
    <row r="52525" spans="23:23">
      <c r="W52525" s="503"/>
    </row>
    <row r="52526" spans="23:23">
      <c r="W52526" s="503"/>
    </row>
    <row r="52527" spans="23:23">
      <c r="W52527" s="503"/>
    </row>
    <row r="52528" spans="23:23">
      <c r="W52528" s="503"/>
    </row>
    <row r="52529" spans="23:23">
      <c r="W52529" s="503"/>
    </row>
    <row r="52530" spans="23:23">
      <c r="W52530" s="503"/>
    </row>
    <row r="52531" spans="23:23">
      <c r="W52531" s="503"/>
    </row>
    <row r="52532" spans="23:23">
      <c r="W52532" s="503"/>
    </row>
    <row r="52533" spans="23:23">
      <c r="W52533" s="503"/>
    </row>
    <row r="52534" spans="23:23">
      <c r="W52534" s="503"/>
    </row>
    <row r="52535" spans="23:23">
      <c r="W52535" s="503"/>
    </row>
    <row r="52536" spans="23:23">
      <c r="W52536" s="503"/>
    </row>
    <row r="52537" spans="23:23">
      <c r="W52537" s="503"/>
    </row>
    <row r="52538" spans="23:23">
      <c r="W52538" s="503"/>
    </row>
    <row r="52539" spans="23:23">
      <c r="W52539" s="503"/>
    </row>
    <row r="52540" spans="23:23">
      <c r="W52540" s="503"/>
    </row>
    <row r="52541" spans="23:23">
      <c r="W52541" s="503"/>
    </row>
    <row r="52542" spans="23:23">
      <c r="W52542" s="503"/>
    </row>
    <row r="52543" spans="23:23">
      <c r="W52543" s="503"/>
    </row>
    <row r="52544" spans="23:23">
      <c r="W52544" s="503"/>
    </row>
    <row r="52545" spans="23:23">
      <c r="W52545" s="503"/>
    </row>
    <row r="52546" spans="23:23">
      <c r="W52546" s="503"/>
    </row>
    <row r="52547" spans="23:23">
      <c r="W52547" s="503"/>
    </row>
    <row r="52548" spans="23:23">
      <c r="W52548" s="503"/>
    </row>
    <row r="52549" spans="23:23">
      <c r="W52549" s="503"/>
    </row>
    <row r="52550" spans="23:23">
      <c r="W52550" s="503"/>
    </row>
    <row r="52551" spans="23:23">
      <c r="W52551" s="503"/>
    </row>
    <row r="52552" spans="23:23">
      <c r="W52552" s="503"/>
    </row>
    <row r="52553" spans="23:23">
      <c r="W52553" s="503"/>
    </row>
    <row r="52554" spans="23:23">
      <c r="W52554" s="503"/>
    </row>
    <row r="52555" spans="23:23">
      <c r="W52555" s="503"/>
    </row>
    <row r="52556" spans="23:23">
      <c r="W52556" s="503"/>
    </row>
    <row r="52557" spans="23:23">
      <c r="W52557" s="503"/>
    </row>
    <row r="52558" spans="23:23">
      <c r="W52558" s="503"/>
    </row>
    <row r="52559" spans="23:23">
      <c r="W52559" s="503"/>
    </row>
    <row r="52560" spans="23:23">
      <c r="W52560" s="503"/>
    </row>
    <row r="52561" spans="23:23">
      <c r="W52561" s="503"/>
    </row>
    <row r="52562" spans="23:23">
      <c r="W52562" s="503"/>
    </row>
    <row r="52563" spans="23:23">
      <c r="W52563" s="503"/>
    </row>
    <row r="52564" spans="23:23">
      <c r="W52564" s="503"/>
    </row>
    <row r="52565" spans="23:23">
      <c r="W52565" s="503"/>
    </row>
    <row r="52566" spans="23:23">
      <c r="W52566" s="503"/>
    </row>
    <row r="52567" spans="23:23">
      <c r="W52567" s="503"/>
    </row>
    <row r="52568" spans="23:23">
      <c r="W52568" s="503"/>
    </row>
    <row r="52569" spans="23:23">
      <c r="W52569" s="503"/>
    </row>
    <row r="52570" spans="23:23">
      <c r="W52570" s="503"/>
    </row>
    <row r="52571" spans="23:23">
      <c r="W52571" s="503"/>
    </row>
    <row r="52572" spans="23:23">
      <c r="W52572" s="503"/>
    </row>
    <row r="52573" spans="23:23">
      <c r="W52573" s="503"/>
    </row>
    <row r="52574" spans="23:23">
      <c r="W52574" s="503"/>
    </row>
    <row r="52575" spans="23:23">
      <c r="W52575" s="503"/>
    </row>
    <row r="52576" spans="23:23">
      <c r="W52576" s="503"/>
    </row>
    <row r="52577" spans="23:23">
      <c r="W52577" s="503"/>
    </row>
    <row r="52578" spans="23:23">
      <c r="W52578" s="503"/>
    </row>
    <row r="52579" spans="23:23">
      <c r="W52579" s="503"/>
    </row>
    <row r="52580" spans="23:23">
      <c r="W52580" s="503"/>
    </row>
    <row r="52581" spans="23:23">
      <c r="W52581" s="503"/>
    </row>
    <row r="52582" spans="23:23">
      <c r="W52582" s="503"/>
    </row>
    <row r="52583" spans="23:23">
      <c r="W52583" s="503"/>
    </row>
    <row r="52584" spans="23:23">
      <c r="W52584" s="503"/>
    </row>
    <row r="52585" spans="23:23">
      <c r="W52585" s="503"/>
    </row>
    <row r="52586" spans="23:23">
      <c r="W52586" s="503"/>
    </row>
    <row r="52587" spans="23:23">
      <c r="W52587" s="503"/>
    </row>
    <row r="52588" spans="23:23">
      <c r="W52588" s="503"/>
    </row>
    <row r="52589" spans="23:23">
      <c r="W52589" s="503"/>
    </row>
    <row r="52590" spans="23:23">
      <c r="W52590" s="503"/>
    </row>
    <row r="52591" spans="23:23">
      <c r="W52591" s="503"/>
    </row>
    <row r="52592" spans="23:23">
      <c r="W52592" s="503"/>
    </row>
    <row r="52593" spans="23:23">
      <c r="W52593" s="503"/>
    </row>
    <row r="52594" spans="23:23">
      <c r="W52594" s="503"/>
    </row>
    <row r="52595" spans="23:23">
      <c r="W52595" s="503"/>
    </row>
    <row r="52596" spans="23:23">
      <c r="W52596" s="503"/>
    </row>
    <row r="52597" spans="23:23">
      <c r="W52597" s="503"/>
    </row>
    <row r="52598" spans="23:23">
      <c r="W52598" s="503"/>
    </row>
    <row r="52599" spans="23:23">
      <c r="W52599" s="503"/>
    </row>
    <row r="52600" spans="23:23">
      <c r="W52600" s="503"/>
    </row>
    <row r="52601" spans="23:23">
      <c r="W52601" s="503"/>
    </row>
    <row r="52602" spans="23:23">
      <c r="W52602" s="503"/>
    </row>
    <row r="52603" spans="23:23">
      <c r="W52603" s="503"/>
    </row>
    <row r="52604" spans="23:23">
      <c r="W52604" s="503"/>
    </row>
    <row r="52605" spans="23:23">
      <c r="W52605" s="503"/>
    </row>
    <row r="52606" spans="23:23">
      <c r="W52606" s="503"/>
    </row>
    <row r="52607" spans="23:23">
      <c r="W52607" s="503"/>
    </row>
    <row r="52608" spans="23:23">
      <c r="W52608" s="503"/>
    </row>
    <row r="52609" spans="23:23">
      <c r="W52609" s="503"/>
    </row>
    <row r="52610" spans="23:23">
      <c r="W52610" s="503"/>
    </row>
    <row r="52611" spans="23:23">
      <c r="W52611" s="503"/>
    </row>
    <row r="52612" spans="23:23">
      <c r="W52612" s="503"/>
    </row>
    <row r="52613" spans="23:23">
      <c r="W52613" s="503"/>
    </row>
    <row r="52614" spans="23:23">
      <c r="W52614" s="503"/>
    </row>
    <row r="52615" spans="23:23">
      <c r="W52615" s="503"/>
    </row>
    <row r="52616" spans="23:23">
      <c r="W52616" s="503"/>
    </row>
    <row r="52617" spans="23:23">
      <c r="W52617" s="503"/>
    </row>
    <row r="52618" spans="23:23">
      <c r="W52618" s="503"/>
    </row>
    <row r="52619" spans="23:23">
      <c r="W52619" s="503"/>
    </row>
    <row r="52620" spans="23:23">
      <c r="W52620" s="503"/>
    </row>
    <row r="52621" spans="23:23">
      <c r="W52621" s="503"/>
    </row>
    <row r="52622" spans="23:23">
      <c r="W52622" s="503"/>
    </row>
    <row r="52623" spans="23:23">
      <c r="W52623" s="503"/>
    </row>
    <row r="52624" spans="23:23">
      <c r="W52624" s="503"/>
    </row>
    <row r="52625" spans="23:23">
      <c r="W52625" s="503"/>
    </row>
    <row r="52626" spans="23:23">
      <c r="W52626" s="503"/>
    </row>
    <row r="52627" spans="23:23">
      <c r="W52627" s="503"/>
    </row>
    <row r="52628" spans="23:23">
      <c r="W52628" s="503"/>
    </row>
    <row r="52629" spans="23:23">
      <c r="W52629" s="503"/>
    </row>
    <row r="52630" spans="23:23">
      <c r="W52630" s="503"/>
    </row>
    <row r="52631" spans="23:23">
      <c r="W52631" s="503"/>
    </row>
    <row r="52632" spans="23:23">
      <c r="W52632" s="503"/>
    </row>
    <row r="52633" spans="23:23">
      <c r="W52633" s="503"/>
    </row>
    <row r="52634" spans="23:23">
      <c r="W52634" s="503"/>
    </row>
    <row r="52635" spans="23:23">
      <c r="W52635" s="503"/>
    </row>
    <row r="52636" spans="23:23">
      <c r="W52636" s="503"/>
    </row>
    <row r="52637" spans="23:23">
      <c r="W52637" s="503"/>
    </row>
    <row r="52638" spans="23:23">
      <c r="W52638" s="503"/>
    </row>
    <row r="52639" spans="23:23">
      <c r="W52639" s="503"/>
    </row>
    <row r="52640" spans="23:23">
      <c r="W52640" s="503"/>
    </row>
    <row r="52641" spans="23:23">
      <c r="W52641" s="503"/>
    </row>
    <row r="52642" spans="23:23">
      <c r="W52642" s="503"/>
    </row>
    <row r="52643" spans="23:23">
      <c r="W52643" s="503"/>
    </row>
    <row r="52644" spans="23:23">
      <c r="W52644" s="503"/>
    </row>
    <row r="52645" spans="23:23">
      <c r="W52645" s="503"/>
    </row>
    <row r="52646" spans="23:23">
      <c r="W52646" s="503"/>
    </row>
    <row r="52647" spans="23:23">
      <c r="W52647" s="503"/>
    </row>
    <row r="52648" spans="23:23">
      <c r="W52648" s="503"/>
    </row>
    <row r="52649" spans="23:23">
      <c r="W52649" s="503"/>
    </row>
    <row r="52650" spans="23:23">
      <c r="W52650" s="503"/>
    </row>
    <row r="52651" spans="23:23">
      <c r="W52651" s="503"/>
    </row>
    <row r="52652" spans="23:23">
      <c r="W52652" s="503"/>
    </row>
    <row r="52653" spans="23:23">
      <c r="W52653" s="503"/>
    </row>
    <row r="52654" spans="23:23">
      <c r="W52654" s="503"/>
    </row>
    <row r="52655" spans="23:23">
      <c r="W52655" s="503"/>
    </row>
    <row r="52656" spans="23:23">
      <c r="W52656" s="503"/>
    </row>
    <row r="52657" spans="23:23">
      <c r="W52657" s="503"/>
    </row>
    <row r="52658" spans="23:23">
      <c r="W52658" s="503"/>
    </row>
    <row r="52659" spans="23:23">
      <c r="W52659" s="503"/>
    </row>
    <row r="52660" spans="23:23">
      <c r="W52660" s="503"/>
    </row>
    <row r="52661" spans="23:23">
      <c r="W52661" s="503"/>
    </row>
    <row r="52662" spans="23:23">
      <c r="W52662" s="503"/>
    </row>
    <row r="52663" spans="23:23">
      <c r="W52663" s="503"/>
    </row>
    <row r="52664" spans="23:23">
      <c r="W52664" s="503"/>
    </row>
    <row r="52665" spans="23:23">
      <c r="W52665" s="503"/>
    </row>
    <row r="52666" spans="23:23">
      <c r="W52666" s="503"/>
    </row>
    <row r="52667" spans="23:23">
      <c r="W52667" s="503"/>
    </row>
    <row r="52668" spans="23:23">
      <c r="W52668" s="503"/>
    </row>
    <row r="52669" spans="23:23">
      <c r="W52669" s="503"/>
    </row>
    <row r="52670" spans="23:23">
      <c r="W52670" s="503"/>
    </row>
    <row r="52671" spans="23:23">
      <c r="W52671" s="503"/>
    </row>
    <row r="52672" spans="23:23">
      <c r="W52672" s="503"/>
    </row>
    <row r="52673" spans="23:23">
      <c r="W52673" s="503"/>
    </row>
    <row r="52674" spans="23:23">
      <c r="W52674" s="503"/>
    </row>
    <row r="52675" spans="23:23">
      <c r="W52675" s="503"/>
    </row>
    <row r="52676" spans="23:23">
      <c r="W52676" s="503"/>
    </row>
    <row r="52677" spans="23:23">
      <c r="W52677" s="503"/>
    </row>
    <row r="52678" spans="23:23">
      <c r="W52678" s="503"/>
    </row>
    <row r="52679" spans="23:23">
      <c r="W52679" s="503"/>
    </row>
    <row r="52680" spans="23:23">
      <c r="W52680" s="503"/>
    </row>
    <row r="52681" spans="23:23">
      <c r="W52681" s="503"/>
    </row>
    <row r="52682" spans="23:23">
      <c r="W52682" s="503"/>
    </row>
    <row r="52683" spans="23:23">
      <c r="W52683" s="503"/>
    </row>
    <row r="52684" spans="23:23">
      <c r="W52684" s="503"/>
    </row>
    <row r="52685" spans="23:23">
      <c r="W52685" s="503"/>
    </row>
    <row r="52686" spans="23:23">
      <c r="W52686" s="503"/>
    </row>
    <row r="52687" spans="23:23">
      <c r="W52687" s="503"/>
    </row>
    <row r="52688" spans="23:23">
      <c r="W52688" s="503"/>
    </row>
    <row r="52689" spans="23:23">
      <c r="W52689" s="503"/>
    </row>
    <row r="52690" spans="23:23">
      <c r="W52690" s="503"/>
    </row>
    <row r="52691" spans="23:23">
      <c r="W52691" s="503"/>
    </row>
    <row r="52692" spans="23:23">
      <c r="W52692" s="503"/>
    </row>
    <row r="52693" spans="23:23">
      <c r="W52693" s="503"/>
    </row>
    <row r="52694" spans="23:23">
      <c r="W52694" s="503"/>
    </row>
    <row r="52695" spans="23:23">
      <c r="W52695" s="503"/>
    </row>
    <row r="52696" spans="23:23">
      <c r="W52696" s="503"/>
    </row>
    <row r="52697" spans="23:23">
      <c r="W52697" s="503"/>
    </row>
    <row r="52698" spans="23:23">
      <c r="W52698" s="503"/>
    </row>
    <row r="52699" spans="23:23">
      <c r="W52699" s="503"/>
    </row>
    <row r="52700" spans="23:23">
      <c r="W52700" s="503"/>
    </row>
    <row r="52701" spans="23:23">
      <c r="W52701" s="503"/>
    </row>
    <row r="52702" spans="23:23">
      <c r="W52702" s="503"/>
    </row>
    <row r="52703" spans="23:23">
      <c r="W52703" s="503"/>
    </row>
    <row r="52704" spans="23:23">
      <c r="W52704" s="503"/>
    </row>
    <row r="52705" spans="23:23">
      <c r="W52705" s="503"/>
    </row>
    <row r="52706" spans="23:23">
      <c r="W52706" s="503"/>
    </row>
    <row r="52707" spans="23:23">
      <c r="W52707" s="503"/>
    </row>
    <row r="52708" spans="23:23">
      <c r="W52708" s="503"/>
    </row>
    <row r="52709" spans="23:23">
      <c r="W52709" s="503"/>
    </row>
    <row r="52710" spans="23:23">
      <c r="W52710" s="503"/>
    </row>
    <row r="52711" spans="23:23">
      <c r="W52711" s="503"/>
    </row>
    <row r="52712" spans="23:23">
      <c r="W52712" s="503"/>
    </row>
    <row r="52713" spans="23:23">
      <c r="W52713" s="503"/>
    </row>
    <row r="52714" spans="23:23">
      <c r="W52714" s="503"/>
    </row>
    <row r="52715" spans="23:23">
      <c r="W52715" s="503"/>
    </row>
    <row r="52716" spans="23:23">
      <c r="W52716" s="503"/>
    </row>
    <row r="52717" spans="23:23">
      <c r="W52717" s="503"/>
    </row>
    <row r="52718" spans="23:23">
      <c r="W52718" s="503"/>
    </row>
    <row r="52719" spans="23:23">
      <c r="W52719" s="503"/>
    </row>
    <row r="52720" spans="23:23">
      <c r="W52720" s="503"/>
    </row>
    <row r="52721" spans="23:23">
      <c r="W52721" s="503"/>
    </row>
    <row r="52722" spans="23:23">
      <c r="W52722" s="503"/>
    </row>
    <row r="52723" spans="23:23">
      <c r="W52723" s="503"/>
    </row>
    <row r="52724" spans="23:23">
      <c r="W52724" s="503"/>
    </row>
    <row r="52725" spans="23:23">
      <c r="W52725" s="503"/>
    </row>
    <row r="52726" spans="23:23">
      <c r="W52726" s="503"/>
    </row>
    <row r="52727" spans="23:23">
      <c r="W52727" s="503"/>
    </row>
    <row r="52728" spans="23:23">
      <c r="W52728" s="503"/>
    </row>
    <row r="52729" spans="23:23">
      <c r="W52729" s="503"/>
    </row>
    <row r="52730" spans="23:23">
      <c r="W52730" s="503"/>
    </row>
    <row r="52731" spans="23:23">
      <c r="W52731" s="503"/>
    </row>
    <row r="52732" spans="23:23">
      <c r="W52732" s="503"/>
    </row>
    <row r="52733" spans="23:23">
      <c r="W52733" s="503"/>
    </row>
    <row r="52734" spans="23:23">
      <c r="W52734" s="503"/>
    </row>
    <row r="52735" spans="23:23">
      <c r="W52735" s="503"/>
    </row>
    <row r="52736" spans="23:23">
      <c r="W52736" s="503"/>
    </row>
    <row r="52737" spans="23:23">
      <c r="W52737" s="503"/>
    </row>
    <row r="52738" spans="23:23">
      <c r="W52738" s="503"/>
    </row>
    <row r="52739" spans="23:23">
      <c r="W52739" s="503"/>
    </row>
    <row r="52740" spans="23:23">
      <c r="W52740" s="503"/>
    </row>
    <row r="52741" spans="23:23">
      <c r="W52741" s="503"/>
    </row>
    <row r="52742" spans="23:23">
      <c r="W52742" s="503"/>
    </row>
    <row r="52743" spans="23:23">
      <c r="W52743" s="503"/>
    </row>
    <row r="52744" spans="23:23">
      <c r="W52744" s="503"/>
    </row>
    <row r="52745" spans="23:23">
      <c r="W52745" s="503"/>
    </row>
    <row r="52746" spans="23:23">
      <c r="W52746" s="503"/>
    </row>
    <row r="52747" spans="23:23">
      <c r="W52747" s="503"/>
    </row>
    <row r="52748" spans="23:23">
      <c r="W52748" s="503"/>
    </row>
    <row r="52749" spans="23:23">
      <c r="W52749" s="503"/>
    </row>
    <row r="52750" spans="23:23">
      <c r="W52750" s="503"/>
    </row>
    <row r="52751" spans="23:23">
      <c r="W52751" s="503"/>
    </row>
    <row r="52752" spans="23:23">
      <c r="W52752" s="503"/>
    </row>
    <row r="52753" spans="23:23">
      <c r="W52753" s="503"/>
    </row>
    <row r="52754" spans="23:23">
      <c r="W52754" s="503"/>
    </row>
    <row r="52755" spans="23:23">
      <c r="W52755" s="503"/>
    </row>
    <row r="52756" spans="23:23">
      <c r="W52756" s="503"/>
    </row>
    <row r="52757" spans="23:23">
      <c r="W52757" s="503"/>
    </row>
    <row r="52758" spans="23:23">
      <c r="W52758" s="503"/>
    </row>
    <row r="52759" spans="23:23">
      <c r="W52759" s="503"/>
    </row>
    <row r="52760" spans="23:23">
      <c r="W52760" s="503"/>
    </row>
    <row r="52761" spans="23:23">
      <c r="W52761" s="503"/>
    </row>
    <row r="52762" spans="23:23">
      <c r="W52762" s="503"/>
    </row>
    <row r="52763" spans="23:23">
      <c r="W52763" s="503"/>
    </row>
    <row r="52764" spans="23:23">
      <c r="W52764" s="503"/>
    </row>
    <row r="52765" spans="23:23">
      <c r="W52765" s="503"/>
    </row>
    <row r="52766" spans="23:23">
      <c r="W52766" s="503"/>
    </row>
    <row r="52767" spans="23:23">
      <c r="W52767" s="503"/>
    </row>
    <row r="52768" spans="23:23">
      <c r="W52768" s="503"/>
    </row>
    <row r="52769" spans="23:23">
      <c r="W52769" s="503"/>
    </row>
    <row r="52770" spans="23:23">
      <c r="W52770" s="503"/>
    </row>
    <row r="52771" spans="23:23">
      <c r="W52771" s="503"/>
    </row>
    <row r="52772" spans="23:23">
      <c r="W52772" s="503"/>
    </row>
    <row r="52773" spans="23:23">
      <c r="W52773" s="503"/>
    </row>
    <row r="52774" spans="23:23">
      <c r="W52774" s="503"/>
    </row>
    <row r="52775" spans="23:23">
      <c r="W52775" s="503"/>
    </row>
    <row r="52776" spans="23:23">
      <c r="W52776" s="503"/>
    </row>
    <row r="52777" spans="23:23">
      <c r="W52777" s="503"/>
    </row>
    <row r="52778" spans="23:23">
      <c r="W52778" s="503"/>
    </row>
    <row r="52779" spans="23:23">
      <c r="W52779" s="503"/>
    </row>
    <row r="52780" spans="23:23">
      <c r="W52780" s="503"/>
    </row>
    <row r="52781" spans="23:23">
      <c r="W52781" s="503"/>
    </row>
    <row r="52782" spans="23:23">
      <c r="W52782" s="503"/>
    </row>
    <row r="52783" spans="23:23">
      <c r="W52783" s="503"/>
    </row>
    <row r="52784" spans="23:23">
      <c r="W52784" s="503"/>
    </row>
    <row r="52785" spans="23:23">
      <c r="W52785" s="503"/>
    </row>
    <row r="52786" spans="23:23">
      <c r="W52786" s="503"/>
    </row>
    <row r="52787" spans="23:23">
      <c r="W52787" s="503"/>
    </row>
    <row r="52788" spans="23:23">
      <c r="W52788" s="503"/>
    </row>
    <row r="52789" spans="23:23">
      <c r="W52789" s="503"/>
    </row>
    <row r="52790" spans="23:23">
      <c r="W52790" s="503"/>
    </row>
    <row r="52791" spans="23:23">
      <c r="W52791" s="503"/>
    </row>
    <row r="52792" spans="23:23">
      <c r="W52792" s="503"/>
    </row>
    <row r="52793" spans="23:23">
      <c r="W52793" s="503"/>
    </row>
    <row r="52794" spans="23:23">
      <c r="W52794" s="503"/>
    </row>
    <row r="52795" spans="23:23">
      <c r="W52795" s="503"/>
    </row>
    <row r="52796" spans="23:23">
      <c r="W52796" s="503"/>
    </row>
    <row r="52797" spans="23:23">
      <c r="W52797" s="503"/>
    </row>
    <row r="52798" spans="23:23">
      <c r="W52798" s="503"/>
    </row>
    <row r="52799" spans="23:23">
      <c r="W52799" s="503"/>
    </row>
    <row r="52800" spans="23:23">
      <c r="W52800" s="503"/>
    </row>
    <row r="52801" spans="23:23">
      <c r="W52801" s="503"/>
    </row>
    <row r="52802" spans="23:23">
      <c r="W52802" s="503"/>
    </row>
    <row r="52803" spans="23:23">
      <c r="W52803" s="503"/>
    </row>
    <row r="52804" spans="23:23">
      <c r="W52804" s="503"/>
    </row>
    <row r="52805" spans="23:23">
      <c r="W52805" s="503"/>
    </row>
    <row r="52806" spans="23:23">
      <c r="W52806" s="503"/>
    </row>
    <row r="52807" spans="23:23">
      <c r="W52807" s="503"/>
    </row>
    <row r="52808" spans="23:23">
      <c r="W52808" s="503"/>
    </row>
    <row r="52809" spans="23:23">
      <c r="W52809" s="503"/>
    </row>
    <row r="52810" spans="23:23">
      <c r="W52810" s="503"/>
    </row>
    <row r="52811" spans="23:23">
      <c r="W52811" s="503"/>
    </row>
    <row r="52812" spans="23:23">
      <c r="W52812" s="503"/>
    </row>
    <row r="52813" spans="23:23">
      <c r="W52813" s="503"/>
    </row>
    <row r="52814" spans="23:23">
      <c r="W52814" s="503"/>
    </row>
    <row r="52815" spans="23:23">
      <c r="W52815" s="503"/>
    </row>
    <row r="52816" spans="23:23">
      <c r="W52816" s="503"/>
    </row>
    <row r="52817" spans="23:23">
      <c r="W52817" s="503"/>
    </row>
    <row r="52818" spans="23:23">
      <c r="W52818" s="503"/>
    </row>
    <row r="52819" spans="23:23">
      <c r="W52819" s="503"/>
    </row>
    <row r="52820" spans="23:23">
      <c r="W52820" s="503"/>
    </row>
    <row r="52821" spans="23:23">
      <c r="W52821" s="503"/>
    </row>
    <row r="52822" spans="23:23">
      <c r="W52822" s="503"/>
    </row>
    <row r="52823" spans="23:23">
      <c r="W52823" s="503"/>
    </row>
    <row r="52824" spans="23:23">
      <c r="W52824" s="503"/>
    </row>
    <row r="52825" spans="23:23">
      <c r="W52825" s="503"/>
    </row>
    <row r="52826" spans="23:23">
      <c r="W52826" s="503"/>
    </row>
    <row r="52827" spans="23:23">
      <c r="W52827" s="503"/>
    </row>
    <row r="52828" spans="23:23">
      <c r="W52828" s="503"/>
    </row>
    <row r="52829" spans="23:23">
      <c r="W52829" s="503"/>
    </row>
    <row r="52830" spans="23:23">
      <c r="W52830" s="503"/>
    </row>
    <row r="52831" spans="23:23">
      <c r="W52831" s="503"/>
    </row>
    <row r="52832" spans="23:23">
      <c r="W52832" s="503"/>
    </row>
    <row r="52833" spans="23:23">
      <c r="W52833" s="503"/>
    </row>
    <row r="52834" spans="23:23">
      <c r="W52834" s="503"/>
    </row>
    <row r="52835" spans="23:23">
      <c r="W52835" s="503"/>
    </row>
    <row r="52836" spans="23:23">
      <c r="W52836" s="503"/>
    </row>
    <row r="52837" spans="23:23">
      <c r="W52837" s="503"/>
    </row>
    <row r="52838" spans="23:23">
      <c r="W52838" s="503"/>
    </row>
    <row r="52839" spans="23:23">
      <c r="W52839" s="503"/>
    </row>
    <row r="52840" spans="23:23">
      <c r="W52840" s="503"/>
    </row>
    <row r="52841" spans="23:23">
      <c r="W52841" s="503"/>
    </row>
    <row r="52842" spans="23:23">
      <c r="W52842" s="503"/>
    </row>
    <row r="52843" spans="23:23">
      <c r="W52843" s="503"/>
    </row>
    <row r="52844" spans="23:23">
      <c r="W52844" s="503"/>
    </row>
    <row r="52845" spans="23:23">
      <c r="W52845" s="503"/>
    </row>
    <row r="52846" spans="23:23">
      <c r="W52846" s="503"/>
    </row>
    <row r="52847" spans="23:23">
      <c r="W52847" s="503"/>
    </row>
    <row r="52848" spans="23:23">
      <c r="W52848" s="503"/>
    </row>
    <row r="52849" spans="23:23">
      <c r="W52849" s="503"/>
    </row>
    <row r="52850" spans="23:23">
      <c r="W52850" s="503"/>
    </row>
    <row r="52851" spans="23:23">
      <c r="W52851" s="503"/>
    </row>
    <row r="52852" spans="23:23">
      <c r="W52852" s="503"/>
    </row>
    <row r="52853" spans="23:23">
      <c r="W52853" s="503"/>
    </row>
    <row r="52854" spans="23:23">
      <c r="W52854" s="503"/>
    </row>
    <row r="52855" spans="23:23">
      <c r="W52855" s="503"/>
    </row>
    <row r="52856" spans="23:23">
      <c r="W52856" s="503"/>
    </row>
    <row r="52857" spans="23:23">
      <c r="W52857" s="503"/>
    </row>
    <row r="52858" spans="23:23">
      <c r="W52858" s="503"/>
    </row>
    <row r="52859" spans="23:23">
      <c r="W52859" s="503"/>
    </row>
    <row r="52860" spans="23:23">
      <c r="W52860" s="503"/>
    </row>
    <row r="52861" spans="23:23">
      <c r="W52861" s="503"/>
    </row>
    <row r="52862" spans="23:23">
      <c r="W52862" s="503"/>
    </row>
    <row r="52863" spans="23:23">
      <c r="W52863" s="503"/>
    </row>
    <row r="52864" spans="23:23">
      <c r="W52864" s="503"/>
    </row>
    <row r="52865" spans="23:23">
      <c r="W52865" s="503"/>
    </row>
    <row r="52866" spans="23:23">
      <c r="W52866" s="503"/>
    </row>
    <row r="52867" spans="23:23">
      <c r="W52867" s="503"/>
    </row>
    <row r="52868" spans="23:23">
      <c r="W52868" s="503"/>
    </row>
    <row r="52869" spans="23:23">
      <c r="W52869" s="503"/>
    </row>
    <row r="52870" spans="23:23">
      <c r="W52870" s="503"/>
    </row>
    <row r="52871" spans="23:23">
      <c r="W52871" s="503"/>
    </row>
    <row r="52872" spans="23:23">
      <c r="W52872" s="503"/>
    </row>
    <row r="52873" spans="23:23">
      <c r="W52873" s="503"/>
    </row>
    <row r="52874" spans="23:23">
      <c r="W52874" s="503"/>
    </row>
    <row r="52875" spans="23:23">
      <c r="W52875" s="503"/>
    </row>
    <row r="52876" spans="23:23">
      <c r="W52876" s="503"/>
    </row>
    <row r="52877" spans="23:23">
      <c r="W52877" s="503"/>
    </row>
    <row r="52878" spans="23:23">
      <c r="W52878" s="503"/>
    </row>
    <row r="52879" spans="23:23">
      <c r="W52879" s="503"/>
    </row>
    <row r="52880" spans="23:23">
      <c r="W52880" s="503"/>
    </row>
    <row r="52881" spans="23:23">
      <c r="W52881" s="503"/>
    </row>
    <row r="52882" spans="23:23">
      <c r="W52882" s="503"/>
    </row>
    <row r="52883" spans="23:23">
      <c r="W52883" s="503"/>
    </row>
    <row r="52884" spans="23:23">
      <c r="W52884" s="503"/>
    </row>
    <row r="52885" spans="23:23">
      <c r="W52885" s="503"/>
    </row>
    <row r="52886" spans="23:23">
      <c r="W52886" s="503"/>
    </row>
    <row r="52887" spans="23:23">
      <c r="W52887" s="503"/>
    </row>
    <row r="52888" spans="23:23">
      <c r="W52888" s="503"/>
    </row>
    <row r="52889" spans="23:23">
      <c r="W52889" s="503"/>
    </row>
    <row r="52890" spans="23:23">
      <c r="W52890" s="503"/>
    </row>
    <row r="52891" spans="23:23">
      <c r="W52891" s="503"/>
    </row>
    <row r="52892" spans="23:23">
      <c r="W52892" s="503"/>
    </row>
    <row r="52893" spans="23:23">
      <c r="W52893" s="503"/>
    </row>
    <row r="52894" spans="23:23">
      <c r="W52894" s="503"/>
    </row>
    <row r="52895" spans="23:23">
      <c r="W52895" s="503"/>
    </row>
    <row r="52896" spans="23:23">
      <c r="W52896" s="503"/>
    </row>
    <row r="52897" spans="23:23">
      <c r="W52897" s="503"/>
    </row>
    <row r="52898" spans="23:23">
      <c r="W52898" s="503"/>
    </row>
    <row r="52899" spans="23:23">
      <c r="W52899" s="503"/>
    </row>
    <row r="52900" spans="23:23">
      <c r="W52900" s="503"/>
    </row>
    <row r="52901" spans="23:23">
      <c r="W52901" s="503"/>
    </row>
    <row r="52902" spans="23:23">
      <c r="W52902" s="503"/>
    </row>
    <row r="52903" spans="23:23">
      <c r="W52903" s="503"/>
    </row>
    <row r="52904" spans="23:23">
      <c r="W52904" s="503"/>
    </row>
    <row r="52905" spans="23:23">
      <c r="W52905" s="503"/>
    </row>
    <row r="52906" spans="23:23">
      <c r="W52906" s="503"/>
    </row>
    <row r="52907" spans="23:23">
      <c r="W52907" s="503"/>
    </row>
    <row r="52908" spans="23:23">
      <c r="W52908" s="503"/>
    </row>
    <row r="52909" spans="23:23">
      <c r="W52909" s="503"/>
    </row>
    <row r="52910" spans="23:23">
      <c r="W52910" s="503"/>
    </row>
    <row r="52911" spans="23:23">
      <c r="W52911" s="503"/>
    </row>
    <row r="52912" spans="23:23">
      <c r="W52912" s="503"/>
    </row>
    <row r="52913" spans="23:23">
      <c r="W52913" s="503"/>
    </row>
    <row r="52914" spans="23:23">
      <c r="W52914" s="503"/>
    </row>
    <row r="52915" spans="23:23">
      <c r="W52915" s="503"/>
    </row>
    <row r="52916" spans="23:23">
      <c r="W52916" s="503"/>
    </row>
    <row r="52917" spans="23:23">
      <c r="W52917" s="503"/>
    </row>
    <row r="52918" spans="23:23">
      <c r="W52918" s="503"/>
    </row>
    <row r="52919" spans="23:23">
      <c r="W52919" s="503"/>
    </row>
    <row r="52920" spans="23:23">
      <c r="W52920" s="503"/>
    </row>
    <row r="52921" spans="23:23">
      <c r="W52921" s="503"/>
    </row>
    <row r="52922" spans="23:23">
      <c r="W52922" s="503"/>
    </row>
    <row r="52923" spans="23:23">
      <c r="W52923" s="503"/>
    </row>
    <row r="52924" spans="23:23">
      <c r="W52924" s="503"/>
    </row>
    <row r="52925" spans="23:23">
      <c r="W52925" s="503"/>
    </row>
    <row r="52926" spans="23:23">
      <c r="W52926" s="503"/>
    </row>
    <row r="52927" spans="23:23">
      <c r="W52927" s="503"/>
    </row>
    <row r="52928" spans="23:23">
      <c r="W52928" s="503"/>
    </row>
    <row r="52929" spans="23:23">
      <c r="W52929" s="503"/>
    </row>
    <row r="52930" spans="23:23">
      <c r="W52930" s="503"/>
    </row>
    <row r="52931" spans="23:23">
      <c r="W52931" s="503"/>
    </row>
    <row r="52932" spans="23:23">
      <c r="W52932" s="503"/>
    </row>
    <row r="52933" spans="23:23">
      <c r="W52933" s="503"/>
    </row>
    <row r="52934" spans="23:23">
      <c r="W52934" s="503"/>
    </row>
    <row r="52935" spans="23:23">
      <c r="W52935" s="503"/>
    </row>
    <row r="52936" spans="23:23">
      <c r="W52936" s="503"/>
    </row>
    <row r="52937" spans="23:23">
      <c r="W52937" s="503"/>
    </row>
    <row r="52938" spans="23:23">
      <c r="W52938" s="503"/>
    </row>
    <row r="52939" spans="23:23">
      <c r="W52939" s="503"/>
    </row>
    <row r="52940" spans="23:23">
      <c r="W52940" s="503"/>
    </row>
    <row r="52941" spans="23:23">
      <c r="W52941" s="503"/>
    </row>
    <row r="52942" spans="23:23">
      <c r="W52942" s="503"/>
    </row>
    <row r="52943" spans="23:23">
      <c r="W52943" s="503"/>
    </row>
    <row r="52944" spans="23:23">
      <c r="W52944" s="503"/>
    </row>
    <row r="52945" spans="23:23">
      <c r="W52945" s="503"/>
    </row>
    <row r="52946" spans="23:23">
      <c r="W52946" s="503"/>
    </row>
    <row r="52947" spans="23:23">
      <c r="W52947" s="503"/>
    </row>
    <row r="52948" spans="23:23">
      <c r="W52948" s="503"/>
    </row>
    <row r="52949" spans="23:23">
      <c r="W52949" s="503"/>
    </row>
    <row r="52950" spans="23:23">
      <c r="W52950" s="503"/>
    </row>
    <row r="52951" spans="23:23">
      <c r="W52951" s="503"/>
    </row>
    <row r="52952" spans="23:23">
      <c r="W52952" s="503"/>
    </row>
    <row r="52953" spans="23:23">
      <c r="W52953" s="503"/>
    </row>
    <row r="52954" spans="23:23">
      <c r="W52954" s="503"/>
    </row>
    <row r="52955" spans="23:23">
      <c r="W52955" s="503"/>
    </row>
    <row r="52956" spans="23:23">
      <c r="W52956" s="503"/>
    </row>
    <row r="52957" spans="23:23">
      <c r="W52957" s="503"/>
    </row>
    <row r="52958" spans="23:23">
      <c r="W52958" s="503"/>
    </row>
    <row r="52959" spans="23:23">
      <c r="W52959" s="503"/>
    </row>
    <row r="52960" spans="23:23">
      <c r="W52960" s="503"/>
    </row>
    <row r="52961" spans="23:23">
      <c r="W52961" s="503"/>
    </row>
    <row r="52962" spans="23:23">
      <c r="W52962" s="503"/>
    </row>
    <row r="52963" spans="23:23">
      <c r="W52963" s="503"/>
    </row>
    <row r="52964" spans="23:23">
      <c r="W52964" s="503"/>
    </row>
    <row r="52965" spans="23:23">
      <c r="W52965" s="503"/>
    </row>
    <row r="52966" spans="23:23">
      <c r="W52966" s="503"/>
    </row>
    <row r="52967" spans="23:23">
      <c r="W52967" s="503"/>
    </row>
    <row r="52968" spans="23:23">
      <c r="W52968" s="503"/>
    </row>
    <row r="52969" spans="23:23">
      <c r="W52969" s="503"/>
    </row>
    <row r="52970" spans="23:23">
      <c r="W52970" s="503"/>
    </row>
    <row r="52971" spans="23:23">
      <c r="W52971" s="503"/>
    </row>
    <row r="52972" spans="23:23">
      <c r="W52972" s="503"/>
    </row>
    <row r="52973" spans="23:23">
      <c r="W52973" s="503"/>
    </row>
    <row r="52974" spans="23:23">
      <c r="W52974" s="503"/>
    </row>
    <row r="52975" spans="23:23">
      <c r="W52975" s="503"/>
    </row>
    <row r="52976" spans="23:23">
      <c r="W52976" s="503"/>
    </row>
    <row r="52977" spans="23:23">
      <c r="W52977" s="503"/>
    </row>
    <row r="52978" spans="23:23">
      <c r="W52978" s="503"/>
    </row>
    <row r="52979" spans="23:23">
      <c r="W52979" s="503"/>
    </row>
    <row r="52980" spans="23:23">
      <c r="W52980" s="503"/>
    </row>
    <row r="52981" spans="23:23">
      <c r="W52981" s="503"/>
    </row>
    <row r="52982" spans="23:23">
      <c r="W52982" s="503"/>
    </row>
    <row r="52983" spans="23:23">
      <c r="W52983" s="503"/>
    </row>
    <row r="52984" spans="23:23">
      <c r="W52984" s="503"/>
    </row>
    <row r="52985" spans="23:23">
      <c r="W52985" s="503"/>
    </row>
    <row r="52986" spans="23:23">
      <c r="W52986" s="503"/>
    </row>
    <row r="52987" spans="23:23">
      <c r="W52987" s="503"/>
    </row>
    <row r="52988" spans="23:23">
      <c r="W52988" s="503"/>
    </row>
    <row r="52989" spans="23:23">
      <c r="W52989" s="503"/>
    </row>
    <row r="52990" spans="23:23">
      <c r="W52990" s="503"/>
    </row>
    <row r="52991" spans="23:23">
      <c r="W52991" s="503"/>
    </row>
    <row r="52992" spans="23:23">
      <c r="W52992" s="503"/>
    </row>
    <row r="52993" spans="23:23">
      <c r="W52993" s="503"/>
    </row>
    <row r="52994" spans="23:23">
      <c r="W52994" s="503"/>
    </row>
    <row r="52995" spans="23:23">
      <c r="W52995" s="503"/>
    </row>
    <row r="52996" spans="23:23">
      <c r="W52996" s="503"/>
    </row>
    <row r="52997" spans="23:23">
      <c r="W52997" s="503"/>
    </row>
    <row r="52998" spans="23:23">
      <c r="W52998" s="503"/>
    </row>
    <row r="52999" spans="23:23">
      <c r="W52999" s="503"/>
    </row>
    <row r="53000" spans="23:23">
      <c r="W53000" s="503"/>
    </row>
    <row r="53001" spans="23:23">
      <c r="W53001" s="503"/>
    </row>
    <row r="53002" spans="23:23">
      <c r="W53002" s="503"/>
    </row>
    <row r="53003" spans="23:23">
      <c r="W53003" s="503"/>
    </row>
    <row r="53004" spans="23:23">
      <c r="W53004" s="503"/>
    </row>
    <row r="53005" spans="23:23">
      <c r="W53005" s="503"/>
    </row>
    <row r="53006" spans="23:23">
      <c r="W53006" s="503"/>
    </row>
    <row r="53007" spans="23:23">
      <c r="W53007" s="503"/>
    </row>
    <row r="53008" spans="23:23">
      <c r="W53008" s="503"/>
    </row>
    <row r="53009" spans="23:23">
      <c r="W53009" s="503"/>
    </row>
    <row r="53010" spans="23:23">
      <c r="W53010" s="503"/>
    </row>
    <row r="53011" spans="23:23">
      <c r="W53011" s="503"/>
    </row>
    <row r="53012" spans="23:23">
      <c r="W53012" s="503"/>
    </row>
    <row r="53013" spans="23:23">
      <c r="W53013" s="503"/>
    </row>
    <row r="53014" spans="23:23">
      <c r="W53014" s="503"/>
    </row>
    <row r="53015" spans="23:23">
      <c r="W53015" s="503"/>
    </row>
    <row r="53016" spans="23:23">
      <c r="W53016" s="503"/>
    </row>
    <row r="53017" spans="23:23">
      <c r="W53017" s="503"/>
    </row>
    <row r="53018" spans="23:23">
      <c r="W53018" s="503"/>
    </row>
    <row r="53019" spans="23:23">
      <c r="W53019" s="503"/>
    </row>
    <row r="53020" spans="23:23">
      <c r="W53020" s="503"/>
    </row>
    <row r="53021" spans="23:23">
      <c r="W53021" s="503"/>
    </row>
    <row r="53022" spans="23:23">
      <c r="W53022" s="503"/>
    </row>
    <row r="53023" spans="23:23">
      <c r="W53023" s="503"/>
    </row>
    <row r="53024" spans="23:23">
      <c r="W53024" s="503"/>
    </row>
    <row r="53025" spans="23:23">
      <c r="W53025" s="503"/>
    </row>
    <row r="53026" spans="23:23">
      <c r="W53026" s="503"/>
    </row>
    <row r="53027" spans="23:23">
      <c r="W53027" s="503"/>
    </row>
    <row r="53028" spans="23:23">
      <c r="W53028" s="503"/>
    </row>
    <row r="53029" spans="23:23">
      <c r="W53029" s="503"/>
    </row>
    <row r="53030" spans="23:23">
      <c r="W53030" s="503"/>
    </row>
    <row r="53031" spans="23:23">
      <c r="W53031" s="503"/>
    </row>
    <row r="53032" spans="23:23">
      <c r="W53032" s="503"/>
    </row>
    <row r="53033" spans="23:23">
      <c r="W53033" s="503"/>
    </row>
    <row r="53034" spans="23:23">
      <c r="W53034" s="503"/>
    </row>
    <row r="53035" spans="23:23">
      <c r="W53035" s="503"/>
    </row>
    <row r="53036" spans="23:23">
      <c r="W53036" s="503"/>
    </row>
    <row r="53037" spans="23:23">
      <c r="W53037" s="503"/>
    </row>
    <row r="53038" spans="23:23">
      <c r="W53038" s="503"/>
    </row>
    <row r="53039" spans="23:23">
      <c r="W53039" s="503"/>
    </row>
    <row r="53040" spans="23:23">
      <c r="W53040" s="503"/>
    </row>
    <row r="53041" spans="23:23">
      <c r="W53041" s="503"/>
    </row>
    <row r="53042" spans="23:23">
      <c r="W53042" s="503"/>
    </row>
    <row r="53043" spans="23:23">
      <c r="W53043" s="503"/>
    </row>
    <row r="53044" spans="23:23">
      <c r="W53044" s="503"/>
    </row>
    <row r="53045" spans="23:23">
      <c r="W53045" s="503"/>
    </row>
    <row r="53046" spans="23:23">
      <c r="W53046" s="503"/>
    </row>
    <row r="53047" spans="23:23">
      <c r="W53047" s="503"/>
    </row>
    <row r="53048" spans="23:23">
      <c r="W53048" s="503"/>
    </row>
    <row r="53049" spans="23:23">
      <c r="W53049" s="503"/>
    </row>
    <row r="53050" spans="23:23">
      <c r="W53050" s="503"/>
    </row>
    <row r="53051" spans="23:23">
      <c r="W53051" s="503"/>
    </row>
    <row r="53052" spans="23:23">
      <c r="W53052" s="503"/>
    </row>
    <row r="53053" spans="23:23">
      <c r="W53053" s="503"/>
    </row>
    <row r="53054" spans="23:23">
      <c r="W53054" s="503"/>
    </row>
    <row r="53055" spans="23:23">
      <c r="W53055" s="503"/>
    </row>
    <row r="53056" spans="23:23">
      <c r="W53056" s="503"/>
    </row>
    <row r="53057" spans="23:23">
      <c r="W53057" s="503"/>
    </row>
    <row r="53058" spans="23:23">
      <c r="W53058" s="503"/>
    </row>
    <row r="53059" spans="23:23">
      <c r="W53059" s="503"/>
    </row>
    <row r="53060" spans="23:23">
      <c r="W53060" s="503"/>
    </row>
    <row r="53061" spans="23:23">
      <c r="W53061" s="503"/>
    </row>
    <row r="53062" spans="23:23">
      <c r="W53062" s="503"/>
    </row>
    <row r="53063" spans="23:23">
      <c r="W53063" s="503"/>
    </row>
    <row r="53064" spans="23:23">
      <c r="W53064" s="503"/>
    </row>
    <row r="53065" spans="23:23">
      <c r="W53065" s="503"/>
    </row>
    <row r="53066" spans="23:23">
      <c r="W53066" s="503"/>
    </row>
    <row r="53067" spans="23:23">
      <c r="W53067" s="503"/>
    </row>
    <row r="53068" spans="23:23">
      <c r="W53068" s="503"/>
    </row>
    <row r="53069" spans="23:23">
      <c r="W53069" s="503"/>
    </row>
    <row r="53070" spans="23:23">
      <c r="W53070" s="503"/>
    </row>
    <row r="53071" spans="23:23">
      <c r="W53071" s="503"/>
    </row>
    <row r="53072" spans="23:23">
      <c r="W53072" s="503"/>
    </row>
    <row r="53073" spans="23:23">
      <c r="W53073" s="503"/>
    </row>
    <row r="53074" spans="23:23">
      <c r="W53074" s="503"/>
    </row>
    <row r="53075" spans="23:23">
      <c r="W53075" s="503"/>
    </row>
    <row r="53076" spans="23:23">
      <c r="W53076" s="503"/>
    </row>
    <row r="53077" spans="23:23">
      <c r="W53077" s="503"/>
    </row>
    <row r="53078" spans="23:23">
      <c r="W53078" s="503"/>
    </row>
    <row r="53079" spans="23:23">
      <c r="W53079" s="503"/>
    </row>
    <row r="53080" spans="23:23">
      <c r="W53080" s="503"/>
    </row>
    <row r="53081" spans="23:23">
      <c r="W53081" s="503"/>
    </row>
    <row r="53082" spans="23:23">
      <c r="W53082" s="503"/>
    </row>
    <row r="53083" spans="23:23">
      <c r="W53083" s="503"/>
    </row>
    <row r="53084" spans="23:23">
      <c r="W53084" s="503"/>
    </row>
    <row r="53085" spans="23:23">
      <c r="W53085" s="503"/>
    </row>
    <row r="53086" spans="23:23">
      <c r="W53086" s="503"/>
    </row>
    <row r="53087" spans="23:23">
      <c r="W53087" s="503"/>
    </row>
    <row r="53088" spans="23:23">
      <c r="W53088" s="503"/>
    </row>
    <row r="53089" spans="23:23">
      <c r="W53089" s="503"/>
    </row>
    <row r="53090" spans="23:23">
      <c r="W53090" s="503"/>
    </row>
    <row r="53091" spans="23:23">
      <c r="W53091" s="503"/>
    </row>
    <row r="53092" spans="23:23">
      <c r="W53092" s="503"/>
    </row>
    <row r="53093" spans="23:23">
      <c r="W53093" s="503"/>
    </row>
    <row r="53094" spans="23:23">
      <c r="W53094" s="503"/>
    </row>
    <row r="53095" spans="23:23">
      <c r="W53095" s="503"/>
    </row>
    <row r="53096" spans="23:23">
      <c r="W53096" s="503"/>
    </row>
    <row r="53097" spans="23:23">
      <c r="W53097" s="503"/>
    </row>
    <row r="53098" spans="23:23">
      <c r="W53098" s="503"/>
    </row>
    <row r="53099" spans="23:23">
      <c r="W53099" s="503"/>
    </row>
    <row r="53100" spans="23:23">
      <c r="W53100" s="503"/>
    </row>
    <row r="53101" spans="23:23">
      <c r="W53101" s="503"/>
    </row>
    <row r="53102" spans="23:23">
      <c r="W53102" s="503"/>
    </row>
    <row r="53103" spans="23:23">
      <c r="W53103" s="503"/>
    </row>
    <row r="53104" spans="23:23">
      <c r="W53104" s="503"/>
    </row>
    <row r="53105" spans="23:23">
      <c r="W53105" s="503"/>
    </row>
    <row r="53106" spans="23:23">
      <c r="W53106" s="503"/>
    </row>
    <row r="53107" spans="23:23">
      <c r="W53107" s="503"/>
    </row>
    <row r="53108" spans="23:23">
      <c r="W53108" s="503"/>
    </row>
    <row r="53109" spans="23:23">
      <c r="W53109" s="503"/>
    </row>
    <row r="53110" spans="23:23">
      <c r="W53110" s="503"/>
    </row>
    <row r="53111" spans="23:23">
      <c r="W53111" s="503"/>
    </row>
    <row r="53112" spans="23:23">
      <c r="W53112" s="503"/>
    </row>
    <row r="53113" spans="23:23">
      <c r="W53113" s="503"/>
    </row>
    <row r="53114" spans="23:23">
      <c r="W53114" s="503"/>
    </row>
    <row r="53115" spans="23:23">
      <c r="W53115" s="503"/>
    </row>
    <row r="53116" spans="23:23">
      <c r="W53116" s="503"/>
    </row>
    <row r="53117" spans="23:23">
      <c r="W53117" s="503"/>
    </row>
    <row r="53118" spans="23:23">
      <c r="W53118" s="503"/>
    </row>
    <row r="53119" spans="23:23">
      <c r="W53119" s="503"/>
    </row>
    <row r="53120" spans="23:23">
      <c r="W53120" s="503"/>
    </row>
    <row r="53121" spans="23:23">
      <c r="W53121" s="503"/>
    </row>
    <row r="53122" spans="23:23">
      <c r="W53122" s="503"/>
    </row>
    <row r="53123" spans="23:23">
      <c r="W53123" s="503"/>
    </row>
    <row r="53124" spans="23:23">
      <c r="W53124" s="503"/>
    </row>
    <row r="53125" spans="23:23">
      <c r="W53125" s="503"/>
    </row>
    <row r="53126" spans="23:23">
      <c r="W53126" s="503"/>
    </row>
    <row r="53127" spans="23:23">
      <c r="W53127" s="503"/>
    </row>
    <row r="53128" spans="23:23">
      <c r="W53128" s="503"/>
    </row>
    <row r="53129" spans="23:23">
      <c r="W53129" s="503"/>
    </row>
    <row r="53130" spans="23:23">
      <c r="W53130" s="503"/>
    </row>
    <row r="53131" spans="23:23">
      <c r="W53131" s="503"/>
    </row>
    <row r="53132" spans="23:23">
      <c r="W53132" s="503"/>
    </row>
    <row r="53133" spans="23:23">
      <c r="W53133" s="503"/>
    </row>
    <row r="53134" spans="23:23">
      <c r="W53134" s="503"/>
    </row>
    <row r="53135" spans="23:23">
      <c r="W53135" s="503"/>
    </row>
    <row r="53136" spans="23:23">
      <c r="W53136" s="503"/>
    </row>
    <row r="53137" spans="23:23">
      <c r="W53137" s="503"/>
    </row>
    <row r="53138" spans="23:23">
      <c r="W53138" s="503"/>
    </row>
    <row r="53139" spans="23:23">
      <c r="W53139" s="503"/>
    </row>
    <row r="53140" spans="23:23">
      <c r="W53140" s="503"/>
    </row>
    <row r="53141" spans="23:23">
      <c r="W53141" s="503"/>
    </row>
    <row r="53142" spans="23:23">
      <c r="W53142" s="503"/>
    </row>
    <row r="53143" spans="23:23">
      <c r="W53143" s="503"/>
    </row>
    <row r="53144" spans="23:23">
      <c r="W53144" s="503"/>
    </row>
    <row r="53145" spans="23:23">
      <c r="W53145" s="503"/>
    </row>
    <row r="53146" spans="23:23">
      <c r="W53146" s="503"/>
    </row>
    <row r="53147" spans="23:23">
      <c r="W53147" s="503"/>
    </row>
    <row r="53148" spans="23:23">
      <c r="W53148" s="503"/>
    </row>
    <row r="53149" spans="23:23">
      <c r="W53149" s="503"/>
    </row>
    <row r="53150" spans="23:23">
      <c r="W53150" s="503"/>
    </row>
    <row r="53151" spans="23:23">
      <c r="W53151" s="503"/>
    </row>
    <row r="53152" spans="23:23">
      <c r="W53152" s="503"/>
    </row>
    <row r="53153" spans="23:23">
      <c r="W53153" s="503"/>
    </row>
    <row r="53154" spans="23:23">
      <c r="W53154" s="503"/>
    </row>
    <row r="53155" spans="23:23">
      <c r="W53155" s="503"/>
    </row>
    <row r="53156" spans="23:23">
      <c r="W53156" s="503"/>
    </row>
    <row r="53157" spans="23:23">
      <c r="W53157" s="503"/>
    </row>
    <row r="53158" spans="23:23">
      <c r="W53158" s="503"/>
    </row>
    <row r="53159" spans="23:23">
      <c r="W53159" s="503"/>
    </row>
    <row r="53160" spans="23:23">
      <c r="W53160" s="503"/>
    </row>
    <row r="53161" spans="23:23">
      <c r="W53161" s="503"/>
    </row>
    <row r="53162" spans="23:23">
      <c r="W53162" s="503"/>
    </row>
    <row r="53163" spans="23:23">
      <c r="W53163" s="503"/>
    </row>
    <row r="53164" spans="23:23">
      <c r="W53164" s="503"/>
    </row>
    <row r="53165" spans="23:23">
      <c r="W53165" s="503"/>
    </row>
    <row r="53166" spans="23:23">
      <c r="W53166" s="503"/>
    </row>
    <row r="53167" spans="23:23">
      <c r="W53167" s="503"/>
    </row>
    <row r="53168" spans="23:23">
      <c r="W53168" s="503"/>
    </row>
    <row r="53169" spans="23:23">
      <c r="W53169" s="503"/>
    </row>
    <row r="53170" spans="23:23">
      <c r="W53170" s="503"/>
    </row>
    <row r="53171" spans="23:23">
      <c r="W53171" s="503"/>
    </row>
    <row r="53172" spans="23:23">
      <c r="W53172" s="503"/>
    </row>
    <row r="53173" spans="23:23">
      <c r="W53173" s="503"/>
    </row>
    <row r="53174" spans="23:23">
      <c r="W53174" s="503"/>
    </row>
    <row r="53175" spans="23:23">
      <c r="W53175" s="503"/>
    </row>
    <row r="53176" spans="23:23">
      <c r="W53176" s="503"/>
    </row>
    <row r="53177" spans="23:23">
      <c r="W53177" s="503"/>
    </row>
    <row r="53178" spans="23:23">
      <c r="W53178" s="503"/>
    </row>
    <row r="53179" spans="23:23">
      <c r="W53179" s="503"/>
    </row>
    <row r="53180" spans="23:23">
      <c r="W53180" s="503"/>
    </row>
    <row r="53181" spans="23:23">
      <c r="W53181" s="503"/>
    </row>
    <row r="53182" spans="23:23">
      <c r="W53182" s="503"/>
    </row>
    <row r="53183" spans="23:23">
      <c r="W53183" s="503"/>
    </row>
    <row r="53184" spans="23:23">
      <c r="W53184" s="503"/>
    </row>
    <row r="53185" spans="23:23">
      <c r="W53185" s="503"/>
    </row>
    <row r="53186" spans="23:23">
      <c r="W53186" s="503"/>
    </row>
    <row r="53187" spans="23:23">
      <c r="W53187" s="503"/>
    </row>
    <row r="53188" spans="23:23">
      <c r="W53188" s="503"/>
    </row>
    <row r="53189" spans="23:23">
      <c r="W53189" s="503"/>
    </row>
    <row r="53190" spans="23:23">
      <c r="W53190" s="503"/>
    </row>
    <row r="53191" spans="23:23">
      <c r="W53191" s="503"/>
    </row>
    <row r="53192" spans="23:23">
      <c r="W53192" s="503"/>
    </row>
    <row r="53193" spans="23:23">
      <c r="W53193" s="503"/>
    </row>
    <row r="53194" spans="23:23">
      <c r="W53194" s="503"/>
    </row>
    <row r="53195" spans="23:23">
      <c r="W53195" s="503"/>
    </row>
    <row r="53196" spans="23:23">
      <c r="W53196" s="503"/>
    </row>
    <row r="53197" spans="23:23">
      <c r="W53197" s="503"/>
    </row>
    <row r="53198" spans="23:23">
      <c r="W53198" s="503"/>
    </row>
    <row r="53199" spans="23:23">
      <c r="W53199" s="503"/>
    </row>
    <row r="53200" spans="23:23">
      <c r="W53200" s="503"/>
    </row>
    <row r="53201" spans="23:23">
      <c r="W53201" s="503"/>
    </row>
    <row r="53202" spans="23:23">
      <c r="W53202" s="503"/>
    </row>
    <row r="53203" spans="23:23">
      <c r="W53203" s="503"/>
    </row>
    <row r="53204" spans="23:23">
      <c r="W53204" s="503"/>
    </row>
    <row r="53205" spans="23:23">
      <c r="W53205" s="503"/>
    </row>
    <row r="53206" spans="23:23">
      <c r="W53206" s="503"/>
    </row>
    <row r="53207" spans="23:23">
      <c r="W53207" s="503"/>
    </row>
    <row r="53208" spans="23:23">
      <c r="W53208" s="503"/>
    </row>
    <row r="53209" spans="23:23">
      <c r="W53209" s="503"/>
    </row>
    <row r="53210" spans="23:23">
      <c r="W53210" s="503"/>
    </row>
    <row r="53211" spans="23:23">
      <c r="W53211" s="503"/>
    </row>
    <row r="53212" spans="23:23">
      <c r="W53212" s="503"/>
    </row>
    <row r="53213" spans="23:23">
      <c r="W53213" s="503"/>
    </row>
    <row r="53214" spans="23:23">
      <c r="W53214" s="503"/>
    </row>
    <row r="53215" spans="23:23">
      <c r="W53215" s="503"/>
    </row>
    <row r="53216" spans="23:23">
      <c r="W53216" s="503"/>
    </row>
    <row r="53217" spans="23:23">
      <c r="W53217" s="503"/>
    </row>
    <row r="53218" spans="23:23">
      <c r="W53218" s="503"/>
    </row>
    <row r="53219" spans="23:23">
      <c r="W53219" s="503"/>
    </row>
    <row r="53220" spans="23:23">
      <c r="W53220" s="503"/>
    </row>
    <row r="53221" spans="23:23">
      <c r="W53221" s="503"/>
    </row>
    <row r="53222" spans="23:23">
      <c r="W53222" s="503"/>
    </row>
    <row r="53223" spans="23:23">
      <c r="W53223" s="503"/>
    </row>
    <row r="53224" spans="23:23">
      <c r="W53224" s="503"/>
    </row>
    <row r="53225" spans="23:23">
      <c r="W53225" s="503"/>
    </row>
    <row r="53226" spans="23:23">
      <c r="W53226" s="503"/>
    </row>
    <row r="53227" spans="23:23">
      <c r="W53227" s="503"/>
    </row>
    <row r="53228" spans="23:23">
      <c r="W53228" s="503"/>
    </row>
    <row r="53229" spans="23:23">
      <c r="W53229" s="503"/>
    </row>
    <row r="53230" spans="23:23">
      <c r="W53230" s="503"/>
    </row>
    <row r="53231" spans="23:23">
      <c r="W53231" s="503"/>
    </row>
    <row r="53232" spans="23:23">
      <c r="W53232" s="503"/>
    </row>
    <row r="53233" spans="23:23">
      <c r="W53233" s="503"/>
    </row>
    <row r="53234" spans="23:23">
      <c r="W53234" s="503"/>
    </row>
    <row r="53235" spans="23:23">
      <c r="W53235" s="503"/>
    </row>
    <row r="53236" spans="23:23">
      <c r="W53236" s="503"/>
    </row>
    <row r="53237" spans="23:23">
      <c r="W53237" s="503"/>
    </row>
    <row r="53238" spans="23:23">
      <c r="W53238" s="503"/>
    </row>
    <row r="53239" spans="23:23">
      <c r="W53239" s="503"/>
    </row>
    <row r="53240" spans="23:23">
      <c r="W53240" s="503"/>
    </row>
    <row r="53241" spans="23:23">
      <c r="W53241" s="503"/>
    </row>
    <row r="53242" spans="23:23">
      <c r="W53242" s="503"/>
    </row>
    <row r="53243" spans="23:23">
      <c r="W53243" s="503"/>
    </row>
    <row r="53244" spans="23:23">
      <c r="W53244" s="503"/>
    </row>
    <row r="53245" spans="23:23">
      <c r="W53245" s="503"/>
    </row>
    <row r="53246" spans="23:23">
      <c r="W53246" s="503"/>
    </row>
    <row r="53247" spans="23:23">
      <c r="W53247" s="503"/>
    </row>
    <row r="53248" spans="23:23">
      <c r="W53248" s="503"/>
    </row>
    <row r="53249" spans="23:23">
      <c r="W53249" s="503"/>
    </row>
    <row r="53250" spans="23:23">
      <c r="W53250" s="503"/>
    </row>
    <row r="53251" spans="23:23">
      <c r="W53251" s="503"/>
    </row>
    <row r="53252" spans="23:23">
      <c r="W53252" s="503"/>
    </row>
    <row r="53253" spans="23:23">
      <c r="W53253" s="503"/>
    </row>
    <row r="53254" spans="23:23">
      <c r="W53254" s="503"/>
    </row>
    <row r="53255" spans="23:23">
      <c r="W53255" s="503"/>
    </row>
    <row r="53256" spans="23:23">
      <c r="W53256" s="503"/>
    </row>
    <row r="53257" spans="23:23">
      <c r="W53257" s="503"/>
    </row>
    <row r="53258" spans="23:23">
      <c r="W53258" s="503"/>
    </row>
    <row r="53259" spans="23:23">
      <c r="W53259" s="503"/>
    </row>
    <row r="53260" spans="23:23">
      <c r="W53260" s="503"/>
    </row>
    <row r="53261" spans="23:23">
      <c r="W53261" s="503"/>
    </row>
    <row r="53262" spans="23:23">
      <c r="W53262" s="503"/>
    </row>
    <row r="53263" spans="23:23">
      <c r="W53263" s="503"/>
    </row>
    <row r="53264" spans="23:23">
      <c r="W53264" s="503"/>
    </row>
    <row r="53265" spans="23:23">
      <c r="W53265" s="503"/>
    </row>
    <row r="53266" spans="23:23">
      <c r="W53266" s="503"/>
    </row>
    <row r="53267" spans="23:23">
      <c r="W53267" s="503"/>
    </row>
    <row r="53268" spans="23:23">
      <c r="W53268" s="503"/>
    </row>
    <row r="53269" spans="23:23">
      <c r="W53269" s="503"/>
    </row>
    <row r="53270" spans="23:23">
      <c r="W53270" s="503"/>
    </row>
    <row r="53271" spans="23:23">
      <c r="W53271" s="503"/>
    </row>
    <row r="53272" spans="23:23">
      <c r="W53272" s="503"/>
    </row>
    <row r="53273" spans="23:23">
      <c r="W53273" s="503"/>
    </row>
    <row r="53274" spans="23:23">
      <c r="W53274" s="503"/>
    </row>
    <row r="53275" spans="23:23">
      <c r="W53275" s="503"/>
    </row>
    <row r="53276" spans="23:23">
      <c r="W53276" s="503"/>
    </row>
    <row r="53277" spans="23:23">
      <c r="W53277" s="503"/>
    </row>
    <row r="53278" spans="23:23">
      <c r="W53278" s="503"/>
    </row>
    <row r="53279" spans="23:23">
      <c r="W53279" s="503"/>
    </row>
    <row r="53280" spans="23:23">
      <c r="W53280" s="503"/>
    </row>
    <row r="53281" spans="23:23">
      <c r="W53281" s="503"/>
    </row>
    <row r="53282" spans="23:23">
      <c r="W53282" s="503"/>
    </row>
    <row r="53283" spans="23:23">
      <c r="W53283" s="503"/>
    </row>
    <row r="53284" spans="23:23">
      <c r="W53284" s="503"/>
    </row>
    <row r="53285" spans="23:23">
      <c r="W53285" s="503"/>
    </row>
    <row r="53286" spans="23:23">
      <c r="W53286" s="503"/>
    </row>
    <row r="53287" spans="23:23">
      <c r="W53287" s="503"/>
    </row>
    <row r="53288" spans="23:23">
      <c r="W53288" s="503"/>
    </row>
    <row r="53289" spans="23:23">
      <c r="W53289" s="503"/>
    </row>
    <row r="53290" spans="23:23">
      <c r="W53290" s="503"/>
    </row>
    <row r="53291" spans="23:23">
      <c r="W53291" s="503"/>
    </row>
    <row r="53292" spans="23:23">
      <c r="W53292" s="503"/>
    </row>
    <row r="53293" spans="23:23">
      <c r="W53293" s="503"/>
    </row>
    <row r="53294" spans="23:23">
      <c r="W53294" s="503"/>
    </row>
    <row r="53295" spans="23:23">
      <c r="W53295" s="503"/>
    </row>
    <row r="53296" spans="23:23">
      <c r="W53296" s="503"/>
    </row>
    <row r="53297" spans="23:23">
      <c r="W53297" s="503"/>
    </row>
    <row r="53298" spans="23:23">
      <c r="W53298" s="503"/>
    </row>
    <row r="53299" spans="23:23">
      <c r="W53299" s="503"/>
    </row>
    <row r="53300" spans="23:23">
      <c r="W53300" s="503"/>
    </row>
    <row r="53301" spans="23:23">
      <c r="W53301" s="503"/>
    </row>
    <row r="53302" spans="23:23">
      <c r="W53302" s="503"/>
    </row>
    <row r="53303" spans="23:23">
      <c r="W53303" s="503"/>
    </row>
    <row r="53304" spans="23:23">
      <c r="W53304" s="503"/>
    </row>
    <row r="53305" spans="23:23">
      <c r="W53305" s="503"/>
    </row>
    <row r="53306" spans="23:23">
      <c r="W53306" s="503"/>
    </row>
    <row r="53307" spans="23:23">
      <c r="W53307" s="503"/>
    </row>
    <row r="53308" spans="23:23">
      <c r="W53308" s="503"/>
    </row>
    <row r="53309" spans="23:23">
      <c r="W53309" s="503"/>
    </row>
    <row r="53310" spans="23:23">
      <c r="W53310" s="503"/>
    </row>
    <row r="53311" spans="23:23">
      <c r="W53311" s="503"/>
    </row>
    <row r="53312" spans="23:23">
      <c r="W53312" s="503"/>
    </row>
    <row r="53313" spans="23:23">
      <c r="W53313" s="503"/>
    </row>
    <row r="53314" spans="23:23">
      <c r="W53314" s="503"/>
    </row>
    <row r="53315" spans="23:23">
      <c r="W53315" s="503"/>
    </row>
    <row r="53316" spans="23:23">
      <c r="W53316" s="503"/>
    </row>
    <row r="53317" spans="23:23">
      <c r="W53317" s="503"/>
    </row>
    <row r="53318" spans="23:23">
      <c r="W53318" s="503"/>
    </row>
    <row r="53319" spans="23:23">
      <c r="W53319" s="503"/>
    </row>
    <row r="53320" spans="23:23">
      <c r="W53320" s="503"/>
    </row>
    <row r="53321" spans="23:23">
      <c r="W53321" s="503"/>
    </row>
    <row r="53322" spans="23:23">
      <c r="W53322" s="503"/>
    </row>
    <row r="53323" spans="23:23">
      <c r="W53323" s="503"/>
    </row>
    <row r="53324" spans="23:23">
      <c r="W53324" s="503"/>
    </row>
    <row r="53325" spans="23:23">
      <c r="W53325" s="503"/>
    </row>
    <row r="53326" spans="23:23">
      <c r="W53326" s="503"/>
    </row>
    <row r="53327" spans="23:23">
      <c r="W53327" s="503"/>
    </row>
    <row r="53328" spans="23:23">
      <c r="W53328" s="503"/>
    </row>
    <row r="53329" spans="23:23">
      <c r="W53329" s="503"/>
    </row>
    <row r="53330" spans="23:23">
      <c r="W53330" s="503"/>
    </row>
    <row r="53331" spans="23:23">
      <c r="W53331" s="503"/>
    </row>
    <row r="53332" spans="23:23">
      <c r="W53332" s="503"/>
    </row>
    <row r="53333" spans="23:23">
      <c r="W53333" s="503"/>
    </row>
    <row r="53334" spans="23:23">
      <c r="W53334" s="503"/>
    </row>
    <row r="53335" spans="23:23">
      <c r="W53335" s="503"/>
    </row>
    <row r="53336" spans="23:23">
      <c r="W53336" s="503"/>
    </row>
    <row r="53337" spans="23:23">
      <c r="W53337" s="503"/>
    </row>
    <row r="53338" spans="23:23">
      <c r="W53338" s="503"/>
    </row>
    <row r="53339" spans="23:23">
      <c r="W53339" s="503"/>
    </row>
    <row r="53340" spans="23:23">
      <c r="W53340" s="503"/>
    </row>
    <row r="53341" spans="23:23">
      <c r="W53341" s="503"/>
    </row>
    <row r="53342" spans="23:23">
      <c r="W53342" s="503"/>
    </row>
    <row r="53343" spans="23:23">
      <c r="W53343" s="503"/>
    </row>
    <row r="53344" spans="23:23">
      <c r="W53344" s="503"/>
    </row>
    <row r="53345" spans="23:23">
      <c r="W53345" s="503"/>
    </row>
    <row r="53346" spans="23:23">
      <c r="W53346" s="503"/>
    </row>
    <row r="53347" spans="23:23">
      <c r="W53347" s="503"/>
    </row>
    <row r="53348" spans="23:23">
      <c r="W53348" s="503"/>
    </row>
    <row r="53349" spans="23:23">
      <c r="W53349" s="503"/>
    </row>
    <row r="53350" spans="23:23">
      <c r="W53350" s="503"/>
    </row>
    <row r="53351" spans="23:23">
      <c r="W53351" s="503"/>
    </row>
    <row r="53352" spans="23:23">
      <c r="W53352" s="503"/>
    </row>
    <row r="53353" spans="23:23">
      <c r="W53353" s="503"/>
    </row>
    <row r="53354" spans="23:23">
      <c r="W53354" s="503"/>
    </row>
    <row r="53355" spans="23:23">
      <c r="W53355" s="503"/>
    </row>
    <row r="53356" spans="23:23">
      <c r="W53356" s="503"/>
    </row>
    <row r="53357" spans="23:23">
      <c r="W53357" s="503"/>
    </row>
    <row r="53358" spans="23:23">
      <c r="W53358" s="503"/>
    </row>
    <row r="53359" spans="23:23">
      <c r="W53359" s="503"/>
    </row>
    <row r="53360" spans="23:23">
      <c r="W53360" s="503"/>
    </row>
    <row r="53361" spans="23:23">
      <c r="W53361" s="503"/>
    </row>
    <row r="53362" spans="23:23">
      <c r="W53362" s="503"/>
    </row>
    <row r="53363" spans="23:23">
      <c r="W53363" s="503"/>
    </row>
    <row r="53364" spans="23:23">
      <c r="W53364" s="503"/>
    </row>
    <row r="53365" spans="23:23">
      <c r="W53365" s="503"/>
    </row>
    <row r="53366" spans="23:23">
      <c r="W53366" s="503"/>
    </row>
    <row r="53367" spans="23:23">
      <c r="W53367" s="503"/>
    </row>
    <row r="53368" spans="23:23">
      <c r="W53368" s="503"/>
    </row>
    <row r="53369" spans="23:23">
      <c r="W53369" s="503"/>
    </row>
    <row r="53370" spans="23:23">
      <c r="W53370" s="503"/>
    </row>
    <row r="53371" spans="23:23">
      <c r="W53371" s="503"/>
    </row>
    <row r="53372" spans="23:23">
      <c r="W53372" s="503"/>
    </row>
    <row r="53373" spans="23:23">
      <c r="W53373" s="503"/>
    </row>
    <row r="53374" spans="23:23">
      <c r="W53374" s="503"/>
    </row>
    <row r="53375" spans="23:23">
      <c r="W53375" s="503"/>
    </row>
    <row r="53376" spans="23:23">
      <c r="W53376" s="503"/>
    </row>
    <row r="53377" spans="23:23">
      <c r="W53377" s="503"/>
    </row>
    <row r="53378" spans="23:23">
      <c r="W53378" s="503"/>
    </row>
    <row r="53379" spans="23:23">
      <c r="W53379" s="503"/>
    </row>
    <row r="53380" spans="23:23">
      <c r="W53380" s="503"/>
    </row>
    <row r="53381" spans="23:23">
      <c r="W53381" s="503"/>
    </row>
    <row r="53382" spans="23:23">
      <c r="W53382" s="503"/>
    </row>
    <row r="53383" spans="23:23">
      <c r="W53383" s="503"/>
    </row>
    <row r="53384" spans="23:23">
      <c r="W53384" s="503"/>
    </row>
    <row r="53385" spans="23:23">
      <c r="W53385" s="503"/>
    </row>
    <row r="53386" spans="23:23">
      <c r="W53386" s="503"/>
    </row>
    <row r="53387" spans="23:23">
      <c r="W53387" s="503"/>
    </row>
    <row r="53388" spans="23:23">
      <c r="W53388" s="503"/>
    </row>
    <row r="53389" spans="23:23">
      <c r="W53389" s="503"/>
    </row>
    <row r="53390" spans="23:23">
      <c r="W53390" s="503"/>
    </row>
    <row r="53391" spans="23:23">
      <c r="W53391" s="503"/>
    </row>
    <row r="53392" spans="23:23">
      <c r="W53392" s="503"/>
    </row>
    <row r="53393" spans="23:23">
      <c r="W53393" s="503"/>
    </row>
    <row r="53394" spans="23:23">
      <c r="W53394" s="503"/>
    </row>
    <row r="53395" spans="23:23">
      <c r="W53395" s="503"/>
    </row>
    <row r="53396" spans="23:23">
      <c r="W53396" s="503"/>
    </row>
    <row r="53397" spans="23:23">
      <c r="W53397" s="503"/>
    </row>
    <row r="53398" spans="23:23">
      <c r="W53398" s="503"/>
    </row>
    <row r="53399" spans="23:23">
      <c r="W53399" s="503"/>
    </row>
    <row r="53400" spans="23:23">
      <c r="W53400" s="503"/>
    </row>
    <row r="53401" spans="23:23">
      <c r="W53401" s="503"/>
    </row>
    <row r="53402" spans="23:23">
      <c r="W53402" s="503"/>
    </row>
    <row r="53403" spans="23:23">
      <c r="W53403" s="503"/>
    </row>
    <row r="53404" spans="23:23">
      <c r="W53404" s="503"/>
    </row>
    <row r="53405" spans="23:23">
      <c r="W53405" s="503"/>
    </row>
    <row r="53406" spans="23:23">
      <c r="W53406" s="503"/>
    </row>
    <row r="53407" spans="23:23">
      <c r="W53407" s="503"/>
    </row>
    <row r="53408" spans="23:23">
      <c r="W53408" s="503"/>
    </row>
    <row r="53409" spans="23:23">
      <c r="W53409" s="503"/>
    </row>
    <row r="53410" spans="23:23">
      <c r="W53410" s="503"/>
    </row>
    <row r="53411" spans="23:23">
      <c r="W53411" s="503"/>
    </row>
    <row r="53412" spans="23:23">
      <c r="W53412" s="503"/>
    </row>
    <row r="53413" spans="23:23">
      <c r="W53413" s="503"/>
    </row>
    <row r="53414" spans="23:23">
      <c r="W53414" s="503"/>
    </row>
    <row r="53415" spans="23:23">
      <c r="W53415" s="503"/>
    </row>
    <row r="53416" spans="23:23">
      <c r="W53416" s="503"/>
    </row>
    <row r="53417" spans="23:23">
      <c r="W53417" s="503"/>
    </row>
    <row r="53418" spans="23:23">
      <c r="W53418" s="503"/>
    </row>
    <row r="53419" spans="23:23">
      <c r="W53419" s="503"/>
    </row>
    <row r="53420" spans="23:23">
      <c r="W53420" s="503"/>
    </row>
    <row r="53421" spans="23:23">
      <c r="W53421" s="503"/>
    </row>
    <row r="53422" spans="23:23">
      <c r="W53422" s="503"/>
    </row>
    <row r="53423" spans="23:23">
      <c r="W53423" s="503"/>
    </row>
    <row r="53424" spans="23:23">
      <c r="W53424" s="503"/>
    </row>
    <row r="53425" spans="23:23">
      <c r="W53425" s="503"/>
    </row>
    <row r="53426" spans="23:23">
      <c r="W53426" s="503"/>
    </row>
    <row r="53427" spans="23:23">
      <c r="W53427" s="503"/>
    </row>
    <row r="53428" spans="23:23">
      <c r="W53428" s="503"/>
    </row>
    <row r="53429" spans="23:23">
      <c r="W53429" s="503"/>
    </row>
    <row r="53430" spans="23:23">
      <c r="W53430" s="503"/>
    </row>
    <row r="53431" spans="23:23">
      <c r="W53431" s="503"/>
    </row>
    <row r="53432" spans="23:23">
      <c r="W53432" s="503"/>
    </row>
    <row r="53433" spans="23:23">
      <c r="W53433" s="503"/>
    </row>
    <row r="53434" spans="23:23">
      <c r="W53434" s="503"/>
    </row>
    <row r="53435" spans="23:23">
      <c r="W53435" s="503"/>
    </row>
    <row r="53436" spans="23:23">
      <c r="W53436" s="503"/>
    </row>
    <row r="53437" spans="23:23">
      <c r="W53437" s="503"/>
    </row>
    <row r="53438" spans="23:23">
      <c r="W53438" s="503"/>
    </row>
    <row r="53439" spans="23:23">
      <c r="W53439" s="503"/>
    </row>
    <row r="53440" spans="23:23">
      <c r="W53440" s="503"/>
    </row>
    <row r="53441" spans="23:23">
      <c r="W53441" s="503"/>
    </row>
    <row r="53442" spans="23:23">
      <c r="W53442" s="503"/>
    </row>
    <row r="53443" spans="23:23">
      <c r="W53443" s="503"/>
    </row>
    <row r="53444" spans="23:23">
      <c r="W53444" s="503"/>
    </row>
    <row r="53445" spans="23:23">
      <c r="W53445" s="503"/>
    </row>
    <row r="53446" spans="23:23">
      <c r="W53446" s="503"/>
    </row>
    <row r="53447" spans="23:23">
      <c r="W53447" s="503"/>
    </row>
    <row r="53448" spans="23:23">
      <c r="W53448" s="503"/>
    </row>
    <row r="53449" spans="23:23">
      <c r="W53449" s="503"/>
    </row>
    <row r="53450" spans="23:23">
      <c r="W53450" s="503"/>
    </row>
    <row r="53451" spans="23:23">
      <c r="W53451" s="503"/>
    </row>
    <row r="53452" spans="23:23">
      <c r="W53452" s="503"/>
    </row>
    <row r="53453" spans="23:23">
      <c r="W53453" s="503"/>
    </row>
    <row r="53454" spans="23:23">
      <c r="W53454" s="503"/>
    </row>
    <row r="53455" spans="23:23">
      <c r="W53455" s="503"/>
    </row>
    <row r="53456" spans="23:23">
      <c r="W53456" s="503"/>
    </row>
    <row r="53457" spans="23:23">
      <c r="W53457" s="503"/>
    </row>
    <row r="53458" spans="23:23">
      <c r="W53458" s="503"/>
    </row>
    <row r="53459" spans="23:23">
      <c r="W53459" s="503"/>
    </row>
    <row r="53460" spans="23:23">
      <c r="W53460" s="503"/>
    </row>
    <row r="53461" spans="23:23">
      <c r="W53461" s="503"/>
    </row>
    <row r="53462" spans="23:23">
      <c r="W53462" s="503"/>
    </row>
    <row r="53463" spans="23:23">
      <c r="W53463" s="503"/>
    </row>
    <row r="53464" spans="23:23">
      <c r="W53464" s="503"/>
    </row>
    <row r="53465" spans="23:23">
      <c r="W53465" s="503"/>
    </row>
    <row r="53466" spans="23:23">
      <c r="W53466" s="503"/>
    </row>
    <row r="53467" spans="23:23">
      <c r="W53467" s="503"/>
    </row>
    <row r="53468" spans="23:23">
      <c r="W53468" s="503"/>
    </row>
    <row r="53469" spans="23:23">
      <c r="W53469" s="503"/>
    </row>
    <row r="53470" spans="23:23">
      <c r="W53470" s="503"/>
    </row>
    <row r="53471" spans="23:23">
      <c r="W53471" s="503"/>
    </row>
    <row r="53472" spans="23:23">
      <c r="W53472" s="503"/>
    </row>
    <row r="53473" spans="23:23">
      <c r="W53473" s="503"/>
    </row>
    <row r="53474" spans="23:23">
      <c r="W53474" s="503"/>
    </row>
    <row r="53475" spans="23:23">
      <c r="W53475" s="503"/>
    </row>
    <row r="53476" spans="23:23">
      <c r="W53476" s="503"/>
    </row>
    <row r="53477" spans="23:23">
      <c r="W53477" s="503"/>
    </row>
    <row r="53478" spans="23:23">
      <c r="W53478" s="503"/>
    </row>
    <row r="53479" spans="23:23">
      <c r="W53479" s="503"/>
    </row>
    <row r="53480" spans="23:23">
      <c r="W53480" s="503"/>
    </row>
    <row r="53481" spans="23:23">
      <c r="W53481" s="503"/>
    </row>
    <row r="53482" spans="23:23">
      <c r="W53482" s="503"/>
    </row>
    <row r="53483" spans="23:23">
      <c r="W53483" s="503"/>
    </row>
    <row r="53484" spans="23:23">
      <c r="W53484" s="503"/>
    </row>
    <row r="53485" spans="23:23">
      <c r="W53485" s="503"/>
    </row>
    <row r="53486" spans="23:23">
      <c r="W53486" s="503"/>
    </row>
    <row r="53487" spans="23:23">
      <c r="W53487" s="503"/>
    </row>
    <row r="53488" spans="23:23">
      <c r="W53488" s="503"/>
    </row>
    <row r="53489" spans="23:23">
      <c r="W53489" s="503"/>
    </row>
    <row r="53490" spans="23:23">
      <c r="W53490" s="503"/>
    </row>
    <row r="53491" spans="23:23">
      <c r="W53491" s="503"/>
    </row>
    <row r="53492" spans="23:23">
      <c r="W53492" s="503"/>
    </row>
    <row r="53493" spans="23:23">
      <c r="W53493" s="503"/>
    </row>
    <row r="53494" spans="23:23">
      <c r="W53494" s="503"/>
    </row>
    <row r="53495" spans="23:23">
      <c r="W53495" s="503"/>
    </row>
    <row r="53496" spans="23:23">
      <c r="W53496" s="503"/>
    </row>
    <row r="53497" spans="23:23">
      <c r="W53497" s="503"/>
    </row>
    <row r="53498" spans="23:23">
      <c r="W53498" s="503"/>
    </row>
    <row r="53499" spans="23:23">
      <c r="W53499" s="503"/>
    </row>
    <row r="53500" spans="23:23">
      <c r="W53500" s="503"/>
    </row>
    <row r="53501" spans="23:23">
      <c r="W53501" s="503"/>
    </row>
    <row r="53502" spans="23:23">
      <c r="W53502" s="503"/>
    </row>
    <row r="53503" spans="23:23">
      <c r="W53503" s="503"/>
    </row>
    <row r="53504" spans="23:23">
      <c r="W53504" s="503"/>
    </row>
    <row r="53505" spans="23:23">
      <c r="W53505" s="503"/>
    </row>
    <row r="53506" spans="23:23">
      <c r="W53506" s="503"/>
    </row>
    <row r="53507" spans="23:23">
      <c r="W53507" s="503"/>
    </row>
    <row r="53508" spans="23:23">
      <c r="W53508" s="503"/>
    </row>
    <row r="53509" spans="23:23">
      <c r="W53509" s="503"/>
    </row>
    <row r="53510" spans="23:23">
      <c r="W53510" s="503"/>
    </row>
    <row r="53511" spans="23:23">
      <c r="W53511" s="503"/>
    </row>
    <row r="53512" spans="23:23">
      <c r="W53512" s="503"/>
    </row>
    <row r="53513" spans="23:23">
      <c r="W53513" s="503"/>
    </row>
    <row r="53514" spans="23:23">
      <c r="W53514" s="503"/>
    </row>
    <row r="53515" spans="23:23">
      <c r="W53515" s="503"/>
    </row>
    <row r="53516" spans="23:23">
      <c r="W53516" s="503"/>
    </row>
    <row r="53517" spans="23:23">
      <c r="W53517" s="503"/>
    </row>
    <row r="53518" spans="23:23">
      <c r="W53518" s="503"/>
    </row>
    <row r="53519" spans="23:23">
      <c r="W53519" s="503"/>
    </row>
    <row r="53520" spans="23:23">
      <c r="W53520" s="503"/>
    </row>
    <row r="53521" spans="23:23">
      <c r="W53521" s="503"/>
    </row>
    <row r="53522" spans="23:23">
      <c r="W53522" s="503"/>
    </row>
    <row r="53523" spans="23:23">
      <c r="W53523" s="503"/>
    </row>
    <row r="53524" spans="23:23">
      <c r="W53524" s="503"/>
    </row>
    <row r="53525" spans="23:23">
      <c r="W53525" s="503"/>
    </row>
    <row r="53526" spans="23:23">
      <c r="W53526" s="503"/>
    </row>
    <row r="53527" spans="23:23">
      <c r="W53527" s="503"/>
    </row>
    <row r="53528" spans="23:23">
      <c r="W53528" s="503"/>
    </row>
    <row r="53529" spans="23:23">
      <c r="W53529" s="503"/>
    </row>
    <row r="53530" spans="23:23">
      <c r="W53530" s="503"/>
    </row>
    <row r="53531" spans="23:23">
      <c r="W53531" s="503"/>
    </row>
    <row r="53532" spans="23:23">
      <c r="W53532" s="503"/>
    </row>
    <row r="53533" spans="23:23">
      <c r="W53533" s="503"/>
    </row>
    <row r="53534" spans="23:23">
      <c r="W53534" s="503"/>
    </row>
    <row r="53535" spans="23:23">
      <c r="W53535" s="503"/>
    </row>
    <row r="53536" spans="23:23">
      <c r="W53536" s="503"/>
    </row>
    <row r="53537" spans="23:23">
      <c r="W53537" s="503"/>
    </row>
    <row r="53538" spans="23:23">
      <c r="W53538" s="503"/>
    </row>
    <row r="53539" spans="23:23">
      <c r="W53539" s="503"/>
    </row>
    <row r="53540" spans="23:23">
      <c r="W53540" s="503"/>
    </row>
    <row r="53541" spans="23:23">
      <c r="W53541" s="503"/>
    </row>
    <row r="53542" spans="23:23">
      <c r="W53542" s="503"/>
    </row>
    <row r="53543" spans="23:23">
      <c r="W53543" s="503"/>
    </row>
    <row r="53544" spans="23:23">
      <c r="W53544" s="503"/>
    </row>
    <row r="53545" spans="23:23">
      <c r="W53545" s="503"/>
    </row>
    <row r="53546" spans="23:23">
      <c r="W53546" s="503"/>
    </row>
    <row r="53547" spans="23:23">
      <c r="W53547" s="503"/>
    </row>
    <row r="53548" spans="23:23">
      <c r="W53548" s="503"/>
    </row>
    <row r="53549" spans="23:23">
      <c r="W53549" s="503"/>
    </row>
    <row r="53550" spans="23:23">
      <c r="W53550" s="503"/>
    </row>
    <row r="53551" spans="23:23">
      <c r="W53551" s="503"/>
    </row>
    <row r="53552" spans="23:23">
      <c r="W53552" s="503"/>
    </row>
    <row r="53553" spans="23:23">
      <c r="W53553" s="503"/>
    </row>
    <row r="53554" spans="23:23">
      <c r="W53554" s="503"/>
    </row>
    <row r="53555" spans="23:23">
      <c r="W53555" s="503"/>
    </row>
    <row r="53556" spans="23:23">
      <c r="W53556" s="503"/>
    </row>
    <row r="53557" spans="23:23">
      <c r="W53557" s="503"/>
    </row>
    <row r="53558" spans="23:23">
      <c r="W53558" s="503"/>
    </row>
    <row r="53559" spans="23:23">
      <c r="W53559" s="503"/>
    </row>
    <row r="53560" spans="23:23">
      <c r="W53560" s="503"/>
    </row>
    <row r="53561" spans="23:23">
      <c r="W53561" s="503"/>
    </row>
    <row r="53562" spans="23:23">
      <c r="W53562" s="503"/>
    </row>
    <row r="53563" spans="23:23">
      <c r="W53563" s="503"/>
    </row>
    <row r="53564" spans="23:23">
      <c r="W53564" s="503"/>
    </row>
    <row r="53565" spans="23:23">
      <c r="W53565" s="503"/>
    </row>
    <row r="53566" spans="23:23">
      <c r="W53566" s="503"/>
    </row>
    <row r="53567" spans="23:23">
      <c r="W53567" s="503"/>
    </row>
    <row r="53568" spans="23:23">
      <c r="W53568" s="503"/>
    </row>
    <row r="53569" spans="23:23">
      <c r="W53569" s="503"/>
    </row>
    <row r="53570" spans="23:23">
      <c r="W53570" s="503"/>
    </row>
    <row r="53571" spans="23:23">
      <c r="W53571" s="503"/>
    </row>
    <row r="53572" spans="23:23">
      <c r="W53572" s="503"/>
    </row>
    <row r="53573" spans="23:23">
      <c r="W53573" s="503"/>
    </row>
    <row r="53574" spans="23:23">
      <c r="W53574" s="503"/>
    </row>
    <row r="53575" spans="23:23">
      <c r="W53575" s="503"/>
    </row>
    <row r="53576" spans="23:23">
      <c r="W53576" s="503"/>
    </row>
    <row r="53577" spans="23:23">
      <c r="W53577" s="503"/>
    </row>
    <row r="53578" spans="23:23">
      <c r="W53578" s="503"/>
    </row>
    <row r="53579" spans="23:23">
      <c r="W53579" s="503"/>
    </row>
    <row r="53580" spans="23:23">
      <c r="W53580" s="503"/>
    </row>
    <row r="53581" spans="23:23">
      <c r="W53581" s="503"/>
    </row>
    <row r="53582" spans="23:23">
      <c r="W53582" s="503"/>
    </row>
    <row r="53583" spans="23:23">
      <c r="W53583" s="503"/>
    </row>
    <row r="53584" spans="23:23">
      <c r="W53584" s="503"/>
    </row>
    <row r="53585" spans="23:23">
      <c r="W53585" s="503"/>
    </row>
    <row r="53586" spans="23:23">
      <c r="W53586" s="503"/>
    </row>
    <row r="53587" spans="23:23">
      <c r="W53587" s="503"/>
    </row>
    <row r="53588" spans="23:23">
      <c r="W53588" s="503"/>
    </row>
    <row r="53589" spans="23:23">
      <c r="W53589" s="503"/>
    </row>
    <row r="53590" spans="23:23">
      <c r="W53590" s="503"/>
    </row>
    <row r="53591" spans="23:23">
      <c r="W53591" s="503"/>
    </row>
    <row r="53592" spans="23:23">
      <c r="W53592" s="503"/>
    </row>
    <row r="53593" spans="23:23">
      <c r="W53593" s="503"/>
    </row>
    <row r="53594" spans="23:23">
      <c r="W53594" s="503"/>
    </row>
    <row r="53595" spans="23:23">
      <c r="W53595" s="503"/>
    </row>
    <row r="53596" spans="23:23">
      <c r="W53596" s="503"/>
    </row>
    <row r="53597" spans="23:23">
      <c r="W53597" s="503"/>
    </row>
    <row r="53598" spans="23:23">
      <c r="W53598" s="503"/>
    </row>
    <row r="53599" spans="23:23">
      <c r="W53599" s="503"/>
    </row>
    <row r="53600" spans="23:23">
      <c r="W53600" s="503"/>
    </row>
    <row r="53601" spans="23:23">
      <c r="W53601" s="503"/>
    </row>
    <row r="53602" spans="23:23">
      <c r="W53602" s="503"/>
    </row>
    <row r="53603" spans="23:23">
      <c r="W53603" s="503"/>
    </row>
    <row r="53604" spans="23:23">
      <c r="W53604" s="503"/>
    </row>
    <row r="53605" spans="23:23">
      <c r="W53605" s="503"/>
    </row>
    <row r="53606" spans="23:23">
      <c r="W53606" s="503"/>
    </row>
    <row r="53607" spans="23:23">
      <c r="W53607" s="503"/>
    </row>
    <row r="53608" spans="23:23">
      <c r="W53608" s="503"/>
    </row>
    <row r="53609" spans="23:23">
      <c r="W53609" s="503"/>
    </row>
    <row r="53610" spans="23:23">
      <c r="W53610" s="503"/>
    </row>
    <row r="53611" spans="23:23">
      <c r="W53611" s="503"/>
    </row>
    <row r="53612" spans="23:23">
      <c r="W53612" s="503"/>
    </row>
    <row r="53613" spans="23:23">
      <c r="W53613" s="503"/>
    </row>
    <row r="53614" spans="23:23">
      <c r="W53614" s="503"/>
    </row>
    <row r="53615" spans="23:23">
      <c r="W53615" s="503"/>
    </row>
    <row r="53616" spans="23:23">
      <c r="W53616" s="503"/>
    </row>
    <row r="53617" spans="23:23">
      <c r="W53617" s="503"/>
    </row>
    <row r="53618" spans="23:23">
      <c r="W53618" s="503"/>
    </row>
    <row r="53619" spans="23:23">
      <c r="W53619" s="503"/>
    </row>
    <row r="53620" spans="23:23">
      <c r="W53620" s="503"/>
    </row>
    <row r="53621" spans="23:23">
      <c r="W53621" s="503"/>
    </row>
    <row r="53622" spans="23:23">
      <c r="W53622" s="503"/>
    </row>
    <row r="53623" spans="23:23">
      <c r="W53623" s="503"/>
    </row>
    <row r="53624" spans="23:23">
      <c r="W53624" s="503"/>
    </row>
    <row r="53625" spans="23:23">
      <c r="W53625" s="503"/>
    </row>
    <row r="53626" spans="23:23">
      <c r="W53626" s="503"/>
    </row>
    <row r="53627" spans="23:23">
      <c r="W53627" s="503"/>
    </row>
    <row r="53628" spans="23:23">
      <c r="W53628" s="503"/>
    </row>
    <row r="53629" spans="23:23">
      <c r="W53629" s="503"/>
    </row>
    <row r="53630" spans="23:23">
      <c r="W53630" s="503"/>
    </row>
    <row r="53631" spans="23:23">
      <c r="W53631" s="503"/>
    </row>
    <row r="53632" spans="23:23">
      <c r="W53632" s="503"/>
    </row>
    <row r="53633" spans="23:23">
      <c r="W53633" s="503"/>
    </row>
    <row r="53634" spans="23:23">
      <c r="W53634" s="503"/>
    </row>
    <row r="53635" spans="23:23">
      <c r="W53635" s="503"/>
    </row>
    <row r="53636" spans="23:23">
      <c r="W53636" s="503"/>
    </row>
    <row r="53637" spans="23:23">
      <c r="W53637" s="503"/>
    </row>
    <row r="53638" spans="23:23">
      <c r="W53638" s="503"/>
    </row>
    <row r="53639" spans="23:23">
      <c r="W53639" s="503"/>
    </row>
    <row r="53640" spans="23:23">
      <c r="W53640" s="503"/>
    </row>
    <row r="53641" spans="23:23">
      <c r="W53641" s="503"/>
    </row>
    <row r="53642" spans="23:23">
      <c r="W53642" s="503"/>
    </row>
    <row r="53643" spans="23:23">
      <c r="W53643" s="503"/>
    </row>
    <row r="53644" spans="23:23">
      <c r="W53644" s="503"/>
    </row>
    <row r="53645" spans="23:23">
      <c r="W53645" s="503"/>
    </row>
    <row r="53646" spans="23:23">
      <c r="W53646" s="503"/>
    </row>
    <row r="53647" spans="23:23">
      <c r="W53647" s="503"/>
    </row>
    <row r="53648" spans="23:23">
      <c r="W53648" s="503"/>
    </row>
    <row r="53649" spans="23:23">
      <c r="W53649" s="503"/>
    </row>
    <row r="53650" spans="23:23">
      <c r="W53650" s="503"/>
    </row>
    <row r="53651" spans="23:23">
      <c r="W53651" s="503"/>
    </row>
    <row r="53652" spans="23:23">
      <c r="W53652" s="503"/>
    </row>
    <row r="53653" spans="23:23">
      <c r="W53653" s="503"/>
    </row>
    <row r="53654" spans="23:23">
      <c r="W53654" s="503"/>
    </row>
    <row r="53655" spans="23:23">
      <c r="W53655" s="503"/>
    </row>
    <row r="53656" spans="23:23">
      <c r="W53656" s="503"/>
    </row>
    <row r="53657" spans="23:23">
      <c r="W53657" s="503"/>
    </row>
    <row r="53658" spans="23:23">
      <c r="W53658" s="503"/>
    </row>
    <row r="53659" spans="23:23">
      <c r="W53659" s="503"/>
    </row>
    <row r="53660" spans="23:23">
      <c r="W53660" s="503"/>
    </row>
    <row r="53661" spans="23:23">
      <c r="W53661" s="503"/>
    </row>
    <row r="53662" spans="23:23">
      <c r="W53662" s="503"/>
    </row>
    <row r="53663" spans="23:23">
      <c r="W53663" s="503"/>
    </row>
    <row r="53664" spans="23:23">
      <c r="W53664" s="503"/>
    </row>
    <row r="53665" spans="23:23">
      <c r="W53665" s="503"/>
    </row>
    <row r="53666" spans="23:23">
      <c r="W53666" s="503"/>
    </row>
    <row r="53667" spans="23:23">
      <c r="W53667" s="503"/>
    </row>
    <row r="53668" spans="23:23">
      <c r="W53668" s="503"/>
    </row>
    <row r="53669" spans="23:23">
      <c r="W53669" s="503"/>
    </row>
    <row r="53670" spans="23:23">
      <c r="W53670" s="503"/>
    </row>
    <row r="53671" spans="23:23">
      <c r="W53671" s="503"/>
    </row>
    <row r="53672" spans="23:23">
      <c r="W53672" s="503"/>
    </row>
    <row r="53673" spans="23:23">
      <c r="W53673" s="503"/>
    </row>
    <row r="53674" spans="23:23">
      <c r="W53674" s="503"/>
    </row>
    <row r="53675" spans="23:23">
      <c r="W53675" s="503"/>
    </row>
    <row r="53676" spans="23:23">
      <c r="W53676" s="503"/>
    </row>
    <row r="53677" spans="23:23">
      <c r="W53677" s="503"/>
    </row>
    <row r="53678" spans="23:23">
      <c r="W53678" s="503"/>
    </row>
    <row r="53679" spans="23:23">
      <c r="W53679" s="503"/>
    </row>
    <row r="53680" spans="23:23">
      <c r="W53680" s="503"/>
    </row>
    <row r="53681" spans="23:23">
      <c r="W53681" s="503"/>
    </row>
    <row r="53682" spans="23:23">
      <c r="W53682" s="503"/>
    </row>
    <row r="53683" spans="23:23">
      <c r="W53683" s="503"/>
    </row>
    <row r="53684" spans="23:23">
      <c r="W53684" s="503"/>
    </row>
    <row r="53685" spans="23:23">
      <c r="W53685" s="503"/>
    </row>
    <row r="53686" spans="23:23">
      <c r="W53686" s="503"/>
    </row>
    <row r="53687" spans="23:23">
      <c r="W53687" s="503"/>
    </row>
    <row r="53688" spans="23:23">
      <c r="W53688" s="503"/>
    </row>
    <row r="53689" spans="23:23">
      <c r="W53689" s="503"/>
    </row>
    <row r="53690" spans="23:23">
      <c r="W53690" s="503"/>
    </row>
    <row r="53691" spans="23:23">
      <c r="W53691" s="503"/>
    </row>
    <row r="53692" spans="23:23">
      <c r="W53692" s="503"/>
    </row>
    <row r="53693" spans="23:23">
      <c r="W53693" s="503"/>
    </row>
    <row r="53694" spans="23:23">
      <c r="W53694" s="503"/>
    </row>
    <row r="53695" spans="23:23">
      <c r="W53695" s="503"/>
    </row>
    <row r="53696" spans="23:23">
      <c r="W53696" s="503"/>
    </row>
    <row r="53697" spans="23:23">
      <c r="W53697" s="503"/>
    </row>
    <row r="53698" spans="23:23">
      <c r="W53698" s="503"/>
    </row>
    <row r="53699" spans="23:23">
      <c r="W53699" s="503"/>
    </row>
    <row r="53700" spans="23:23">
      <c r="W53700" s="503"/>
    </row>
    <row r="53701" spans="23:23">
      <c r="W53701" s="503"/>
    </row>
    <row r="53702" spans="23:23">
      <c r="W53702" s="503"/>
    </row>
    <row r="53703" spans="23:23">
      <c r="W53703" s="503"/>
    </row>
    <row r="53704" spans="23:23">
      <c r="W53704" s="503"/>
    </row>
    <row r="53705" spans="23:23">
      <c r="W53705" s="503"/>
    </row>
    <row r="53706" spans="23:23">
      <c r="W53706" s="503"/>
    </row>
    <row r="53707" spans="23:23">
      <c r="W53707" s="503"/>
    </row>
    <row r="53708" spans="23:23">
      <c r="W53708" s="503"/>
    </row>
    <row r="53709" spans="23:23">
      <c r="W53709" s="503"/>
    </row>
    <row r="53710" spans="23:23">
      <c r="W53710" s="503"/>
    </row>
    <row r="53711" spans="23:23">
      <c r="W53711" s="503"/>
    </row>
    <row r="53712" spans="23:23">
      <c r="W53712" s="503"/>
    </row>
    <row r="53713" spans="23:23">
      <c r="W53713" s="503"/>
    </row>
    <row r="53714" spans="23:23">
      <c r="W53714" s="503"/>
    </row>
    <row r="53715" spans="23:23">
      <c r="W53715" s="503"/>
    </row>
    <row r="53716" spans="23:23">
      <c r="W53716" s="503"/>
    </row>
    <row r="53717" spans="23:23">
      <c r="W53717" s="503"/>
    </row>
    <row r="53718" spans="23:23">
      <c r="W53718" s="503"/>
    </row>
    <row r="53719" spans="23:23">
      <c r="W53719" s="503"/>
    </row>
    <row r="53720" spans="23:23">
      <c r="W53720" s="503"/>
    </row>
    <row r="53721" spans="23:23">
      <c r="W53721" s="503"/>
    </row>
    <row r="53722" spans="23:23">
      <c r="W53722" s="503"/>
    </row>
    <row r="53723" spans="23:23">
      <c r="W53723" s="503"/>
    </row>
    <row r="53724" spans="23:23">
      <c r="W53724" s="503"/>
    </row>
    <row r="53725" spans="23:23">
      <c r="W53725" s="503"/>
    </row>
    <row r="53726" spans="23:23">
      <c r="W53726" s="503"/>
    </row>
    <row r="53727" spans="23:23">
      <c r="W53727" s="503"/>
    </row>
    <row r="53728" spans="23:23">
      <c r="W53728" s="503"/>
    </row>
    <row r="53729" spans="23:23">
      <c r="W53729" s="503"/>
    </row>
    <row r="53730" spans="23:23">
      <c r="W53730" s="503"/>
    </row>
    <row r="53731" spans="23:23">
      <c r="W53731" s="503"/>
    </row>
    <row r="53732" spans="23:23">
      <c r="W53732" s="503"/>
    </row>
    <row r="53733" spans="23:23">
      <c r="W53733" s="503"/>
    </row>
    <row r="53734" spans="23:23">
      <c r="W53734" s="503"/>
    </row>
    <row r="53735" spans="23:23">
      <c r="W53735" s="503"/>
    </row>
    <row r="53736" spans="23:23">
      <c r="W53736" s="503"/>
    </row>
    <row r="53737" spans="23:23">
      <c r="W53737" s="503"/>
    </row>
    <row r="53738" spans="23:23">
      <c r="W53738" s="503"/>
    </row>
    <row r="53739" spans="23:23">
      <c r="W53739" s="503"/>
    </row>
    <row r="53740" spans="23:23">
      <c r="W53740" s="503"/>
    </row>
    <row r="53741" spans="23:23">
      <c r="W53741" s="503"/>
    </row>
    <row r="53742" spans="23:23">
      <c r="W53742" s="503"/>
    </row>
    <row r="53743" spans="23:23">
      <c r="W53743" s="503"/>
    </row>
    <row r="53744" spans="23:23">
      <c r="W53744" s="503"/>
    </row>
    <row r="53745" spans="23:23">
      <c r="W53745" s="503"/>
    </row>
    <row r="53746" spans="23:23">
      <c r="W53746" s="503"/>
    </row>
    <row r="53747" spans="23:23">
      <c r="W53747" s="503"/>
    </row>
    <row r="53748" spans="23:23">
      <c r="W53748" s="503"/>
    </row>
    <row r="53749" spans="23:23">
      <c r="W53749" s="503"/>
    </row>
    <row r="53750" spans="23:23">
      <c r="W53750" s="503"/>
    </row>
    <row r="53751" spans="23:23">
      <c r="W53751" s="503"/>
    </row>
    <row r="53752" spans="23:23">
      <c r="W53752" s="503"/>
    </row>
    <row r="53753" spans="23:23">
      <c r="W53753" s="503"/>
    </row>
    <row r="53754" spans="23:23">
      <c r="W53754" s="503"/>
    </row>
    <row r="53755" spans="23:23">
      <c r="W53755" s="503"/>
    </row>
    <row r="53756" spans="23:23">
      <c r="W53756" s="503"/>
    </row>
    <row r="53757" spans="23:23">
      <c r="W53757" s="503"/>
    </row>
    <row r="53758" spans="23:23">
      <c r="W53758" s="503"/>
    </row>
    <row r="53759" spans="23:23">
      <c r="W53759" s="503"/>
    </row>
    <row r="53760" spans="23:23">
      <c r="W53760" s="503"/>
    </row>
    <row r="53761" spans="23:23">
      <c r="W53761" s="503"/>
    </row>
    <row r="53762" spans="23:23">
      <c r="W53762" s="503"/>
    </row>
    <row r="53763" spans="23:23">
      <c r="W53763" s="503"/>
    </row>
    <row r="53764" spans="23:23">
      <c r="W53764" s="503"/>
    </row>
    <row r="53765" spans="23:23">
      <c r="W53765" s="503"/>
    </row>
    <row r="53766" spans="23:23">
      <c r="W53766" s="503"/>
    </row>
    <row r="53767" spans="23:23">
      <c r="W53767" s="503"/>
    </row>
    <row r="53768" spans="23:23">
      <c r="W53768" s="503"/>
    </row>
    <row r="53769" spans="23:23">
      <c r="W53769" s="503"/>
    </row>
    <row r="53770" spans="23:23">
      <c r="W53770" s="503"/>
    </row>
    <row r="53771" spans="23:23">
      <c r="W53771" s="503"/>
    </row>
    <row r="53772" spans="23:23">
      <c r="W53772" s="503"/>
    </row>
    <row r="53773" spans="23:23">
      <c r="W53773" s="503"/>
    </row>
    <row r="53774" spans="23:23">
      <c r="W53774" s="503"/>
    </row>
    <row r="53775" spans="23:23">
      <c r="W53775" s="503"/>
    </row>
    <row r="53776" spans="23:23">
      <c r="W53776" s="503"/>
    </row>
    <row r="53777" spans="23:23">
      <c r="W53777" s="503"/>
    </row>
    <row r="53778" spans="23:23">
      <c r="W53778" s="503"/>
    </row>
    <row r="53779" spans="23:23">
      <c r="W53779" s="503"/>
    </row>
    <row r="53780" spans="23:23">
      <c r="W53780" s="503"/>
    </row>
    <row r="53781" spans="23:23">
      <c r="W53781" s="503"/>
    </row>
    <row r="53782" spans="23:23">
      <c r="W53782" s="503"/>
    </row>
    <row r="53783" spans="23:23">
      <c r="W53783" s="503"/>
    </row>
    <row r="53784" spans="23:23">
      <c r="W53784" s="503"/>
    </row>
    <row r="53785" spans="23:23">
      <c r="W53785" s="503"/>
    </row>
    <row r="53786" spans="23:23">
      <c r="W53786" s="503"/>
    </row>
    <row r="53787" spans="23:23">
      <c r="W53787" s="503"/>
    </row>
    <row r="53788" spans="23:23">
      <c r="W53788" s="503"/>
    </row>
    <row r="53789" spans="23:23">
      <c r="W53789" s="503"/>
    </row>
    <row r="53790" spans="23:23">
      <c r="W53790" s="503"/>
    </row>
    <row r="53791" spans="23:23">
      <c r="W53791" s="503"/>
    </row>
    <row r="53792" spans="23:23">
      <c r="W53792" s="503"/>
    </row>
    <row r="53793" spans="23:23">
      <c r="W53793" s="503"/>
    </row>
    <row r="53794" spans="23:23">
      <c r="W53794" s="503"/>
    </row>
    <row r="53795" spans="23:23">
      <c r="W53795" s="503"/>
    </row>
    <row r="53796" spans="23:23">
      <c r="W53796" s="503"/>
    </row>
    <row r="53797" spans="23:23">
      <c r="W53797" s="503"/>
    </row>
    <row r="53798" spans="23:23">
      <c r="W53798" s="503"/>
    </row>
    <row r="53799" spans="23:23">
      <c r="W53799" s="503"/>
    </row>
    <row r="53800" spans="23:23">
      <c r="W53800" s="503"/>
    </row>
    <row r="53801" spans="23:23">
      <c r="W53801" s="503"/>
    </row>
    <row r="53802" spans="23:23">
      <c r="W53802" s="503"/>
    </row>
    <row r="53803" spans="23:23">
      <c r="W53803" s="503"/>
    </row>
    <row r="53804" spans="23:23">
      <c r="W53804" s="503"/>
    </row>
    <row r="53805" spans="23:23">
      <c r="W53805" s="503"/>
    </row>
    <row r="53806" spans="23:23">
      <c r="W53806" s="503"/>
    </row>
    <row r="53807" spans="23:23">
      <c r="W53807" s="503"/>
    </row>
    <row r="53808" spans="23:23">
      <c r="W53808" s="503"/>
    </row>
    <row r="53809" spans="23:23">
      <c r="W53809" s="503"/>
    </row>
    <row r="53810" spans="23:23">
      <c r="W53810" s="503"/>
    </row>
    <row r="53811" spans="23:23">
      <c r="W53811" s="503"/>
    </row>
    <row r="53812" spans="23:23">
      <c r="W53812" s="503"/>
    </row>
    <row r="53813" spans="23:23">
      <c r="W53813" s="503"/>
    </row>
    <row r="53814" spans="23:23">
      <c r="W53814" s="503"/>
    </row>
    <row r="53815" spans="23:23">
      <c r="W53815" s="503"/>
    </row>
    <row r="53816" spans="23:23">
      <c r="W53816" s="503"/>
    </row>
    <row r="53817" spans="23:23">
      <c r="W53817" s="503"/>
    </row>
    <row r="53818" spans="23:23">
      <c r="W53818" s="503"/>
    </row>
    <row r="53819" spans="23:23">
      <c r="W53819" s="503"/>
    </row>
    <row r="53820" spans="23:23">
      <c r="W53820" s="503"/>
    </row>
    <row r="53821" spans="23:23">
      <c r="W53821" s="503"/>
    </row>
    <row r="53822" spans="23:23">
      <c r="W53822" s="503"/>
    </row>
    <row r="53823" spans="23:23">
      <c r="W53823" s="503"/>
    </row>
    <row r="53824" spans="23:23">
      <c r="W53824" s="503"/>
    </row>
    <row r="53825" spans="23:23">
      <c r="W53825" s="503"/>
    </row>
    <row r="53826" spans="23:23">
      <c r="W53826" s="503"/>
    </row>
    <row r="53827" spans="23:23">
      <c r="W53827" s="503"/>
    </row>
    <row r="53828" spans="23:23">
      <c r="W53828" s="503"/>
    </row>
    <row r="53829" spans="23:23">
      <c r="W53829" s="503"/>
    </row>
    <row r="53830" spans="23:23">
      <c r="W53830" s="503"/>
    </row>
    <row r="53831" spans="23:23">
      <c r="W53831" s="503"/>
    </row>
    <row r="53832" spans="23:23">
      <c r="W53832" s="503"/>
    </row>
    <row r="53833" spans="23:23">
      <c r="W53833" s="503"/>
    </row>
    <row r="53834" spans="23:23">
      <c r="W53834" s="503"/>
    </row>
    <row r="53835" spans="23:23">
      <c r="W53835" s="503"/>
    </row>
    <row r="53836" spans="23:23">
      <c r="W53836" s="503"/>
    </row>
    <row r="53837" spans="23:23">
      <c r="W53837" s="503"/>
    </row>
    <row r="53838" spans="23:23">
      <c r="W53838" s="503"/>
    </row>
    <row r="53839" spans="23:23">
      <c r="W53839" s="503"/>
    </row>
    <row r="53840" spans="23:23">
      <c r="W53840" s="503"/>
    </row>
    <row r="53841" spans="23:23">
      <c r="W53841" s="503"/>
    </row>
    <row r="53842" spans="23:23">
      <c r="W53842" s="503"/>
    </row>
    <row r="53843" spans="23:23">
      <c r="W53843" s="503"/>
    </row>
    <row r="53844" spans="23:23">
      <c r="W53844" s="503"/>
    </row>
    <row r="53845" spans="23:23">
      <c r="W53845" s="503"/>
    </row>
    <row r="53846" spans="23:23">
      <c r="W53846" s="503"/>
    </row>
    <row r="53847" spans="23:23">
      <c r="W53847" s="503"/>
    </row>
    <row r="53848" spans="23:23">
      <c r="W53848" s="503"/>
    </row>
    <row r="53849" spans="23:23">
      <c r="W53849" s="503"/>
    </row>
    <row r="53850" spans="23:23">
      <c r="W53850" s="503"/>
    </row>
    <row r="53851" spans="23:23">
      <c r="W53851" s="503"/>
    </row>
    <row r="53852" spans="23:23">
      <c r="W53852" s="503"/>
    </row>
    <row r="53853" spans="23:23">
      <c r="W53853" s="503"/>
    </row>
    <row r="53854" spans="23:23">
      <c r="W53854" s="503"/>
    </row>
    <row r="53855" spans="23:23">
      <c r="W53855" s="503"/>
    </row>
    <row r="53856" spans="23:23">
      <c r="W53856" s="503"/>
    </row>
    <row r="53857" spans="23:23">
      <c r="W53857" s="503"/>
    </row>
    <row r="53858" spans="23:23">
      <c r="W53858" s="503"/>
    </row>
    <row r="53859" spans="23:23">
      <c r="W53859" s="503"/>
    </row>
    <row r="53860" spans="23:23">
      <c r="W53860" s="503"/>
    </row>
    <row r="53861" spans="23:23">
      <c r="W53861" s="503"/>
    </row>
    <row r="53862" spans="23:23">
      <c r="W53862" s="503"/>
    </row>
    <row r="53863" spans="23:23">
      <c r="W53863" s="503"/>
    </row>
    <row r="53864" spans="23:23">
      <c r="W53864" s="503"/>
    </row>
    <row r="53865" spans="23:23">
      <c r="W53865" s="503"/>
    </row>
    <row r="53866" spans="23:23">
      <c r="W53866" s="503"/>
    </row>
    <row r="53867" spans="23:23">
      <c r="W53867" s="503"/>
    </row>
    <row r="53868" spans="23:23">
      <c r="W53868" s="503"/>
    </row>
    <row r="53869" spans="23:23">
      <c r="W53869" s="503"/>
    </row>
    <row r="53870" spans="23:23">
      <c r="W53870" s="503"/>
    </row>
    <row r="53871" spans="23:23">
      <c r="W53871" s="503"/>
    </row>
    <row r="53872" spans="23:23">
      <c r="W53872" s="503"/>
    </row>
    <row r="53873" spans="23:23">
      <c r="W53873" s="503"/>
    </row>
    <row r="53874" spans="23:23">
      <c r="W53874" s="503"/>
    </row>
    <row r="53875" spans="23:23">
      <c r="W53875" s="503"/>
    </row>
    <row r="53876" spans="23:23">
      <c r="W53876" s="503"/>
    </row>
    <row r="53877" spans="23:23">
      <c r="W53877" s="503"/>
    </row>
    <row r="53878" spans="23:23">
      <c r="W53878" s="503"/>
    </row>
    <row r="53879" spans="23:23">
      <c r="W53879" s="503"/>
    </row>
    <row r="53880" spans="23:23">
      <c r="W53880" s="503"/>
    </row>
    <row r="53881" spans="23:23">
      <c r="W53881" s="503"/>
    </row>
    <row r="53882" spans="23:23">
      <c r="W53882" s="503"/>
    </row>
    <row r="53883" spans="23:23">
      <c r="W53883" s="503"/>
    </row>
    <row r="53884" spans="23:23">
      <c r="W53884" s="503"/>
    </row>
    <row r="53885" spans="23:23">
      <c r="W53885" s="503"/>
    </row>
    <row r="53886" spans="23:23">
      <c r="W53886" s="503"/>
    </row>
    <row r="53887" spans="23:23">
      <c r="W53887" s="503"/>
    </row>
    <row r="53888" spans="23:23">
      <c r="W53888" s="503"/>
    </row>
    <row r="53889" spans="23:23">
      <c r="W53889" s="503"/>
    </row>
    <row r="53890" spans="23:23">
      <c r="W53890" s="503"/>
    </row>
    <row r="53891" spans="23:23">
      <c r="W53891" s="503"/>
    </row>
    <row r="53892" spans="23:23">
      <c r="W53892" s="503"/>
    </row>
    <row r="53893" spans="23:23">
      <c r="W53893" s="503"/>
    </row>
    <row r="53894" spans="23:23">
      <c r="W53894" s="503"/>
    </row>
    <row r="53895" spans="23:23">
      <c r="W53895" s="503"/>
    </row>
    <row r="53896" spans="23:23">
      <c r="W53896" s="503"/>
    </row>
    <row r="53897" spans="23:23">
      <c r="W53897" s="503"/>
    </row>
    <row r="53898" spans="23:23">
      <c r="W53898" s="503"/>
    </row>
    <row r="53899" spans="23:23">
      <c r="W53899" s="503"/>
    </row>
    <row r="53900" spans="23:23">
      <c r="W53900" s="503"/>
    </row>
    <row r="53901" spans="23:23">
      <c r="W53901" s="503"/>
    </row>
    <row r="53902" spans="23:23">
      <c r="W53902" s="503"/>
    </row>
    <row r="53903" spans="23:23">
      <c r="W53903" s="503"/>
    </row>
    <row r="53904" spans="23:23">
      <c r="W53904" s="503"/>
    </row>
    <row r="53905" spans="23:23">
      <c r="W53905" s="503"/>
    </row>
    <row r="53906" spans="23:23">
      <c r="W53906" s="503"/>
    </row>
    <row r="53907" spans="23:23">
      <c r="W53907" s="503"/>
    </row>
    <row r="53908" spans="23:23">
      <c r="W53908" s="503"/>
    </row>
    <row r="53909" spans="23:23">
      <c r="W53909" s="503"/>
    </row>
    <row r="53910" spans="23:23">
      <c r="W53910" s="503"/>
    </row>
    <row r="53911" spans="23:23">
      <c r="W53911" s="503"/>
    </row>
    <row r="53912" spans="23:23">
      <c r="W53912" s="503"/>
    </row>
    <row r="53913" spans="23:23">
      <c r="W53913" s="503"/>
    </row>
    <row r="53914" spans="23:23">
      <c r="W53914" s="503"/>
    </row>
    <row r="53915" spans="23:23">
      <c r="W53915" s="503"/>
    </row>
    <row r="53916" spans="23:23">
      <c r="W53916" s="503"/>
    </row>
    <row r="53917" spans="23:23">
      <c r="W53917" s="503"/>
    </row>
    <row r="53918" spans="23:23">
      <c r="W53918" s="503"/>
    </row>
    <row r="53919" spans="23:23">
      <c r="W53919" s="503"/>
    </row>
    <row r="53920" spans="23:23">
      <c r="W53920" s="503"/>
    </row>
    <row r="53921" spans="23:23">
      <c r="W53921" s="503"/>
    </row>
    <row r="53922" spans="23:23">
      <c r="W53922" s="503"/>
    </row>
    <row r="53923" spans="23:23">
      <c r="W53923" s="503"/>
    </row>
    <row r="53924" spans="23:23">
      <c r="W53924" s="503"/>
    </row>
    <row r="53925" spans="23:23">
      <c r="W53925" s="503"/>
    </row>
    <row r="53926" spans="23:23">
      <c r="W53926" s="503"/>
    </row>
    <row r="53927" spans="23:23">
      <c r="W53927" s="503"/>
    </row>
    <row r="53928" spans="23:23">
      <c r="W53928" s="503"/>
    </row>
    <row r="53929" spans="23:23">
      <c r="W53929" s="503"/>
    </row>
    <row r="53930" spans="23:23">
      <c r="W53930" s="503"/>
    </row>
    <row r="53931" spans="23:23">
      <c r="W53931" s="503"/>
    </row>
    <row r="53932" spans="23:23">
      <c r="W53932" s="503"/>
    </row>
    <row r="53933" spans="23:23">
      <c r="W53933" s="503"/>
    </row>
    <row r="53934" spans="23:23">
      <c r="W53934" s="503"/>
    </row>
    <row r="53935" spans="23:23">
      <c r="W53935" s="503"/>
    </row>
    <row r="53936" spans="23:23">
      <c r="W53936" s="503"/>
    </row>
    <row r="53937" spans="23:23">
      <c r="W53937" s="503"/>
    </row>
    <row r="53938" spans="23:23">
      <c r="W53938" s="503"/>
    </row>
    <row r="53939" spans="23:23">
      <c r="W53939" s="503"/>
    </row>
    <row r="53940" spans="23:23">
      <c r="W53940" s="503"/>
    </row>
    <row r="53941" spans="23:23">
      <c r="W53941" s="503"/>
    </row>
    <row r="53942" spans="23:23">
      <c r="W53942" s="503"/>
    </row>
    <row r="53943" spans="23:23">
      <c r="W53943" s="503"/>
    </row>
    <row r="53944" spans="23:23">
      <c r="W53944" s="503"/>
    </row>
    <row r="53945" spans="23:23">
      <c r="W53945" s="503"/>
    </row>
    <row r="53946" spans="23:23">
      <c r="W53946" s="503"/>
    </row>
    <row r="53947" spans="23:23">
      <c r="W53947" s="503"/>
    </row>
    <row r="53948" spans="23:23">
      <c r="W53948" s="503"/>
    </row>
    <row r="53949" spans="23:23">
      <c r="W53949" s="503"/>
    </row>
    <row r="53950" spans="23:23">
      <c r="W53950" s="503"/>
    </row>
    <row r="53951" spans="23:23">
      <c r="W53951" s="503"/>
    </row>
    <row r="53952" spans="23:23">
      <c r="W53952" s="503"/>
    </row>
    <row r="53953" spans="23:23">
      <c r="W53953" s="503"/>
    </row>
    <row r="53954" spans="23:23">
      <c r="W53954" s="503"/>
    </row>
    <row r="53955" spans="23:23">
      <c r="W53955" s="503"/>
    </row>
    <row r="53956" spans="23:23">
      <c r="W53956" s="503"/>
    </row>
    <row r="53957" spans="23:23">
      <c r="W53957" s="503"/>
    </row>
    <row r="53958" spans="23:23">
      <c r="W53958" s="503"/>
    </row>
    <row r="53959" spans="23:23">
      <c r="W53959" s="503"/>
    </row>
    <row r="53960" spans="23:23">
      <c r="W53960" s="503"/>
    </row>
    <row r="53961" spans="23:23">
      <c r="W53961" s="503"/>
    </row>
    <row r="53962" spans="23:23">
      <c r="W53962" s="503"/>
    </row>
    <row r="53963" spans="23:23">
      <c r="W53963" s="503"/>
    </row>
    <row r="53964" spans="23:23">
      <c r="W53964" s="503"/>
    </row>
    <row r="53965" spans="23:23">
      <c r="W53965" s="503"/>
    </row>
    <row r="53966" spans="23:23">
      <c r="W53966" s="503"/>
    </row>
    <row r="53967" spans="23:23">
      <c r="W53967" s="503"/>
    </row>
    <row r="53968" spans="23:23">
      <c r="W53968" s="503"/>
    </row>
    <row r="53969" spans="23:23">
      <c r="W53969" s="503"/>
    </row>
    <row r="53970" spans="23:23">
      <c r="W53970" s="503"/>
    </row>
    <row r="53971" spans="23:23">
      <c r="W53971" s="503"/>
    </row>
    <row r="53972" spans="23:23">
      <c r="W53972" s="503"/>
    </row>
    <row r="53973" spans="23:23">
      <c r="W53973" s="503"/>
    </row>
    <row r="53974" spans="23:23">
      <c r="W53974" s="503"/>
    </row>
    <row r="53975" spans="23:23">
      <c r="W53975" s="503"/>
    </row>
    <row r="53976" spans="23:23">
      <c r="W53976" s="503"/>
    </row>
    <row r="53977" spans="23:23">
      <c r="W53977" s="503"/>
    </row>
    <row r="53978" spans="23:23">
      <c r="W53978" s="503"/>
    </row>
    <row r="53979" spans="23:23">
      <c r="W53979" s="503"/>
    </row>
    <row r="53980" spans="23:23">
      <c r="W53980" s="503"/>
    </row>
    <row r="53981" spans="23:23">
      <c r="W53981" s="503"/>
    </row>
    <row r="53982" spans="23:23">
      <c r="W53982" s="503"/>
    </row>
    <row r="53983" spans="23:23">
      <c r="W53983" s="503"/>
    </row>
    <row r="53984" spans="23:23">
      <c r="W53984" s="503"/>
    </row>
    <row r="53985" spans="23:23">
      <c r="W53985" s="503"/>
    </row>
    <row r="53986" spans="23:23">
      <c r="W53986" s="503"/>
    </row>
    <row r="53987" spans="23:23">
      <c r="W53987" s="503"/>
    </row>
    <row r="53988" spans="23:23">
      <c r="W53988" s="503"/>
    </row>
    <row r="53989" spans="23:23">
      <c r="W53989" s="503"/>
    </row>
    <row r="53990" spans="23:23">
      <c r="W53990" s="503"/>
    </row>
    <row r="53991" spans="23:23">
      <c r="W53991" s="503"/>
    </row>
    <row r="53992" spans="23:23">
      <c r="W53992" s="503"/>
    </row>
    <row r="53993" spans="23:23">
      <c r="W53993" s="503"/>
    </row>
    <row r="53994" spans="23:23">
      <c r="W53994" s="503"/>
    </row>
    <row r="53995" spans="23:23">
      <c r="W53995" s="503"/>
    </row>
    <row r="53996" spans="23:23">
      <c r="W53996" s="503"/>
    </row>
    <row r="53997" spans="23:23">
      <c r="W53997" s="503"/>
    </row>
    <row r="53998" spans="23:23">
      <c r="W53998" s="503"/>
    </row>
    <row r="53999" spans="23:23">
      <c r="W53999" s="503"/>
    </row>
    <row r="54000" spans="23:23">
      <c r="W54000" s="503"/>
    </row>
    <row r="54001" spans="23:23">
      <c r="W54001" s="503"/>
    </row>
    <row r="54002" spans="23:23">
      <c r="W54002" s="503"/>
    </row>
    <row r="54003" spans="23:23">
      <c r="W54003" s="503"/>
    </row>
    <row r="54004" spans="23:23">
      <c r="W54004" s="503"/>
    </row>
    <row r="54005" spans="23:23">
      <c r="W54005" s="503"/>
    </row>
    <row r="54006" spans="23:23">
      <c r="W54006" s="503"/>
    </row>
    <row r="54007" spans="23:23">
      <c r="W54007" s="503"/>
    </row>
    <row r="54008" spans="23:23">
      <c r="W54008" s="503"/>
    </row>
    <row r="54009" spans="23:23">
      <c r="W54009" s="503"/>
    </row>
    <row r="54010" spans="23:23">
      <c r="W54010" s="503"/>
    </row>
    <row r="54011" spans="23:23">
      <c r="W54011" s="503"/>
    </row>
    <row r="54012" spans="23:23">
      <c r="W54012" s="503"/>
    </row>
    <row r="54013" spans="23:23">
      <c r="W54013" s="503"/>
    </row>
    <row r="54014" spans="23:23">
      <c r="W54014" s="503"/>
    </row>
    <row r="54015" spans="23:23">
      <c r="W54015" s="503"/>
    </row>
    <row r="54016" spans="23:23">
      <c r="W54016" s="503"/>
    </row>
    <row r="54017" spans="23:23">
      <c r="W54017" s="503"/>
    </row>
    <row r="54018" spans="23:23">
      <c r="W54018" s="503"/>
    </row>
    <row r="54019" spans="23:23">
      <c r="W54019" s="503"/>
    </row>
    <row r="54020" spans="23:23">
      <c r="W54020" s="503"/>
    </row>
    <row r="54021" spans="23:23">
      <c r="W54021" s="503"/>
    </row>
    <row r="54022" spans="23:23">
      <c r="W54022" s="503"/>
    </row>
    <row r="54023" spans="23:23">
      <c r="W54023" s="503"/>
    </row>
    <row r="54024" spans="23:23">
      <c r="W54024" s="503"/>
    </row>
    <row r="54025" spans="23:23">
      <c r="W54025" s="503"/>
    </row>
    <row r="54026" spans="23:23">
      <c r="W54026" s="503"/>
    </row>
    <row r="54027" spans="23:23">
      <c r="W54027" s="503"/>
    </row>
    <row r="54028" spans="23:23">
      <c r="W54028" s="503"/>
    </row>
    <row r="54029" spans="23:23">
      <c r="W54029" s="503"/>
    </row>
    <row r="54030" spans="23:23">
      <c r="W54030" s="503"/>
    </row>
    <row r="54031" spans="23:23">
      <c r="W54031" s="503"/>
    </row>
    <row r="54032" spans="23:23">
      <c r="W54032" s="503"/>
    </row>
    <row r="54033" spans="23:23">
      <c r="W54033" s="503"/>
    </row>
    <row r="54034" spans="23:23">
      <c r="W54034" s="503"/>
    </row>
    <row r="54035" spans="23:23">
      <c r="W54035" s="503"/>
    </row>
    <row r="54036" spans="23:23">
      <c r="W54036" s="503"/>
    </row>
    <row r="54037" spans="23:23">
      <c r="W54037" s="503"/>
    </row>
    <row r="54038" spans="23:23">
      <c r="W54038" s="503"/>
    </row>
    <row r="54039" spans="23:23">
      <c r="W54039" s="503"/>
    </row>
    <row r="54040" spans="23:23">
      <c r="W54040" s="503"/>
    </row>
    <row r="54041" spans="23:23">
      <c r="W54041" s="503"/>
    </row>
    <row r="54042" spans="23:23">
      <c r="W54042" s="503"/>
    </row>
    <row r="54043" spans="23:23">
      <c r="W54043" s="503"/>
    </row>
    <row r="54044" spans="23:23">
      <c r="W54044" s="503"/>
    </row>
    <row r="54045" spans="23:23">
      <c r="W54045" s="503"/>
    </row>
    <row r="54046" spans="23:23">
      <c r="W54046" s="503"/>
    </row>
    <row r="54047" spans="23:23">
      <c r="W54047" s="503"/>
    </row>
    <row r="54048" spans="23:23">
      <c r="W54048" s="503"/>
    </row>
    <row r="54049" spans="23:23">
      <c r="W54049" s="503"/>
    </row>
    <row r="54050" spans="23:23">
      <c r="W54050" s="503"/>
    </row>
    <row r="54051" spans="23:23">
      <c r="W54051" s="503"/>
    </row>
    <row r="54052" spans="23:23">
      <c r="W54052" s="503"/>
    </row>
    <row r="54053" spans="23:23">
      <c r="W54053" s="503"/>
    </row>
    <row r="54054" spans="23:23">
      <c r="W54054" s="503"/>
    </row>
    <row r="54055" spans="23:23">
      <c r="W54055" s="503"/>
    </row>
    <row r="54056" spans="23:23">
      <c r="W54056" s="503"/>
    </row>
    <row r="54057" spans="23:23">
      <c r="W54057" s="503"/>
    </row>
    <row r="54058" spans="23:23">
      <c r="W54058" s="503"/>
    </row>
    <row r="54059" spans="23:23">
      <c r="W54059" s="503"/>
    </row>
    <row r="54060" spans="23:23">
      <c r="W54060" s="503"/>
    </row>
    <row r="54061" spans="23:23">
      <c r="W54061" s="503"/>
    </row>
    <row r="54062" spans="23:23">
      <c r="W54062" s="503"/>
    </row>
    <row r="54063" spans="23:23">
      <c r="W54063" s="503"/>
    </row>
    <row r="54064" spans="23:23">
      <c r="W54064" s="503"/>
    </row>
    <row r="54065" spans="23:23">
      <c r="W54065" s="503"/>
    </row>
    <row r="54066" spans="23:23">
      <c r="W54066" s="503"/>
    </row>
    <row r="54067" spans="23:23">
      <c r="W54067" s="503"/>
    </row>
    <row r="54068" spans="23:23">
      <c r="W54068" s="503"/>
    </row>
    <row r="54069" spans="23:23">
      <c r="W54069" s="503"/>
    </row>
    <row r="54070" spans="23:23">
      <c r="W54070" s="503"/>
    </row>
    <row r="54071" spans="23:23">
      <c r="W54071" s="503"/>
    </row>
    <row r="54072" spans="23:23">
      <c r="W54072" s="503"/>
    </row>
    <row r="54073" spans="23:23">
      <c r="W54073" s="503"/>
    </row>
    <row r="54074" spans="23:23">
      <c r="W54074" s="503"/>
    </row>
    <row r="54075" spans="23:23">
      <c r="W54075" s="503"/>
    </row>
    <row r="54076" spans="23:23">
      <c r="W54076" s="503"/>
    </row>
    <row r="54077" spans="23:23">
      <c r="W54077" s="503"/>
    </row>
    <row r="54078" spans="23:23">
      <c r="W54078" s="503"/>
    </row>
    <row r="54079" spans="23:23">
      <c r="W54079" s="503"/>
    </row>
    <row r="54080" spans="23:23">
      <c r="W54080" s="503"/>
    </row>
    <row r="54081" spans="23:23">
      <c r="W54081" s="503"/>
    </row>
    <row r="54082" spans="23:23">
      <c r="W54082" s="503"/>
    </row>
    <row r="54083" spans="23:23">
      <c r="W54083" s="503"/>
    </row>
    <row r="54084" spans="23:23">
      <c r="W54084" s="503"/>
    </row>
    <row r="54085" spans="23:23">
      <c r="W54085" s="503"/>
    </row>
    <row r="54086" spans="23:23">
      <c r="W54086" s="503"/>
    </row>
    <row r="54087" spans="23:23">
      <c r="W54087" s="503"/>
    </row>
    <row r="54088" spans="23:23">
      <c r="W54088" s="503"/>
    </row>
    <row r="54089" spans="23:23">
      <c r="W54089" s="503"/>
    </row>
    <row r="54090" spans="23:23">
      <c r="W54090" s="503"/>
    </row>
    <row r="54091" spans="23:23">
      <c r="W54091" s="503"/>
    </row>
    <row r="54092" spans="23:23">
      <c r="W54092" s="503"/>
    </row>
    <row r="54093" spans="23:23">
      <c r="W54093" s="503"/>
    </row>
    <row r="54094" spans="23:23">
      <c r="W54094" s="503"/>
    </row>
    <row r="54095" spans="23:23">
      <c r="W54095" s="503"/>
    </row>
    <row r="54096" spans="23:23">
      <c r="W54096" s="503"/>
    </row>
    <row r="54097" spans="23:23">
      <c r="W54097" s="503"/>
    </row>
    <row r="54098" spans="23:23">
      <c r="W54098" s="503"/>
    </row>
    <row r="54099" spans="23:23">
      <c r="W54099" s="503"/>
    </row>
    <row r="54100" spans="23:23">
      <c r="W54100" s="503"/>
    </row>
    <row r="54101" spans="23:23">
      <c r="W54101" s="503"/>
    </row>
    <row r="54102" spans="23:23">
      <c r="W54102" s="503"/>
    </row>
    <row r="54103" spans="23:23">
      <c r="W54103" s="503"/>
    </row>
    <row r="54104" spans="23:23">
      <c r="W54104" s="503"/>
    </row>
    <row r="54105" spans="23:23">
      <c r="W54105" s="503"/>
    </row>
    <row r="54106" spans="23:23">
      <c r="W54106" s="503"/>
    </row>
    <row r="54107" spans="23:23">
      <c r="W54107" s="503"/>
    </row>
    <row r="54108" spans="23:23">
      <c r="W54108" s="503"/>
    </row>
    <row r="54109" spans="23:23">
      <c r="W54109" s="503"/>
    </row>
    <row r="54110" spans="23:23">
      <c r="W54110" s="503"/>
    </row>
    <row r="54111" spans="23:23">
      <c r="W54111" s="503"/>
    </row>
    <row r="54112" spans="23:23">
      <c r="W54112" s="503"/>
    </row>
    <row r="54113" spans="23:23">
      <c r="W54113" s="503"/>
    </row>
    <row r="54114" spans="23:23">
      <c r="W54114" s="503"/>
    </row>
    <row r="54115" spans="23:23">
      <c r="W54115" s="503"/>
    </row>
    <row r="54116" spans="23:23">
      <c r="W54116" s="503"/>
    </row>
    <row r="54117" spans="23:23">
      <c r="W54117" s="503"/>
    </row>
    <row r="54118" spans="23:23">
      <c r="W54118" s="503"/>
    </row>
    <row r="54119" spans="23:23">
      <c r="W54119" s="503"/>
    </row>
    <row r="54120" spans="23:23">
      <c r="W54120" s="503"/>
    </row>
    <row r="54121" spans="23:23">
      <c r="W54121" s="503"/>
    </row>
    <row r="54122" spans="23:23">
      <c r="W54122" s="503"/>
    </row>
    <row r="54123" spans="23:23">
      <c r="W54123" s="503"/>
    </row>
    <row r="54124" spans="23:23">
      <c r="W54124" s="503"/>
    </row>
    <row r="54125" spans="23:23">
      <c r="W54125" s="503"/>
    </row>
    <row r="54126" spans="23:23">
      <c r="W54126" s="503"/>
    </row>
    <row r="54127" spans="23:23">
      <c r="W54127" s="503"/>
    </row>
    <row r="54128" spans="23:23">
      <c r="W54128" s="503"/>
    </row>
    <row r="54129" spans="23:23">
      <c r="W54129" s="503"/>
    </row>
    <row r="54130" spans="23:23">
      <c r="W54130" s="503"/>
    </row>
    <row r="54131" spans="23:23">
      <c r="W54131" s="503"/>
    </row>
    <row r="54132" spans="23:23">
      <c r="W54132" s="503"/>
    </row>
    <row r="54133" spans="23:23">
      <c r="W54133" s="503"/>
    </row>
    <row r="54134" spans="23:23">
      <c r="W54134" s="503"/>
    </row>
    <row r="54135" spans="23:23">
      <c r="W54135" s="503"/>
    </row>
    <row r="54136" spans="23:23">
      <c r="W54136" s="503"/>
    </row>
    <row r="54137" spans="23:23">
      <c r="W54137" s="503"/>
    </row>
    <row r="54138" spans="23:23">
      <c r="W54138" s="503"/>
    </row>
    <row r="54139" spans="23:23">
      <c r="W54139" s="503"/>
    </row>
    <row r="54140" spans="23:23">
      <c r="W54140" s="503"/>
    </row>
    <row r="54141" spans="23:23">
      <c r="W54141" s="503"/>
    </row>
    <row r="54142" spans="23:23">
      <c r="W54142" s="503"/>
    </row>
    <row r="54143" spans="23:23">
      <c r="W54143" s="503"/>
    </row>
    <row r="54144" spans="23:23">
      <c r="W54144" s="503"/>
    </row>
    <row r="54145" spans="23:23">
      <c r="W54145" s="503"/>
    </row>
    <row r="54146" spans="23:23">
      <c r="W54146" s="503"/>
    </row>
    <row r="54147" spans="23:23">
      <c r="W54147" s="503"/>
    </row>
    <row r="54148" spans="23:23">
      <c r="W54148" s="503"/>
    </row>
    <row r="54149" spans="23:23">
      <c r="W54149" s="503"/>
    </row>
    <row r="54150" spans="23:23">
      <c r="W54150" s="503"/>
    </row>
    <row r="54151" spans="23:23">
      <c r="W54151" s="503"/>
    </row>
    <row r="54152" spans="23:23">
      <c r="W54152" s="503"/>
    </row>
    <row r="54153" spans="23:23">
      <c r="W54153" s="503"/>
    </row>
    <row r="54154" spans="23:23">
      <c r="W54154" s="503"/>
    </row>
    <row r="54155" spans="23:23">
      <c r="W54155" s="503"/>
    </row>
    <row r="54156" spans="23:23">
      <c r="W54156" s="503"/>
    </row>
    <row r="54157" spans="23:23">
      <c r="W54157" s="503"/>
    </row>
    <row r="54158" spans="23:23">
      <c r="W54158" s="503"/>
    </row>
    <row r="54159" spans="23:23">
      <c r="W54159" s="503"/>
    </row>
    <row r="54160" spans="23:23">
      <c r="W54160" s="503"/>
    </row>
    <row r="54161" spans="23:23">
      <c r="W54161" s="503"/>
    </row>
    <row r="54162" spans="23:23">
      <c r="W54162" s="503"/>
    </row>
    <row r="54163" spans="23:23">
      <c r="W54163" s="503"/>
    </row>
    <row r="54164" spans="23:23">
      <c r="W54164" s="503"/>
    </row>
    <row r="54165" spans="23:23">
      <c r="W54165" s="503"/>
    </row>
    <row r="54166" spans="23:23">
      <c r="W54166" s="503"/>
    </row>
    <row r="54167" spans="23:23">
      <c r="W54167" s="503"/>
    </row>
    <row r="54168" spans="23:23">
      <c r="W54168" s="503"/>
    </row>
    <row r="54169" spans="23:23">
      <c r="W54169" s="503"/>
    </row>
    <row r="54170" spans="23:23">
      <c r="W54170" s="503"/>
    </row>
    <row r="54171" spans="23:23">
      <c r="W54171" s="503"/>
    </row>
    <row r="54172" spans="23:23">
      <c r="W54172" s="503"/>
    </row>
    <row r="54173" spans="23:23">
      <c r="W54173" s="503"/>
    </row>
    <row r="54174" spans="23:23">
      <c r="W54174" s="503"/>
    </row>
    <row r="54175" spans="23:23">
      <c r="W54175" s="503"/>
    </row>
    <row r="54176" spans="23:23">
      <c r="W54176" s="503"/>
    </row>
    <row r="54177" spans="23:23">
      <c r="W54177" s="503"/>
    </row>
    <row r="54178" spans="23:23">
      <c r="W54178" s="503"/>
    </row>
    <row r="54179" spans="23:23">
      <c r="W54179" s="503"/>
    </row>
    <row r="54180" spans="23:23">
      <c r="W54180" s="503"/>
    </row>
    <row r="54181" spans="23:23">
      <c r="W54181" s="503"/>
    </row>
    <row r="54182" spans="23:23">
      <c r="W54182" s="503"/>
    </row>
    <row r="54183" spans="23:23">
      <c r="W54183" s="503"/>
    </row>
    <row r="54184" spans="23:23">
      <c r="W54184" s="503"/>
    </row>
    <row r="54185" spans="23:23">
      <c r="W54185" s="503"/>
    </row>
    <row r="54186" spans="23:23">
      <c r="W54186" s="503"/>
    </row>
    <row r="54187" spans="23:23">
      <c r="W54187" s="503"/>
    </row>
    <row r="54188" spans="23:23">
      <c r="W54188" s="503"/>
    </row>
    <row r="54189" spans="23:23">
      <c r="W54189" s="503"/>
    </row>
    <row r="54190" spans="23:23">
      <c r="W54190" s="503"/>
    </row>
    <row r="54191" spans="23:23">
      <c r="W54191" s="503"/>
    </row>
    <row r="54192" spans="23:23">
      <c r="W54192" s="503"/>
    </row>
    <row r="54193" spans="23:23">
      <c r="W54193" s="503"/>
    </row>
    <row r="54194" spans="23:23">
      <c r="W54194" s="503"/>
    </row>
    <row r="54195" spans="23:23">
      <c r="W54195" s="503"/>
    </row>
    <row r="54196" spans="23:23">
      <c r="W54196" s="503"/>
    </row>
    <row r="54197" spans="23:23">
      <c r="W54197" s="503"/>
    </row>
    <row r="54198" spans="23:23">
      <c r="W54198" s="503"/>
    </row>
    <row r="54199" spans="23:23">
      <c r="W54199" s="503"/>
    </row>
    <row r="54200" spans="23:23">
      <c r="W54200" s="503"/>
    </row>
    <row r="54201" spans="23:23">
      <c r="W54201" s="503"/>
    </row>
    <row r="54202" spans="23:23">
      <c r="W54202" s="503"/>
    </row>
    <row r="54203" spans="23:23">
      <c r="W54203" s="503"/>
    </row>
    <row r="54204" spans="23:23">
      <c r="W54204" s="503"/>
    </row>
    <row r="54205" spans="23:23">
      <c r="W54205" s="503"/>
    </row>
    <row r="54206" spans="23:23">
      <c r="W54206" s="503"/>
    </row>
    <row r="54207" spans="23:23">
      <c r="W54207" s="503"/>
    </row>
    <row r="54208" spans="23:23">
      <c r="W54208" s="503"/>
    </row>
    <row r="54209" spans="23:23">
      <c r="W54209" s="503"/>
    </row>
    <row r="54210" spans="23:23">
      <c r="W54210" s="503"/>
    </row>
    <row r="54211" spans="23:23">
      <c r="W54211" s="503"/>
    </row>
    <row r="54212" spans="23:23">
      <c r="W54212" s="503"/>
    </row>
    <row r="54213" spans="23:23">
      <c r="W54213" s="503"/>
    </row>
    <row r="54214" spans="23:23">
      <c r="W54214" s="503"/>
    </row>
    <row r="54215" spans="23:23">
      <c r="W54215" s="503"/>
    </row>
    <row r="54216" spans="23:23">
      <c r="W54216" s="503"/>
    </row>
    <row r="54217" spans="23:23">
      <c r="W54217" s="503"/>
    </row>
    <row r="54218" spans="23:23">
      <c r="W54218" s="503"/>
    </row>
    <row r="54219" spans="23:23">
      <c r="W54219" s="503"/>
    </row>
    <row r="54220" spans="23:23">
      <c r="W54220" s="503"/>
    </row>
    <row r="54221" spans="23:23">
      <c r="W54221" s="503"/>
    </row>
    <row r="54222" spans="23:23">
      <c r="W54222" s="503"/>
    </row>
    <row r="54223" spans="23:23">
      <c r="W54223" s="503"/>
    </row>
    <row r="54224" spans="23:23">
      <c r="W54224" s="503"/>
    </row>
    <row r="54225" spans="23:23">
      <c r="W54225" s="503"/>
    </row>
    <row r="54226" spans="23:23">
      <c r="W54226" s="503"/>
    </row>
    <row r="54227" spans="23:23">
      <c r="W54227" s="503"/>
    </row>
    <row r="54228" spans="23:23">
      <c r="W54228" s="503"/>
    </row>
    <row r="54229" spans="23:23">
      <c r="W54229" s="503"/>
    </row>
    <row r="54230" spans="23:23">
      <c r="W54230" s="503"/>
    </row>
    <row r="54231" spans="23:23">
      <c r="W54231" s="503"/>
    </row>
    <row r="54232" spans="23:23">
      <c r="W54232" s="503"/>
    </row>
    <row r="54233" spans="23:23">
      <c r="W54233" s="503"/>
    </row>
    <row r="54234" spans="23:23">
      <c r="W54234" s="503"/>
    </row>
    <row r="54235" spans="23:23">
      <c r="W54235" s="503"/>
    </row>
    <row r="54236" spans="23:23">
      <c r="W54236" s="503"/>
    </row>
    <row r="54237" spans="23:23">
      <c r="W54237" s="503"/>
    </row>
    <row r="54238" spans="23:23">
      <c r="W54238" s="503"/>
    </row>
    <row r="54239" spans="23:23">
      <c r="W54239" s="503"/>
    </row>
    <row r="54240" spans="23:23">
      <c r="W54240" s="503"/>
    </row>
    <row r="54241" spans="23:23">
      <c r="W54241" s="503"/>
    </row>
    <row r="54242" spans="23:23">
      <c r="W54242" s="503"/>
    </row>
    <row r="54243" spans="23:23">
      <c r="W54243" s="503"/>
    </row>
    <row r="54244" spans="23:23">
      <c r="W54244" s="503"/>
    </row>
    <row r="54245" spans="23:23">
      <c r="W54245" s="503"/>
    </row>
    <row r="54246" spans="23:23">
      <c r="W54246" s="503"/>
    </row>
    <row r="54247" spans="23:23">
      <c r="W54247" s="503"/>
    </row>
    <row r="54248" spans="23:23">
      <c r="W54248" s="503"/>
    </row>
    <row r="54249" spans="23:23">
      <c r="W54249" s="503"/>
    </row>
    <row r="54250" spans="23:23">
      <c r="W54250" s="503"/>
    </row>
    <row r="54251" spans="23:23">
      <c r="W54251" s="503"/>
    </row>
    <row r="54252" spans="23:23">
      <c r="W54252" s="503"/>
    </row>
    <row r="54253" spans="23:23">
      <c r="W54253" s="503"/>
    </row>
    <row r="54254" spans="23:23">
      <c r="W54254" s="503"/>
    </row>
    <row r="54255" spans="23:23">
      <c r="W54255" s="503"/>
    </row>
    <row r="54256" spans="23:23">
      <c r="W54256" s="503"/>
    </row>
    <row r="54257" spans="23:23">
      <c r="W54257" s="503"/>
    </row>
    <row r="54258" spans="23:23">
      <c r="W54258" s="503"/>
    </row>
    <row r="54259" spans="23:23">
      <c r="W54259" s="503"/>
    </row>
    <row r="54260" spans="23:23">
      <c r="W54260" s="503"/>
    </row>
    <row r="54261" spans="23:23">
      <c r="W54261" s="503"/>
    </row>
    <row r="54262" spans="23:23">
      <c r="W54262" s="503"/>
    </row>
    <row r="54263" spans="23:23">
      <c r="W54263" s="503"/>
    </row>
    <row r="54264" spans="23:23">
      <c r="W54264" s="503"/>
    </row>
    <row r="54265" spans="23:23">
      <c r="W54265" s="503"/>
    </row>
    <row r="54266" spans="23:23">
      <c r="W54266" s="503"/>
    </row>
    <row r="54267" spans="23:23">
      <c r="W54267" s="503"/>
    </row>
    <row r="54268" spans="23:23">
      <c r="W54268" s="503"/>
    </row>
    <row r="54269" spans="23:23">
      <c r="W54269" s="503"/>
    </row>
    <row r="54270" spans="23:23">
      <c r="W54270" s="503"/>
    </row>
    <row r="54271" spans="23:23">
      <c r="W54271" s="503"/>
    </row>
    <row r="54272" spans="23:23">
      <c r="W54272" s="503"/>
    </row>
    <row r="54273" spans="23:23">
      <c r="W54273" s="503"/>
    </row>
    <row r="54274" spans="23:23">
      <c r="W54274" s="503"/>
    </row>
    <row r="54275" spans="23:23">
      <c r="W54275" s="503"/>
    </row>
    <row r="54276" spans="23:23">
      <c r="W54276" s="503"/>
    </row>
    <row r="54277" spans="23:23">
      <c r="W54277" s="503"/>
    </row>
    <row r="54278" spans="23:23">
      <c r="W54278" s="503"/>
    </row>
    <row r="54279" spans="23:23">
      <c r="W54279" s="503"/>
    </row>
    <row r="54280" spans="23:23">
      <c r="W54280" s="503"/>
    </row>
    <row r="54281" spans="23:23">
      <c r="W54281" s="503"/>
    </row>
    <row r="54282" spans="23:23">
      <c r="W54282" s="503"/>
    </row>
    <row r="54283" spans="23:23">
      <c r="W54283" s="503"/>
    </row>
    <row r="54284" spans="23:23">
      <c r="W54284" s="503"/>
    </row>
    <row r="54285" spans="23:23">
      <c r="W54285" s="503"/>
    </row>
    <row r="54286" spans="23:23">
      <c r="W54286" s="503"/>
    </row>
    <row r="54287" spans="23:23">
      <c r="W54287" s="503"/>
    </row>
    <row r="54288" spans="23:23">
      <c r="W54288" s="503"/>
    </row>
    <row r="54289" spans="23:23">
      <c r="W54289" s="503"/>
    </row>
    <row r="54290" spans="23:23">
      <c r="W54290" s="503"/>
    </row>
    <row r="54291" spans="23:23">
      <c r="W54291" s="503"/>
    </row>
    <row r="54292" spans="23:23">
      <c r="W54292" s="503"/>
    </row>
    <row r="54293" spans="23:23">
      <c r="W54293" s="503"/>
    </row>
    <row r="54294" spans="23:23">
      <c r="W54294" s="503"/>
    </row>
    <row r="54295" spans="23:23">
      <c r="W54295" s="503"/>
    </row>
    <row r="54296" spans="23:23">
      <c r="W54296" s="503"/>
    </row>
    <row r="54297" spans="23:23">
      <c r="W54297" s="503"/>
    </row>
    <row r="54298" spans="23:23">
      <c r="W54298" s="503"/>
    </row>
    <row r="54299" spans="23:23">
      <c r="W54299" s="503"/>
    </row>
    <row r="54300" spans="23:23">
      <c r="W54300" s="503"/>
    </row>
    <row r="54301" spans="23:23">
      <c r="W54301" s="503"/>
    </row>
    <row r="54302" spans="23:23">
      <c r="W54302" s="503"/>
    </row>
    <row r="54303" spans="23:23">
      <c r="W54303" s="503"/>
    </row>
    <row r="54304" spans="23:23">
      <c r="W54304" s="503"/>
    </row>
    <row r="54305" spans="23:23">
      <c r="W54305" s="503"/>
    </row>
    <row r="54306" spans="23:23">
      <c r="W54306" s="503"/>
    </row>
    <row r="54307" spans="23:23">
      <c r="W54307" s="503"/>
    </row>
    <row r="54308" spans="23:23">
      <c r="W54308" s="503"/>
    </row>
    <row r="54309" spans="23:23">
      <c r="W54309" s="503"/>
    </row>
    <row r="54310" spans="23:23">
      <c r="W54310" s="503"/>
    </row>
    <row r="54311" spans="23:23">
      <c r="W54311" s="503"/>
    </row>
    <row r="54312" spans="23:23">
      <c r="W54312" s="503"/>
    </row>
    <row r="54313" spans="23:23">
      <c r="W54313" s="503"/>
    </row>
    <row r="54314" spans="23:23">
      <c r="W54314" s="503"/>
    </row>
    <row r="54315" spans="23:23">
      <c r="W54315" s="503"/>
    </row>
    <row r="54316" spans="23:23">
      <c r="W54316" s="503"/>
    </row>
    <row r="54317" spans="23:23">
      <c r="W54317" s="503"/>
    </row>
    <row r="54318" spans="23:23">
      <c r="W54318" s="503"/>
    </row>
    <row r="54319" spans="23:23">
      <c r="W54319" s="503"/>
    </row>
    <row r="54320" spans="23:23">
      <c r="W54320" s="503"/>
    </row>
    <row r="54321" spans="23:23">
      <c r="W54321" s="503"/>
    </row>
    <row r="54322" spans="23:23">
      <c r="W54322" s="503"/>
    </row>
    <row r="54323" spans="23:23">
      <c r="W54323" s="503"/>
    </row>
    <row r="54324" spans="23:23">
      <c r="W54324" s="503"/>
    </row>
    <row r="54325" spans="23:23">
      <c r="W54325" s="503"/>
    </row>
    <row r="54326" spans="23:23">
      <c r="W54326" s="503"/>
    </row>
    <row r="54327" spans="23:23">
      <c r="W54327" s="503"/>
    </row>
    <row r="54328" spans="23:23">
      <c r="W54328" s="503"/>
    </row>
    <row r="54329" spans="23:23">
      <c r="W54329" s="503"/>
    </row>
    <row r="54330" spans="23:23">
      <c r="W54330" s="503"/>
    </row>
    <row r="54331" spans="23:23">
      <c r="W54331" s="503"/>
    </row>
    <row r="54332" spans="23:23">
      <c r="W54332" s="503"/>
    </row>
    <row r="54333" spans="23:23">
      <c r="W54333" s="503"/>
    </row>
    <row r="54334" spans="23:23">
      <c r="W54334" s="503"/>
    </row>
    <row r="54335" spans="23:23">
      <c r="W54335" s="503"/>
    </row>
    <row r="54336" spans="23:23">
      <c r="W54336" s="503"/>
    </row>
    <row r="54337" spans="23:23">
      <c r="W54337" s="503"/>
    </row>
    <row r="54338" spans="23:23">
      <c r="W54338" s="503"/>
    </row>
    <row r="54339" spans="23:23">
      <c r="W54339" s="503"/>
    </row>
    <row r="54340" spans="23:23">
      <c r="W54340" s="503"/>
    </row>
    <row r="54341" spans="23:23">
      <c r="W54341" s="503"/>
    </row>
    <row r="54342" spans="23:23">
      <c r="W54342" s="503"/>
    </row>
    <row r="54343" spans="23:23">
      <c r="W54343" s="503"/>
    </row>
    <row r="54344" spans="23:23">
      <c r="W54344" s="503"/>
    </row>
    <row r="54345" spans="23:23">
      <c r="W54345" s="503"/>
    </row>
    <row r="54346" spans="23:23">
      <c r="W54346" s="503"/>
    </row>
    <row r="54347" spans="23:23">
      <c r="W54347" s="503"/>
    </row>
    <row r="54348" spans="23:23">
      <c r="W54348" s="503"/>
    </row>
    <row r="54349" spans="23:23">
      <c r="W54349" s="503"/>
    </row>
    <row r="54350" spans="23:23">
      <c r="W54350" s="503"/>
    </row>
    <row r="54351" spans="23:23">
      <c r="W54351" s="503"/>
    </row>
    <row r="54352" spans="23:23">
      <c r="W54352" s="503"/>
    </row>
    <row r="54353" spans="23:23">
      <c r="W54353" s="503"/>
    </row>
    <row r="54354" spans="23:23">
      <c r="W54354" s="503"/>
    </row>
    <row r="54355" spans="23:23">
      <c r="W54355" s="503"/>
    </row>
    <row r="54356" spans="23:23">
      <c r="W54356" s="503"/>
    </row>
    <row r="54357" spans="23:23">
      <c r="W54357" s="503"/>
    </row>
    <row r="54358" spans="23:23">
      <c r="W54358" s="503"/>
    </row>
    <row r="54359" spans="23:23">
      <c r="W54359" s="503"/>
    </row>
    <row r="54360" spans="23:23">
      <c r="W54360" s="503"/>
    </row>
    <row r="54361" spans="23:23">
      <c r="W54361" s="503"/>
    </row>
    <row r="54362" spans="23:23">
      <c r="W54362" s="503"/>
    </row>
    <row r="54363" spans="23:23">
      <c r="W54363" s="503"/>
    </row>
    <row r="54364" spans="23:23">
      <c r="W54364" s="503"/>
    </row>
    <row r="54365" spans="23:23">
      <c r="W54365" s="503"/>
    </row>
    <row r="54366" spans="23:23">
      <c r="W54366" s="503"/>
    </row>
    <row r="54367" spans="23:23">
      <c r="W54367" s="503"/>
    </row>
    <row r="54368" spans="23:23">
      <c r="W54368" s="503"/>
    </row>
    <row r="54369" spans="23:23">
      <c r="W54369" s="503"/>
    </row>
    <row r="54370" spans="23:23">
      <c r="W54370" s="503"/>
    </row>
    <row r="54371" spans="23:23">
      <c r="W54371" s="503"/>
    </row>
    <row r="54372" spans="23:23">
      <c r="W54372" s="503"/>
    </row>
    <row r="54373" spans="23:23">
      <c r="W54373" s="503"/>
    </row>
    <row r="54374" spans="23:23">
      <c r="W54374" s="503"/>
    </row>
    <row r="54375" spans="23:23">
      <c r="W54375" s="503"/>
    </row>
    <row r="54376" spans="23:23">
      <c r="W54376" s="503"/>
    </row>
    <row r="54377" spans="23:23">
      <c r="W54377" s="503"/>
    </row>
    <row r="54378" spans="23:23">
      <c r="W54378" s="503"/>
    </row>
    <row r="54379" spans="23:23">
      <c r="W54379" s="503"/>
    </row>
    <row r="54380" spans="23:23">
      <c r="W54380" s="503"/>
    </row>
    <row r="54381" spans="23:23">
      <c r="W54381" s="503"/>
    </row>
    <row r="54382" spans="23:23">
      <c r="W54382" s="503"/>
    </row>
    <row r="54383" spans="23:23">
      <c r="W54383" s="503"/>
    </row>
    <row r="54384" spans="23:23">
      <c r="W54384" s="503"/>
    </row>
    <row r="54385" spans="23:23">
      <c r="W54385" s="503"/>
    </row>
    <row r="54386" spans="23:23">
      <c r="W54386" s="503"/>
    </row>
    <row r="54387" spans="23:23">
      <c r="W54387" s="503"/>
    </row>
    <row r="54388" spans="23:23">
      <c r="W54388" s="503"/>
    </row>
    <row r="54389" spans="23:23">
      <c r="W54389" s="503"/>
    </row>
    <row r="54390" spans="23:23">
      <c r="W54390" s="503"/>
    </row>
    <row r="54391" spans="23:23">
      <c r="W54391" s="503"/>
    </row>
    <row r="54392" spans="23:23">
      <c r="W54392" s="503"/>
    </row>
    <row r="54393" spans="23:23">
      <c r="W54393" s="503"/>
    </row>
    <row r="54394" spans="23:23">
      <c r="W54394" s="503"/>
    </row>
    <row r="54395" spans="23:23">
      <c r="W54395" s="503"/>
    </row>
    <row r="54396" spans="23:23">
      <c r="W54396" s="503"/>
    </row>
    <row r="54397" spans="23:23">
      <c r="W54397" s="503"/>
    </row>
    <row r="54398" spans="23:23">
      <c r="W54398" s="503"/>
    </row>
    <row r="54399" spans="23:23">
      <c r="W54399" s="503"/>
    </row>
    <row r="54400" spans="23:23">
      <c r="W54400" s="503"/>
    </row>
    <row r="54401" spans="23:23">
      <c r="W54401" s="503"/>
    </row>
    <row r="54402" spans="23:23">
      <c r="W54402" s="503"/>
    </row>
    <row r="54403" spans="23:23">
      <c r="W54403" s="503"/>
    </row>
    <row r="54404" spans="23:23">
      <c r="W54404" s="503"/>
    </row>
    <row r="54405" spans="23:23">
      <c r="W54405" s="503"/>
    </row>
    <row r="54406" spans="23:23">
      <c r="W54406" s="503"/>
    </row>
    <row r="54407" spans="23:23">
      <c r="W54407" s="503"/>
    </row>
    <row r="54408" spans="23:23">
      <c r="W54408" s="503"/>
    </row>
    <row r="54409" spans="23:23">
      <c r="W54409" s="503"/>
    </row>
    <row r="54410" spans="23:23">
      <c r="W54410" s="503"/>
    </row>
    <row r="54411" spans="23:23">
      <c r="W54411" s="503"/>
    </row>
    <row r="54412" spans="23:23">
      <c r="W54412" s="503"/>
    </row>
    <row r="54413" spans="23:23">
      <c r="W54413" s="503"/>
    </row>
    <row r="54414" spans="23:23">
      <c r="W54414" s="503"/>
    </row>
    <row r="54415" spans="23:23">
      <c r="W54415" s="503"/>
    </row>
    <row r="54416" spans="23:23">
      <c r="W54416" s="503"/>
    </row>
    <row r="54417" spans="23:23">
      <c r="W54417" s="503"/>
    </row>
    <row r="54418" spans="23:23">
      <c r="W54418" s="503"/>
    </row>
    <row r="54419" spans="23:23">
      <c r="W54419" s="503"/>
    </row>
    <row r="54420" spans="23:23">
      <c r="W54420" s="503"/>
    </row>
    <row r="54421" spans="23:23">
      <c r="W54421" s="503"/>
    </row>
    <row r="54422" spans="23:23">
      <c r="W54422" s="503"/>
    </row>
    <row r="54423" spans="23:23">
      <c r="W54423" s="503"/>
    </row>
    <row r="54424" spans="23:23">
      <c r="W54424" s="503"/>
    </row>
    <row r="54425" spans="23:23">
      <c r="W54425" s="503"/>
    </row>
    <row r="54426" spans="23:23">
      <c r="W54426" s="503"/>
    </row>
    <row r="54427" spans="23:23">
      <c r="W54427" s="503"/>
    </row>
    <row r="54428" spans="23:23">
      <c r="W54428" s="503"/>
    </row>
    <row r="54429" spans="23:23">
      <c r="W54429" s="503"/>
    </row>
    <row r="54430" spans="23:23">
      <c r="W54430" s="503"/>
    </row>
    <row r="54431" spans="23:23">
      <c r="W54431" s="503"/>
    </row>
    <row r="54432" spans="23:23">
      <c r="W54432" s="503"/>
    </row>
    <row r="54433" spans="23:23">
      <c r="W54433" s="503"/>
    </row>
    <row r="54434" spans="23:23">
      <c r="W54434" s="503"/>
    </row>
    <row r="54435" spans="23:23">
      <c r="W54435" s="503"/>
    </row>
    <row r="54436" spans="23:23">
      <c r="W54436" s="503"/>
    </row>
    <row r="54437" spans="23:23">
      <c r="W54437" s="503"/>
    </row>
    <row r="54438" spans="23:23">
      <c r="W54438" s="503"/>
    </row>
    <row r="54439" spans="23:23">
      <c r="W54439" s="503"/>
    </row>
    <row r="54440" spans="23:23">
      <c r="W54440" s="503"/>
    </row>
    <row r="54441" spans="23:23">
      <c r="W54441" s="503"/>
    </row>
    <row r="54442" spans="23:23">
      <c r="W54442" s="503"/>
    </row>
    <row r="54443" spans="23:23">
      <c r="W54443" s="503"/>
    </row>
    <row r="54444" spans="23:23">
      <c r="W54444" s="503"/>
    </row>
    <row r="54445" spans="23:23">
      <c r="W54445" s="503"/>
    </row>
    <row r="54446" spans="23:23">
      <c r="W54446" s="503"/>
    </row>
    <row r="54447" spans="23:23">
      <c r="W54447" s="503"/>
    </row>
    <row r="54448" spans="23:23">
      <c r="W54448" s="503"/>
    </row>
    <row r="54449" spans="23:23">
      <c r="W54449" s="503"/>
    </row>
    <row r="54450" spans="23:23">
      <c r="W54450" s="503"/>
    </row>
    <row r="54451" spans="23:23">
      <c r="W54451" s="503"/>
    </row>
    <row r="54452" spans="23:23">
      <c r="W54452" s="503"/>
    </row>
    <row r="54453" spans="23:23">
      <c r="W54453" s="503"/>
    </row>
    <row r="54454" spans="23:23">
      <c r="W54454" s="503"/>
    </row>
    <row r="54455" spans="23:23">
      <c r="W54455" s="503"/>
    </row>
    <row r="54456" spans="23:23">
      <c r="W54456" s="503"/>
    </row>
    <row r="54457" spans="23:23">
      <c r="W54457" s="503"/>
    </row>
    <row r="54458" spans="23:23">
      <c r="W54458" s="503"/>
    </row>
    <row r="54459" spans="23:23">
      <c r="W54459" s="503"/>
    </row>
    <row r="54460" spans="23:23">
      <c r="W54460" s="503"/>
    </row>
    <row r="54461" spans="23:23">
      <c r="W54461" s="503"/>
    </row>
    <row r="54462" spans="23:23">
      <c r="W54462" s="503"/>
    </row>
    <row r="54463" spans="23:23">
      <c r="W54463" s="503"/>
    </row>
    <row r="54464" spans="23:23">
      <c r="W54464" s="503"/>
    </row>
    <row r="54465" spans="23:23">
      <c r="W54465" s="503"/>
    </row>
    <row r="54466" spans="23:23">
      <c r="W54466" s="503"/>
    </row>
    <row r="54467" spans="23:23">
      <c r="W54467" s="503"/>
    </row>
    <row r="54468" spans="23:23">
      <c r="W54468" s="503"/>
    </row>
    <row r="54469" spans="23:23">
      <c r="W54469" s="503"/>
    </row>
    <row r="54470" spans="23:23">
      <c r="W54470" s="503"/>
    </row>
    <row r="54471" spans="23:23">
      <c r="W54471" s="503"/>
    </row>
    <row r="54472" spans="23:23">
      <c r="W54472" s="503"/>
    </row>
    <row r="54473" spans="23:23">
      <c r="W54473" s="503"/>
    </row>
    <row r="54474" spans="23:23">
      <c r="W54474" s="503"/>
    </row>
    <row r="54475" spans="23:23">
      <c r="W54475" s="503"/>
    </row>
    <row r="54476" spans="23:23">
      <c r="W54476" s="503"/>
    </row>
    <row r="54477" spans="23:23">
      <c r="W54477" s="503"/>
    </row>
    <row r="54478" spans="23:23">
      <c r="W54478" s="503"/>
    </row>
    <row r="54479" spans="23:23">
      <c r="W54479" s="503"/>
    </row>
    <row r="54480" spans="23:23">
      <c r="W54480" s="503"/>
    </row>
    <row r="54481" spans="23:23">
      <c r="W54481" s="503"/>
    </row>
    <row r="54482" spans="23:23">
      <c r="W54482" s="503"/>
    </row>
    <row r="54483" spans="23:23">
      <c r="W54483" s="503"/>
    </row>
    <row r="54484" spans="23:23">
      <c r="W54484" s="503"/>
    </row>
    <row r="54485" spans="23:23">
      <c r="W54485" s="503"/>
    </row>
    <row r="54486" spans="23:23">
      <c r="W54486" s="503"/>
    </row>
    <row r="54487" spans="23:23">
      <c r="W54487" s="503"/>
    </row>
    <row r="54488" spans="23:23">
      <c r="W54488" s="503"/>
    </row>
    <row r="54489" spans="23:23">
      <c r="W54489" s="503"/>
    </row>
    <row r="54490" spans="23:23">
      <c r="W54490" s="503"/>
    </row>
    <row r="54491" spans="23:23">
      <c r="W54491" s="503"/>
    </row>
    <row r="54492" spans="23:23">
      <c r="W54492" s="503"/>
    </row>
    <row r="54493" spans="23:23">
      <c r="W54493" s="503"/>
    </row>
    <row r="54494" spans="23:23">
      <c r="W54494" s="503"/>
    </row>
    <row r="54495" spans="23:23">
      <c r="W54495" s="503"/>
    </row>
    <row r="54496" spans="23:23">
      <c r="W54496" s="503"/>
    </row>
    <row r="54497" spans="23:23">
      <c r="W54497" s="503"/>
    </row>
    <row r="54498" spans="23:23">
      <c r="W54498" s="503"/>
    </row>
    <row r="54499" spans="23:23">
      <c r="W54499" s="503"/>
    </row>
    <row r="54500" spans="23:23">
      <c r="W54500" s="503"/>
    </row>
    <row r="54501" spans="23:23">
      <c r="W54501" s="503"/>
    </row>
    <row r="54502" spans="23:23">
      <c r="W54502" s="503"/>
    </row>
    <row r="54503" spans="23:23">
      <c r="W54503" s="503"/>
    </row>
    <row r="54504" spans="23:23">
      <c r="W54504" s="503"/>
    </row>
    <row r="54505" spans="23:23">
      <c r="W54505" s="503"/>
    </row>
    <row r="54506" spans="23:23">
      <c r="W54506" s="503"/>
    </row>
    <row r="54507" spans="23:23">
      <c r="W54507" s="503"/>
    </row>
    <row r="54508" spans="23:23">
      <c r="W54508" s="503"/>
    </row>
    <row r="54509" spans="23:23">
      <c r="W54509" s="503"/>
    </row>
    <row r="54510" spans="23:23">
      <c r="W54510" s="503"/>
    </row>
    <row r="54511" spans="23:23">
      <c r="W54511" s="503"/>
    </row>
    <row r="54512" spans="23:23">
      <c r="W54512" s="503"/>
    </row>
    <row r="54513" spans="23:23">
      <c r="W54513" s="503"/>
    </row>
    <row r="54514" spans="23:23">
      <c r="W54514" s="503"/>
    </row>
    <row r="54515" spans="23:23">
      <c r="W54515" s="503"/>
    </row>
    <row r="54516" spans="23:23">
      <c r="W54516" s="503"/>
    </row>
    <row r="54517" spans="23:23">
      <c r="W54517" s="503"/>
    </row>
    <row r="54518" spans="23:23">
      <c r="W54518" s="503"/>
    </row>
    <row r="54519" spans="23:23">
      <c r="W54519" s="503"/>
    </row>
    <row r="54520" spans="23:23">
      <c r="W54520" s="503"/>
    </row>
    <row r="54521" spans="23:23">
      <c r="W54521" s="503"/>
    </row>
    <row r="54522" spans="23:23">
      <c r="W54522" s="503"/>
    </row>
    <row r="54523" spans="23:23">
      <c r="W54523" s="503"/>
    </row>
    <row r="54524" spans="23:23">
      <c r="W54524" s="503"/>
    </row>
    <row r="54525" spans="23:23">
      <c r="W54525" s="503"/>
    </row>
    <row r="54526" spans="23:23">
      <c r="W54526" s="503"/>
    </row>
    <row r="54527" spans="23:23">
      <c r="W54527" s="503"/>
    </row>
    <row r="54528" spans="23:23">
      <c r="W54528" s="503"/>
    </row>
    <row r="54529" spans="23:23">
      <c r="W54529" s="503"/>
    </row>
    <row r="54530" spans="23:23">
      <c r="W54530" s="503"/>
    </row>
    <row r="54531" spans="23:23">
      <c r="W54531" s="503"/>
    </row>
    <row r="54532" spans="23:23">
      <c r="W54532" s="503"/>
    </row>
    <row r="54533" spans="23:23">
      <c r="W54533" s="503"/>
    </row>
    <row r="54534" spans="23:23">
      <c r="W54534" s="503"/>
    </row>
    <row r="54535" spans="23:23">
      <c r="W54535" s="503"/>
    </row>
    <row r="54536" spans="23:23">
      <c r="W54536" s="503"/>
    </row>
    <row r="54537" spans="23:23">
      <c r="W54537" s="503"/>
    </row>
    <row r="54538" spans="23:23">
      <c r="W54538" s="503"/>
    </row>
    <row r="54539" spans="23:23">
      <c r="W54539" s="503"/>
    </row>
    <row r="54540" spans="23:23">
      <c r="W54540" s="503"/>
    </row>
    <row r="54541" spans="23:23">
      <c r="W54541" s="503"/>
    </row>
    <row r="54542" spans="23:23">
      <c r="W54542" s="503"/>
    </row>
    <row r="54543" spans="23:23">
      <c r="W54543" s="503"/>
    </row>
    <row r="54544" spans="23:23">
      <c r="W54544" s="503"/>
    </row>
    <row r="54545" spans="23:23">
      <c r="W54545" s="503"/>
    </row>
    <row r="54546" spans="23:23">
      <c r="W54546" s="503"/>
    </row>
    <row r="54547" spans="23:23">
      <c r="W54547" s="503"/>
    </row>
    <row r="54548" spans="23:23">
      <c r="W54548" s="503"/>
    </row>
    <row r="54549" spans="23:23">
      <c r="W54549" s="503"/>
    </row>
    <row r="54550" spans="23:23">
      <c r="W54550" s="503"/>
    </row>
    <row r="54551" spans="23:23">
      <c r="W54551" s="503"/>
    </row>
    <row r="54552" spans="23:23">
      <c r="W54552" s="503"/>
    </row>
    <row r="54553" spans="23:23">
      <c r="W54553" s="503"/>
    </row>
    <row r="54554" spans="23:23">
      <c r="W54554" s="503"/>
    </row>
    <row r="54555" spans="23:23">
      <c r="W54555" s="503"/>
    </row>
    <row r="54556" spans="23:23">
      <c r="W54556" s="503"/>
    </row>
    <row r="54557" spans="23:23">
      <c r="W54557" s="503"/>
    </row>
    <row r="54558" spans="23:23">
      <c r="W54558" s="503"/>
    </row>
    <row r="54559" spans="23:23">
      <c r="W54559" s="503"/>
    </row>
    <row r="54560" spans="23:23">
      <c r="W54560" s="503"/>
    </row>
    <row r="54561" spans="23:23">
      <c r="W54561" s="503"/>
    </row>
    <row r="54562" spans="23:23">
      <c r="W54562" s="503"/>
    </row>
    <row r="54563" spans="23:23">
      <c r="W54563" s="503"/>
    </row>
    <row r="54564" spans="23:23">
      <c r="W54564" s="503"/>
    </row>
    <row r="54565" spans="23:23">
      <c r="W54565" s="503"/>
    </row>
    <row r="54566" spans="23:23">
      <c r="W54566" s="503"/>
    </row>
    <row r="54567" spans="23:23">
      <c r="W54567" s="503"/>
    </row>
    <row r="54568" spans="23:23">
      <c r="W54568" s="503"/>
    </row>
    <row r="54569" spans="23:23">
      <c r="W54569" s="503"/>
    </row>
    <row r="54570" spans="23:23">
      <c r="W54570" s="503"/>
    </row>
    <row r="54571" spans="23:23">
      <c r="W54571" s="503"/>
    </row>
    <row r="54572" spans="23:23">
      <c r="W54572" s="503"/>
    </row>
    <row r="54573" spans="23:23">
      <c r="W54573" s="503"/>
    </row>
    <row r="54574" spans="23:23">
      <c r="W54574" s="503"/>
    </row>
    <row r="54575" spans="23:23">
      <c r="W54575" s="503"/>
    </row>
    <row r="54576" spans="23:23">
      <c r="W54576" s="503"/>
    </row>
    <row r="54577" spans="23:23">
      <c r="W54577" s="503"/>
    </row>
    <row r="54578" spans="23:23">
      <c r="W54578" s="503"/>
    </row>
    <row r="54579" spans="23:23">
      <c r="W54579" s="503"/>
    </row>
    <row r="54580" spans="23:23">
      <c r="W54580" s="503"/>
    </row>
    <row r="54581" spans="23:23">
      <c r="W54581" s="503"/>
    </row>
    <row r="54582" spans="23:23">
      <c r="W54582" s="503"/>
    </row>
    <row r="54583" spans="23:23">
      <c r="W54583" s="503"/>
    </row>
    <row r="54584" spans="23:23">
      <c r="W54584" s="503"/>
    </row>
    <row r="54585" spans="23:23">
      <c r="W54585" s="503"/>
    </row>
    <row r="54586" spans="23:23">
      <c r="W54586" s="503"/>
    </row>
    <row r="54587" spans="23:23">
      <c r="W54587" s="503"/>
    </row>
    <row r="54588" spans="23:23">
      <c r="W54588" s="503"/>
    </row>
    <row r="54589" spans="23:23">
      <c r="W54589" s="503"/>
    </row>
    <row r="54590" spans="23:23">
      <c r="W54590" s="503"/>
    </row>
    <row r="54591" spans="23:23">
      <c r="W54591" s="503"/>
    </row>
    <row r="54592" spans="23:23">
      <c r="W54592" s="503"/>
    </row>
    <row r="54593" spans="23:23">
      <c r="W54593" s="503"/>
    </row>
    <row r="54594" spans="23:23">
      <c r="W54594" s="503"/>
    </row>
    <row r="54595" spans="23:23">
      <c r="W54595" s="503"/>
    </row>
    <row r="54596" spans="23:23">
      <c r="W54596" s="503"/>
    </row>
    <row r="54597" spans="23:23">
      <c r="W54597" s="503"/>
    </row>
    <row r="54598" spans="23:23">
      <c r="W54598" s="503"/>
    </row>
    <row r="54599" spans="23:23">
      <c r="W54599" s="503"/>
    </row>
    <row r="54600" spans="23:23">
      <c r="W54600" s="503"/>
    </row>
    <row r="54601" spans="23:23">
      <c r="W54601" s="503"/>
    </row>
    <row r="54602" spans="23:23">
      <c r="W54602" s="503"/>
    </row>
    <row r="54603" spans="23:23">
      <c r="W54603" s="503"/>
    </row>
    <row r="54604" spans="23:23">
      <c r="W54604" s="503"/>
    </row>
    <row r="54605" spans="23:23">
      <c r="W54605" s="503"/>
    </row>
    <row r="54606" spans="23:23">
      <c r="W54606" s="503"/>
    </row>
    <row r="54607" spans="23:23">
      <c r="W54607" s="503"/>
    </row>
    <row r="54608" spans="23:23">
      <c r="W54608" s="503"/>
    </row>
    <row r="54609" spans="23:23">
      <c r="W54609" s="503"/>
    </row>
    <row r="54610" spans="23:23">
      <c r="W54610" s="503"/>
    </row>
    <row r="54611" spans="23:23">
      <c r="W54611" s="503"/>
    </row>
    <row r="54612" spans="23:23">
      <c r="W54612" s="503"/>
    </row>
    <row r="54613" spans="23:23">
      <c r="W54613" s="503"/>
    </row>
    <row r="54614" spans="23:23">
      <c r="W54614" s="503"/>
    </row>
    <row r="54615" spans="23:23">
      <c r="W54615" s="503"/>
    </row>
    <row r="54616" spans="23:23">
      <c r="W54616" s="503"/>
    </row>
    <row r="54617" spans="23:23">
      <c r="W54617" s="503"/>
    </row>
    <row r="54618" spans="23:23">
      <c r="W54618" s="503"/>
    </row>
    <row r="54619" spans="23:23">
      <c r="W54619" s="503"/>
    </row>
    <row r="54620" spans="23:23">
      <c r="W54620" s="503"/>
    </row>
    <row r="54621" spans="23:23">
      <c r="W54621" s="503"/>
    </row>
    <row r="54622" spans="23:23">
      <c r="W54622" s="503"/>
    </row>
    <row r="54623" spans="23:23">
      <c r="W54623" s="503"/>
    </row>
    <row r="54624" spans="23:23">
      <c r="W54624" s="503"/>
    </row>
    <row r="54625" spans="23:23">
      <c r="W54625" s="503"/>
    </row>
    <row r="54626" spans="23:23">
      <c r="W54626" s="503"/>
    </row>
    <row r="54627" spans="23:23">
      <c r="W54627" s="503"/>
    </row>
    <row r="54628" spans="23:23">
      <c r="W54628" s="503"/>
    </row>
    <row r="54629" spans="23:23">
      <c r="W54629" s="503"/>
    </row>
    <row r="54630" spans="23:23">
      <c r="W54630" s="503"/>
    </row>
    <row r="54631" spans="23:23">
      <c r="W54631" s="503"/>
    </row>
    <row r="54632" spans="23:23">
      <c r="W54632" s="503"/>
    </row>
    <row r="54633" spans="23:23">
      <c r="W54633" s="503"/>
    </row>
    <row r="54634" spans="23:23">
      <c r="W54634" s="503"/>
    </row>
    <row r="54635" spans="23:23">
      <c r="W54635" s="503"/>
    </row>
    <row r="54636" spans="23:23">
      <c r="W54636" s="503"/>
    </row>
    <row r="54637" spans="23:23">
      <c r="W54637" s="503"/>
    </row>
    <row r="54638" spans="23:23">
      <c r="W54638" s="503"/>
    </row>
    <row r="54639" spans="23:23">
      <c r="W54639" s="503"/>
    </row>
    <row r="54640" spans="23:23">
      <c r="W54640" s="503"/>
    </row>
    <row r="54641" spans="23:23">
      <c r="W54641" s="503"/>
    </row>
    <row r="54642" spans="23:23">
      <c r="W54642" s="503"/>
    </row>
    <row r="54643" spans="23:23">
      <c r="W54643" s="503"/>
    </row>
    <row r="54644" spans="23:23">
      <c r="W54644" s="503"/>
    </row>
    <row r="54645" spans="23:23">
      <c r="W54645" s="503"/>
    </row>
    <row r="54646" spans="23:23">
      <c r="W54646" s="503"/>
    </row>
    <row r="54647" spans="23:23">
      <c r="W54647" s="503"/>
    </row>
    <row r="54648" spans="23:23">
      <c r="W54648" s="503"/>
    </row>
    <row r="54649" spans="23:23">
      <c r="W54649" s="503"/>
    </row>
    <row r="54650" spans="23:23">
      <c r="W54650" s="503"/>
    </row>
    <row r="54651" spans="23:23">
      <c r="W54651" s="503"/>
    </row>
    <row r="54652" spans="23:23">
      <c r="W54652" s="503"/>
    </row>
    <row r="54653" spans="23:23">
      <c r="W54653" s="503"/>
    </row>
    <row r="54654" spans="23:23">
      <c r="W54654" s="503"/>
    </row>
    <row r="54655" spans="23:23">
      <c r="W54655" s="503"/>
    </row>
    <row r="54656" spans="23:23">
      <c r="W54656" s="503"/>
    </row>
    <row r="54657" spans="23:23">
      <c r="W54657" s="503"/>
    </row>
    <row r="54658" spans="23:23">
      <c r="W54658" s="503"/>
    </row>
    <row r="54659" spans="23:23">
      <c r="W54659" s="503"/>
    </row>
    <row r="54660" spans="23:23">
      <c r="W54660" s="503"/>
    </row>
    <row r="54661" spans="23:23">
      <c r="W54661" s="503"/>
    </row>
    <row r="54662" spans="23:23">
      <c r="W54662" s="503"/>
    </row>
    <row r="54663" spans="23:23">
      <c r="W54663" s="503"/>
    </row>
    <row r="54664" spans="23:23">
      <c r="W54664" s="503"/>
    </row>
    <row r="54665" spans="23:23">
      <c r="W54665" s="503"/>
    </row>
    <row r="54666" spans="23:23">
      <c r="W54666" s="503"/>
    </row>
    <row r="54667" spans="23:23">
      <c r="W54667" s="503"/>
    </row>
    <row r="54668" spans="23:23">
      <c r="W54668" s="503"/>
    </row>
    <row r="54669" spans="23:23">
      <c r="W54669" s="503"/>
    </row>
    <row r="54670" spans="23:23">
      <c r="W54670" s="503"/>
    </row>
    <row r="54671" spans="23:23">
      <c r="W54671" s="503"/>
    </row>
    <row r="54672" spans="23:23">
      <c r="W54672" s="503"/>
    </row>
    <row r="54673" spans="23:23">
      <c r="W54673" s="503"/>
    </row>
    <row r="54674" spans="23:23">
      <c r="W54674" s="503"/>
    </row>
    <row r="54675" spans="23:23">
      <c r="W54675" s="503"/>
    </row>
    <row r="54676" spans="23:23">
      <c r="W54676" s="503"/>
    </row>
    <row r="54677" spans="23:23">
      <c r="W54677" s="503"/>
    </row>
    <row r="54678" spans="23:23">
      <c r="W54678" s="503"/>
    </row>
    <row r="54679" spans="23:23">
      <c r="W54679" s="503"/>
    </row>
    <row r="54680" spans="23:23">
      <c r="W54680" s="503"/>
    </row>
    <row r="54681" spans="23:23">
      <c r="W54681" s="503"/>
    </row>
    <row r="54682" spans="23:23">
      <c r="W54682" s="503"/>
    </row>
    <row r="54683" spans="23:23">
      <c r="W54683" s="503"/>
    </row>
    <row r="54684" spans="23:23">
      <c r="W54684" s="503"/>
    </row>
    <row r="54685" spans="23:23">
      <c r="W54685" s="503"/>
    </row>
    <row r="54686" spans="23:23">
      <c r="W54686" s="503"/>
    </row>
    <row r="54687" spans="23:23">
      <c r="W54687" s="503"/>
    </row>
    <row r="54688" spans="23:23">
      <c r="W54688" s="503"/>
    </row>
    <row r="54689" spans="23:23">
      <c r="W54689" s="503"/>
    </row>
    <row r="54690" spans="23:23">
      <c r="W54690" s="503"/>
    </row>
    <row r="54691" spans="23:23">
      <c r="W54691" s="503"/>
    </row>
    <row r="54692" spans="23:23">
      <c r="W54692" s="503"/>
    </row>
    <row r="54693" spans="23:23">
      <c r="W54693" s="503"/>
    </row>
    <row r="54694" spans="23:23">
      <c r="W54694" s="503"/>
    </row>
    <row r="54695" spans="23:23">
      <c r="W54695" s="503"/>
    </row>
    <row r="54696" spans="23:23">
      <c r="W54696" s="503"/>
    </row>
    <row r="54697" spans="23:23">
      <c r="W54697" s="503"/>
    </row>
    <row r="54698" spans="23:23">
      <c r="W54698" s="503"/>
    </row>
    <row r="54699" spans="23:23">
      <c r="W54699" s="503"/>
    </row>
    <row r="54700" spans="23:23">
      <c r="W54700" s="503"/>
    </row>
    <row r="54701" spans="23:23">
      <c r="W54701" s="503"/>
    </row>
    <row r="54702" spans="23:23">
      <c r="W54702" s="503"/>
    </row>
    <row r="54703" spans="23:23">
      <c r="W54703" s="503"/>
    </row>
    <row r="54704" spans="23:23">
      <c r="W54704" s="503"/>
    </row>
    <row r="54705" spans="23:23">
      <c r="W54705" s="503"/>
    </row>
    <row r="54706" spans="23:23">
      <c r="W54706" s="503"/>
    </row>
    <row r="54707" spans="23:23">
      <c r="W54707" s="503"/>
    </row>
    <row r="54708" spans="23:23">
      <c r="W54708" s="503"/>
    </row>
    <row r="54709" spans="23:23">
      <c r="W54709" s="503"/>
    </row>
    <row r="54710" spans="23:23">
      <c r="W54710" s="503"/>
    </row>
    <row r="54711" spans="23:23">
      <c r="W54711" s="503"/>
    </row>
    <row r="54712" spans="23:23">
      <c r="W54712" s="503"/>
    </row>
    <row r="54713" spans="23:23">
      <c r="W54713" s="503"/>
    </row>
    <row r="54714" spans="23:23">
      <c r="W54714" s="503"/>
    </row>
    <row r="54715" spans="23:23">
      <c r="W54715" s="503"/>
    </row>
    <row r="54716" spans="23:23">
      <c r="W54716" s="503"/>
    </row>
    <row r="54717" spans="23:23">
      <c r="W54717" s="503"/>
    </row>
    <row r="54718" spans="23:23">
      <c r="W54718" s="503"/>
    </row>
    <row r="54719" spans="23:23">
      <c r="W54719" s="503"/>
    </row>
    <row r="54720" spans="23:23">
      <c r="W54720" s="503"/>
    </row>
    <row r="54721" spans="23:23">
      <c r="W54721" s="503"/>
    </row>
    <row r="54722" spans="23:23">
      <c r="W54722" s="503"/>
    </row>
    <row r="54723" spans="23:23">
      <c r="W54723" s="503"/>
    </row>
    <row r="54724" spans="23:23">
      <c r="W54724" s="503"/>
    </row>
    <row r="54725" spans="23:23">
      <c r="W54725" s="503"/>
    </row>
    <row r="54726" spans="23:23">
      <c r="W54726" s="503"/>
    </row>
    <row r="54727" spans="23:23">
      <c r="W54727" s="503"/>
    </row>
    <row r="54728" spans="23:23">
      <c r="W54728" s="503"/>
    </row>
    <row r="54729" spans="23:23">
      <c r="W54729" s="503"/>
    </row>
    <row r="54730" spans="23:23">
      <c r="W54730" s="503"/>
    </row>
    <row r="54731" spans="23:23">
      <c r="W54731" s="503"/>
    </row>
    <row r="54732" spans="23:23">
      <c r="W54732" s="503"/>
    </row>
    <row r="54733" spans="23:23">
      <c r="W54733" s="503"/>
    </row>
    <row r="54734" spans="23:23">
      <c r="W54734" s="503"/>
    </row>
    <row r="54735" spans="23:23">
      <c r="W54735" s="503"/>
    </row>
    <row r="54736" spans="23:23">
      <c r="W54736" s="503"/>
    </row>
    <row r="54737" spans="23:23">
      <c r="W54737" s="503"/>
    </row>
    <row r="54738" spans="23:23">
      <c r="W54738" s="503"/>
    </row>
    <row r="54739" spans="23:23">
      <c r="W54739" s="503"/>
    </row>
    <row r="54740" spans="23:23">
      <c r="W54740" s="503"/>
    </row>
    <row r="54741" spans="23:23">
      <c r="W54741" s="503"/>
    </row>
    <row r="54742" spans="23:23">
      <c r="W54742" s="503"/>
    </row>
    <row r="54743" spans="23:23">
      <c r="W54743" s="503"/>
    </row>
    <row r="54744" spans="23:23">
      <c r="W54744" s="503"/>
    </row>
    <row r="54745" spans="23:23">
      <c r="W54745" s="503"/>
    </row>
    <row r="54746" spans="23:23">
      <c r="W54746" s="503"/>
    </row>
    <row r="54747" spans="23:23">
      <c r="W54747" s="503"/>
    </row>
    <row r="54748" spans="23:23">
      <c r="W54748" s="503"/>
    </row>
    <row r="54749" spans="23:23">
      <c r="W54749" s="503"/>
    </row>
    <row r="54750" spans="23:23">
      <c r="W54750" s="503"/>
    </row>
    <row r="54751" spans="23:23">
      <c r="W54751" s="503"/>
    </row>
    <row r="54752" spans="23:23">
      <c r="W54752" s="503"/>
    </row>
    <row r="54753" spans="23:23">
      <c r="W54753" s="503"/>
    </row>
    <row r="54754" spans="23:23">
      <c r="W54754" s="503"/>
    </row>
    <row r="54755" spans="23:23">
      <c r="W54755" s="503"/>
    </row>
    <row r="54756" spans="23:23">
      <c r="W54756" s="503"/>
    </row>
    <row r="54757" spans="23:23">
      <c r="W54757" s="503"/>
    </row>
    <row r="54758" spans="23:23">
      <c r="W54758" s="503"/>
    </row>
    <row r="54759" spans="23:23">
      <c r="W54759" s="503"/>
    </row>
    <row r="54760" spans="23:23">
      <c r="W54760" s="503"/>
    </row>
    <row r="54761" spans="23:23">
      <c r="W54761" s="503"/>
    </row>
    <row r="54762" spans="23:23">
      <c r="W54762" s="503"/>
    </row>
    <row r="54763" spans="23:23">
      <c r="W54763" s="503"/>
    </row>
    <row r="54764" spans="23:23">
      <c r="W54764" s="503"/>
    </row>
    <row r="54765" spans="23:23">
      <c r="W54765" s="503"/>
    </row>
    <row r="54766" spans="23:23">
      <c r="W54766" s="503"/>
    </row>
    <row r="54767" spans="23:23">
      <c r="W54767" s="503"/>
    </row>
    <row r="54768" spans="23:23">
      <c r="W54768" s="503"/>
    </row>
    <row r="54769" spans="23:23">
      <c r="W54769" s="503"/>
    </row>
    <row r="54770" spans="23:23">
      <c r="W54770" s="503"/>
    </row>
    <row r="54771" spans="23:23">
      <c r="W54771" s="503"/>
    </row>
    <row r="54772" spans="23:23">
      <c r="W54772" s="503"/>
    </row>
    <row r="54773" spans="23:23">
      <c r="W54773" s="503"/>
    </row>
    <row r="54774" spans="23:23">
      <c r="W54774" s="503"/>
    </row>
    <row r="54775" spans="23:23">
      <c r="W54775" s="503"/>
    </row>
    <row r="54776" spans="23:23">
      <c r="W54776" s="503"/>
    </row>
    <row r="54777" spans="23:23">
      <c r="W54777" s="503"/>
    </row>
    <row r="54778" spans="23:23">
      <c r="W54778" s="503"/>
    </row>
    <row r="54779" spans="23:23">
      <c r="W54779" s="503"/>
    </row>
    <row r="54780" spans="23:23">
      <c r="W54780" s="503"/>
    </row>
    <row r="54781" spans="23:23">
      <c r="W54781" s="503"/>
    </row>
    <row r="54782" spans="23:23">
      <c r="W54782" s="503"/>
    </row>
    <row r="54783" spans="23:23">
      <c r="W54783" s="503"/>
    </row>
    <row r="54784" spans="23:23">
      <c r="W54784" s="503"/>
    </row>
    <row r="54785" spans="23:23">
      <c r="W54785" s="503"/>
    </row>
    <row r="54786" spans="23:23">
      <c r="W54786" s="503"/>
    </row>
    <row r="54787" spans="23:23">
      <c r="W54787" s="503"/>
    </row>
    <row r="54788" spans="23:23">
      <c r="W54788" s="503"/>
    </row>
    <row r="54789" spans="23:23">
      <c r="W54789" s="503"/>
    </row>
    <row r="54790" spans="23:23">
      <c r="W54790" s="503"/>
    </row>
    <row r="54791" spans="23:23">
      <c r="W54791" s="503"/>
    </row>
    <row r="54792" spans="23:23">
      <c r="W54792" s="503"/>
    </row>
    <row r="54793" spans="23:23">
      <c r="W54793" s="503"/>
    </row>
    <row r="54794" spans="23:23">
      <c r="W54794" s="503"/>
    </row>
    <row r="54795" spans="23:23">
      <c r="W54795" s="503"/>
    </row>
    <row r="54796" spans="23:23">
      <c r="W54796" s="503"/>
    </row>
    <row r="54797" spans="23:23">
      <c r="W54797" s="503"/>
    </row>
    <row r="54798" spans="23:23">
      <c r="W54798" s="503"/>
    </row>
    <row r="54799" spans="23:23">
      <c r="W54799" s="503"/>
    </row>
    <row r="54800" spans="23:23">
      <c r="W54800" s="503"/>
    </row>
    <row r="54801" spans="23:23">
      <c r="W54801" s="503"/>
    </row>
    <row r="54802" spans="23:23">
      <c r="W54802" s="503"/>
    </row>
    <row r="54803" spans="23:23">
      <c r="W54803" s="503"/>
    </row>
    <row r="54804" spans="23:23">
      <c r="W54804" s="503"/>
    </row>
    <row r="54805" spans="23:23">
      <c r="W54805" s="503"/>
    </row>
    <row r="54806" spans="23:23">
      <c r="W54806" s="503"/>
    </row>
    <row r="54807" spans="23:23">
      <c r="W54807" s="503"/>
    </row>
    <row r="54808" spans="23:23">
      <c r="W54808" s="503"/>
    </row>
    <row r="54809" spans="23:23">
      <c r="W54809" s="503"/>
    </row>
    <row r="54810" spans="23:23">
      <c r="W54810" s="503"/>
    </row>
    <row r="54811" spans="23:23">
      <c r="W54811" s="503"/>
    </row>
    <row r="54812" spans="23:23">
      <c r="W54812" s="503"/>
    </row>
    <row r="54813" spans="23:23">
      <c r="W54813" s="503"/>
    </row>
    <row r="54814" spans="23:23">
      <c r="W54814" s="503"/>
    </row>
    <row r="54815" spans="23:23">
      <c r="W54815" s="503"/>
    </row>
    <row r="54816" spans="23:23">
      <c r="W54816" s="503"/>
    </row>
    <row r="54817" spans="23:23">
      <c r="W54817" s="503"/>
    </row>
    <row r="54818" spans="23:23">
      <c r="W54818" s="503"/>
    </row>
    <row r="54819" spans="23:23">
      <c r="W54819" s="503"/>
    </row>
    <row r="54820" spans="23:23">
      <c r="W54820" s="503"/>
    </row>
    <row r="54821" spans="23:23">
      <c r="W54821" s="503"/>
    </row>
    <row r="54822" spans="23:23">
      <c r="W54822" s="503"/>
    </row>
    <row r="54823" spans="23:23">
      <c r="W54823" s="503"/>
    </row>
    <row r="54824" spans="23:23">
      <c r="W54824" s="503"/>
    </row>
    <row r="54825" spans="23:23">
      <c r="W54825" s="503"/>
    </row>
    <row r="54826" spans="23:23">
      <c r="W54826" s="503"/>
    </row>
    <row r="54827" spans="23:23">
      <c r="W54827" s="503"/>
    </row>
    <row r="54828" spans="23:23">
      <c r="W54828" s="503"/>
    </row>
    <row r="54829" spans="23:23">
      <c r="W54829" s="503"/>
    </row>
    <row r="54830" spans="23:23">
      <c r="W54830" s="503"/>
    </row>
    <row r="54831" spans="23:23">
      <c r="W54831" s="503"/>
    </row>
    <row r="54832" spans="23:23">
      <c r="W54832" s="503"/>
    </row>
    <row r="54833" spans="23:23">
      <c r="W54833" s="503"/>
    </row>
    <row r="54834" spans="23:23">
      <c r="W54834" s="503"/>
    </row>
    <row r="54835" spans="23:23">
      <c r="W54835" s="503"/>
    </row>
    <row r="54836" spans="23:23">
      <c r="W54836" s="503"/>
    </row>
    <row r="54837" spans="23:23">
      <c r="W54837" s="503"/>
    </row>
    <row r="54838" spans="23:23">
      <c r="W54838" s="503"/>
    </row>
    <row r="54839" spans="23:23">
      <c r="W54839" s="503"/>
    </row>
    <row r="54840" spans="23:23">
      <c r="W54840" s="503"/>
    </row>
    <row r="54841" spans="23:23">
      <c r="W54841" s="503"/>
    </row>
    <row r="54842" spans="23:23">
      <c r="W54842" s="503"/>
    </row>
    <row r="54843" spans="23:23">
      <c r="W54843" s="503"/>
    </row>
    <row r="54844" spans="23:23">
      <c r="W54844" s="503"/>
    </row>
    <row r="54845" spans="23:23">
      <c r="W54845" s="503"/>
    </row>
    <row r="54846" spans="23:23">
      <c r="W54846" s="503"/>
    </row>
    <row r="54847" spans="23:23">
      <c r="W54847" s="503"/>
    </row>
    <row r="54848" spans="23:23">
      <c r="W54848" s="503"/>
    </row>
    <row r="54849" spans="23:23">
      <c r="W54849" s="503"/>
    </row>
    <row r="54850" spans="23:23">
      <c r="W54850" s="503"/>
    </row>
    <row r="54851" spans="23:23">
      <c r="W54851" s="503"/>
    </row>
    <row r="54852" spans="23:23">
      <c r="W54852" s="503"/>
    </row>
    <row r="54853" spans="23:23">
      <c r="W54853" s="503"/>
    </row>
    <row r="54854" spans="23:23">
      <c r="W54854" s="503"/>
    </row>
    <row r="54855" spans="23:23">
      <c r="W54855" s="503"/>
    </row>
    <row r="54856" spans="23:23">
      <c r="W54856" s="503"/>
    </row>
    <row r="54857" spans="23:23">
      <c r="W54857" s="503"/>
    </row>
    <row r="54858" spans="23:23">
      <c r="W54858" s="503"/>
    </row>
    <row r="54859" spans="23:23">
      <c r="W54859" s="503"/>
    </row>
    <row r="54860" spans="23:23">
      <c r="W54860" s="503"/>
    </row>
    <row r="54861" spans="23:23">
      <c r="W54861" s="503"/>
    </row>
    <row r="54862" spans="23:23">
      <c r="W54862" s="503"/>
    </row>
    <row r="54863" spans="23:23">
      <c r="W54863" s="503"/>
    </row>
    <row r="54864" spans="23:23">
      <c r="W54864" s="503"/>
    </row>
    <row r="54865" spans="23:23">
      <c r="W54865" s="503"/>
    </row>
    <row r="54866" spans="23:23">
      <c r="W54866" s="503"/>
    </row>
    <row r="54867" spans="23:23">
      <c r="W54867" s="503"/>
    </row>
    <row r="54868" spans="23:23">
      <c r="W54868" s="503"/>
    </row>
    <row r="54869" spans="23:23">
      <c r="W54869" s="503"/>
    </row>
    <row r="54870" spans="23:23">
      <c r="W54870" s="503"/>
    </row>
    <row r="54871" spans="23:23">
      <c r="W54871" s="503"/>
    </row>
    <row r="54872" spans="23:23">
      <c r="W54872" s="503"/>
    </row>
    <row r="54873" spans="23:23">
      <c r="W54873" s="503"/>
    </row>
    <row r="54874" spans="23:23">
      <c r="W54874" s="503"/>
    </row>
    <row r="54875" spans="23:23">
      <c r="W54875" s="503"/>
    </row>
    <row r="54876" spans="23:23">
      <c r="W54876" s="503"/>
    </row>
    <row r="54877" spans="23:23">
      <c r="W54877" s="503"/>
    </row>
    <row r="54878" spans="23:23">
      <c r="W54878" s="503"/>
    </row>
    <row r="54879" spans="23:23">
      <c r="W54879" s="503"/>
    </row>
    <row r="54880" spans="23:23">
      <c r="W54880" s="503"/>
    </row>
    <row r="54881" spans="23:23">
      <c r="W54881" s="503"/>
    </row>
    <row r="54882" spans="23:23">
      <c r="W54882" s="503"/>
    </row>
    <row r="54883" spans="23:23">
      <c r="W54883" s="503"/>
    </row>
    <row r="54884" spans="23:23">
      <c r="W54884" s="503"/>
    </row>
    <row r="54885" spans="23:23">
      <c r="W54885" s="503"/>
    </row>
    <row r="54886" spans="23:23">
      <c r="W54886" s="503"/>
    </row>
    <row r="54887" spans="23:23">
      <c r="W54887" s="503"/>
    </row>
    <row r="54888" spans="23:23">
      <c r="W54888" s="503"/>
    </row>
    <row r="54889" spans="23:23">
      <c r="W54889" s="503"/>
    </row>
    <row r="54890" spans="23:23">
      <c r="W54890" s="503"/>
    </row>
    <row r="54891" spans="23:23">
      <c r="W54891" s="503"/>
    </row>
    <row r="54892" spans="23:23">
      <c r="W54892" s="503"/>
    </row>
    <row r="54893" spans="23:23">
      <c r="W54893" s="503"/>
    </row>
    <row r="54894" spans="23:23">
      <c r="W54894" s="503"/>
    </row>
    <row r="54895" spans="23:23">
      <c r="W54895" s="503"/>
    </row>
    <row r="54896" spans="23:23">
      <c r="W54896" s="503"/>
    </row>
    <row r="54897" spans="23:23">
      <c r="W54897" s="503"/>
    </row>
    <row r="54898" spans="23:23">
      <c r="W54898" s="503"/>
    </row>
    <row r="54899" spans="23:23">
      <c r="W54899" s="503"/>
    </row>
    <row r="54900" spans="23:23">
      <c r="W54900" s="503"/>
    </row>
    <row r="54901" spans="23:23">
      <c r="W54901" s="503"/>
    </row>
    <row r="54902" spans="23:23">
      <c r="W54902" s="503"/>
    </row>
    <row r="54903" spans="23:23">
      <c r="W54903" s="503"/>
    </row>
    <row r="54904" spans="23:23">
      <c r="W54904" s="503"/>
    </row>
    <row r="54905" spans="23:23">
      <c r="W54905" s="503"/>
    </row>
    <row r="54906" spans="23:23">
      <c r="W54906" s="503"/>
    </row>
    <row r="54907" spans="23:23">
      <c r="W54907" s="503"/>
    </row>
    <row r="54908" spans="23:23">
      <c r="W54908" s="503"/>
    </row>
    <row r="54909" spans="23:23">
      <c r="W54909" s="503"/>
    </row>
    <row r="54910" spans="23:23">
      <c r="W54910" s="503"/>
    </row>
    <row r="54911" spans="23:23">
      <c r="W54911" s="503"/>
    </row>
    <row r="54912" spans="23:23">
      <c r="W54912" s="503"/>
    </row>
    <row r="54913" spans="23:23">
      <c r="W54913" s="503"/>
    </row>
    <row r="54914" spans="23:23">
      <c r="W54914" s="503"/>
    </row>
    <row r="54915" spans="23:23">
      <c r="W54915" s="503"/>
    </row>
    <row r="54916" spans="23:23">
      <c r="W54916" s="503"/>
    </row>
    <row r="54917" spans="23:23">
      <c r="W54917" s="503"/>
    </row>
    <row r="54918" spans="23:23">
      <c r="W54918" s="503"/>
    </row>
    <row r="54919" spans="23:23">
      <c r="W54919" s="503"/>
    </row>
    <row r="54920" spans="23:23">
      <c r="W54920" s="503"/>
    </row>
    <row r="54921" spans="23:23">
      <c r="W54921" s="503"/>
    </row>
    <row r="54922" spans="23:23">
      <c r="W54922" s="503"/>
    </row>
    <row r="54923" spans="23:23">
      <c r="W54923" s="503"/>
    </row>
    <row r="54924" spans="23:23">
      <c r="W54924" s="503"/>
    </row>
    <row r="54925" spans="23:23">
      <c r="W54925" s="503"/>
    </row>
    <row r="54926" spans="23:23">
      <c r="W54926" s="503"/>
    </row>
    <row r="54927" spans="23:23">
      <c r="W54927" s="503"/>
    </row>
    <row r="54928" spans="23:23">
      <c r="W54928" s="503"/>
    </row>
    <row r="54929" spans="23:23">
      <c r="W54929" s="503"/>
    </row>
    <row r="54930" spans="23:23">
      <c r="W54930" s="503"/>
    </row>
    <row r="54931" spans="23:23">
      <c r="W54931" s="503"/>
    </row>
    <row r="54932" spans="23:23">
      <c r="W54932" s="503"/>
    </row>
    <row r="54933" spans="23:23">
      <c r="W54933" s="503"/>
    </row>
    <row r="54934" spans="23:23">
      <c r="W54934" s="503"/>
    </row>
    <row r="54935" spans="23:23">
      <c r="W54935" s="503"/>
    </row>
    <row r="54936" spans="23:23">
      <c r="W54936" s="503"/>
    </row>
    <row r="54937" spans="23:23">
      <c r="W54937" s="503"/>
    </row>
    <row r="54938" spans="23:23">
      <c r="W54938" s="503"/>
    </row>
    <row r="54939" spans="23:23">
      <c r="W54939" s="503"/>
    </row>
    <row r="54940" spans="23:23">
      <c r="W54940" s="503"/>
    </row>
    <row r="54941" spans="23:23">
      <c r="W54941" s="503"/>
    </row>
    <row r="54942" spans="23:23">
      <c r="W54942" s="503"/>
    </row>
    <row r="54943" spans="23:23">
      <c r="W54943" s="503"/>
    </row>
    <row r="54944" spans="23:23">
      <c r="W54944" s="503"/>
    </row>
    <row r="54945" spans="23:23">
      <c r="W54945" s="503"/>
    </row>
    <row r="54946" spans="23:23">
      <c r="W54946" s="503"/>
    </row>
    <row r="54947" spans="23:23">
      <c r="W54947" s="503"/>
    </row>
    <row r="54948" spans="23:23">
      <c r="W54948" s="503"/>
    </row>
    <row r="54949" spans="23:23">
      <c r="W54949" s="503"/>
    </row>
    <row r="54950" spans="23:23">
      <c r="W54950" s="503"/>
    </row>
    <row r="54951" spans="23:23">
      <c r="W54951" s="503"/>
    </row>
    <row r="54952" spans="23:23">
      <c r="W54952" s="503"/>
    </row>
    <row r="54953" spans="23:23">
      <c r="W54953" s="503"/>
    </row>
    <row r="54954" spans="23:23">
      <c r="W54954" s="503"/>
    </row>
    <row r="54955" spans="23:23">
      <c r="W54955" s="503"/>
    </row>
    <row r="54956" spans="23:23">
      <c r="W54956" s="503"/>
    </row>
    <row r="54957" spans="23:23">
      <c r="W54957" s="503"/>
    </row>
    <row r="54958" spans="23:23">
      <c r="W54958" s="503"/>
    </row>
    <row r="54959" spans="23:23">
      <c r="W54959" s="503"/>
    </row>
    <row r="54960" spans="23:23">
      <c r="W54960" s="503"/>
    </row>
    <row r="54961" spans="23:23">
      <c r="W54961" s="503"/>
    </row>
    <row r="54962" spans="23:23">
      <c r="W54962" s="503"/>
    </row>
    <row r="54963" spans="23:23">
      <c r="W54963" s="503"/>
    </row>
    <row r="54964" spans="23:23">
      <c r="W54964" s="503"/>
    </row>
    <row r="54965" spans="23:23">
      <c r="W54965" s="503"/>
    </row>
    <row r="54966" spans="23:23">
      <c r="W54966" s="503"/>
    </row>
    <row r="54967" spans="23:23">
      <c r="W54967" s="503"/>
    </row>
    <row r="54968" spans="23:23">
      <c r="W54968" s="503"/>
    </row>
    <row r="54969" spans="23:23">
      <c r="W54969" s="503"/>
    </row>
    <row r="54970" spans="23:23">
      <c r="W54970" s="503"/>
    </row>
    <row r="54971" spans="23:23">
      <c r="W54971" s="503"/>
    </row>
    <row r="54972" spans="23:23">
      <c r="W54972" s="503"/>
    </row>
    <row r="54973" spans="23:23">
      <c r="W54973" s="503"/>
    </row>
    <row r="54974" spans="23:23">
      <c r="W54974" s="503"/>
    </row>
    <row r="54975" spans="23:23">
      <c r="W54975" s="503"/>
    </row>
    <row r="54976" spans="23:23">
      <c r="W54976" s="503"/>
    </row>
    <row r="54977" spans="23:23">
      <c r="W54977" s="503"/>
    </row>
    <row r="54978" spans="23:23">
      <c r="W54978" s="503"/>
    </row>
    <row r="54979" spans="23:23">
      <c r="W54979" s="503"/>
    </row>
    <row r="54980" spans="23:23">
      <c r="W54980" s="503"/>
    </row>
    <row r="54981" spans="23:23">
      <c r="W54981" s="503"/>
    </row>
    <row r="54982" spans="23:23">
      <c r="W54982" s="503"/>
    </row>
    <row r="54983" spans="23:23">
      <c r="W54983" s="503"/>
    </row>
    <row r="54984" spans="23:23">
      <c r="W54984" s="503"/>
    </row>
    <row r="54985" spans="23:23">
      <c r="W54985" s="503"/>
    </row>
    <row r="54986" spans="23:23">
      <c r="W54986" s="503"/>
    </row>
    <row r="54987" spans="23:23">
      <c r="W54987" s="503"/>
    </row>
    <row r="54988" spans="23:23">
      <c r="W54988" s="503"/>
    </row>
    <row r="54989" spans="23:23">
      <c r="W54989" s="503"/>
    </row>
    <row r="54990" spans="23:23">
      <c r="W54990" s="503"/>
    </row>
    <row r="54991" spans="23:23">
      <c r="W54991" s="503"/>
    </row>
    <row r="54992" spans="23:23">
      <c r="W54992" s="503"/>
    </row>
    <row r="54993" spans="23:23">
      <c r="W54993" s="503"/>
    </row>
    <row r="54994" spans="23:23">
      <c r="W54994" s="503"/>
    </row>
    <row r="54995" spans="23:23">
      <c r="W54995" s="503"/>
    </row>
    <row r="54996" spans="23:23">
      <c r="W54996" s="503"/>
    </row>
    <row r="54997" spans="23:23">
      <c r="W54997" s="503"/>
    </row>
    <row r="54998" spans="23:23">
      <c r="W54998" s="503"/>
    </row>
    <row r="54999" spans="23:23">
      <c r="W54999" s="503"/>
    </row>
    <row r="55000" spans="23:23">
      <c r="W55000" s="503"/>
    </row>
    <row r="55001" spans="23:23">
      <c r="W55001" s="503"/>
    </row>
    <row r="55002" spans="23:23">
      <c r="W55002" s="503"/>
    </row>
    <row r="55003" spans="23:23">
      <c r="W55003" s="503"/>
    </row>
    <row r="55004" spans="23:23">
      <c r="W55004" s="503"/>
    </row>
    <row r="55005" spans="23:23">
      <c r="W55005" s="503"/>
    </row>
    <row r="55006" spans="23:23">
      <c r="W55006" s="503"/>
    </row>
    <row r="55007" spans="23:23">
      <c r="W55007" s="503"/>
    </row>
    <row r="55008" spans="23:23">
      <c r="W55008" s="503"/>
    </row>
    <row r="55009" spans="23:23">
      <c r="W55009" s="503"/>
    </row>
    <row r="55010" spans="23:23">
      <c r="W55010" s="503"/>
    </row>
    <row r="55011" spans="23:23">
      <c r="W55011" s="503"/>
    </row>
    <row r="55012" spans="23:23">
      <c r="W55012" s="503"/>
    </row>
    <row r="55013" spans="23:23">
      <c r="W55013" s="503"/>
    </row>
    <row r="55014" spans="23:23">
      <c r="W55014" s="503"/>
    </row>
    <row r="55015" spans="23:23">
      <c r="W55015" s="503"/>
    </row>
    <row r="55016" spans="23:23">
      <c r="W55016" s="503"/>
    </row>
    <row r="55017" spans="23:23">
      <c r="W55017" s="503"/>
    </row>
    <row r="55018" spans="23:23">
      <c r="W55018" s="503"/>
    </row>
    <row r="55019" spans="23:23">
      <c r="W55019" s="503"/>
    </row>
    <row r="55020" spans="23:23">
      <c r="W55020" s="503"/>
    </row>
    <row r="55021" spans="23:23">
      <c r="W55021" s="503"/>
    </row>
    <row r="55022" spans="23:23">
      <c r="W55022" s="503"/>
    </row>
    <row r="55023" spans="23:23">
      <c r="W55023" s="503"/>
    </row>
    <row r="55024" spans="23:23">
      <c r="W55024" s="503"/>
    </row>
    <row r="55025" spans="23:23">
      <c r="W55025" s="503"/>
    </row>
    <row r="55026" spans="23:23">
      <c r="W55026" s="503"/>
    </row>
    <row r="55027" spans="23:23">
      <c r="W55027" s="503"/>
    </row>
    <row r="55028" spans="23:23">
      <c r="W55028" s="503"/>
    </row>
    <row r="55029" spans="23:23">
      <c r="W55029" s="503"/>
    </row>
    <row r="55030" spans="23:23">
      <c r="W55030" s="503"/>
    </row>
    <row r="55031" spans="23:23">
      <c r="W55031" s="503"/>
    </row>
    <row r="55032" spans="23:23">
      <c r="W55032" s="503"/>
    </row>
    <row r="55033" spans="23:23">
      <c r="W55033" s="503"/>
    </row>
    <row r="55034" spans="23:23">
      <c r="W55034" s="503"/>
    </row>
    <row r="55035" spans="23:23">
      <c r="W55035" s="503"/>
    </row>
    <row r="55036" spans="23:23">
      <c r="W55036" s="503"/>
    </row>
    <row r="55037" spans="23:23">
      <c r="W55037" s="503"/>
    </row>
    <row r="55038" spans="23:23">
      <c r="W55038" s="503"/>
    </row>
    <row r="55039" spans="23:23">
      <c r="W55039" s="503"/>
    </row>
    <row r="55040" spans="23:23">
      <c r="W55040" s="503"/>
    </row>
    <row r="55041" spans="23:23">
      <c r="W55041" s="503"/>
    </row>
    <row r="55042" spans="23:23">
      <c r="W55042" s="503"/>
    </row>
    <row r="55043" spans="23:23">
      <c r="W55043" s="503"/>
    </row>
    <row r="55044" spans="23:23">
      <c r="W55044" s="503"/>
    </row>
    <row r="55045" spans="23:23">
      <c r="W55045" s="503"/>
    </row>
    <row r="55046" spans="23:23">
      <c r="W55046" s="503"/>
    </row>
    <row r="55047" spans="23:23">
      <c r="W55047" s="503"/>
    </row>
    <row r="55048" spans="23:23">
      <c r="W55048" s="503"/>
    </row>
    <row r="55049" spans="23:23">
      <c r="W55049" s="503"/>
    </row>
    <row r="55050" spans="23:23">
      <c r="W55050" s="503"/>
    </row>
    <row r="55051" spans="23:23">
      <c r="W55051" s="503"/>
    </row>
    <row r="55052" spans="23:23">
      <c r="W55052" s="503"/>
    </row>
    <row r="55053" spans="23:23">
      <c r="W55053" s="503"/>
    </row>
    <row r="55054" spans="23:23">
      <c r="W55054" s="503"/>
    </row>
    <row r="55055" spans="23:23">
      <c r="W55055" s="503"/>
    </row>
    <row r="55056" spans="23:23">
      <c r="W55056" s="503"/>
    </row>
    <row r="55057" spans="23:23">
      <c r="W55057" s="503"/>
    </row>
    <row r="55058" spans="23:23">
      <c r="W55058" s="503"/>
    </row>
    <row r="55059" spans="23:23">
      <c r="W55059" s="503"/>
    </row>
    <row r="55060" spans="23:23">
      <c r="W55060" s="503"/>
    </row>
    <row r="55061" spans="23:23">
      <c r="W55061" s="503"/>
    </row>
    <row r="55062" spans="23:23">
      <c r="W55062" s="503"/>
    </row>
    <row r="55063" spans="23:23">
      <c r="W55063" s="503"/>
    </row>
    <row r="55064" spans="23:23">
      <c r="W55064" s="503"/>
    </row>
    <row r="55065" spans="23:23">
      <c r="W55065" s="503"/>
    </row>
    <row r="55066" spans="23:23">
      <c r="W55066" s="503"/>
    </row>
    <row r="55067" spans="23:23">
      <c r="W55067" s="503"/>
    </row>
    <row r="55068" spans="23:23">
      <c r="W55068" s="503"/>
    </row>
    <row r="55069" spans="23:23">
      <c r="W55069" s="503"/>
    </row>
    <row r="55070" spans="23:23">
      <c r="W55070" s="503"/>
    </row>
    <row r="55071" spans="23:23">
      <c r="W55071" s="503"/>
    </row>
    <row r="55072" spans="23:23">
      <c r="W55072" s="503"/>
    </row>
    <row r="55073" spans="23:23">
      <c r="W55073" s="503"/>
    </row>
    <row r="55074" spans="23:23">
      <c r="W55074" s="503"/>
    </row>
    <row r="55075" spans="23:23">
      <c r="W55075" s="503"/>
    </row>
    <row r="55076" spans="23:23">
      <c r="W55076" s="503"/>
    </row>
    <row r="55077" spans="23:23">
      <c r="W55077" s="503"/>
    </row>
    <row r="55078" spans="23:23">
      <c r="W55078" s="503"/>
    </row>
    <row r="55079" spans="23:23">
      <c r="W55079" s="503"/>
    </row>
    <row r="55080" spans="23:23">
      <c r="W55080" s="503"/>
    </row>
    <row r="55081" spans="23:23">
      <c r="W55081" s="503"/>
    </row>
    <row r="55082" spans="23:23">
      <c r="W55082" s="503"/>
    </row>
    <row r="55083" spans="23:23">
      <c r="W55083" s="503"/>
    </row>
    <row r="55084" spans="23:23">
      <c r="W55084" s="503"/>
    </row>
    <row r="55085" spans="23:23">
      <c r="W55085" s="503"/>
    </row>
    <row r="55086" spans="23:23">
      <c r="W55086" s="503"/>
    </row>
    <row r="55087" spans="23:23">
      <c r="W55087" s="503"/>
    </row>
    <row r="55088" spans="23:23">
      <c r="W55088" s="503"/>
    </row>
    <row r="55089" spans="23:23">
      <c r="W55089" s="503"/>
    </row>
    <row r="55090" spans="23:23">
      <c r="W55090" s="503"/>
    </row>
    <row r="55091" spans="23:23">
      <c r="W55091" s="503"/>
    </row>
    <row r="55092" spans="23:23">
      <c r="W55092" s="503"/>
    </row>
    <row r="55093" spans="23:23">
      <c r="W55093" s="503"/>
    </row>
    <row r="55094" spans="23:23">
      <c r="W55094" s="503"/>
    </row>
    <row r="55095" spans="23:23">
      <c r="W55095" s="503"/>
    </row>
    <row r="55096" spans="23:23">
      <c r="W55096" s="503"/>
    </row>
    <row r="55097" spans="23:23">
      <c r="W55097" s="503"/>
    </row>
    <row r="55098" spans="23:23">
      <c r="W55098" s="503"/>
    </row>
    <row r="55099" spans="23:23">
      <c r="W55099" s="503"/>
    </row>
    <row r="55100" spans="23:23">
      <c r="W55100" s="503"/>
    </row>
    <row r="55101" spans="23:23">
      <c r="W55101" s="503"/>
    </row>
    <row r="55102" spans="23:23">
      <c r="W55102" s="503"/>
    </row>
    <row r="55103" spans="23:23">
      <c r="W55103" s="503"/>
    </row>
    <row r="55104" spans="23:23">
      <c r="W55104" s="503"/>
    </row>
    <row r="55105" spans="23:23">
      <c r="W55105" s="503"/>
    </row>
    <row r="55106" spans="23:23">
      <c r="W55106" s="503"/>
    </row>
    <row r="55107" spans="23:23">
      <c r="W55107" s="503"/>
    </row>
    <row r="55108" spans="23:23">
      <c r="W55108" s="503"/>
    </row>
    <row r="55109" spans="23:23">
      <c r="W55109" s="503"/>
    </row>
    <row r="55110" spans="23:23">
      <c r="W55110" s="503"/>
    </row>
    <row r="55111" spans="23:23">
      <c r="W55111" s="503"/>
    </row>
    <row r="55112" spans="23:23">
      <c r="W55112" s="503"/>
    </row>
    <row r="55113" spans="23:23">
      <c r="W55113" s="503"/>
    </row>
    <row r="55114" spans="23:23">
      <c r="W55114" s="503"/>
    </row>
    <row r="55115" spans="23:23">
      <c r="W55115" s="503"/>
    </row>
    <row r="55116" spans="23:23">
      <c r="W55116" s="503"/>
    </row>
    <row r="55117" spans="23:23">
      <c r="W55117" s="503"/>
    </row>
    <row r="55118" spans="23:23">
      <c r="W55118" s="503"/>
    </row>
    <row r="55119" spans="23:23">
      <c r="W55119" s="503"/>
    </row>
    <row r="55120" spans="23:23">
      <c r="W55120" s="503"/>
    </row>
    <row r="55121" spans="23:23">
      <c r="W55121" s="503"/>
    </row>
    <row r="55122" spans="23:23">
      <c r="W55122" s="503"/>
    </row>
    <row r="55123" spans="23:23">
      <c r="W55123" s="503"/>
    </row>
    <row r="55124" spans="23:23">
      <c r="W55124" s="503"/>
    </row>
    <row r="55125" spans="23:23">
      <c r="W55125" s="503"/>
    </row>
    <row r="55126" spans="23:23">
      <c r="W55126" s="503"/>
    </row>
    <row r="55127" spans="23:23">
      <c r="W55127" s="503"/>
    </row>
    <row r="55128" spans="23:23">
      <c r="W55128" s="503"/>
    </row>
    <row r="55129" spans="23:23">
      <c r="W55129" s="503"/>
    </row>
    <row r="55130" spans="23:23">
      <c r="W55130" s="503"/>
    </row>
    <row r="55131" spans="23:23">
      <c r="W55131" s="503"/>
    </row>
    <row r="55132" spans="23:23">
      <c r="W55132" s="503"/>
    </row>
    <row r="55133" spans="23:23">
      <c r="W55133" s="503"/>
    </row>
    <row r="55134" spans="23:23">
      <c r="W55134" s="503"/>
    </row>
    <row r="55135" spans="23:23">
      <c r="W55135" s="503"/>
    </row>
    <row r="55136" spans="23:23">
      <c r="W55136" s="503"/>
    </row>
    <row r="55137" spans="23:23">
      <c r="W55137" s="503"/>
    </row>
    <row r="55138" spans="23:23">
      <c r="W55138" s="503"/>
    </row>
    <row r="55139" spans="23:23">
      <c r="W55139" s="503"/>
    </row>
    <row r="55140" spans="23:23">
      <c r="W55140" s="503"/>
    </row>
    <row r="55141" spans="23:23">
      <c r="W55141" s="503"/>
    </row>
    <row r="55142" spans="23:23">
      <c r="W55142" s="503"/>
    </row>
    <row r="55143" spans="23:23">
      <c r="W55143" s="503"/>
    </row>
    <row r="55144" spans="23:23">
      <c r="W55144" s="503"/>
    </row>
    <row r="55145" spans="23:23">
      <c r="W55145" s="503"/>
    </row>
    <row r="55146" spans="23:23">
      <c r="W55146" s="503"/>
    </row>
    <row r="55147" spans="23:23">
      <c r="W55147" s="503"/>
    </row>
    <row r="55148" spans="23:23">
      <c r="W55148" s="503"/>
    </row>
    <row r="55149" spans="23:23">
      <c r="W55149" s="503"/>
    </row>
    <row r="55150" spans="23:23">
      <c r="W55150" s="503"/>
    </row>
    <row r="55151" spans="23:23">
      <c r="W55151" s="503"/>
    </row>
    <row r="55152" spans="23:23">
      <c r="W55152" s="503"/>
    </row>
    <row r="55153" spans="23:23">
      <c r="W55153" s="503"/>
    </row>
    <row r="55154" spans="23:23">
      <c r="W55154" s="503"/>
    </row>
    <row r="55155" spans="23:23">
      <c r="W55155" s="503"/>
    </row>
    <row r="55156" spans="23:23">
      <c r="W55156" s="503"/>
    </row>
    <row r="55157" spans="23:23">
      <c r="W55157" s="503"/>
    </row>
    <row r="55158" spans="23:23">
      <c r="W55158" s="503"/>
    </row>
    <row r="55159" spans="23:23">
      <c r="W55159" s="503"/>
    </row>
    <row r="55160" spans="23:23">
      <c r="W55160" s="503"/>
    </row>
    <row r="55161" spans="23:23">
      <c r="W55161" s="503"/>
    </row>
    <row r="55162" spans="23:23">
      <c r="W55162" s="503"/>
    </row>
    <row r="55163" spans="23:23">
      <c r="W55163" s="503"/>
    </row>
    <row r="55164" spans="23:23">
      <c r="W55164" s="503"/>
    </row>
    <row r="55165" spans="23:23">
      <c r="W55165" s="503"/>
    </row>
    <row r="55166" spans="23:23">
      <c r="W55166" s="503"/>
    </row>
    <row r="55167" spans="23:23">
      <c r="W55167" s="503"/>
    </row>
    <row r="55168" spans="23:23">
      <c r="W55168" s="503"/>
    </row>
    <row r="55169" spans="23:23">
      <c r="W55169" s="503"/>
    </row>
    <row r="55170" spans="23:23">
      <c r="W55170" s="503"/>
    </row>
    <row r="55171" spans="23:23">
      <c r="W55171" s="503"/>
    </row>
    <row r="55172" spans="23:23">
      <c r="W55172" s="503"/>
    </row>
    <row r="55173" spans="23:23">
      <c r="W55173" s="503"/>
    </row>
    <row r="55174" spans="23:23">
      <c r="W55174" s="503"/>
    </row>
    <row r="55175" spans="23:23">
      <c r="W55175" s="503"/>
    </row>
    <row r="55176" spans="23:23">
      <c r="W55176" s="503"/>
    </row>
    <row r="55177" spans="23:23">
      <c r="W55177" s="503"/>
    </row>
    <row r="55178" spans="23:23">
      <c r="W55178" s="503"/>
    </row>
    <row r="55179" spans="23:23">
      <c r="W55179" s="503"/>
    </row>
    <row r="55180" spans="23:23">
      <c r="W55180" s="503"/>
    </row>
    <row r="55181" spans="23:23">
      <c r="W55181" s="503"/>
    </row>
    <row r="55182" spans="23:23">
      <c r="W55182" s="503"/>
    </row>
    <row r="55183" spans="23:23">
      <c r="W55183" s="503"/>
    </row>
    <row r="55184" spans="23:23">
      <c r="W55184" s="503"/>
    </row>
    <row r="55185" spans="23:23">
      <c r="W55185" s="503"/>
    </row>
    <row r="55186" spans="23:23">
      <c r="W55186" s="503"/>
    </row>
    <row r="55187" spans="23:23">
      <c r="W55187" s="503"/>
    </row>
    <row r="55188" spans="23:23">
      <c r="W55188" s="503"/>
    </row>
    <row r="55189" spans="23:23">
      <c r="W55189" s="503"/>
    </row>
    <row r="55190" spans="23:23">
      <c r="W55190" s="503"/>
    </row>
    <row r="55191" spans="23:23">
      <c r="W55191" s="503"/>
    </row>
    <row r="55192" spans="23:23">
      <c r="W55192" s="503"/>
    </row>
    <row r="55193" spans="23:23">
      <c r="W55193" s="503"/>
    </row>
    <row r="55194" spans="23:23">
      <c r="W55194" s="503"/>
    </row>
    <row r="55195" spans="23:23">
      <c r="W55195" s="503"/>
    </row>
    <row r="55196" spans="23:23">
      <c r="W55196" s="503"/>
    </row>
    <row r="55197" spans="23:23">
      <c r="W55197" s="503"/>
    </row>
    <row r="55198" spans="23:23">
      <c r="W55198" s="503"/>
    </row>
    <row r="55199" spans="23:23">
      <c r="W55199" s="503"/>
    </row>
    <row r="55200" spans="23:23">
      <c r="W55200" s="503"/>
    </row>
    <row r="55201" spans="23:23">
      <c r="W55201" s="503"/>
    </row>
    <row r="55202" spans="23:23">
      <c r="W55202" s="503"/>
    </row>
    <row r="55203" spans="23:23">
      <c r="W55203" s="503"/>
    </row>
    <row r="55204" spans="23:23">
      <c r="W55204" s="503"/>
    </row>
    <row r="55205" spans="23:23">
      <c r="W55205" s="503"/>
    </row>
    <row r="55206" spans="23:23">
      <c r="W55206" s="503"/>
    </row>
    <row r="55207" spans="23:23">
      <c r="W55207" s="503"/>
    </row>
    <row r="55208" spans="23:23">
      <c r="W55208" s="503"/>
    </row>
    <row r="55209" spans="23:23">
      <c r="W55209" s="503"/>
    </row>
    <row r="55210" spans="23:23">
      <c r="W55210" s="503"/>
    </row>
    <row r="55211" spans="23:23">
      <c r="W55211" s="503"/>
    </row>
    <row r="55212" spans="23:23">
      <c r="W55212" s="503"/>
    </row>
    <row r="55213" spans="23:23">
      <c r="W55213" s="503"/>
    </row>
    <row r="55214" spans="23:23">
      <c r="W55214" s="503"/>
    </row>
    <row r="55215" spans="23:23">
      <c r="W55215" s="503"/>
    </row>
    <row r="55216" spans="23:23">
      <c r="W55216" s="503"/>
    </row>
    <row r="55217" spans="23:23">
      <c r="W55217" s="503"/>
    </row>
    <row r="55218" spans="23:23">
      <c r="W55218" s="503"/>
    </row>
    <row r="55219" spans="23:23">
      <c r="W55219" s="503"/>
    </row>
    <row r="55220" spans="23:23">
      <c r="W55220" s="503"/>
    </row>
    <row r="55221" spans="23:23">
      <c r="W55221" s="503"/>
    </row>
    <row r="55222" spans="23:23">
      <c r="W55222" s="503"/>
    </row>
    <row r="55223" spans="23:23">
      <c r="W55223" s="503"/>
    </row>
    <row r="55224" spans="23:23">
      <c r="W55224" s="503"/>
    </row>
    <row r="55225" spans="23:23">
      <c r="W55225" s="503"/>
    </row>
    <row r="55226" spans="23:23">
      <c r="W55226" s="503"/>
    </row>
    <row r="55227" spans="23:23">
      <c r="W55227" s="503"/>
    </row>
    <row r="55228" spans="23:23">
      <c r="W55228" s="503"/>
    </row>
    <row r="55229" spans="23:23">
      <c r="W55229" s="503"/>
    </row>
    <row r="55230" spans="23:23">
      <c r="W55230" s="503"/>
    </row>
    <row r="55231" spans="23:23">
      <c r="W55231" s="503"/>
    </row>
    <row r="55232" spans="23:23">
      <c r="W55232" s="503"/>
    </row>
    <row r="55233" spans="23:23">
      <c r="W55233" s="503"/>
    </row>
    <row r="55234" spans="23:23">
      <c r="W55234" s="503"/>
    </row>
    <row r="55235" spans="23:23">
      <c r="W55235" s="503"/>
    </row>
    <row r="55236" spans="23:23">
      <c r="W55236" s="503"/>
    </row>
    <row r="55237" spans="23:23">
      <c r="W55237" s="503"/>
    </row>
    <row r="55238" spans="23:23">
      <c r="W55238" s="503"/>
    </row>
    <row r="55239" spans="23:23">
      <c r="W55239" s="503"/>
    </row>
    <row r="55240" spans="23:23">
      <c r="W55240" s="503"/>
    </row>
    <row r="55241" spans="23:23">
      <c r="W55241" s="503"/>
    </row>
    <row r="55242" spans="23:23">
      <c r="W55242" s="503"/>
    </row>
    <row r="55243" spans="23:23">
      <c r="W55243" s="503"/>
    </row>
    <row r="55244" spans="23:23">
      <c r="W55244" s="503"/>
    </row>
    <row r="55245" spans="23:23">
      <c r="W55245" s="503"/>
    </row>
    <row r="55246" spans="23:23">
      <c r="W55246" s="503"/>
    </row>
    <row r="55247" spans="23:23">
      <c r="W55247" s="503"/>
    </row>
    <row r="55248" spans="23:23">
      <c r="W55248" s="503"/>
    </row>
    <row r="55249" spans="23:23">
      <c r="W55249" s="503"/>
    </row>
    <row r="55250" spans="23:23">
      <c r="W55250" s="503"/>
    </row>
    <row r="55251" spans="23:23">
      <c r="W55251" s="503"/>
    </row>
    <row r="55252" spans="23:23">
      <c r="W55252" s="503"/>
    </row>
    <row r="55253" spans="23:23">
      <c r="W55253" s="503"/>
    </row>
    <row r="55254" spans="23:23">
      <c r="W55254" s="503"/>
    </row>
    <row r="55255" spans="23:23">
      <c r="W55255" s="503"/>
    </row>
    <row r="55256" spans="23:23">
      <c r="W55256" s="503"/>
    </row>
    <row r="55257" spans="23:23">
      <c r="W55257" s="503"/>
    </row>
    <row r="55258" spans="23:23">
      <c r="W55258" s="503"/>
    </row>
    <row r="55259" spans="23:23">
      <c r="W55259" s="503"/>
    </row>
    <row r="55260" spans="23:23">
      <c r="W55260" s="503"/>
    </row>
    <row r="55261" spans="23:23">
      <c r="W55261" s="503"/>
    </row>
    <row r="55262" spans="23:23">
      <c r="W55262" s="503"/>
    </row>
    <row r="55263" spans="23:23">
      <c r="W55263" s="503"/>
    </row>
    <row r="55264" spans="23:23">
      <c r="W55264" s="503"/>
    </row>
    <row r="55265" spans="23:23">
      <c r="W55265" s="503"/>
    </row>
    <row r="55266" spans="23:23">
      <c r="W55266" s="503"/>
    </row>
    <row r="55267" spans="23:23">
      <c r="W55267" s="503"/>
    </row>
    <row r="55268" spans="23:23">
      <c r="W55268" s="503"/>
    </row>
    <row r="55269" spans="23:23">
      <c r="W55269" s="503"/>
    </row>
    <row r="55270" spans="23:23">
      <c r="W55270" s="503"/>
    </row>
    <row r="55271" spans="23:23">
      <c r="W55271" s="503"/>
    </row>
    <row r="55272" spans="23:23">
      <c r="W55272" s="503"/>
    </row>
    <row r="55273" spans="23:23">
      <c r="W55273" s="503"/>
    </row>
    <row r="55274" spans="23:23">
      <c r="W55274" s="503"/>
    </row>
    <row r="55275" spans="23:23">
      <c r="W55275" s="503"/>
    </row>
    <row r="55276" spans="23:23">
      <c r="W55276" s="503"/>
    </row>
    <row r="55277" spans="23:23">
      <c r="W55277" s="503"/>
    </row>
    <row r="55278" spans="23:23">
      <c r="W55278" s="503"/>
    </row>
    <row r="55279" spans="23:23">
      <c r="W55279" s="503"/>
    </row>
    <row r="55280" spans="23:23">
      <c r="W55280" s="503"/>
    </row>
    <row r="55281" spans="23:23">
      <c r="W55281" s="503"/>
    </row>
    <row r="55282" spans="23:23">
      <c r="W55282" s="503"/>
    </row>
    <row r="55283" spans="23:23">
      <c r="W55283" s="503"/>
    </row>
    <row r="55284" spans="23:23">
      <c r="W55284" s="503"/>
    </row>
    <row r="55285" spans="23:23">
      <c r="W55285" s="503"/>
    </row>
    <row r="55286" spans="23:23">
      <c r="W55286" s="503"/>
    </row>
    <row r="55287" spans="23:23">
      <c r="W55287" s="503"/>
    </row>
    <row r="55288" spans="23:23">
      <c r="W55288" s="503"/>
    </row>
    <row r="55289" spans="23:23">
      <c r="W55289" s="503"/>
    </row>
    <row r="55290" spans="23:23">
      <c r="W55290" s="503"/>
    </row>
    <row r="55291" spans="23:23">
      <c r="W55291" s="503"/>
    </row>
    <row r="55292" spans="23:23">
      <c r="W55292" s="503"/>
    </row>
    <row r="55293" spans="23:23">
      <c r="W55293" s="503"/>
    </row>
    <row r="55294" spans="23:23">
      <c r="W55294" s="503"/>
    </row>
    <row r="55295" spans="23:23">
      <c r="W55295" s="503"/>
    </row>
    <row r="55296" spans="23:23">
      <c r="W55296" s="503"/>
    </row>
    <row r="55297" spans="23:23">
      <c r="W55297" s="503"/>
    </row>
    <row r="55298" spans="23:23">
      <c r="W55298" s="503"/>
    </row>
    <row r="55299" spans="23:23">
      <c r="W55299" s="503"/>
    </row>
    <row r="55300" spans="23:23">
      <c r="W55300" s="503"/>
    </row>
    <row r="55301" spans="23:23">
      <c r="W55301" s="503"/>
    </row>
    <row r="55302" spans="23:23">
      <c r="W55302" s="503"/>
    </row>
    <row r="55303" spans="23:23">
      <c r="W55303" s="503"/>
    </row>
    <row r="55304" spans="23:23">
      <c r="W55304" s="503"/>
    </row>
    <row r="55305" spans="23:23">
      <c r="W55305" s="503"/>
    </row>
    <row r="55306" spans="23:23">
      <c r="W55306" s="503"/>
    </row>
    <row r="55307" spans="23:23">
      <c r="W55307" s="503"/>
    </row>
    <row r="55308" spans="23:23">
      <c r="W55308" s="503"/>
    </row>
    <row r="55309" spans="23:23">
      <c r="W55309" s="503"/>
    </row>
    <row r="55310" spans="23:23">
      <c r="W55310" s="503"/>
    </row>
    <row r="55311" spans="23:23">
      <c r="W55311" s="503"/>
    </row>
    <row r="55312" spans="23:23">
      <c r="W55312" s="503"/>
    </row>
    <row r="55313" spans="23:23">
      <c r="W55313" s="503"/>
    </row>
    <row r="55314" spans="23:23">
      <c r="W55314" s="503"/>
    </row>
    <row r="55315" spans="23:23">
      <c r="W55315" s="503"/>
    </row>
    <row r="55316" spans="23:23">
      <c r="W55316" s="503"/>
    </row>
    <row r="55317" spans="23:23">
      <c r="W55317" s="503"/>
    </row>
    <row r="55318" spans="23:23">
      <c r="W55318" s="503"/>
    </row>
    <row r="55319" spans="23:23">
      <c r="W55319" s="503"/>
    </row>
    <row r="55320" spans="23:23">
      <c r="W55320" s="503"/>
    </row>
    <row r="55321" spans="23:23">
      <c r="W55321" s="503"/>
    </row>
    <row r="55322" spans="23:23">
      <c r="W55322" s="503"/>
    </row>
    <row r="55323" spans="23:23">
      <c r="W55323" s="503"/>
    </row>
    <row r="55324" spans="23:23">
      <c r="W55324" s="503"/>
    </row>
    <row r="55325" spans="23:23">
      <c r="W55325" s="503"/>
    </row>
    <row r="55326" spans="23:23">
      <c r="W55326" s="503"/>
    </row>
    <row r="55327" spans="23:23">
      <c r="W55327" s="503"/>
    </row>
    <row r="55328" spans="23:23">
      <c r="W55328" s="503"/>
    </row>
    <row r="55329" spans="23:23">
      <c r="W55329" s="503"/>
    </row>
    <row r="55330" spans="23:23">
      <c r="W55330" s="503"/>
    </row>
    <row r="55331" spans="23:23">
      <c r="W55331" s="503"/>
    </row>
    <row r="55332" spans="23:23">
      <c r="W55332" s="503"/>
    </row>
    <row r="55333" spans="23:23">
      <c r="W55333" s="503"/>
    </row>
    <row r="55334" spans="23:23">
      <c r="W55334" s="503"/>
    </row>
    <row r="55335" spans="23:23">
      <c r="W55335" s="503"/>
    </row>
    <row r="55336" spans="23:23">
      <c r="W55336" s="503"/>
    </row>
    <row r="55337" spans="23:23">
      <c r="W55337" s="503"/>
    </row>
    <row r="55338" spans="23:23">
      <c r="W55338" s="503"/>
    </row>
    <row r="55339" spans="23:23">
      <c r="W55339" s="503"/>
    </row>
    <row r="55340" spans="23:23">
      <c r="W55340" s="503"/>
    </row>
    <row r="55341" spans="23:23">
      <c r="W55341" s="503"/>
    </row>
    <row r="55342" spans="23:23">
      <c r="W55342" s="503"/>
    </row>
    <row r="55343" spans="23:23">
      <c r="W55343" s="503"/>
    </row>
    <row r="55344" spans="23:23">
      <c r="W55344" s="503"/>
    </row>
    <row r="55345" spans="23:23">
      <c r="W55345" s="503"/>
    </row>
    <row r="55346" spans="23:23">
      <c r="W55346" s="503"/>
    </row>
    <row r="55347" spans="23:23">
      <c r="W55347" s="503"/>
    </row>
    <row r="55348" spans="23:23">
      <c r="W55348" s="503"/>
    </row>
    <row r="55349" spans="23:23">
      <c r="W55349" s="503"/>
    </row>
    <row r="55350" spans="23:23">
      <c r="W55350" s="503"/>
    </row>
    <row r="55351" spans="23:23">
      <c r="W55351" s="503"/>
    </row>
    <row r="55352" spans="23:23">
      <c r="W55352" s="503"/>
    </row>
    <row r="55353" spans="23:23">
      <c r="W55353" s="503"/>
    </row>
    <row r="55354" spans="23:23">
      <c r="W55354" s="503"/>
    </row>
    <row r="55355" spans="23:23">
      <c r="W55355" s="503"/>
    </row>
    <row r="55356" spans="23:23">
      <c r="W55356" s="503"/>
    </row>
    <row r="55357" spans="23:23">
      <c r="W55357" s="503"/>
    </row>
    <row r="55358" spans="23:23">
      <c r="W55358" s="503"/>
    </row>
    <row r="55359" spans="23:23">
      <c r="W55359" s="503"/>
    </row>
    <row r="55360" spans="23:23">
      <c r="W55360" s="503"/>
    </row>
    <row r="55361" spans="23:23">
      <c r="W55361" s="503"/>
    </row>
    <row r="55362" spans="23:23">
      <c r="W55362" s="503"/>
    </row>
    <row r="55363" spans="23:23">
      <c r="W55363" s="503"/>
    </row>
    <row r="55364" spans="23:23">
      <c r="W55364" s="503"/>
    </row>
    <row r="55365" spans="23:23">
      <c r="W55365" s="503"/>
    </row>
    <row r="55366" spans="23:23">
      <c r="W55366" s="503"/>
    </row>
    <row r="55367" spans="23:23">
      <c r="W55367" s="503"/>
    </row>
    <row r="55368" spans="23:23">
      <c r="W55368" s="503"/>
    </row>
    <row r="55369" spans="23:23">
      <c r="W55369" s="503"/>
    </row>
    <row r="55370" spans="23:23">
      <c r="W55370" s="503"/>
    </row>
    <row r="55371" spans="23:23">
      <c r="W55371" s="503"/>
    </row>
    <row r="55372" spans="23:23">
      <c r="W55372" s="503"/>
    </row>
    <row r="55373" spans="23:23">
      <c r="W55373" s="503"/>
    </row>
    <row r="55374" spans="23:23">
      <c r="W55374" s="503"/>
    </row>
    <row r="55375" spans="23:23">
      <c r="W55375" s="503"/>
    </row>
    <row r="55376" spans="23:23">
      <c r="W55376" s="503"/>
    </row>
    <row r="55377" spans="23:23">
      <c r="W55377" s="503"/>
    </row>
    <row r="55378" spans="23:23">
      <c r="W55378" s="503"/>
    </row>
    <row r="55379" spans="23:23">
      <c r="W55379" s="503"/>
    </row>
    <row r="55380" spans="23:23">
      <c r="W55380" s="503"/>
    </row>
    <row r="55381" spans="23:23">
      <c r="W55381" s="503"/>
    </row>
    <row r="55382" spans="23:23">
      <c r="W55382" s="503"/>
    </row>
    <row r="55383" spans="23:23">
      <c r="W55383" s="503"/>
    </row>
    <row r="55384" spans="23:23">
      <c r="W55384" s="503"/>
    </row>
    <row r="55385" spans="23:23">
      <c r="W55385" s="503"/>
    </row>
    <row r="55386" spans="23:23">
      <c r="W55386" s="503"/>
    </row>
    <row r="55387" spans="23:23">
      <c r="W55387" s="503"/>
    </row>
    <row r="55388" spans="23:23">
      <c r="W55388" s="503"/>
    </row>
    <row r="55389" spans="23:23">
      <c r="W55389" s="503"/>
    </row>
    <row r="55390" spans="23:23">
      <c r="W55390" s="503"/>
    </row>
    <row r="55391" spans="23:23">
      <c r="W55391" s="503"/>
    </row>
    <row r="55392" spans="23:23">
      <c r="W55392" s="503"/>
    </row>
    <row r="55393" spans="23:23">
      <c r="W55393" s="503"/>
    </row>
    <row r="55394" spans="23:23">
      <c r="W55394" s="503"/>
    </row>
    <row r="55395" spans="23:23">
      <c r="W55395" s="503"/>
    </row>
    <row r="55396" spans="23:23">
      <c r="W55396" s="503"/>
    </row>
    <row r="55397" spans="23:23">
      <c r="W55397" s="503"/>
    </row>
    <row r="55398" spans="23:23">
      <c r="W55398" s="503"/>
    </row>
    <row r="55399" spans="23:23">
      <c r="W55399" s="503"/>
    </row>
    <row r="55400" spans="23:23">
      <c r="W55400" s="503"/>
    </row>
    <row r="55401" spans="23:23">
      <c r="W55401" s="503"/>
    </row>
    <row r="55402" spans="23:23">
      <c r="W55402" s="503"/>
    </row>
    <row r="55403" spans="23:23">
      <c r="W55403" s="503"/>
    </row>
    <row r="55404" spans="23:23">
      <c r="W55404" s="503"/>
    </row>
    <row r="55405" spans="23:23">
      <c r="W55405" s="503"/>
    </row>
    <row r="55406" spans="23:23">
      <c r="W55406" s="503"/>
    </row>
    <row r="55407" spans="23:23">
      <c r="W55407" s="503"/>
    </row>
    <row r="55408" spans="23:23">
      <c r="W55408" s="503"/>
    </row>
    <row r="55409" spans="23:23">
      <c r="W55409" s="503"/>
    </row>
    <row r="55410" spans="23:23">
      <c r="W55410" s="503"/>
    </row>
    <row r="55411" spans="23:23">
      <c r="W55411" s="503"/>
    </row>
    <row r="55412" spans="23:23">
      <c r="W55412" s="503"/>
    </row>
    <row r="55413" spans="23:23">
      <c r="W55413" s="503"/>
    </row>
    <row r="55414" spans="23:23">
      <c r="W55414" s="503"/>
    </row>
    <row r="55415" spans="23:23">
      <c r="W55415" s="503"/>
    </row>
    <row r="55416" spans="23:23">
      <c r="W55416" s="503"/>
    </row>
    <row r="55417" spans="23:23">
      <c r="W55417" s="503"/>
    </row>
    <row r="55418" spans="23:23">
      <c r="W55418" s="503"/>
    </row>
    <row r="55419" spans="23:23">
      <c r="W55419" s="503"/>
    </row>
    <row r="55420" spans="23:23">
      <c r="W55420" s="503"/>
    </row>
    <row r="55421" spans="23:23">
      <c r="W55421" s="503"/>
    </row>
    <row r="55422" spans="23:23">
      <c r="W55422" s="503"/>
    </row>
    <row r="55423" spans="23:23">
      <c r="W55423" s="503"/>
    </row>
    <row r="55424" spans="23:23">
      <c r="W55424" s="503"/>
    </row>
    <row r="55425" spans="23:23">
      <c r="W55425" s="503"/>
    </row>
    <row r="55426" spans="23:23">
      <c r="W55426" s="503"/>
    </row>
    <row r="55427" spans="23:23">
      <c r="W55427" s="503"/>
    </row>
    <row r="55428" spans="23:23">
      <c r="W55428" s="503"/>
    </row>
    <row r="55429" spans="23:23">
      <c r="W55429" s="503"/>
    </row>
    <row r="55430" spans="23:23">
      <c r="W55430" s="503"/>
    </row>
    <row r="55431" spans="23:23">
      <c r="W55431" s="503"/>
    </row>
    <row r="55432" spans="23:23">
      <c r="W55432" s="503"/>
    </row>
    <row r="55433" spans="23:23">
      <c r="W55433" s="503"/>
    </row>
    <row r="55434" spans="23:23">
      <c r="W55434" s="503"/>
    </row>
    <row r="55435" spans="23:23">
      <c r="W55435" s="503"/>
    </row>
    <row r="55436" spans="23:23">
      <c r="W55436" s="503"/>
    </row>
    <row r="55437" spans="23:23">
      <c r="W55437" s="503"/>
    </row>
    <row r="55438" spans="23:23">
      <c r="W55438" s="503"/>
    </row>
    <row r="55439" spans="23:23">
      <c r="W55439" s="503"/>
    </row>
    <row r="55440" spans="23:23">
      <c r="W55440" s="503"/>
    </row>
    <row r="55441" spans="23:23">
      <c r="W55441" s="503"/>
    </row>
    <row r="55442" spans="23:23">
      <c r="W55442" s="503"/>
    </row>
    <row r="55443" spans="23:23">
      <c r="W55443" s="503"/>
    </row>
    <row r="55444" spans="23:23">
      <c r="W55444" s="503"/>
    </row>
    <row r="55445" spans="23:23">
      <c r="W55445" s="503"/>
    </row>
    <row r="55446" spans="23:23">
      <c r="W55446" s="503"/>
    </row>
    <row r="55447" spans="23:23">
      <c r="W55447" s="503"/>
    </row>
    <row r="55448" spans="23:23">
      <c r="W55448" s="503"/>
    </row>
    <row r="55449" spans="23:23">
      <c r="W55449" s="503"/>
    </row>
    <row r="55450" spans="23:23">
      <c r="W55450" s="503"/>
    </row>
    <row r="55451" spans="23:23">
      <c r="W55451" s="503"/>
    </row>
    <row r="55452" spans="23:23">
      <c r="W55452" s="503"/>
    </row>
    <row r="55453" spans="23:23">
      <c r="W55453" s="503"/>
    </row>
    <row r="55454" spans="23:23">
      <c r="W55454" s="503"/>
    </row>
    <row r="55455" spans="23:23">
      <c r="W55455" s="503"/>
    </row>
    <row r="55456" spans="23:23">
      <c r="W55456" s="503"/>
    </row>
    <row r="55457" spans="23:23">
      <c r="W55457" s="503"/>
    </row>
    <row r="55458" spans="23:23">
      <c r="W55458" s="503"/>
    </row>
    <row r="55459" spans="23:23">
      <c r="W55459" s="503"/>
    </row>
    <row r="55460" spans="23:23">
      <c r="W55460" s="503"/>
    </row>
    <row r="55461" spans="23:23">
      <c r="W55461" s="503"/>
    </row>
    <row r="55462" spans="23:23">
      <c r="W55462" s="503"/>
    </row>
    <row r="55463" spans="23:23">
      <c r="W55463" s="503"/>
    </row>
    <row r="55464" spans="23:23">
      <c r="W55464" s="503"/>
    </row>
    <row r="55465" spans="23:23">
      <c r="W55465" s="503"/>
    </row>
    <row r="55466" spans="23:23">
      <c r="W55466" s="503"/>
    </row>
    <row r="55467" spans="23:23">
      <c r="W55467" s="503"/>
    </row>
    <row r="55468" spans="23:23">
      <c r="W55468" s="503"/>
    </row>
    <row r="55469" spans="23:23">
      <c r="W55469" s="503"/>
    </row>
    <row r="55470" spans="23:23">
      <c r="W55470" s="503"/>
    </row>
    <row r="55471" spans="23:23">
      <c r="W55471" s="503"/>
    </row>
    <row r="55472" spans="23:23">
      <c r="W55472" s="503"/>
    </row>
    <row r="55473" spans="23:23">
      <c r="W55473" s="503"/>
    </row>
    <row r="55474" spans="23:23">
      <c r="W55474" s="503"/>
    </row>
    <row r="55475" spans="23:23">
      <c r="W55475" s="503"/>
    </row>
    <row r="55476" spans="23:23">
      <c r="W55476" s="503"/>
    </row>
    <row r="55477" spans="23:23">
      <c r="W55477" s="503"/>
    </row>
    <row r="55478" spans="23:23">
      <c r="W55478" s="503"/>
    </row>
    <row r="55479" spans="23:23">
      <c r="W55479" s="503"/>
    </row>
    <row r="55480" spans="23:23">
      <c r="W55480" s="503"/>
    </row>
    <row r="55481" spans="23:23">
      <c r="W55481" s="503"/>
    </row>
    <row r="55482" spans="23:23">
      <c r="W55482" s="503"/>
    </row>
    <row r="55483" spans="23:23">
      <c r="W55483" s="503"/>
    </row>
    <row r="55484" spans="23:23">
      <c r="W55484" s="503"/>
    </row>
    <row r="55485" spans="23:23">
      <c r="W55485" s="503"/>
    </row>
    <row r="55486" spans="23:23">
      <c r="W55486" s="503"/>
    </row>
    <row r="55487" spans="23:23">
      <c r="W55487" s="503"/>
    </row>
    <row r="55488" spans="23:23">
      <c r="W55488" s="503"/>
    </row>
    <row r="55489" spans="23:23">
      <c r="W55489" s="503"/>
    </row>
    <row r="55490" spans="23:23">
      <c r="W55490" s="503"/>
    </row>
    <row r="55491" spans="23:23">
      <c r="W55491" s="503"/>
    </row>
    <row r="55492" spans="23:23">
      <c r="W55492" s="503"/>
    </row>
    <row r="55493" spans="23:23">
      <c r="W55493" s="503"/>
    </row>
    <row r="55494" spans="23:23">
      <c r="W55494" s="503"/>
    </row>
    <row r="55495" spans="23:23">
      <c r="W55495" s="503"/>
    </row>
    <row r="55496" spans="23:23">
      <c r="W55496" s="503"/>
    </row>
    <row r="55497" spans="23:23">
      <c r="W55497" s="503"/>
    </row>
    <row r="55498" spans="23:23">
      <c r="W55498" s="503"/>
    </row>
    <row r="55499" spans="23:23">
      <c r="W55499" s="503"/>
    </row>
    <row r="55500" spans="23:23">
      <c r="W55500" s="503"/>
    </row>
    <row r="55501" spans="23:23">
      <c r="W55501" s="503"/>
    </row>
    <row r="55502" spans="23:23">
      <c r="W55502" s="503"/>
    </row>
    <row r="55503" spans="23:23">
      <c r="W55503" s="503"/>
    </row>
    <row r="55504" spans="23:23">
      <c r="W55504" s="503"/>
    </row>
    <row r="55505" spans="23:23">
      <c r="W55505" s="503"/>
    </row>
    <row r="55506" spans="23:23">
      <c r="W55506" s="503"/>
    </row>
    <row r="55507" spans="23:23">
      <c r="W55507" s="503"/>
    </row>
    <row r="55508" spans="23:23">
      <c r="W55508" s="503"/>
    </row>
    <row r="55509" spans="23:23">
      <c r="W55509" s="503"/>
    </row>
    <row r="55510" spans="23:23">
      <c r="W55510" s="503"/>
    </row>
    <row r="55511" spans="23:23">
      <c r="W55511" s="503"/>
    </row>
    <row r="55512" spans="23:23">
      <c r="W55512" s="503"/>
    </row>
    <row r="55513" spans="23:23">
      <c r="W55513" s="503"/>
    </row>
    <row r="55514" spans="23:23">
      <c r="W55514" s="503"/>
    </row>
    <row r="55515" spans="23:23">
      <c r="W55515" s="503"/>
    </row>
    <row r="55516" spans="23:23">
      <c r="W55516" s="503"/>
    </row>
    <row r="55517" spans="23:23">
      <c r="W55517" s="503"/>
    </row>
    <row r="55518" spans="23:23">
      <c r="W55518" s="503"/>
    </row>
    <row r="55519" spans="23:23">
      <c r="W55519" s="503"/>
    </row>
    <row r="55520" spans="23:23">
      <c r="W55520" s="503"/>
    </row>
    <row r="55521" spans="23:23">
      <c r="W55521" s="503"/>
    </row>
    <row r="55522" spans="23:23">
      <c r="W55522" s="503"/>
    </row>
    <row r="55523" spans="23:23">
      <c r="W55523" s="503"/>
    </row>
    <row r="55524" spans="23:23">
      <c r="W55524" s="503"/>
    </row>
    <row r="55525" spans="23:23">
      <c r="W55525" s="503"/>
    </row>
    <row r="55526" spans="23:23">
      <c r="W55526" s="503"/>
    </row>
    <row r="55527" spans="23:23">
      <c r="W55527" s="503"/>
    </row>
    <row r="55528" spans="23:23">
      <c r="W55528" s="503"/>
    </row>
    <row r="55529" spans="23:23">
      <c r="W55529" s="503"/>
    </row>
    <row r="55530" spans="23:23">
      <c r="W55530" s="503"/>
    </row>
    <row r="55531" spans="23:23">
      <c r="W55531" s="503"/>
    </row>
    <row r="55532" spans="23:23">
      <c r="W55532" s="503"/>
    </row>
    <row r="55533" spans="23:23">
      <c r="W55533" s="503"/>
    </row>
    <row r="55534" spans="23:23">
      <c r="W55534" s="503"/>
    </row>
    <row r="55535" spans="23:23">
      <c r="W55535" s="503"/>
    </row>
    <row r="55536" spans="23:23">
      <c r="W55536" s="503"/>
    </row>
    <row r="55537" spans="23:23">
      <c r="W55537" s="503"/>
    </row>
    <row r="55538" spans="23:23">
      <c r="W55538" s="503"/>
    </row>
    <row r="55539" spans="23:23">
      <c r="W55539" s="503"/>
    </row>
    <row r="55540" spans="23:23">
      <c r="W55540" s="503"/>
    </row>
    <row r="55541" spans="23:23">
      <c r="W55541" s="503"/>
    </row>
    <row r="55542" spans="23:23">
      <c r="W55542" s="503"/>
    </row>
    <row r="55543" spans="23:23">
      <c r="W55543" s="503"/>
    </row>
    <row r="55544" spans="23:23">
      <c r="W55544" s="503"/>
    </row>
    <row r="55545" spans="23:23">
      <c r="W55545" s="503"/>
    </row>
    <row r="55546" spans="23:23">
      <c r="W55546" s="503"/>
    </row>
    <row r="55547" spans="23:23">
      <c r="W55547" s="503"/>
    </row>
    <row r="55548" spans="23:23">
      <c r="W55548" s="503"/>
    </row>
    <row r="55549" spans="23:23">
      <c r="W55549" s="503"/>
    </row>
    <row r="55550" spans="23:23">
      <c r="W55550" s="503"/>
    </row>
    <row r="55551" spans="23:23">
      <c r="W55551" s="503"/>
    </row>
    <row r="55552" spans="23:23">
      <c r="W55552" s="503"/>
    </row>
    <row r="55553" spans="23:23">
      <c r="W55553" s="503"/>
    </row>
    <row r="55554" spans="23:23">
      <c r="W55554" s="503"/>
    </row>
    <row r="55555" spans="23:23">
      <c r="W55555" s="503"/>
    </row>
    <row r="55556" spans="23:23">
      <c r="W55556" s="503"/>
    </row>
    <row r="55557" spans="23:23">
      <c r="W55557" s="503"/>
    </row>
    <row r="55558" spans="23:23">
      <c r="W55558" s="503"/>
    </row>
    <row r="55559" spans="23:23">
      <c r="W55559" s="503"/>
    </row>
    <row r="55560" spans="23:23">
      <c r="W55560" s="503"/>
    </row>
    <row r="55561" spans="23:23">
      <c r="W55561" s="503"/>
    </row>
    <row r="55562" spans="23:23">
      <c r="W55562" s="503"/>
    </row>
    <row r="55563" spans="23:23">
      <c r="W55563" s="503"/>
    </row>
    <row r="55564" spans="23:23">
      <c r="W55564" s="503"/>
    </row>
    <row r="55565" spans="23:23">
      <c r="W55565" s="503"/>
    </row>
    <row r="55566" spans="23:23">
      <c r="W55566" s="503"/>
    </row>
    <row r="55567" spans="23:23">
      <c r="W55567" s="503"/>
    </row>
    <row r="55568" spans="23:23">
      <c r="W55568" s="503"/>
    </row>
    <row r="55569" spans="23:23">
      <c r="W55569" s="503"/>
    </row>
    <row r="55570" spans="23:23">
      <c r="W55570" s="503"/>
    </row>
    <row r="55571" spans="23:23">
      <c r="W55571" s="503"/>
    </row>
    <row r="55572" spans="23:23">
      <c r="W55572" s="503"/>
    </row>
    <row r="55573" spans="23:23">
      <c r="W55573" s="503"/>
    </row>
    <row r="55574" spans="23:23">
      <c r="W55574" s="503"/>
    </row>
    <row r="55575" spans="23:23">
      <c r="W55575" s="503"/>
    </row>
    <row r="55576" spans="23:23">
      <c r="W55576" s="503"/>
    </row>
    <row r="55577" spans="23:23">
      <c r="W55577" s="503"/>
    </row>
    <row r="55578" spans="23:23">
      <c r="W55578" s="503"/>
    </row>
    <row r="55579" spans="23:23">
      <c r="W55579" s="503"/>
    </row>
    <row r="55580" spans="23:23">
      <c r="W55580" s="503"/>
    </row>
    <row r="55581" spans="23:23">
      <c r="W55581" s="503"/>
    </row>
    <row r="55582" spans="23:23">
      <c r="W55582" s="503"/>
    </row>
    <row r="55583" spans="23:23">
      <c r="W55583" s="503"/>
    </row>
    <row r="55584" spans="23:23">
      <c r="W55584" s="503"/>
    </row>
    <row r="55585" spans="23:23">
      <c r="W55585" s="503"/>
    </row>
    <row r="55586" spans="23:23">
      <c r="W55586" s="503"/>
    </row>
    <row r="55587" spans="23:23">
      <c r="W55587" s="503"/>
    </row>
    <row r="55588" spans="23:23">
      <c r="W55588" s="503"/>
    </row>
    <row r="55589" spans="23:23">
      <c r="W55589" s="503"/>
    </row>
    <row r="55590" spans="23:23">
      <c r="W55590" s="503"/>
    </row>
    <row r="55591" spans="23:23">
      <c r="W55591" s="503"/>
    </row>
    <row r="55592" spans="23:23">
      <c r="W55592" s="503"/>
    </row>
    <row r="55593" spans="23:23">
      <c r="W55593" s="503"/>
    </row>
    <row r="55594" spans="23:23">
      <c r="W55594" s="503"/>
    </row>
    <row r="55595" spans="23:23">
      <c r="W55595" s="503"/>
    </row>
    <row r="55596" spans="23:23">
      <c r="W55596" s="503"/>
    </row>
    <row r="55597" spans="23:23">
      <c r="W55597" s="503"/>
    </row>
    <row r="55598" spans="23:23">
      <c r="W55598" s="503"/>
    </row>
    <row r="55599" spans="23:23">
      <c r="W55599" s="503"/>
    </row>
    <row r="55600" spans="23:23">
      <c r="W55600" s="503"/>
    </row>
    <row r="55601" spans="23:23">
      <c r="W55601" s="503"/>
    </row>
    <row r="55602" spans="23:23">
      <c r="W55602" s="503"/>
    </row>
    <row r="55603" spans="23:23">
      <c r="W55603" s="503"/>
    </row>
    <row r="55604" spans="23:23">
      <c r="W55604" s="503"/>
    </row>
    <row r="55605" spans="23:23">
      <c r="W55605" s="503"/>
    </row>
    <row r="55606" spans="23:23">
      <c r="W55606" s="503"/>
    </row>
    <row r="55607" spans="23:23">
      <c r="W55607" s="503"/>
    </row>
    <row r="55608" spans="23:23">
      <c r="W55608" s="503"/>
    </row>
    <row r="55609" spans="23:23">
      <c r="W55609" s="503"/>
    </row>
    <row r="55610" spans="23:23">
      <c r="W55610" s="503"/>
    </row>
    <row r="55611" spans="23:23">
      <c r="W55611" s="503"/>
    </row>
    <row r="55612" spans="23:23">
      <c r="W55612" s="503"/>
    </row>
    <row r="55613" spans="23:23">
      <c r="W55613" s="503"/>
    </row>
    <row r="55614" spans="23:23">
      <c r="W55614" s="503"/>
    </row>
    <row r="55615" spans="23:23">
      <c r="W55615" s="503"/>
    </row>
    <row r="55616" spans="23:23">
      <c r="W55616" s="503"/>
    </row>
    <row r="55617" spans="23:23">
      <c r="W55617" s="503"/>
    </row>
    <row r="55618" spans="23:23">
      <c r="W55618" s="503"/>
    </row>
    <row r="55619" spans="23:23">
      <c r="W55619" s="503"/>
    </row>
    <row r="55620" spans="23:23">
      <c r="W55620" s="503"/>
    </row>
    <row r="55621" spans="23:23">
      <c r="W55621" s="503"/>
    </row>
    <row r="55622" spans="23:23">
      <c r="W55622" s="503"/>
    </row>
    <row r="55623" spans="23:23">
      <c r="W55623" s="503"/>
    </row>
    <row r="55624" spans="23:23">
      <c r="W55624" s="503"/>
    </row>
    <row r="55625" spans="23:23">
      <c r="W55625" s="503"/>
    </row>
    <row r="55626" spans="23:23">
      <c r="W55626" s="503"/>
    </row>
    <row r="55627" spans="23:23">
      <c r="W55627" s="503"/>
    </row>
    <row r="55628" spans="23:23">
      <c r="W55628" s="503"/>
    </row>
    <row r="55629" spans="23:23">
      <c r="W55629" s="503"/>
    </row>
    <row r="55630" spans="23:23">
      <c r="W55630" s="503"/>
    </row>
    <row r="55631" spans="23:23">
      <c r="W55631" s="503"/>
    </row>
    <row r="55632" spans="23:23">
      <c r="W55632" s="503"/>
    </row>
    <row r="55633" spans="23:23">
      <c r="W55633" s="503"/>
    </row>
    <row r="55634" spans="23:23">
      <c r="W55634" s="503"/>
    </row>
    <row r="55635" spans="23:23">
      <c r="W55635" s="503"/>
    </row>
    <row r="55636" spans="23:23">
      <c r="W55636" s="503"/>
    </row>
    <row r="55637" spans="23:23">
      <c r="W55637" s="503"/>
    </row>
    <row r="55638" spans="23:23">
      <c r="W55638" s="503"/>
    </row>
    <row r="55639" spans="23:23">
      <c r="W55639" s="503"/>
    </row>
    <row r="55640" spans="23:23">
      <c r="W55640" s="503"/>
    </row>
    <row r="55641" spans="23:23">
      <c r="W55641" s="503"/>
    </row>
    <row r="55642" spans="23:23">
      <c r="W55642" s="503"/>
    </row>
    <row r="55643" spans="23:23">
      <c r="W55643" s="503"/>
    </row>
    <row r="55644" spans="23:23">
      <c r="W55644" s="503"/>
    </row>
    <row r="55645" spans="23:23">
      <c r="W55645" s="503"/>
    </row>
    <row r="55646" spans="23:23">
      <c r="W55646" s="503"/>
    </row>
    <row r="55647" spans="23:23">
      <c r="W55647" s="503"/>
    </row>
    <row r="55648" spans="23:23">
      <c r="W55648" s="503"/>
    </row>
    <row r="55649" spans="23:23">
      <c r="W55649" s="503"/>
    </row>
    <row r="55650" spans="23:23">
      <c r="W55650" s="503"/>
    </row>
    <row r="55651" spans="23:23">
      <c r="W55651" s="503"/>
    </row>
    <row r="55652" spans="23:23">
      <c r="W55652" s="503"/>
    </row>
    <row r="55653" spans="23:23">
      <c r="W55653" s="503"/>
    </row>
    <row r="55654" spans="23:23">
      <c r="W55654" s="503"/>
    </row>
    <row r="55655" spans="23:23">
      <c r="W55655" s="503"/>
    </row>
    <row r="55656" spans="23:23">
      <c r="W55656" s="503"/>
    </row>
    <row r="55657" spans="23:23">
      <c r="W55657" s="503"/>
    </row>
    <row r="55658" spans="23:23">
      <c r="W55658" s="503"/>
    </row>
    <row r="55659" spans="23:23">
      <c r="W55659" s="503"/>
    </row>
    <row r="55660" spans="23:23">
      <c r="W55660" s="503"/>
    </row>
    <row r="55661" spans="23:23">
      <c r="W55661" s="503"/>
    </row>
    <row r="55662" spans="23:23">
      <c r="W55662" s="503"/>
    </row>
    <row r="55663" spans="23:23">
      <c r="W55663" s="503"/>
    </row>
    <row r="55664" spans="23:23">
      <c r="W55664" s="503"/>
    </row>
    <row r="55665" spans="23:23">
      <c r="W55665" s="503"/>
    </row>
    <row r="55666" spans="23:23">
      <c r="W55666" s="503"/>
    </row>
    <row r="55667" spans="23:23">
      <c r="W55667" s="503"/>
    </row>
    <row r="55668" spans="23:23">
      <c r="W55668" s="503"/>
    </row>
    <row r="55669" spans="23:23">
      <c r="W55669" s="503"/>
    </row>
    <row r="55670" spans="23:23">
      <c r="W55670" s="503"/>
    </row>
    <row r="55671" spans="23:23">
      <c r="W55671" s="503"/>
    </row>
    <row r="55672" spans="23:23">
      <c r="W55672" s="503"/>
    </row>
    <row r="55673" spans="23:23">
      <c r="W55673" s="503"/>
    </row>
    <row r="55674" spans="23:23">
      <c r="W55674" s="503"/>
    </row>
    <row r="55675" spans="23:23">
      <c r="W55675" s="503"/>
    </row>
    <row r="55676" spans="23:23">
      <c r="W55676" s="503"/>
    </row>
    <row r="55677" spans="23:23">
      <c r="W55677" s="503"/>
    </row>
    <row r="55678" spans="23:23">
      <c r="W55678" s="503"/>
    </row>
    <row r="55679" spans="23:23">
      <c r="W55679" s="503"/>
    </row>
    <row r="55680" spans="23:23">
      <c r="W55680" s="503"/>
    </row>
    <row r="55681" spans="23:23">
      <c r="W55681" s="503"/>
    </row>
    <row r="55682" spans="23:23">
      <c r="W55682" s="503"/>
    </row>
    <row r="55683" spans="23:23">
      <c r="W55683" s="503"/>
    </row>
    <row r="55684" spans="23:23">
      <c r="W55684" s="503"/>
    </row>
    <row r="55685" spans="23:23">
      <c r="W55685" s="503"/>
    </row>
    <row r="55686" spans="23:23">
      <c r="W55686" s="503"/>
    </row>
    <row r="55687" spans="23:23">
      <c r="W55687" s="503"/>
    </row>
    <row r="55688" spans="23:23">
      <c r="W55688" s="503"/>
    </row>
    <row r="55689" spans="23:23">
      <c r="W55689" s="503"/>
    </row>
    <row r="55690" spans="23:23">
      <c r="W55690" s="503"/>
    </row>
    <row r="55691" spans="23:23">
      <c r="W55691" s="503"/>
    </row>
    <row r="55692" spans="23:23">
      <c r="W55692" s="503"/>
    </row>
    <row r="55693" spans="23:23">
      <c r="W55693" s="503"/>
    </row>
    <row r="55694" spans="23:23">
      <c r="W55694" s="503"/>
    </row>
    <row r="55695" spans="23:23">
      <c r="W55695" s="503"/>
    </row>
    <row r="55696" spans="23:23">
      <c r="W55696" s="503"/>
    </row>
    <row r="55697" spans="23:23">
      <c r="W55697" s="503"/>
    </row>
    <row r="55698" spans="23:23">
      <c r="W55698" s="503"/>
    </row>
    <row r="55699" spans="23:23">
      <c r="W55699" s="503"/>
    </row>
    <row r="55700" spans="23:23">
      <c r="W55700" s="503"/>
    </row>
    <row r="55701" spans="23:23">
      <c r="W55701" s="503"/>
    </row>
    <row r="55702" spans="23:23">
      <c r="W55702" s="503"/>
    </row>
    <row r="55703" spans="23:23">
      <c r="W55703" s="503"/>
    </row>
    <row r="55704" spans="23:23">
      <c r="W55704" s="503"/>
    </row>
    <row r="55705" spans="23:23">
      <c r="W55705" s="503"/>
    </row>
    <row r="55706" spans="23:23">
      <c r="W55706" s="503"/>
    </row>
    <row r="55707" spans="23:23">
      <c r="W55707" s="503"/>
    </row>
    <row r="55708" spans="23:23">
      <c r="W55708" s="503"/>
    </row>
    <row r="55709" spans="23:23">
      <c r="W55709" s="503"/>
    </row>
    <row r="55710" spans="23:23">
      <c r="W55710" s="503"/>
    </row>
    <row r="55711" spans="23:23">
      <c r="W55711" s="503"/>
    </row>
    <row r="55712" spans="23:23">
      <c r="W55712" s="503"/>
    </row>
    <row r="55713" spans="23:23">
      <c r="W55713" s="503"/>
    </row>
    <row r="55714" spans="23:23">
      <c r="W55714" s="503"/>
    </row>
    <row r="55715" spans="23:23">
      <c r="W55715" s="503"/>
    </row>
    <row r="55716" spans="23:23">
      <c r="W55716" s="503"/>
    </row>
    <row r="55717" spans="23:23">
      <c r="W55717" s="503"/>
    </row>
    <row r="55718" spans="23:23">
      <c r="W55718" s="503"/>
    </row>
    <row r="55719" spans="23:23">
      <c r="W55719" s="503"/>
    </row>
    <row r="55720" spans="23:23">
      <c r="W55720" s="503"/>
    </row>
    <row r="55721" spans="23:23">
      <c r="W55721" s="503"/>
    </row>
    <row r="55722" spans="23:23">
      <c r="W55722" s="503"/>
    </row>
    <row r="55723" spans="23:23">
      <c r="W55723" s="503"/>
    </row>
    <row r="55724" spans="23:23">
      <c r="W55724" s="503"/>
    </row>
    <row r="55725" spans="23:23">
      <c r="W55725" s="503"/>
    </row>
    <row r="55726" spans="23:23">
      <c r="W55726" s="503"/>
    </row>
    <row r="55727" spans="23:23">
      <c r="W55727" s="503"/>
    </row>
    <row r="55728" spans="23:23">
      <c r="W55728" s="503"/>
    </row>
    <row r="55729" spans="23:23">
      <c r="W55729" s="503"/>
    </row>
    <row r="55730" spans="23:23">
      <c r="W55730" s="503"/>
    </row>
    <row r="55731" spans="23:23">
      <c r="W55731" s="503"/>
    </row>
    <row r="55732" spans="23:23">
      <c r="W55732" s="503"/>
    </row>
    <row r="55733" spans="23:23">
      <c r="W55733" s="503"/>
    </row>
    <row r="55734" spans="23:23">
      <c r="W55734" s="503"/>
    </row>
    <row r="55735" spans="23:23">
      <c r="W55735" s="503"/>
    </row>
    <row r="55736" spans="23:23">
      <c r="W55736" s="503"/>
    </row>
    <row r="55737" spans="23:23">
      <c r="W55737" s="503"/>
    </row>
    <row r="55738" spans="23:23">
      <c r="W55738" s="503"/>
    </row>
    <row r="55739" spans="23:23">
      <c r="W55739" s="503"/>
    </row>
    <row r="55740" spans="23:23">
      <c r="W55740" s="503"/>
    </row>
    <row r="55741" spans="23:23">
      <c r="W55741" s="503"/>
    </row>
    <row r="55742" spans="23:23">
      <c r="W55742" s="503"/>
    </row>
    <row r="55743" spans="23:23">
      <c r="W55743" s="503"/>
    </row>
    <row r="55744" spans="23:23">
      <c r="W55744" s="503"/>
    </row>
    <row r="55745" spans="23:23">
      <c r="W55745" s="503"/>
    </row>
    <row r="55746" spans="23:23">
      <c r="W55746" s="503"/>
    </row>
    <row r="55747" spans="23:23">
      <c r="W55747" s="503"/>
    </row>
    <row r="55748" spans="23:23">
      <c r="W55748" s="503"/>
    </row>
    <row r="55749" spans="23:23">
      <c r="W55749" s="503"/>
    </row>
    <row r="55750" spans="23:23">
      <c r="W55750" s="503"/>
    </row>
    <row r="55751" spans="23:23">
      <c r="W55751" s="503"/>
    </row>
    <row r="55752" spans="23:23">
      <c r="W55752" s="503"/>
    </row>
    <row r="55753" spans="23:23">
      <c r="W55753" s="503"/>
    </row>
    <row r="55754" spans="23:23">
      <c r="W55754" s="503"/>
    </row>
    <row r="55755" spans="23:23">
      <c r="W55755" s="503"/>
    </row>
    <row r="55756" spans="23:23">
      <c r="W55756" s="503"/>
    </row>
    <row r="55757" spans="23:23">
      <c r="W55757" s="503"/>
    </row>
    <row r="55758" spans="23:23">
      <c r="W55758" s="503"/>
    </row>
    <row r="55759" spans="23:23">
      <c r="W55759" s="503"/>
    </row>
    <row r="55760" spans="23:23">
      <c r="W55760" s="503"/>
    </row>
    <row r="55761" spans="23:23">
      <c r="W55761" s="503"/>
    </row>
    <row r="55762" spans="23:23">
      <c r="W55762" s="503"/>
    </row>
    <row r="55763" spans="23:23">
      <c r="W55763" s="503"/>
    </row>
    <row r="55764" spans="23:23">
      <c r="W55764" s="503"/>
    </row>
    <row r="55765" spans="23:23">
      <c r="W55765" s="503"/>
    </row>
    <row r="55766" spans="23:23">
      <c r="W55766" s="503"/>
    </row>
    <row r="55767" spans="23:23">
      <c r="W55767" s="503"/>
    </row>
    <row r="55768" spans="23:23">
      <c r="W55768" s="503"/>
    </row>
    <row r="55769" spans="23:23">
      <c r="W55769" s="503"/>
    </row>
    <row r="55770" spans="23:23">
      <c r="W55770" s="503"/>
    </row>
    <row r="55771" spans="23:23">
      <c r="W55771" s="503"/>
    </row>
    <row r="55772" spans="23:23">
      <c r="W55772" s="503"/>
    </row>
    <row r="55773" spans="23:23">
      <c r="W55773" s="503"/>
    </row>
    <row r="55774" spans="23:23">
      <c r="W55774" s="503"/>
    </row>
    <row r="55775" spans="23:23">
      <c r="W55775" s="503"/>
    </row>
    <row r="55776" spans="23:23">
      <c r="W55776" s="503"/>
    </row>
    <row r="55777" spans="23:23">
      <c r="W55777" s="503"/>
    </row>
    <row r="55778" spans="23:23">
      <c r="W55778" s="503"/>
    </row>
    <row r="55779" spans="23:23">
      <c r="W55779" s="503"/>
    </row>
    <row r="55780" spans="23:23">
      <c r="W55780" s="503"/>
    </row>
    <row r="55781" spans="23:23">
      <c r="W55781" s="503"/>
    </row>
    <row r="55782" spans="23:23">
      <c r="W55782" s="503"/>
    </row>
    <row r="55783" spans="23:23">
      <c r="W55783" s="503"/>
    </row>
    <row r="55784" spans="23:23">
      <c r="W55784" s="503"/>
    </row>
    <row r="55785" spans="23:23">
      <c r="W55785" s="503"/>
    </row>
    <row r="55786" spans="23:23">
      <c r="W55786" s="503"/>
    </row>
    <row r="55787" spans="23:23">
      <c r="W55787" s="503"/>
    </row>
    <row r="55788" spans="23:23">
      <c r="W55788" s="503"/>
    </row>
    <row r="55789" spans="23:23">
      <c r="W55789" s="503"/>
    </row>
    <row r="55790" spans="23:23">
      <c r="W55790" s="503"/>
    </row>
    <row r="55791" spans="23:23">
      <c r="W55791" s="503"/>
    </row>
    <row r="55792" spans="23:23">
      <c r="W55792" s="503"/>
    </row>
    <row r="55793" spans="23:23">
      <c r="W55793" s="503"/>
    </row>
    <row r="55794" spans="23:23">
      <c r="W55794" s="503"/>
    </row>
    <row r="55795" spans="23:23">
      <c r="W55795" s="503"/>
    </row>
    <row r="55796" spans="23:23">
      <c r="W55796" s="503"/>
    </row>
    <row r="55797" spans="23:23">
      <c r="W55797" s="503"/>
    </row>
    <row r="55798" spans="23:23">
      <c r="W55798" s="503"/>
    </row>
    <row r="55799" spans="23:23">
      <c r="W55799" s="503"/>
    </row>
    <row r="55800" spans="23:23">
      <c r="W55800" s="503"/>
    </row>
    <row r="55801" spans="23:23">
      <c r="W55801" s="503"/>
    </row>
    <row r="55802" spans="23:23">
      <c r="W55802" s="503"/>
    </row>
    <row r="55803" spans="23:23">
      <c r="W55803" s="503"/>
    </row>
    <row r="55804" spans="23:23">
      <c r="W55804" s="503"/>
    </row>
    <row r="55805" spans="23:23">
      <c r="W55805" s="503"/>
    </row>
    <row r="55806" spans="23:23">
      <c r="W55806" s="503"/>
    </row>
    <row r="55807" spans="23:23">
      <c r="W55807" s="503"/>
    </row>
    <row r="55808" spans="23:23">
      <c r="W55808" s="503"/>
    </row>
    <row r="55809" spans="23:23">
      <c r="W55809" s="503"/>
    </row>
    <row r="55810" spans="23:23">
      <c r="W55810" s="503"/>
    </row>
    <row r="55811" spans="23:23">
      <c r="W55811" s="503"/>
    </row>
    <row r="55812" spans="23:23">
      <c r="W55812" s="503"/>
    </row>
    <row r="55813" spans="23:23">
      <c r="W55813" s="503"/>
    </row>
    <row r="55814" spans="23:23">
      <c r="W55814" s="503"/>
    </row>
    <row r="55815" spans="23:23">
      <c r="W55815" s="503"/>
    </row>
    <row r="55816" spans="23:23">
      <c r="W55816" s="503"/>
    </row>
    <row r="55817" spans="23:23">
      <c r="W55817" s="503"/>
    </row>
    <row r="55818" spans="23:23">
      <c r="W55818" s="503"/>
    </row>
    <row r="55819" spans="23:23">
      <c r="W55819" s="503"/>
    </row>
    <row r="55820" spans="23:23">
      <c r="W55820" s="503"/>
    </row>
    <row r="55821" spans="23:23">
      <c r="W55821" s="503"/>
    </row>
    <row r="55822" spans="23:23">
      <c r="W55822" s="503"/>
    </row>
    <row r="55823" spans="23:23">
      <c r="W55823" s="503"/>
    </row>
    <row r="55824" spans="23:23">
      <c r="W55824" s="503"/>
    </row>
    <row r="55825" spans="23:23">
      <c r="W55825" s="503"/>
    </row>
    <row r="55826" spans="23:23">
      <c r="W55826" s="503"/>
    </row>
    <row r="55827" spans="23:23">
      <c r="W55827" s="503"/>
    </row>
    <row r="55828" spans="23:23">
      <c r="W55828" s="503"/>
    </row>
    <row r="55829" spans="23:23">
      <c r="W55829" s="503"/>
    </row>
    <row r="55830" spans="23:23">
      <c r="W55830" s="503"/>
    </row>
    <row r="55831" spans="23:23">
      <c r="W55831" s="503"/>
    </row>
    <row r="55832" spans="23:23">
      <c r="W55832" s="503"/>
    </row>
    <row r="55833" spans="23:23">
      <c r="W55833" s="503"/>
    </row>
    <row r="55834" spans="23:23">
      <c r="W55834" s="503"/>
    </row>
    <row r="55835" spans="23:23">
      <c r="W55835" s="503"/>
    </row>
    <row r="55836" spans="23:23">
      <c r="W55836" s="503"/>
    </row>
    <row r="55837" spans="23:23">
      <c r="W55837" s="503"/>
    </row>
    <row r="55838" spans="23:23">
      <c r="W55838" s="503"/>
    </row>
    <row r="55839" spans="23:23">
      <c r="W55839" s="503"/>
    </row>
    <row r="55840" spans="23:23">
      <c r="W55840" s="503"/>
    </row>
    <row r="55841" spans="23:23">
      <c r="W55841" s="503"/>
    </row>
    <row r="55842" spans="23:23">
      <c r="W55842" s="503"/>
    </row>
    <row r="55843" spans="23:23">
      <c r="W55843" s="503"/>
    </row>
    <row r="55844" spans="23:23">
      <c r="W55844" s="503"/>
    </row>
    <row r="55845" spans="23:23">
      <c r="W55845" s="503"/>
    </row>
    <row r="55846" spans="23:23">
      <c r="W55846" s="503"/>
    </row>
    <row r="55847" spans="23:23">
      <c r="W55847" s="503"/>
    </row>
    <row r="55848" spans="23:23">
      <c r="W55848" s="503"/>
    </row>
    <row r="55849" spans="23:23">
      <c r="W55849" s="503"/>
    </row>
    <row r="55850" spans="23:23">
      <c r="W55850" s="503"/>
    </row>
    <row r="55851" spans="23:23">
      <c r="W55851" s="503"/>
    </row>
    <row r="55852" spans="23:23">
      <c r="W55852" s="503"/>
    </row>
    <row r="55853" spans="23:23">
      <c r="W55853" s="503"/>
    </row>
    <row r="55854" spans="23:23">
      <c r="W55854" s="503"/>
    </row>
    <row r="55855" spans="23:23">
      <c r="W55855" s="503"/>
    </row>
    <row r="55856" spans="23:23">
      <c r="W55856" s="503"/>
    </row>
    <row r="55857" spans="23:23">
      <c r="W55857" s="503"/>
    </row>
    <row r="55858" spans="23:23">
      <c r="W55858" s="503"/>
    </row>
    <row r="55859" spans="23:23">
      <c r="W55859" s="503"/>
    </row>
    <row r="55860" spans="23:23">
      <c r="W55860" s="503"/>
    </row>
    <row r="55861" spans="23:23">
      <c r="W55861" s="503"/>
    </row>
    <row r="55862" spans="23:23">
      <c r="W55862" s="503"/>
    </row>
    <row r="55863" spans="23:23">
      <c r="W55863" s="503"/>
    </row>
    <row r="55864" spans="23:23">
      <c r="W55864" s="503"/>
    </row>
    <row r="55865" spans="23:23">
      <c r="W55865" s="503"/>
    </row>
    <row r="55866" spans="23:23">
      <c r="W55866" s="503"/>
    </row>
    <row r="55867" spans="23:23">
      <c r="W55867" s="503"/>
    </row>
    <row r="55868" spans="23:23">
      <c r="W55868" s="503"/>
    </row>
    <row r="55869" spans="23:23">
      <c r="W55869" s="503"/>
    </row>
    <row r="55870" spans="23:23">
      <c r="W55870" s="503"/>
    </row>
    <row r="55871" spans="23:23">
      <c r="W55871" s="503"/>
    </row>
    <row r="55872" spans="23:23">
      <c r="W55872" s="503"/>
    </row>
    <row r="55873" spans="23:23">
      <c r="W55873" s="503"/>
    </row>
    <row r="55874" spans="23:23">
      <c r="W55874" s="503"/>
    </row>
    <row r="55875" spans="23:23">
      <c r="W55875" s="503"/>
    </row>
    <row r="55876" spans="23:23">
      <c r="W55876" s="503"/>
    </row>
    <row r="55877" spans="23:23">
      <c r="W55877" s="503"/>
    </row>
    <row r="55878" spans="23:23">
      <c r="W55878" s="503"/>
    </row>
    <row r="55879" spans="23:23">
      <c r="W55879" s="503"/>
    </row>
    <row r="55880" spans="23:23">
      <c r="W55880" s="503"/>
    </row>
    <row r="55881" spans="23:23">
      <c r="W55881" s="503"/>
    </row>
    <row r="55882" spans="23:23">
      <c r="W55882" s="503"/>
    </row>
    <row r="55883" spans="23:23">
      <c r="W55883" s="503"/>
    </row>
    <row r="55884" spans="23:23">
      <c r="W55884" s="503"/>
    </row>
    <row r="55885" spans="23:23">
      <c r="W55885" s="503"/>
    </row>
    <row r="55886" spans="23:23">
      <c r="W55886" s="503"/>
    </row>
    <row r="55887" spans="23:23">
      <c r="W55887" s="503"/>
    </row>
    <row r="55888" spans="23:23">
      <c r="W55888" s="503"/>
    </row>
    <row r="55889" spans="23:23">
      <c r="W55889" s="503"/>
    </row>
    <row r="55890" spans="23:23">
      <c r="W55890" s="503"/>
    </row>
    <row r="55891" spans="23:23">
      <c r="W55891" s="503"/>
    </row>
    <row r="55892" spans="23:23">
      <c r="W55892" s="503"/>
    </row>
    <row r="55893" spans="23:23">
      <c r="W55893" s="503"/>
    </row>
    <row r="55894" spans="23:23">
      <c r="W55894" s="503"/>
    </row>
    <row r="55895" spans="23:23">
      <c r="W55895" s="503"/>
    </row>
    <row r="55896" spans="23:23">
      <c r="W55896" s="503"/>
    </row>
    <row r="55897" spans="23:23">
      <c r="W55897" s="503"/>
    </row>
    <row r="55898" spans="23:23">
      <c r="W55898" s="503"/>
    </row>
    <row r="55899" spans="23:23">
      <c r="W55899" s="503"/>
    </row>
    <row r="55900" spans="23:23">
      <c r="W55900" s="503"/>
    </row>
    <row r="55901" spans="23:23">
      <c r="W55901" s="503"/>
    </row>
    <row r="55902" spans="23:23">
      <c r="W55902" s="503"/>
    </row>
    <row r="55903" spans="23:23">
      <c r="W55903" s="503"/>
    </row>
    <row r="55904" spans="23:23">
      <c r="W55904" s="503"/>
    </row>
    <row r="55905" spans="23:23">
      <c r="W55905" s="503"/>
    </row>
    <row r="55906" spans="23:23">
      <c r="W55906" s="503"/>
    </row>
    <row r="55907" spans="23:23">
      <c r="W55907" s="503"/>
    </row>
    <row r="55908" spans="23:23">
      <c r="W55908" s="503"/>
    </row>
    <row r="55909" spans="23:23">
      <c r="W55909" s="503"/>
    </row>
    <row r="55910" spans="23:23">
      <c r="W55910" s="503"/>
    </row>
    <row r="55911" spans="23:23">
      <c r="W55911" s="503"/>
    </row>
    <row r="55912" spans="23:23">
      <c r="W55912" s="503"/>
    </row>
    <row r="55913" spans="23:23">
      <c r="W55913" s="503"/>
    </row>
    <row r="55914" spans="23:23">
      <c r="W55914" s="503"/>
    </row>
    <row r="55915" spans="23:23">
      <c r="W55915" s="503"/>
    </row>
    <row r="55916" spans="23:23">
      <c r="W55916" s="503"/>
    </row>
    <row r="55917" spans="23:23">
      <c r="W55917" s="503"/>
    </row>
    <row r="55918" spans="23:23">
      <c r="W55918" s="503"/>
    </row>
    <row r="55919" spans="23:23">
      <c r="W55919" s="503"/>
    </row>
    <row r="55920" spans="23:23">
      <c r="W55920" s="503"/>
    </row>
    <row r="55921" spans="23:23">
      <c r="W55921" s="503"/>
    </row>
    <row r="55922" spans="23:23">
      <c r="W55922" s="503"/>
    </row>
    <row r="55923" spans="23:23">
      <c r="W55923" s="503"/>
    </row>
    <row r="55924" spans="23:23">
      <c r="W55924" s="503"/>
    </row>
    <row r="55925" spans="23:23">
      <c r="W55925" s="503"/>
    </row>
    <row r="55926" spans="23:23">
      <c r="W55926" s="503"/>
    </row>
    <row r="55927" spans="23:23">
      <c r="W55927" s="503"/>
    </row>
    <row r="55928" spans="23:23">
      <c r="W55928" s="503"/>
    </row>
    <row r="55929" spans="23:23">
      <c r="W55929" s="503"/>
    </row>
    <row r="55930" spans="23:23">
      <c r="W55930" s="503"/>
    </row>
    <row r="55931" spans="23:23">
      <c r="W55931" s="503"/>
    </row>
    <row r="55932" spans="23:23">
      <c r="W55932" s="503"/>
    </row>
    <row r="55933" spans="23:23">
      <c r="W55933" s="503"/>
    </row>
    <row r="55934" spans="23:23">
      <c r="W55934" s="503"/>
    </row>
    <row r="55935" spans="23:23">
      <c r="W55935" s="503"/>
    </row>
    <row r="55936" spans="23:23">
      <c r="W55936" s="503"/>
    </row>
    <row r="55937" spans="23:23">
      <c r="W55937" s="503"/>
    </row>
    <row r="55938" spans="23:23">
      <c r="W55938" s="503"/>
    </row>
    <row r="55939" spans="23:23">
      <c r="W55939" s="503"/>
    </row>
    <row r="55940" spans="23:23">
      <c r="W55940" s="503"/>
    </row>
    <row r="55941" spans="23:23">
      <c r="W55941" s="503"/>
    </row>
    <row r="55942" spans="23:23">
      <c r="W55942" s="503"/>
    </row>
    <row r="55943" spans="23:23">
      <c r="W55943" s="503"/>
    </row>
    <row r="55944" spans="23:23">
      <c r="W55944" s="503"/>
    </row>
    <row r="55945" spans="23:23">
      <c r="W55945" s="503"/>
    </row>
    <row r="55946" spans="23:23">
      <c r="W55946" s="503"/>
    </row>
    <row r="55947" spans="23:23">
      <c r="W55947" s="503"/>
    </row>
    <row r="55948" spans="23:23">
      <c r="W55948" s="503"/>
    </row>
    <row r="55949" spans="23:23">
      <c r="W55949" s="503"/>
    </row>
    <row r="55950" spans="23:23">
      <c r="W55950" s="503"/>
    </row>
    <row r="55951" spans="23:23">
      <c r="W55951" s="503"/>
    </row>
    <row r="55952" spans="23:23">
      <c r="W55952" s="503"/>
    </row>
    <row r="55953" spans="23:23">
      <c r="W55953" s="503"/>
    </row>
    <row r="55954" spans="23:23">
      <c r="W55954" s="503"/>
    </row>
    <row r="55955" spans="23:23">
      <c r="W55955" s="503"/>
    </row>
    <row r="55956" spans="23:23">
      <c r="W55956" s="503"/>
    </row>
    <row r="55957" spans="23:23">
      <c r="W55957" s="503"/>
    </row>
    <row r="55958" spans="23:23">
      <c r="W55958" s="503"/>
    </row>
    <row r="55959" spans="23:23">
      <c r="W55959" s="503"/>
    </row>
    <row r="55960" spans="23:23">
      <c r="W55960" s="503"/>
    </row>
    <row r="55961" spans="23:23">
      <c r="W55961" s="503"/>
    </row>
    <row r="55962" spans="23:23">
      <c r="W55962" s="503"/>
    </row>
    <row r="55963" spans="23:23">
      <c r="W55963" s="503"/>
    </row>
    <row r="55964" spans="23:23">
      <c r="W55964" s="503"/>
    </row>
    <row r="55965" spans="23:23">
      <c r="W55965" s="503"/>
    </row>
    <row r="55966" spans="23:23">
      <c r="W55966" s="503"/>
    </row>
    <row r="55967" spans="23:23">
      <c r="W55967" s="503"/>
    </row>
    <row r="55968" spans="23:23">
      <c r="W55968" s="503"/>
    </row>
    <row r="55969" spans="23:23">
      <c r="W55969" s="503"/>
    </row>
    <row r="55970" spans="23:23">
      <c r="W55970" s="503"/>
    </row>
    <row r="55971" spans="23:23">
      <c r="W55971" s="503"/>
    </row>
    <row r="55972" spans="23:23">
      <c r="W55972" s="503"/>
    </row>
    <row r="55973" spans="23:23">
      <c r="W55973" s="503"/>
    </row>
    <row r="55974" spans="23:23">
      <c r="W55974" s="503"/>
    </row>
    <row r="55975" spans="23:23">
      <c r="W55975" s="503"/>
    </row>
    <row r="55976" spans="23:23">
      <c r="W55976" s="503"/>
    </row>
    <row r="55977" spans="23:23">
      <c r="W55977" s="503"/>
    </row>
    <row r="55978" spans="23:23">
      <c r="W55978" s="503"/>
    </row>
    <row r="55979" spans="23:23">
      <c r="W55979" s="503"/>
    </row>
    <row r="55980" spans="23:23">
      <c r="W55980" s="503"/>
    </row>
    <row r="55981" spans="23:23">
      <c r="W55981" s="503"/>
    </row>
    <row r="55982" spans="23:23">
      <c r="W55982" s="503"/>
    </row>
    <row r="55983" spans="23:23">
      <c r="W55983" s="503"/>
    </row>
    <row r="55984" spans="23:23">
      <c r="W55984" s="503"/>
    </row>
    <row r="55985" spans="23:23">
      <c r="W55985" s="503"/>
    </row>
    <row r="55986" spans="23:23">
      <c r="W55986" s="503"/>
    </row>
    <row r="55987" spans="23:23">
      <c r="W55987" s="503"/>
    </row>
    <row r="55988" spans="23:23">
      <c r="W55988" s="503"/>
    </row>
    <row r="55989" spans="23:23">
      <c r="W55989" s="503"/>
    </row>
    <row r="55990" spans="23:23">
      <c r="W55990" s="503"/>
    </row>
    <row r="55991" spans="23:23">
      <c r="W55991" s="503"/>
    </row>
    <row r="55992" spans="23:23">
      <c r="W55992" s="503"/>
    </row>
    <row r="55993" spans="23:23">
      <c r="W55993" s="503"/>
    </row>
    <row r="55994" spans="23:23">
      <c r="W55994" s="503"/>
    </row>
    <row r="55995" spans="23:23">
      <c r="W55995" s="503"/>
    </row>
    <row r="55996" spans="23:23">
      <c r="W55996" s="503"/>
    </row>
    <row r="55997" spans="23:23">
      <c r="W55997" s="503"/>
    </row>
    <row r="55998" spans="23:23">
      <c r="W55998" s="503"/>
    </row>
    <row r="55999" spans="23:23">
      <c r="W55999" s="503"/>
    </row>
    <row r="56000" spans="23:23">
      <c r="W56000" s="503"/>
    </row>
    <row r="56001" spans="23:23">
      <c r="W56001" s="503"/>
    </row>
    <row r="56002" spans="23:23">
      <c r="W56002" s="503"/>
    </row>
    <row r="56003" spans="23:23">
      <c r="W56003" s="503"/>
    </row>
    <row r="56004" spans="23:23">
      <c r="W56004" s="503"/>
    </row>
    <row r="56005" spans="23:23">
      <c r="W56005" s="503"/>
    </row>
    <row r="56006" spans="23:23">
      <c r="W56006" s="503"/>
    </row>
    <row r="56007" spans="23:23">
      <c r="W56007" s="503"/>
    </row>
    <row r="56008" spans="23:23">
      <c r="W56008" s="503"/>
    </row>
    <row r="56009" spans="23:23">
      <c r="W56009" s="503"/>
    </row>
    <row r="56010" spans="23:23">
      <c r="W56010" s="503"/>
    </row>
    <row r="56011" spans="23:23">
      <c r="W56011" s="503"/>
    </row>
    <row r="56012" spans="23:23">
      <c r="W56012" s="503"/>
    </row>
    <row r="56013" spans="23:23">
      <c r="W56013" s="503"/>
    </row>
    <row r="56014" spans="23:23">
      <c r="W56014" s="503"/>
    </row>
    <row r="56015" spans="23:23">
      <c r="W56015" s="503"/>
    </row>
    <row r="56016" spans="23:23">
      <c r="W56016" s="503"/>
    </row>
    <row r="56017" spans="23:23">
      <c r="W56017" s="503"/>
    </row>
    <row r="56018" spans="23:23">
      <c r="W56018" s="503"/>
    </row>
    <row r="56019" spans="23:23">
      <c r="W56019" s="503"/>
    </row>
    <row r="56020" spans="23:23">
      <c r="W56020" s="503"/>
    </row>
    <row r="56021" spans="23:23">
      <c r="W56021" s="503"/>
    </row>
    <row r="56022" spans="23:23">
      <c r="W56022" s="503"/>
    </row>
    <row r="56023" spans="23:23">
      <c r="W56023" s="503"/>
    </row>
    <row r="56024" spans="23:23">
      <c r="W56024" s="503"/>
    </row>
    <row r="56025" spans="23:23">
      <c r="W56025" s="503"/>
    </row>
    <row r="56026" spans="23:23">
      <c r="W56026" s="503"/>
    </row>
    <row r="56027" spans="23:23">
      <c r="W56027" s="503"/>
    </row>
    <row r="56028" spans="23:23">
      <c r="W56028" s="503"/>
    </row>
    <row r="56029" spans="23:23">
      <c r="W56029" s="503"/>
    </row>
    <row r="56030" spans="23:23">
      <c r="W56030" s="503"/>
    </row>
    <row r="56031" spans="23:23">
      <c r="W56031" s="503"/>
    </row>
    <row r="56032" spans="23:23">
      <c r="W56032" s="503"/>
    </row>
    <row r="56033" spans="23:23">
      <c r="W56033" s="503"/>
    </row>
    <row r="56034" spans="23:23">
      <c r="W56034" s="503"/>
    </row>
    <row r="56035" spans="23:23">
      <c r="W56035" s="503"/>
    </row>
    <row r="56036" spans="23:23">
      <c r="W56036" s="503"/>
    </row>
    <row r="56037" spans="23:23">
      <c r="W56037" s="503"/>
    </row>
    <row r="56038" spans="23:23">
      <c r="W56038" s="503"/>
    </row>
    <row r="56039" spans="23:23">
      <c r="W56039" s="503"/>
    </row>
    <row r="56040" spans="23:23">
      <c r="W56040" s="503"/>
    </row>
    <row r="56041" spans="23:23">
      <c r="W56041" s="503"/>
    </row>
    <row r="56042" spans="23:23">
      <c r="W56042" s="503"/>
    </row>
    <row r="56043" spans="23:23">
      <c r="W56043" s="503"/>
    </row>
    <row r="56044" spans="23:23">
      <c r="W56044" s="503"/>
    </row>
    <row r="56045" spans="23:23">
      <c r="W56045" s="503"/>
    </row>
    <row r="56046" spans="23:23">
      <c r="W56046" s="503"/>
    </row>
    <row r="56047" spans="23:23">
      <c r="W56047" s="503"/>
    </row>
    <row r="56048" spans="23:23">
      <c r="W56048" s="503"/>
    </row>
    <row r="56049" spans="23:23">
      <c r="W56049" s="503"/>
    </row>
    <row r="56050" spans="23:23">
      <c r="W56050" s="503"/>
    </row>
    <row r="56051" spans="23:23">
      <c r="W56051" s="503"/>
    </row>
    <row r="56052" spans="23:23">
      <c r="W56052" s="503"/>
    </row>
    <row r="56053" spans="23:23">
      <c r="W56053" s="503"/>
    </row>
    <row r="56054" spans="23:23">
      <c r="W56054" s="503"/>
    </row>
    <row r="56055" spans="23:23">
      <c r="W56055" s="503"/>
    </row>
    <row r="56056" spans="23:23">
      <c r="W56056" s="503"/>
    </row>
    <row r="56057" spans="23:23">
      <c r="W56057" s="503"/>
    </row>
    <row r="56058" spans="23:23">
      <c r="W56058" s="503"/>
    </row>
    <row r="56059" spans="23:23">
      <c r="W56059" s="503"/>
    </row>
    <row r="56060" spans="23:23">
      <c r="W56060" s="503"/>
    </row>
    <row r="56061" spans="23:23">
      <c r="W56061" s="503"/>
    </row>
    <row r="56062" spans="23:23">
      <c r="W56062" s="503"/>
    </row>
    <row r="56063" spans="23:23">
      <c r="W56063" s="503"/>
    </row>
    <row r="56064" spans="23:23">
      <c r="W56064" s="503"/>
    </row>
    <row r="56065" spans="23:23">
      <c r="W56065" s="503"/>
    </row>
    <row r="56066" spans="23:23">
      <c r="W56066" s="503"/>
    </row>
    <row r="56067" spans="23:23">
      <c r="W56067" s="503"/>
    </row>
    <row r="56068" spans="23:23">
      <c r="W56068" s="503"/>
    </row>
    <row r="56069" spans="23:23">
      <c r="W56069" s="503"/>
    </row>
    <row r="56070" spans="23:23">
      <c r="W56070" s="503"/>
    </row>
    <row r="56071" spans="23:23">
      <c r="W56071" s="503"/>
    </row>
    <row r="56072" spans="23:23">
      <c r="W56072" s="503"/>
    </row>
    <row r="56073" spans="23:23">
      <c r="W56073" s="503"/>
    </row>
    <row r="56074" spans="23:23">
      <c r="W56074" s="503"/>
    </row>
    <row r="56075" spans="23:23">
      <c r="W56075" s="503"/>
    </row>
    <row r="56076" spans="23:23">
      <c r="W56076" s="503"/>
    </row>
    <row r="56077" spans="23:23">
      <c r="W56077" s="503"/>
    </row>
    <row r="56078" spans="23:23">
      <c r="W56078" s="503"/>
    </row>
    <row r="56079" spans="23:23">
      <c r="W56079" s="503"/>
    </row>
    <row r="56080" spans="23:23">
      <c r="W56080" s="503"/>
    </row>
    <row r="56081" spans="23:23">
      <c r="W56081" s="503"/>
    </row>
    <row r="56082" spans="23:23">
      <c r="W56082" s="503"/>
    </row>
    <row r="56083" spans="23:23">
      <c r="W56083" s="503"/>
    </row>
    <row r="56084" spans="23:23">
      <c r="W56084" s="503"/>
    </row>
    <row r="56085" spans="23:23">
      <c r="W56085" s="503"/>
    </row>
    <row r="56086" spans="23:23">
      <c r="W56086" s="503"/>
    </row>
    <row r="56087" spans="23:23">
      <c r="W56087" s="503"/>
    </row>
    <row r="56088" spans="23:23">
      <c r="W56088" s="503"/>
    </row>
    <row r="56089" spans="23:23">
      <c r="W56089" s="503"/>
    </row>
    <row r="56090" spans="23:23">
      <c r="W56090" s="503"/>
    </row>
    <row r="56091" spans="23:23">
      <c r="W56091" s="503"/>
    </row>
    <row r="56092" spans="23:23">
      <c r="W56092" s="503"/>
    </row>
    <row r="56093" spans="23:23">
      <c r="W56093" s="503"/>
    </row>
    <row r="56094" spans="23:23">
      <c r="W56094" s="503"/>
    </row>
    <row r="56095" spans="23:23">
      <c r="W56095" s="503"/>
    </row>
    <row r="56096" spans="23:23">
      <c r="W56096" s="503"/>
    </row>
    <row r="56097" spans="23:23">
      <c r="W56097" s="503"/>
    </row>
    <row r="56098" spans="23:23">
      <c r="W56098" s="503"/>
    </row>
    <row r="56099" spans="23:23">
      <c r="W56099" s="503"/>
    </row>
    <row r="56100" spans="23:23">
      <c r="W56100" s="503"/>
    </row>
    <row r="56101" spans="23:23">
      <c r="W56101" s="503"/>
    </row>
    <row r="56102" spans="23:23">
      <c r="W56102" s="503"/>
    </row>
    <row r="56103" spans="23:23">
      <c r="W56103" s="503"/>
    </row>
    <row r="56104" spans="23:23">
      <c r="W56104" s="503"/>
    </row>
    <row r="56105" spans="23:23">
      <c r="W56105" s="503"/>
    </row>
    <row r="56106" spans="23:23">
      <c r="W56106" s="503"/>
    </row>
    <row r="56107" spans="23:23">
      <c r="W56107" s="503"/>
    </row>
    <row r="56108" spans="23:23">
      <c r="W56108" s="503"/>
    </row>
    <row r="56109" spans="23:23">
      <c r="W56109" s="503"/>
    </row>
    <row r="56110" spans="23:23">
      <c r="W56110" s="503"/>
    </row>
    <row r="56111" spans="23:23">
      <c r="W56111" s="503"/>
    </row>
    <row r="56112" spans="23:23">
      <c r="W56112" s="503"/>
    </row>
    <row r="56113" spans="23:23">
      <c r="W56113" s="503"/>
    </row>
    <row r="56114" spans="23:23">
      <c r="W56114" s="503"/>
    </row>
    <row r="56115" spans="23:23">
      <c r="W56115" s="503"/>
    </row>
    <row r="56116" spans="23:23">
      <c r="W56116" s="503"/>
    </row>
    <row r="56117" spans="23:23">
      <c r="W56117" s="503"/>
    </row>
    <row r="56118" spans="23:23">
      <c r="W56118" s="503"/>
    </row>
    <row r="56119" spans="23:23">
      <c r="W56119" s="503"/>
    </row>
    <row r="56120" spans="23:23">
      <c r="W56120" s="503"/>
    </row>
    <row r="56121" spans="23:23">
      <c r="W56121" s="503"/>
    </row>
    <row r="56122" spans="23:23">
      <c r="W56122" s="503"/>
    </row>
    <row r="56123" spans="23:23">
      <c r="W56123" s="503"/>
    </row>
    <row r="56124" spans="23:23">
      <c r="W56124" s="503"/>
    </row>
    <row r="56125" spans="23:23">
      <c r="W56125" s="503"/>
    </row>
    <row r="56126" spans="23:23">
      <c r="W56126" s="503"/>
    </row>
    <row r="56127" spans="23:23">
      <c r="W56127" s="503"/>
    </row>
    <row r="56128" spans="23:23">
      <c r="W56128" s="503"/>
    </row>
    <row r="56129" spans="23:23">
      <c r="W56129" s="503"/>
    </row>
    <row r="56130" spans="23:23">
      <c r="W56130" s="503"/>
    </row>
    <row r="56131" spans="23:23">
      <c r="W56131" s="503"/>
    </row>
    <row r="56132" spans="23:23">
      <c r="W56132" s="503"/>
    </row>
    <row r="56133" spans="23:23">
      <c r="W56133" s="503"/>
    </row>
    <row r="56134" spans="23:23">
      <c r="W56134" s="503"/>
    </row>
    <row r="56135" spans="23:23">
      <c r="W56135" s="503"/>
    </row>
    <row r="56136" spans="23:23">
      <c r="W56136" s="503"/>
    </row>
    <row r="56137" spans="23:23">
      <c r="W56137" s="503"/>
    </row>
    <row r="56138" spans="23:23">
      <c r="W56138" s="503"/>
    </row>
    <row r="56139" spans="23:23">
      <c r="W56139" s="503"/>
    </row>
    <row r="56140" spans="23:23">
      <c r="W56140" s="503"/>
    </row>
    <row r="56141" spans="23:23">
      <c r="W56141" s="503"/>
    </row>
    <row r="56142" spans="23:23">
      <c r="W56142" s="503"/>
    </row>
    <row r="56143" spans="23:23">
      <c r="W56143" s="503"/>
    </row>
    <row r="56144" spans="23:23">
      <c r="W56144" s="503"/>
    </row>
    <row r="56145" spans="23:23">
      <c r="W56145" s="503"/>
    </row>
    <row r="56146" spans="23:23">
      <c r="W56146" s="503"/>
    </row>
    <row r="56147" spans="23:23">
      <c r="W56147" s="503"/>
    </row>
    <row r="56148" spans="23:23">
      <c r="W56148" s="503"/>
    </row>
    <row r="56149" spans="23:23">
      <c r="W56149" s="503"/>
    </row>
    <row r="56150" spans="23:23">
      <c r="W56150" s="503"/>
    </row>
    <row r="56151" spans="23:23">
      <c r="W56151" s="503"/>
    </row>
    <row r="56152" spans="23:23">
      <c r="W56152" s="503"/>
    </row>
    <row r="56153" spans="23:23">
      <c r="W56153" s="503"/>
    </row>
    <row r="56154" spans="23:23">
      <c r="W56154" s="503"/>
    </row>
    <row r="56155" spans="23:23">
      <c r="W56155" s="503"/>
    </row>
    <row r="56156" spans="23:23">
      <c r="W56156" s="503"/>
    </row>
    <row r="56157" spans="23:23">
      <c r="W56157" s="503"/>
    </row>
    <row r="56158" spans="23:23">
      <c r="W56158" s="503"/>
    </row>
    <row r="56159" spans="23:23">
      <c r="W56159" s="503"/>
    </row>
    <row r="56160" spans="23:23">
      <c r="W56160" s="503"/>
    </row>
    <row r="56161" spans="23:23">
      <c r="W56161" s="503"/>
    </row>
    <row r="56162" spans="23:23">
      <c r="W56162" s="503"/>
    </row>
    <row r="56163" spans="23:23">
      <c r="W56163" s="503"/>
    </row>
    <row r="56164" spans="23:23">
      <c r="W56164" s="503"/>
    </row>
    <row r="56165" spans="23:23">
      <c r="W56165" s="503"/>
    </row>
    <row r="56166" spans="23:23">
      <c r="W56166" s="503"/>
    </row>
    <row r="56167" spans="23:23">
      <c r="W56167" s="503"/>
    </row>
    <row r="56168" spans="23:23">
      <c r="W56168" s="503"/>
    </row>
    <row r="56169" spans="23:23">
      <c r="W56169" s="503"/>
    </row>
    <row r="56170" spans="23:23">
      <c r="W56170" s="503"/>
    </row>
    <row r="56171" spans="23:23">
      <c r="W56171" s="503"/>
    </row>
    <row r="56172" spans="23:23">
      <c r="W56172" s="503"/>
    </row>
    <row r="56173" spans="23:23">
      <c r="W56173" s="503"/>
    </row>
    <row r="56174" spans="23:23">
      <c r="W56174" s="503"/>
    </row>
    <row r="56175" spans="23:23">
      <c r="W56175" s="503"/>
    </row>
    <row r="56176" spans="23:23">
      <c r="W56176" s="503"/>
    </row>
    <row r="56177" spans="23:23">
      <c r="W56177" s="503"/>
    </row>
    <row r="56178" spans="23:23">
      <c r="W56178" s="503"/>
    </row>
    <row r="56179" spans="23:23">
      <c r="W56179" s="503"/>
    </row>
    <row r="56180" spans="23:23">
      <c r="W56180" s="503"/>
    </row>
    <row r="56181" spans="23:23">
      <c r="W56181" s="503"/>
    </row>
    <row r="56182" spans="23:23">
      <c r="W56182" s="503"/>
    </row>
    <row r="56183" spans="23:23">
      <c r="W56183" s="503"/>
    </row>
    <row r="56184" spans="23:23">
      <c r="W56184" s="503"/>
    </row>
    <row r="56185" spans="23:23">
      <c r="W56185" s="503"/>
    </row>
    <row r="56186" spans="23:23">
      <c r="W56186" s="503"/>
    </row>
    <row r="56187" spans="23:23">
      <c r="W56187" s="503"/>
    </row>
    <row r="56188" spans="23:23">
      <c r="W56188" s="503"/>
    </row>
    <row r="56189" spans="23:23">
      <c r="W56189" s="503"/>
    </row>
    <row r="56190" spans="23:23">
      <c r="W56190" s="503"/>
    </row>
    <row r="56191" spans="23:23">
      <c r="W56191" s="503"/>
    </row>
    <row r="56192" spans="23:23">
      <c r="W56192" s="503"/>
    </row>
    <row r="56193" spans="23:23">
      <c r="W56193" s="503"/>
    </row>
    <row r="56194" spans="23:23">
      <c r="W56194" s="503"/>
    </row>
    <row r="56195" spans="23:23">
      <c r="W56195" s="503"/>
    </row>
    <row r="56196" spans="23:23">
      <c r="W56196" s="503"/>
    </row>
    <row r="56197" spans="23:23">
      <c r="W56197" s="503"/>
    </row>
    <row r="56198" spans="23:23">
      <c r="W56198" s="503"/>
    </row>
    <row r="56199" spans="23:23">
      <c r="W56199" s="503"/>
    </row>
    <row r="56200" spans="23:23">
      <c r="W56200" s="503"/>
    </row>
    <row r="56201" spans="23:23">
      <c r="W56201" s="503"/>
    </row>
    <row r="56202" spans="23:23">
      <c r="W56202" s="503"/>
    </row>
    <row r="56203" spans="23:23">
      <c r="W56203" s="503"/>
    </row>
    <row r="56204" spans="23:23">
      <c r="W56204" s="503"/>
    </row>
    <row r="56205" spans="23:23">
      <c r="W56205" s="503"/>
    </row>
    <row r="56206" spans="23:23">
      <c r="W56206" s="503"/>
    </row>
    <row r="56207" spans="23:23">
      <c r="W56207" s="503"/>
    </row>
    <row r="56208" spans="23:23">
      <c r="W56208" s="503"/>
    </row>
    <row r="56209" spans="23:23">
      <c r="W56209" s="503"/>
    </row>
    <row r="56210" spans="23:23">
      <c r="W56210" s="503"/>
    </row>
    <row r="56211" spans="23:23">
      <c r="W56211" s="503"/>
    </row>
    <row r="56212" spans="23:23">
      <c r="W56212" s="503"/>
    </row>
    <row r="56213" spans="23:23">
      <c r="W56213" s="503"/>
    </row>
    <row r="56214" spans="23:23">
      <c r="W56214" s="503"/>
    </row>
    <row r="56215" spans="23:23">
      <c r="W56215" s="503"/>
    </row>
    <row r="56216" spans="23:23">
      <c r="W56216" s="503"/>
    </row>
    <row r="56217" spans="23:23">
      <c r="W56217" s="503"/>
    </row>
    <row r="56218" spans="23:23">
      <c r="W56218" s="503"/>
    </row>
    <row r="56219" spans="23:23">
      <c r="W56219" s="503"/>
    </row>
    <row r="56220" spans="23:23">
      <c r="W56220" s="503"/>
    </row>
    <row r="56221" spans="23:23">
      <c r="W56221" s="503"/>
    </row>
    <row r="56222" spans="23:23">
      <c r="W56222" s="503"/>
    </row>
    <row r="56223" spans="23:23">
      <c r="W56223" s="503"/>
    </row>
    <row r="56224" spans="23:23">
      <c r="W56224" s="503"/>
    </row>
    <row r="56225" spans="23:23">
      <c r="W56225" s="503"/>
    </row>
    <row r="56226" spans="23:23">
      <c r="W56226" s="503"/>
    </row>
    <row r="56227" spans="23:23">
      <c r="W56227" s="503"/>
    </row>
    <row r="56228" spans="23:23">
      <c r="W56228" s="503"/>
    </row>
    <row r="56229" spans="23:23">
      <c r="W56229" s="503"/>
    </row>
    <row r="56230" spans="23:23">
      <c r="W56230" s="503"/>
    </row>
    <row r="56231" spans="23:23">
      <c r="W56231" s="503"/>
    </row>
    <row r="56232" spans="23:23">
      <c r="W56232" s="503"/>
    </row>
    <row r="56233" spans="23:23">
      <c r="W56233" s="503"/>
    </row>
    <row r="56234" spans="23:23">
      <c r="W56234" s="503"/>
    </row>
    <row r="56235" spans="23:23">
      <c r="W56235" s="503"/>
    </row>
    <row r="56236" spans="23:23">
      <c r="W56236" s="503"/>
    </row>
    <row r="56237" spans="23:23">
      <c r="W56237" s="503"/>
    </row>
    <row r="56238" spans="23:23">
      <c r="W56238" s="503"/>
    </row>
    <row r="56239" spans="23:23">
      <c r="W56239" s="503"/>
    </row>
    <row r="56240" spans="23:23">
      <c r="W56240" s="503"/>
    </row>
    <row r="56241" spans="23:23">
      <c r="W56241" s="503"/>
    </row>
    <row r="56242" spans="23:23">
      <c r="W56242" s="503"/>
    </row>
    <row r="56243" spans="23:23">
      <c r="W56243" s="503"/>
    </row>
    <row r="56244" spans="23:23">
      <c r="W56244" s="503"/>
    </row>
    <row r="56245" spans="23:23">
      <c r="W56245" s="503"/>
    </row>
    <row r="56246" spans="23:23">
      <c r="W56246" s="503"/>
    </row>
    <row r="56247" spans="23:23">
      <c r="W56247" s="503"/>
    </row>
    <row r="56248" spans="23:23">
      <c r="W56248" s="503"/>
    </row>
    <row r="56249" spans="23:23">
      <c r="W56249" s="503"/>
    </row>
    <row r="56250" spans="23:23">
      <c r="W56250" s="503"/>
    </row>
    <row r="56251" spans="23:23">
      <c r="W56251" s="503"/>
    </row>
    <row r="56252" spans="23:23">
      <c r="W56252" s="503"/>
    </row>
    <row r="56253" spans="23:23">
      <c r="W56253" s="503"/>
    </row>
    <row r="56254" spans="23:23">
      <c r="W56254" s="503"/>
    </row>
    <row r="56255" spans="23:23">
      <c r="W56255" s="503"/>
    </row>
    <row r="56256" spans="23:23">
      <c r="W56256" s="503"/>
    </row>
    <row r="56257" spans="23:23">
      <c r="W56257" s="503"/>
    </row>
    <row r="56258" spans="23:23">
      <c r="W56258" s="503"/>
    </row>
    <row r="56259" spans="23:23">
      <c r="W56259" s="503"/>
    </row>
    <row r="56260" spans="23:23">
      <c r="W56260" s="503"/>
    </row>
    <row r="56261" spans="23:23">
      <c r="W56261" s="503"/>
    </row>
    <row r="56262" spans="23:23">
      <c r="W56262" s="503"/>
    </row>
    <row r="56263" spans="23:23">
      <c r="W56263" s="503"/>
    </row>
    <row r="56264" spans="23:23">
      <c r="W56264" s="503"/>
    </row>
    <row r="56265" spans="23:23">
      <c r="W56265" s="503"/>
    </row>
    <row r="56266" spans="23:23">
      <c r="W56266" s="503"/>
    </row>
    <row r="56267" spans="23:23">
      <c r="W56267" s="503"/>
    </row>
    <row r="56268" spans="23:23">
      <c r="W56268" s="503"/>
    </row>
    <row r="56269" spans="23:23">
      <c r="W56269" s="503"/>
    </row>
    <row r="56270" spans="23:23">
      <c r="W56270" s="503"/>
    </row>
    <row r="56271" spans="23:23">
      <c r="W56271" s="503"/>
    </row>
    <row r="56272" spans="23:23">
      <c r="W56272" s="503"/>
    </row>
    <row r="56273" spans="23:23">
      <c r="W56273" s="503"/>
    </row>
    <row r="56274" spans="23:23">
      <c r="W56274" s="503"/>
    </row>
    <row r="56275" spans="23:23">
      <c r="W56275" s="503"/>
    </row>
    <row r="56276" spans="23:23">
      <c r="W56276" s="503"/>
    </row>
    <row r="56277" spans="23:23">
      <c r="W56277" s="503"/>
    </row>
    <row r="56278" spans="23:23">
      <c r="W56278" s="503"/>
    </row>
    <row r="56279" spans="23:23">
      <c r="W56279" s="503"/>
    </row>
    <row r="56280" spans="23:23">
      <c r="W56280" s="503"/>
    </row>
    <row r="56281" spans="23:23">
      <c r="W56281" s="503"/>
    </row>
    <row r="56282" spans="23:23">
      <c r="W56282" s="503"/>
    </row>
    <row r="56283" spans="23:23">
      <c r="W56283" s="503"/>
    </row>
    <row r="56284" spans="23:23">
      <c r="W56284" s="503"/>
    </row>
    <row r="56285" spans="23:23">
      <c r="W56285" s="503"/>
    </row>
    <row r="56286" spans="23:23">
      <c r="W56286" s="503"/>
    </row>
    <row r="56287" spans="23:23">
      <c r="W56287" s="503"/>
    </row>
    <row r="56288" spans="23:23">
      <c r="W56288" s="503"/>
    </row>
    <row r="56289" spans="23:23">
      <c r="W56289" s="503"/>
    </row>
    <row r="56290" spans="23:23">
      <c r="W56290" s="503"/>
    </row>
    <row r="56291" spans="23:23">
      <c r="W56291" s="503"/>
    </row>
    <row r="56292" spans="23:23">
      <c r="W56292" s="503"/>
    </row>
    <row r="56293" spans="23:23">
      <c r="W56293" s="503"/>
    </row>
    <row r="56294" spans="23:23">
      <c r="W56294" s="503"/>
    </row>
    <row r="56295" spans="23:23">
      <c r="W56295" s="503"/>
    </row>
    <row r="56296" spans="23:23">
      <c r="W56296" s="503"/>
    </row>
    <row r="56297" spans="23:23">
      <c r="W56297" s="503"/>
    </row>
    <row r="56298" spans="23:23">
      <c r="W56298" s="503"/>
    </row>
    <row r="56299" spans="23:23">
      <c r="W56299" s="503"/>
    </row>
    <row r="56300" spans="23:23">
      <c r="W56300" s="503"/>
    </row>
    <row r="56301" spans="23:23">
      <c r="W56301" s="503"/>
    </row>
    <row r="56302" spans="23:23">
      <c r="W56302" s="503"/>
    </row>
    <row r="56303" spans="23:23">
      <c r="W56303" s="503"/>
    </row>
    <row r="56304" spans="23:23">
      <c r="W56304" s="503"/>
    </row>
    <row r="56305" spans="23:23">
      <c r="W56305" s="503"/>
    </row>
    <row r="56306" spans="23:23">
      <c r="W56306" s="503"/>
    </row>
    <row r="56307" spans="23:23">
      <c r="W56307" s="503"/>
    </row>
    <row r="56308" spans="23:23">
      <c r="W56308" s="503"/>
    </row>
    <row r="56309" spans="23:23">
      <c r="W56309" s="503"/>
    </row>
    <row r="56310" spans="23:23">
      <c r="W56310" s="503"/>
    </row>
    <row r="56311" spans="23:23">
      <c r="W56311" s="503"/>
    </row>
    <row r="56312" spans="23:23">
      <c r="W56312" s="503"/>
    </row>
    <row r="56313" spans="23:23">
      <c r="W56313" s="503"/>
    </row>
    <row r="56314" spans="23:23">
      <c r="W56314" s="503"/>
    </row>
    <row r="56315" spans="23:23">
      <c r="W56315" s="503"/>
    </row>
    <row r="56316" spans="23:23">
      <c r="W56316" s="503"/>
    </row>
    <row r="56317" spans="23:23">
      <c r="W56317" s="503"/>
    </row>
    <row r="56318" spans="23:23">
      <c r="W56318" s="503"/>
    </row>
    <row r="56319" spans="23:23">
      <c r="W56319" s="503"/>
    </row>
    <row r="56320" spans="23:23">
      <c r="W56320" s="503"/>
    </row>
    <row r="56321" spans="23:23">
      <c r="W56321" s="503"/>
    </row>
    <row r="56322" spans="23:23">
      <c r="W56322" s="503"/>
    </row>
    <row r="56323" spans="23:23">
      <c r="W56323" s="503"/>
    </row>
    <row r="56324" spans="23:23">
      <c r="W56324" s="503"/>
    </row>
    <row r="56325" spans="23:23">
      <c r="W56325" s="503"/>
    </row>
    <row r="56326" spans="23:23">
      <c r="W56326" s="503"/>
    </row>
    <row r="56327" spans="23:23">
      <c r="W56327" s="503"/>
    </row>
    <row r="56328" spans="23:23">
      <c r="W56328" s="503"/>
    </row>
    <row r="56329" spans="23:23">
      <c r="W56329" s="503"/>
    </row>
    <row r="56330" spans="23:23">
      <c r="W56330" s="503"/>
    </row>
    <row r="56331" spans="23:23">
      <c r="W56331" s="503"/>
    </row>
    <row r="56332" spans="23:23">
      <c r="W56332" s="503"/>
    </row>
    <row r="56333" spans="23:23">
      <c r="W56333" s="503"/>
    </row>
    <row r="56334" spans="23:23">
      <c r="W56334" s="503"/>
    </row>
    <row r="56335" spans="23:23">
      <c r="W56335" s="503"/>
    </row>
    <row r="56336" spans="23:23">
      <c r="W56336" s="503"/>
    </row>
    <row r="56337" spans="23:23">
      <c r="W56337" s="503"/>
    </row>
    <row r="56338" spans="23:23">
      <c r="W56338" s="503"/>
    </row>
    <row r="56339" spans="23:23">
      <c r="W56339" s="503"/>
    </row>
    <row r="56340" spans="23:23">
      <c r="W56340" s="503"/>
    </row>
    <row r="56341" spans="23:23">
      <c r="W56341" s="503"/>
    </row>
    <row r="56342" spans="23:23">
      <c r="W56342" s="503"/>
    </row>
    <row r="56343" spans="23:23">
      <c r="W56343" s="503"/>
    </row>
    <row r="56344" spans="23:23">
      <c r="W56344" s="503"/>
    </row>
    <row r="56345" spans="23:23">
      <c r="W56345" s="503"/>
    </row>
    <row r="56346" spans="23:23">
      <c r="W56346" s="503"/>
    </row>
    <row r="56347" spans="23:23">
      <c r="W56347" s="503"/>
    </row>
    <row r="56348" spans="23:23">
      <c r="W56348" s="503"/>
    </row>
    <row r="56349" spans="23:23">
      <c r="W56349" s="503"/>
    </row>
    <row r="56350" spans="23:23">
      <c r="W56350" s="503"/>
    </row>
    <row r="56351" spans="23:23">
      <c r="W56351" s="503"/>
    </row>
    <row r="56352" spans="23:23">
      <c r="W56352" s="503"/>
    </row>
    <row r="56353" spans="23:23">
      <c r="W56353" s="503"/>
    </row>
    <row r="56354" spans="23:23">
      <c r="W56354" s="503"/>
    </row>
    <row r="56355" spans="23:23">
      <c r="W56355" s="503"/>
    </row>
    <row r="56356" spans="23:23">
      <c r="W56356" s="503"/>
    </row>
    <row r="56357" spans="23:23">
      <c r="W56357" s="503"/>
    </row>
    <row r="56358" spans="23:23">
      <c r="W56358" s="503"/>
    </row>
    <row r="56359" spans="23:23">
      <c r="W56359" s="503"/>
    </row>
    <row r="56360" spans="23:23">
      <c r="W56360" s="503"/>
    </row>
    <row r="56361" spans="23:23">
      <c r="W56361" s="503"/>
    </row>
    <row r="56362" spans="23:23">
      <c r="W56362" s="503"/>
    </row>
    <row r="56363" spans="23:23">
      <c r="W56363" s="503"/>
    </row>
    <row r="56364" spans="23:23">
      <c r="W56364" s="503"/>
    </row>
    <row r="56365" spans="23:23">
      <c r="W56365" s="503"/>
    </row>
    <row r="56366" spans="23:23">
      <c r="W56366" s="503"/>
    </row>
    <row r="56367" spans="23:23">
      <c r="W56367" s="503"/>
    </row>
    <row r="56368" spans="23:23">
      <c r="W56368" s="503"/>
    </row>
    <row r="56369" spans="23:23">
      <c r="W56369" s="503"/>
    </row>
    <row r="56370" spans="23:23">
      <c r="W56370" s="503"/>
    </row>
    <row r="56371" spans="23:23">
      <c r="W56371" s="503"/>
    </row>
    <row r="56372" spans="23:23">
      <c r="W56372" s="503"/>
    </row>
    <row r="56373" spans="23:23">
      <c r="W56373" s="503"/>
    </row>
    <row r="56374" spans="23:23">
      <c r="W56374" s="503"/>
    </row>
    <row r="56375" spans="23:23">
      <c r="W56375" s="503"/>
    </row>
    <row r="56376" spans="23:23">
      <c r="W56376" s="503"/>
    </row>
    <row r="56377" spans="23:23">
      <c r="W56377" s="503"/>
    </row>
    <row r="56378" spans="23:23">
      <c r="W56378" s="503"/>
    </row>
    <row r="56379" spans="23:23">
      <c r="W56379" s="503"/>
    </row>
    <row r="56380" spans="23:23">
      <c r="W56380" s="503"/>
    </row>
    <row r="56381" spans="23:23">
      <c r="W56381" s="503"/>
    </row>
    <row r="56382" spans="23:23">
      <c r="W56382" s="503"/>
    </row>
    <row r="56383" spans="23:23">
      <c r="W56383" s="503"/>
    </row>
    <row r="56384" spans="23:23">
      <c r="W56384" s="503"/>
    </row>
    <row r="56385" spans="23:23">
      <c r="W56385" s="503"/>
    </row>
    <row r="56386" spans="23:23">
      <c r="W56386" s="503"/>
    </row>
    <row r="56387" spans="23:23">
      <c r="W56387" s="503"/>
    </row>
    <row r="56388" spans="23:23">
      <c r="W56388" s="503"/>
    </row>
    <row r="56389" spans="23:23">
      <c r="W56389" s="503"/>
    </row>
    <row r="56390" spans="23:23">
      <c r="W56390" s="503"/>
    </row>
    <row r="56391" spans="23:23">
      <c r="W56391" s="503"/>
    </row>
    <row r="56392" spans="23:23">
      <c r="W56392" s="503"/>
    </row>
    <row r="56393" spans="23:23">
      <c r="W56393" s="503"/>
    </row>
    <row r="56394" spans="23:23">
      <c r="W56394" s="503"/>
    </row>
    <row r="56395" spans="23:23">
      <c r="W56395" s="503"/>
    </row>
    <row r="56396" spans="23:23">
      <c r="W56396" s="503"/>
    </row>
    <row r="56397" spans="23:23">
      <c r="W56397" s="503"/>
    </row>
    <row r="56398" spans="23:23">
      <c r="W56398" s="503"/>
    </row>
    <row r="56399" spans="23:23">
      <c r="W56399" s="503"/>
    </row>
    <row r="56400" spans="23:23">
      <c r="W56400" s="503"/>
    </row>
    <row r="56401" spans="23:23">
      <c r="W56401" s="503"/>
    </row>
    <row r="56402" spans="23:23">
      <c r="W56402" s="503"/>
    </row>
    <row r="56403" spans="23:23">
      <c r="W56403" s="503"/>
    </row>
    <row r="56404" spans="23:23">
      <c r="W56404" s="503"/>
    </row>
    <row r="56405" spans="23:23">
      <c r="W56405" s="503"/>
    </row>
    <row r="56406" spans="23:23">
      <c r="W56406" s="503"/>
    </row>
    <row r="56407" spans="23:23">
      <c r="W56407" s="503"/>
    </row>
    <row r="56408" spans="23:23">
      <c r="W56408" s="503"/>
    </row>
    <row r="56409" spans="23:23">
      <c r="W56409" s="503"/>
    </row>
    <row r="56410" spans="23:23">
      <c r="W56410" s="503"/>
    </row>
    <row r="56411" spans="23:23">
      <c r="W56411" s="503"/>
    </row>
    <row r="56412" spans="23:23">
      <c r="W56412" s="503"/>
    </row>
    <row r="56413" spans="23:23">
      <c r="W56413" s="503"/>
    </row>
    <row r="56414" spans="23:23">
      <c r="W56414" s="503"/>
    </row>
    <row r="56415" spans="23:23">
      <c r="W56415" s="503"/>
    </row>
    <row r="56416" spans="23:23">
      <c r="W56416" s="503"/>
    </row>
    <row r="56417" spans="23:23">
      <c r="W56417" s="503"/>
    </row>
    <row r="56418" spans="23:23">
      <c r="W56418" s="503"/>
    </row>
    <row r="56419" spans="23:23">
      <c r="W56419" s="503"/>
    </row>
    <row r="56420" spans="23:23">
      <c r="W56420" s="503"/>
    </row>
    <row r="56421" spans="23:23">
      <c r="W56421" s="503"/>
    </row>
    <row r="56422" spans="23:23">
      <c r="W56422" s="503"/>
    </row>
    <row r="56423" spans="23:23">
      <c r="W56423" s="503"/>
    </row>
    <row r="56424" spans="23:23">
      <c r="W56424" s="503"/>
    </row>
    <row r="56425" spans="23:23">
      <c r="W56425" s="503"/>
    </row>
    <row r="56426" spans="23:23">
      <c r="W56426" s="503"/>
    </row>
    <row r="56427" spans="23:23">
      <c r="W56427" s="503"/>
    </row>
    <row r="56428" spans="23:23">
      <c r="W56428" s="503"/>
    </row>
    <row r="56429" spans="23:23">
      <c r="W56429" s="503"/>
    </row>
    <row r="56430" spans="23:23">
      <c r="W56430" s="503"/>
    </row>
    <row r="56431" spans="23:23">
      <c r="W56431" s="503"/>
    </row>
    <row r="56432" spans="23:23">
      <c r="W56432" s="503"/>
    </row>
    <row r="56433" spans="23:23">
      <c r="W56433" s="503"/>
    </row>
    <row r="56434" spans="23:23">
      <c r="W56434" s="503"/>
    </row>
    <row r="56435" spans="23:23">
      <c r="W56435" s="503"/>
    </row>
    <row r="56436" spans="23:23">
      <c r="W56436" s="503"/>
    </row>
    <row r="56437" spans="23:23">
      <c r="W56437" s="503"/>
    </row>
    <row r="56438" spans="23:23">
      <c r="W56438" s="503"/>
    </row>
    <row r="56439" spans="23:23">
      <c r="W56439" s="503"/>
    </row>
    <row r="56440" spans="23:23">
      <c r="W56440" s="503"/>
    </row>
    <row r="56441" spans="23:23">
      <c r="W56441" s="503"/>
    </row>
    <row r="56442" spans="23:23">
      <c r="W56442" s="503"/>
    </row>
    <row r="56443" spans="23:23">
      <c r="W56443" s="503"/>
    </row>
    <row r="56444" spans="23:23">
      <c r="W56444" s="503"/>
    </row>
    <row r="56445" spans="23:23">
      <c r="W56445" s="503"/>
    </row>
    <row r="56446" spans="23:23">
      <c r="W56446" s="503"/>
    </row>
    <row r="56447" spans="23:23">
      <c r="W56447" s="503"/>
    </row>
    <row r="56448" spans="23:23">
      <c r="W56448" s="503"/>
    </row>
    <row r="56449" spans="23:23">
      <c r="W56449" s="503"/>
    </row>
    <row r="56450" spans="23:23">
      <c r="W56450" s="503"/>
    </row>
    <row r="56451" spans="23:23">
      <c r="W56451" s="503"/>
    </row>
    <row r="56452" spans="23:23">
      <c r="W56452" s="503"/>
    </row>
    <row r="56453" spans="23:23">
      <c r="W56453" s="503"/>
    </row>
    <row r="56454" spans="23:23">
      <c r="W56454" s="503"/>
    </row>
    <row r="56455" spans="23:23">
      <c r="W56455" s="503"/>
    </row>
    <row r="56456" spans="23:23">
      <c r="W56456" s="503"/>
    </row>
    <row r="56457" spans="23:23">
      <c r="W56457" s="503"/>
    </row>
    <row r="56458" spans="23:23">
      <c r="W56458" s="503"/>
    </row>
    <row r="56459" spans="23:23">
      <c r="W56459" s="503"/>
    </row>
    <row r="56460" spans="23:23">
      <c r="W56460" s="503"/>
    </row>
    <row r="56461" spans="23:23">
      <c r="W56461" s="503"/>
    </row>
    <row r="56462" spans="23:23">
      <c r="W56462" s="503"/>
    </row>
    <row r="56463" spans="23:23">
      <c r="W56463" s="503"/>
    </row>
    <row r="56464" spans="23:23">
      <c r="W56464" s="503"/>
    </row>
    <row r="56465" spans="23:23">
      <c r="W56465" s="503"/>
    </row>
    <row r="56466" spans="23:23">
      <c r="W56466" s="503"/>
    </row>
    <row r="56467" spans="23:23">
      <c r="W56467" s="503"/>
    </row>
    <row r="56468" spans="23:23">
      <c r="W56468" s="503"/>
    </row>
    <row r="56469" spans="23:23">
      <c r="W56469" s="503"/>
    </row>
    <row r="56470" spans="23:23">
      <c r="W56470" s="503"/>
    </row>
    <row r="56471" spans="23:23">
      <c r="W56471" s="503"/>
    </row>
    <row r="56472" spans="23:23">
      <c r="W56472" s="503"/>
    </row>
    <row r="56473" spans="23:23">
      <c r="W56473" s="503"/>
    </row>
    <row r="56474" spans="23:23">
      <c r="W56474" s="503"/>
    </row>
    <row r="56475" spans="23:23">
      <c r="W56475" s="503"/>
    </row>
    <row r="56476" spans="23:23">
      <c r="W56476" s="503"/>
    </row>
    <row r="56477" spans="23:23">
      <c r="W56477" s="503"/>
    </row>
    <row r="56478" spans="23:23">
      <c r="W56478" s="503"/>
    </row>
    <row r="56479" spans="23:23">
      <c r="W56479" s="503"/>
    </row>
    <row r="56480" spans="23:23">
      <c r="W56480" s="503"/>
    </row>
    <row r="56481" spans="23:23">
      <c r="W56481" s="503"/>
    </row>
    <row r="56482" spans="23:23">
      <c r="W56482" s="503"/>
    </row>
    <row r="56483" spans="23:23">
      <c r="W56483" s="503"/>
    </row>
    <row r="56484" spans="23:23">
      <c r="W56484" s="503"/>
    </row>
    <row r="56485" spans="23:23">
      <c r="W56485" s="503"/>
    </row>
    <row r="56486" spans="23:23">
      <c r="W56486" s="503"/>
    </row>
    <row r="56487" spans="23:23">
      <c r="W56487" s="503"/>
    </row>
    <row r="56488" spans="23:23">
      <c r="W56488" s="503"/>
    </row>
    <row r="56489" spans="23:23">
      <c r="W56489" s="503"/>
    </row>
    <row r="56490" spans="23:23">
      <c r="W56490" s="503"/>
    </row>
    <row r="56491" spans="23:23">
      <c r="W56491" s="503"/>
    </row>
    <row r="56492" spans="23:23">
      <c r="W56492" s="503"/>
    </row>
    <row r="56493" spans="23:23">
      <c r="W56493" s="503"/>
    </row>
    <row r="56494" spans="23:23">
      <c r="W56494" s="503"/>
    </row>
    <row r="56495" spans="23:23">
      <c r="W56495" s="503"/>
    </row>
    <row r="56496" spans="23:23">
      <c r="W56496" s="503"/>
    </row>
    <row r="56497" spans="23:23">
      <c r="W56497" s="503"/>
    </row>
    <row r="56498" spans="23:23">
      <c r="W56498" s="503"/>
    </row>
    <row r="56499" spans="23:23">
      <c r="W56499" s="503"/>
    </row>
    <row r="56500" spans="23:23">
      <c r="W56500" s="503"/>
    </row>
    <row r="56501" spans="23:23">
      <c r="W56501" s="503"/>
    </row>
    <row r="56502" spans="23:23">
      <c r="W56502" s="503"/>
    </row>
    <row r="56503" spans="23:23">
      <c r="W56503" s="503"/>
    </row>
    <row r="56504" spans="23:23">
      <c r="W56504" s="503"/>
    </row>
    <row r="56505" spans="23:23">
      <c r="W56505" s="503"/>
    </row>
    <row r="56506" spans="23:23">
      <c r="W56506" s="503"/>
    </row>
    <row r="56507" spans="23:23">
      <c r="W56507" s="503"/>
    </row>
    <row r="56508" spans="23:23">
      <c r="W56508" s="503"/>
    </row>
    <row r="56509" spans="23:23">
      <c r="W56509" s="503"/>
    </row>
    <row r="56510" spans="23:23">
      <c r="W56510" s="503"/>
    </row>
    <row r="56511" spans="23:23">
      <c r="W56511" s="503"/>
    </row>
    <row r="56512" spans="23:23">
      <c r="W56512" s="503"/>
    </row>
    <row r="56513" spans="23:23">
      <c r="W56513" s="503"/>
    </row>
    <row r="56514" spans="23:23">
      <c r="W56514" s="503"/>
    </row>
    <row r="56515" spans="23:23">
      <c r="W56515" s="503"/>
    </row>
    <row r="56516" spans="23:23">
      <c r="W56516" s="503"/>
    </row>
    <row r="56517" spans="23:23">
      <c r="W56517" s="503"/>
    </row>
    <row r="56518" spans="23:23">
      <c r="W56518" s="503"/>
    </row>
    <row r="56519" spans="23:23">
      <c r="W56519" s="503"/>
    </row>
    <row r="56520" spans="23:23">
      <c r="W56520" s="503"/>
    </row>
    <row r="56521" spans="23:23">
      <c r="W56521" s="503"/>
    </row>
    <row r="56522" spans="23:23">
      <c r="W56522" s="503"/>
    </row>
    <row r="56523" spans="23:23">
      <c r="W56523" s="503"/>
    </row>
    <row r="56524" spans="23:23">
      <c r="W56524" s="503"/>
    </row>
    <row r="56525" spans="23:23">
      <c r="W56525" s="503"/>
    </row>
    <row r="56526" spans="23:23">
      <c r="W56526" s="503"/>
    </row>
    <row r="56527" spans="23:23">
      <c r="W56527" s="503"/>
    </row>
    <row r="56528" spans="23:23">
      <c r="W56528" s="503"/>
    </row>
    <row r="56529" spans="23:23">
      <c r="W56529" s="503"/>
    </row>
    <row r="56530" spans="23:23">
      <c r="W56530" s="503"/>
    </row>
    <row r="56531" spans="23:23">
      <c r="W56531" s="503"/>
    </row>
    <row r="56532" spans="23:23">
      <c r="W56532" s="503"/>
    </row>
    <row r="56533" spans="23:23">
      <c r="W56533" s="503"/>
    </row>
    <row r="56534" spans="23:23">
      <c r="W56534" s="503"/>
    </row>
    <row r="56535" spans="23:23">
      <c r="W56535" s="503"/>
    </row>
    <row r="56536" spans="23:23">
      <c r="W56536" s="503"/>
    </row>
    <row r="56537" spans="23:23">
      <c r="W56537" s="503"/>
    </row>
    <row r="56538" spans="23:23">
      <c r="W56538" s="503"/>
    </row>
    <row r="56539" spans="23:23">
      <c r="W56539" s="503"/>
    </row>
    <row r="56540" spans="23:23">
      <c r="W56540" s="503"/>
    </row>
    <row r="56541" spans="23:23">
      <c r="W56541" s="503"/>
    </row>
    <row r="56542" spans="23:23">
      <c r="W56542" s="503"/>
    </row>
    <row r="56543" spans="23:23">
      <c r="W56543" s="503"/>
    </row>
    <row r="56544" spans="23:23">
      <c r="W56544" s="503"/>
    </row>
    <row r="56545" spans="23:23">
      <c r="W56545" s="503"/>
    </row>
    <row r="56546" spans="23:23">
      <c r="W56546" s="503"/>
    </row>
    <row r="56547" spans="23:23">
      <c r="W56547" s="503"/>
    </row>
    <row r="56548" spans="23:23">
      <c r="W56548" s="503"/>
    </row>
    <row r="56549" spans="23:23">
      <c r="W56549" s="503"/>
    </row>
    <row r="56550" spans="23:23">
      <c r="W56550" s="503"/>
    </row>
    <row r="56551" spans="23:23">
      <c r="W56551" s="503"/>
    </row>
    <row r="56552" spans="23:23">
      <c r="W56552" s="503"/>
    </row>
    <row r="56553" spans="23:23">
      <c r="W56553" s="503"/>
    </row>
    <row r="56554" spans="23:23">
      <c r="W56554" s="503"/>
    </row>
    <row r="56555" spans="23:23">
      <c r="W56555" s="503"/>
    </row>
    <row r="56556" spans="23:23">
      <c r="W56556" s="503"/>
    </row>
    <row r="56557" spans="23:23">
      <c r="W56557" s="503"/>
    </row>
    <row r="56558" spans="23:23">
      <c r="W56558" s="503"/>
    </row>
    <row r="56559" spans="23:23">
      <c r="W56559" s="503"/>
    </row>
    <row r="56560" spans="23:23">
      <c r="W56560" s="503"/>
    </row>
    <row r="56561" spans="23:23">
      <c r="W56561" s="503"/>
    </row>
    <row r="56562" spans="23:23">
      <c r="W56562" s="503"/>
    </row>
    <row r="56563" spans="23:23">
      <c r="W56563" s="503"/>
    </row>
    <row r="56564" spans="23:23">
      <c r="W56564" s="503"/>
    </row>
    <row r="56565" spans="23:23">
      <c r="W56565" s="503"/>
    </row>
    <row r="56566" spans="23:23">
      <c r="W56566" s="503"/>
    </row>
    <row r="56567" spans="23:23">
      <c r="W56567" s="503"/>
    </row>
    <row r="56568" spans="23:23">
      <c r="W56568" s="503"/>
    </row>
    <row r="56569" spans="23:23">
      <c r="W56569" s="503"/>
    </row>
    <row r="56570" spans="23:23">
      <c r="W56570" s="503"/>
    </row>
    <row r="56571" spans="23:23">
      <c r="W56571" s="503"/>
    </row>
    <row r="56572" spans="23:23">
      <c r="W56572" s="503"/>
    </row>
    <row r="56573" spans="23:23">
      <c r="W56573" s="503"/>
    </row>
    <row r="56574" spans="23:23">
      <c r="W56574" s="503"/>
    </row>
    <row r="56575" spans="23:23">
      <c r="W56575" s="503"/>
    </row>
    <row r="56576" spans="23:23">
      <c r="W56576" s="503"/>
    </row>
    <row r="56577" spans="23:23">
      <c r="W56577" s="503"/>
    </row>
    <row r="56578" spans="23:23">
      <c r="W56578" s="503"/>
    </row>
    <row r="56579" spans="23:23">
      <c r="W56579" s="503"/>
    </row>
    <row r="56580" spans="23:23">
      <c r="W56580" s="503"/>
    </row>
    <row r="56581" spans="23:23">
      <c r="W56581" s="503"/>
    </row>
    <row r="56582" spans="23:23">
      <c r="W56582" s="503"/>
    </row>
    <row r="56583" spans="23:23">
      <c r="W56583" s="503"/>
    </row>
    <row r="56584" spans="23:23">
      <c r="W56584" s="503"/>
    </row>
    <row r="56585" spans="23:23">
      <c r="W56585" s="503"/>
    </row>
    <row r="56586" spans="23:23">
      <c r="W56586" s="503"/>
    </row>
    <row r="56587" spans="23:23">
      <c r="W56587" s="503"/>
    </row>
    <row r="56588" spans="23:23">
      <c r="W56588" s="503"/>
    </row>
    <row r="56589" spans="23:23">
      <c r="W56589" s="503"/>
    </row>
    <row r="56590" spans="23:23">
      <c r="W56590" s="503"/>
    </row>
    <row r="56591" spans="23:23">
      <c r="W56591" s="503"/>
    </row>
    <row r="56592" spans="23:23">
      <c r="W56592" s="503"/>
    </row>
    <row r="56593" spans="23:23">
      <c r="W56593" s="503"/>
    </row>
    <row r="56594" spans="23:23">
      <c r="W56594" s="503"/>
    </row>
    <row r="56595" spans="23:23">
      <c r="W56595" s="503"/>
    </row>
    <row r="56596" spans="23:23">
      <c r="W56596" s="503"/>
    </row>
    <row r="56597" spans="23:23">
      <c r="W56597" s="503"/>
    </row>
    <row r="56598" spans="23:23">
      <c r="W56598" s="503"/>
    </row>
    <row r="56599" spans="23:23">
      <c r="W56599" s="503"/>
    </row>
    <row r="56600" spans="23:23">
      <c r="W56600" s="503"/>
    </row>
    <row r="56601" spans="23:23">
      <c r="W56601" s="503"/>
    </row>
    <row r="56602" spans="23:23">
      <c r="W56602" s="503"/>
    </row>
    <row r="56603" spans="23:23">
      <c r="W56603" s="503"/>
    </row>
    <row r="56604" spans="23:23">
      <c r="W56604" s="503"/>
    </row>
    <row r="56605" spans="23:23">
      <c r="W56605" s="503"/>
    </row>
    <row r="56606" spans="23:23">
      <c r="W56606" s="503"/>
    </row>
    <row r="56607" spans="23:23">
      <c r="W56607" s="503"/>
    </row>
    <row r="56608" spans="23:23">
      <c r="W56608" s="503"/>
    </row>
    <row r="56609" spans="23:23">
      <c r="W56609" s="503"/>
    </row>
    <row r="56610" spans="23:23">
      <c r="W56610" s="503"/>
    </row>
    <row r="56611" spans="23:23">
      <c r="W56611" s="503"/>
    </row>
    <row r="56612" spans="23:23">
      <c r="W56612" s="503"/>
    </row>
    <row r="56613" spans="23:23">
      <c r="W56613" s="503"/>
    </row>
    <row r="56614" spans="23:23">
      <c r="W56614" s="503"/>
    </row>
    <row r="56615" spans="23:23">
      <c r="W56615" s="503"/>
    </row>
    <row r="56616" spans="23:23">
      <c r="W56616" s="503"/>
    </row>
    <row r="56617" spans="23:23">
      <c r="W56617" s="503"/>
    </row>
    <row r="56618" spans="23:23">
      <c r="W56618" s="503"/>
    </row>
    <row r="56619" spans="23:23">
      <c r="W56619" s="503"/>
    </row>
    <row r="56620" spans="23:23">
      <c r="W56620" s="503"/>
    </row>
    <row r="56621" spans="23:23">
      <c r="W56621" s="503"/>
    </row>
    <row r="56622" spans="23:23">
      <c r="W56622" s="503"/>
    </row>
    <row r="56623" spans="23:23">
      <c r="W56623" s="503"/>
    </row>
    <row r="56624" spans="23:23">
      <c r="W56624" s="503"/>
    </row>
    <row r="56625" spans="23:23">
      <c r="W56625" s="503"/>
    </row>
    <row r="56626" spans="23:23">
      <c r="W56626" s="503"/>
    </row>
    <row r="56627" spans="23:23">
      <c r="W56627" s="503"/>
    </row>
    <row r="56628" spans="23:23">
      <c r="W56628" s="503"/>
    </row>
    <row r="56629" spans="23:23">
      <c r="W56629" s="503"/>
    </row>
    <row r="56630" spans="23:23">
      <c r="W56630" s="503"/>
    </row>
    <row r="56631" spans="23:23">
      <c r="W56631" s="503"/>
    </row>
    <row r="56632" spans="23:23">
      <c r="W56632" s="503"/>
    </row>
    <row r="56633" spans="23:23">
      <c r="W56633" s="503"/>
    </row>
    <row r="56634" spans="23:23">
      <c r="W56634" s="503"/>
    </row>
    <row r="56635" spans="23:23">
      <c r="W56635" s="503"/>
    </row>
    <row r="56636" spans="23:23">
      <c r="W56636" s="503"/>
    </row>
    <row r="56637" spans="23:23">
      <c r="W56637" s="503"/>
    </row>
    <row r="56638" spans="23:23">
      <c r="W56638" s="503"/>
    </row>
    <row r="56639" spans="23:23">
      <c r="W56639" s="503"/>
    </row>
    <row r="56640" spans="23:23">
      <c r="W56640" s="503"/>
    </row>
    <row r="56641" spans="23:23">
      <c r="W56641" s="503"/>
    </row>
    <row r="56642" spans="23:23">
      <c r="W56642" s="503"/>
    </row>
    <row r="56643" spans="23:23">
      <c r="W56643" s="503"/>
    </row>
    <row r="56644" spans="23:23">
      <c r="W56644" s="503"/>
    </row>
    <row r="56645" spans="23:23">
      <c r="W56645" s="503"/>
    </row>
    <row r="56646" spans="23:23">
      <c r="W56646" s="503"/>
    </row>
    <row r="56647" spans="23:23">
      <c r="W56647" s="503"/>
    </row>
    <row r="56648" spans="23:23">
      <c r="W56648" s="503"/>
    </row>
    <row r="56649" spans="23:23">
      <c r="W56649" s="503"/>
    </row>
    <row r="56650" spans="23:23">
      <c r="W56650" s="503"/>
    </row>
    <row r="56651" spans="23:23">
      <c r="W56651" s="503"/>
    </row>
    <row r="56652" spans="23:23">
      <c r="W56652" s="503"/>
    </row>
    <row r="56653" spans="23:23">
      <c r="W56653" s="503"/>
    </row>
    <row r="56654" spans="23:23">
      <c r="W56654" s="503"/>
    </row>
    <row r="56655" spans="23:23">
      <c r="W56655" s="503"/>
    </row>
    <row r="56656" spans="23:23">
      <c r="W56656" s="503"/>
    </row>
    <row r="56657" spans="23:23">
      <c r="W56657" s="503"/>
    </row>
    <row r="56658" spans="23:23">
      <c r="W56658" s="503"/>
    </row>
    <row r="56659" spans="23:23">
      <c r="W56659" s="503"/>
    </row>
    <row r="56660" spans="23:23">
      <c r="W56660" s="503"/>
    </row>
    <row r="56661" spans="23:23">
      <c r="W56661" s="503"/>
    </row>
    <row r="56662" spans="23:23">
      <c r="W56662" s="503"/>
    </row>
    <row r="56663" spans="23:23">
      <c r="W56663" s="503"/>
    </row>
    <row r="56664" spans="23:23">
      <c r="W56664" s="503"/>
    </row>
    <row r="56665" spans="23:23">
      <c r="W56665" s="503"/>
    </row>
    <row r="56666" spans="23:23">
      <c r="W56666" s="503"/>
    </row>
    <row r="56667" spans="23:23">
      <c r="W56667" s="503"/>
    </row>
    <row r="56668" spans="23:23">
      <c r="W56668" s="503"/>
    </row>
    <row r="56669" spans="23:23">
      <c r="W56669" s="503"/>
    </row>
    <row r="56670" spans="23:23">
      <c r="W56670" s="503"/>
    </row>
    <row r="56671" spans="23:23">
      <c r="W56671" s="503"/>
    </row>
    <row r="56672" spans="23:23">
      <c r="W56672" s="503"/>
    </row>
    <row r="56673" spans="23:23">
      <c r="W56673" s="503"/>
    </row>
    <row r="56674" spans="23:23">
      <c r="W56674" s="503"/>
    </row>
    <row r="56675" spans="23:23">
      <c r="W56675" s="503"/>
    </row>
    <row r="56676" spans="23:23">
      <c r="W56676" s="503"/>
    </row>
    <row r="56677" spans="23:23">
      <c r="W56677" s="503"/>
    </row>
    <row r="56678" spans="23:23">
      <c r="W56678" s="503"/>
    </row>
    <row r="56679" spans="23:23">
      <c r="W56679" s="503"/>
    </row>
    <row r="56680" spans="23:23">
      <c r="W56680" s="503"/>
    </row>
    <row r="56681" spans="23:23">
      <c r="W56681" s="503"/>
    </row>
    <row r="56682" spans="23:23">
      <c r="W56682" s="503"/>
    </row>
    <row r="56683" spans="23:23">
      <c r="W56683" s="503"/>
    </row>
    <row r="56684" spans="23:23">
      <c r="W56684" s="503"/>
    </row>
    <row r="56685" spans="23:23">
      <c r="W56685" s="503"/>
    </row>
    <row r="56686" spans="23:23">
      <c r="W56686" s="503"/>
    </row>
    <row r="56687" spans="23:23">
      <c r="W56687" s="503"/>
    </row>
    <row r="56688" spans="23:23">
      <c r="W56688" s="503"/>
    </row>
    <row r="56689" spans="23:23">
      <c r="W56689" s="503"/>
    </row>
    <row r="56690" spans="23:23">
      <c r="W56690" s="503"/>
    </row>
    <row r="56691" spans="23:23">
      <c r="W56691" s="503"/>
    </row>
    <row r="56692" spans="23:23">
      <c r="W56692" s="503"/>
    </row>
    <row r="56693" spans="23:23">
      <c r="W56693" s="503"/>
    </row>
    <row r="56694" spans="23:23">
      <c r="W56694" s="503"/>
    </row>
    <row r="56695" spans="23:23">
      <c r="W56695" s="503"/>
    </row>
    <row r="56696" spans="23:23">
      <c r="W56696" s="503"/>
    </row>
    <row r="56697" spans="23:23">
      <c r="W56697" s="503"/>
    </row>
    <row r="56698" spans="23:23">
      <c r="W56698" s="503"/>
    </row>
    <row r="56699" spans="23:23">
      <c r="W56699" s="503"/>
    </row>
    <row r="56700" spans="23:23">
      <c r="W56700" s="503"/>
    </row>
    <row r="56701" spans="23:23">
      <c r="W56701" s="503"/>
    </row>
    <row r="56702" spans="23:23">
      <c r="W56702" s="503"/>
    </row>
    <row r="56703" spans="23:23">
      <c r="W56703" s="503"/>
    </row>
    <row r="56704" spans="23:23">
      <c r="W56704" s="503"/>
    </row>
    <row r="56705" spans="23:23">
      <c r="W56705" s="503"/>
    </row>
    <row r="56706" spans="23:23">
      <c r="W56706" s="503"/>
    </row>
    <row r="56707" spans="23:23">
      <c r="W56707" s="503"/>
    </row>
    <row r="56708" spans="23:23">
      <c r="W56708" s="503"/>
    </row>
    <row r="56709" spans="23:23">
      <c r="W56709" s="503"/>
    </row>
    <row r="56710" spans="23:23">
      <c r="W56710" s="503"/>
    </row>
    <row r="56711" spans="23:23">
      <c r="W56711" s="503"/>
    </row>
    <row r="56712" spans="23:23">
      <c r="W56712" s="503"/>
    </row>
    <row r="56713" spans="23:23">
      <c r="W56713" s="503"/>
    </row>
    <row r="56714" spans="23:23">
      <c r="W56714" s="503"/>
    </row>
    <row r="56715" spans="23:23">
      <c r="W56715" s="503"/>
    </row>
    <row r="56716" spans="23:23">
      <c r="W56716" s="503"/>
    </row>
    <row r="56717" spans="23:23">
      <c r="W56717" s="503"/>
    </row>
    <row r="56718" spans="23:23">
      <c r="W56718" s="503"/>
    </row>
    <row r="56719" spans="23:23">
      <c r="W56719" s="503"/>
    </row>
    <row r="56720" spans="23:23">
      <c r="W56720" s="503"/>
    </row>
    <row r="56721" spans="23:23">
      <c r="W56721" s="503"/>
    </row>
    <row r="56722" spans="23:23">
      <c r="W56722" s="503"/>
    </row>
    <row r="56723" spans="23:23">
      <c r="W56723" s="503"/>
    </row>
    <row r="56724" spans="23:23">
      <c r="W56724" s="503"/>
    </row>
    <row r="56725" spans="23:23">
      <c r="W56725" s="503"/>
    </row>
    <row r="56726" spans="23:23">
      <c r="W56726" s="503"/>
    </row>
    <row r="56727" spans="23:23">
      <c r="W56727" s="503"/>
    </row>
    <row r="56728" spans="23:23">
      <c r="W56728" s="503"/>
    </row>
    <row r="56729" spans="23:23">
      <c r="W56729" s="503"/>
    </row>
    <row r="56730" spans="23:23">
      <c r="W56730" s="503"/>
    </row>
    <row r="56731" spans="23:23">
      <c r="W56731" s="503"/>
    </row>
    <row r="56732" spans="23:23">
      <c r="W56732" s="503"/>
    </row>
    <row r="56733" spans="23:23">
      <c r="W56733" s="503"/>
    </row>
    <row r="56734" spans="23:23">
      <c r="W56734" s="503"/>
    </row>
    <row r="56735" spans="23:23">
      <c r="W56735" s="503"/>
    </row>
    <row r="56736" spans="23:23">
      <c r="W56736" s="503"/>
    </row>
    <row r="56737" spans="23:23">
      <c r="W56737" s="503"/>
    </row>
    <row r="56738" spans="23:23">
      <c r="W56738" s="503"/>
    </row>
    <row r="56739" spans="23:23">
      <c r="W56739" s="503"/>
    </row>
    <row r="56740" spans="23:23">
      <c r="W56740" s="503"/>
    </row>
    <row r="56741" spans="23:23">
      <c r="W56741" s="503"/>
    </row>
    <row r="56742" spans="23:23">
      <c r="W56742" s="503"/>
    </row>
    <row r="56743" spans="23:23">
      <c r="W56743" s="503"/>
    </row>
    <row r="56744" spans="23:23">
      <c r="W56744" s="503"/>
    </row>
    <row r="56745" spans="23:23">
      <c r="W56745" s="503"/>
    </row>
    <row r="56746" spans="23:23">
      <c r="W56746" s="503"/>
    </row>
    <row r="56747" spans="23:23">
      <c r="W56747" s="503"/>
    </row>
    <row r="56748" spans="23:23">
      <c r="W56748" s="503"/>
    </row>
    <row r="56749" spans="23:23">
      <c r="W56749" s="503"/>
    </row>
    <row r="56750" spans="23:23">
      <c r="W56750" s="503"/>
    </row>
    <row r="56751" spans="23:23">
      <c r="W56751" s="503"/>
    </row>
    <row r="56752" spans="23:23">
      <c r="W56752" s="503"/>
    </row>
    <row r="56753" spans="23:23">
      <c r="W56753" s="503"/>
    </row>
    <row r="56754" spans="23:23">
      <c r="W56754" s="503"/>
    </row>
    <row r="56755" spans="23:23">
      <c r="W56755" s="503"/>
    </row>
    <row r="56756" spans="23:23">
      <c r="W56756" s="503"/>
    </row>
    <row r="56757" spans="23:23">
      <c r="W56757" s="503"/>
    </row>
    <row r="56758" spans="23:23">
      <c r="W56758" s="503"/>
    </row>
    <row r="56759" spans="23:23">
      <c r="W56759" s="503"/>
    </row>
    <row r="56760" spans="23:23">
      <c r="W56760" s="503"/>
    </row>
    <row r="56761" spans="23:23">
      <c r="W56761" s="503"/>
    </row>
    <row r="56762" spans="23:23">
      <c r="W56762" s="503"/>
    </row>
    <row r="56763" spans="23:23">
      <c r="W56763" s="503"/>
    </row>
    <row r="56764" spans="23:23">
      <c r="W56764" s="503"/>
    </row>
    <row r="56765" spans="23:23">
      <c r="W56765" s="503"/>
    </row>
    <row r="56766" spans="23:23">
      <c r="W56766" s="503"/>
    </row>
    <row r="56767" spans="23:23">
      <c r="W56767" s="503"/>
    </row>
    <row r="56768" spans="23:23">
      <c r="W56768" s="503"/>
    </row>
    <row r="56769" spans="23:23">
      <c r="W56769" s="503"/>
    </row>
    <row r="56770" spans="23:23">
      <c r="W56770" s="503"/>
    </row>
    <row r="56771" spans="23:23">
      <c r="W56771" s="503"/>
    </row>
    <row r="56772" spans="23:23">
      <c r="W56772" s="503"/>
    </row>
    <row r="56773" spans="23:23">
      <c r="W56773" s="503"/>
    </row>
    <row r="56774" spans="23:23">
      <c r="W56774" s="503"/>
    </row>
    <row r="56775" spans="23:23">
      <c r="W56775" s="503"/>
    </row>
    <row r="56776" spans="23:23">
      <c r="W56776" s="503"/>
    </row>
    <row r="56777" spans="23:23">
      <c r="W56777" s="503"/>
    </row>
    <row r="56778" spans="23:23">
      <c r="W56778" s="503"/>
    </row>
    <row r="56779" spans="23:23">
      <c r="W56779" s="503"/>
    </row>
    <row r="56780" spans="23:23">
      <c r="W56780" s="503"/>
    </row>
    <row r="56781" spans="23:23">
      <c r="W56781" s="503"/>
    </row>
    <row r="56782" spans="23:23">
      <c r="W56782" s="503"/>
    </row>
    <row r="56783" spans="23:23">
      <c r="W56783" s="503"/>
    </row>
    <row r="56784" spans="23:23">
      <c r="W56784" s="503"/>
    </row>
    <row r="56785" spans="23:23">
      <c r="W56785" s="503"/>
    </row>
    <row r="56786" spans="23:23">
      <c r="W56786" s="503"/>
    </row>
    <row r="56787" spans="23:23">
      <c r="W56787" s="503"/>
    </row>
    <row r="56788" spans="23:23">
      <c r="W56788" s="503"/>
    </row>
    <row r="56789" spans="23:23">
      <c r="W56789" s="503"/>
    </row>
    <row r="56790" spans="23:23">
      <c r="W56790" s="503"/>
    </row>
    <row r="56791" spans="23:23">
      <c r="W56791" s="503"/>
    </row>
    <row r="56792" spans="23:23">
      <c r="W56792" s="503"/>
    </row>
    <row r="56793" spans="23:23">
      <c r="W56793" s="503"/>
    </row>
    <row r="56794" spans="23:23">
      <c r="W56794" s="503"/>
    </row>
    <row r="56795" spans="23:23">
      <c r="W56795" s="503"/>
    </row>
    <row r="56796" spans="23:23">
      <c r="W56796" s="503"/>
    </row>
    <row r="56797" spans="23:23">
      <c r="W56797" s="503"/>
    </row>
    <row r="56798" spans="23:23">
      <c r="W56798" s="503"/>
    </row>
    <row r="56799" spans="23:23">
      <c r="W56799" s="503"/>
    </row>
    <row r="56800" spans="23:23">
      <c r="W56800" s="503"/>
    </row>
    <row r="56801" spans="23:23">
      <c r="W56801" s="503"/>
    </row>
    <row r="56802" spans="23:23">
      <c r="W56802" s="503"/>
    </row>
    <row r="56803" spans="23:23">
      <c r="W56803" s="503"/>
    </row>
    <row r="56804" spans="23:23">
      <c r="W56804" s="503"/>
    </row>
    <row r="56805" spans="23:23">
      <c r="W56805" s="503"/>
    </row>
    <row r="56806" spans="23:23">
      <c r="W56806" s="503"/>
    </row>
    <row r="56807" spans="23:23">
      <c r="W56807" s="503"/>
    </row>
    <row r="56808" spans="23:23">
      <c r="W56808" s="503"/>
    </row>
    <row r="56809" spans="23:23">
      <c r="W56809" s="503"/>
    </row>
    <row r="56810" spans="23:23">
      <c r="W56810" s="503"/>
    </row>
    <row r="56811" spans="23:23">
      <c r="W56811" s="503"/>
    </row>
    <row r="56812" spans="23:23">
      <c r="W56812" s="503"/>
    </row>
    <row r="56813" spans="23:23">
      <c r="W56813" s="503"/>
    </row>
    <row r="56814" spans="23:23">
      <c r="W56814" s="503"/>
    </row>
    <row r="56815" spans="23:23">
      <c r="W56815" s="503"/>
    </row>
    <row r="56816" spans="23:23">
      <c r="W56816" s="503"/>
    </row>
    <row r="56817" spans="23:23">
      <c r="W56817" s="503"/>
    </row>
    <row r="56818" spans="23:23">
      <c r="W56818" s="503"/>
    </row>
    <row r="56819" spans="23:23">
      <c r="W56819" s="503"/>
    </row>
    <row r="56820" spans="23:23">
      <c r="W56820" s="503"/>
    </row>
    <row r="56821" spans="23:23">
      <c r="W56821" s="503"/>
    </row>
    <row r="56822" spans="23:23">
      <c r="W56822" s="503"/>
    </row>
    <row r="56823" spans="23:23">
      <c r="W56823" s="503"/>
    </row>
    <row r="56824" spans="23:23">
      <c r="W56824" s="503"/>
    </row>
    <row r="56825" spans="23:23">
      <c r="W56825" s="503"/>
    </row>
    <row r="56826" spans="23:23">
      <c r="W56826" s="503"/>
    </row>
    <row r="56827" spans="23:23">
      <c r="W56827" s="503"/>
    </row>
    <row r="56828" spans="23:23">
      <c r="W56828" s="503"/>
    </row>
    <row r="56829" spans="23:23">
      <c r="W56829" s="503"/>
    </row>
    <row r="56830" spans="23:23">
      <c r="W56830" s="503"/>
    </row>
    <row r="56831" spans="23:23">
      <c r="W56831" s="503"/>
    </row>
    <row r="56832" spans="23:23">
      <c r="W56832" s="503"/>
    </row>
    <row r="56833" spans="23:23">
      <c r="W56833" s="503"/>
    </row>
    <row r="56834" spans="23:23">
      <c r="W56834" s="503"/>
    </row>
    <row r="56835" spans="23:23">
      <c r="W56835" s="503"/>
    </row>
    <row r="56836" spans="23:23">
      <c r="W56836" s="503"/>
    </row>
    <row r="56837" spans="23:23">
      <c r="W56837" s="503"/>
    </row>
    <row r="56838" spans="23:23">
      <c r="W56838" s="503"/>
    </row>
    <row r="56839" spans="23:23">
      <c r="W56839" s="503"/>
    </row>
    <row r="56840" spans="23:23">
      <c r="W56840" s="503"/>
    </row>
    <row r="56841" spans="23:23">
      <c r="W56841" s="503"/>
    </row>
    <row r="56842" spans="23:23">
      <c r="W56842" s="503"/>
    </row>
    <row r="56843" spans="23:23">
      <c r="W56843" s="503"/>
    </row>
    <row r="56844" spans="23:23">
      <c r="W56844" s="503"/>
    </row>
    <row r="56845" spans="23:23">
      <c r="W56845" s="503"/>
    </row>
    <row r="56846" spans="23:23">
      <c r="W56846" s="503"/>
    </row>
    <row r="56847" spans="23:23">
      <c r="W56847" s="503"/>
    </row>
    <row r="56848" spans="23:23">
      <c r="W56848" s="503"/>
    </row>
    <row r="56849" spans="23:23">
      <c r="W56849" s="503"/>
    </row>
    <row r="56850" spans="23:23">
      <c r="W56850" s="503"/>
    </row>
    <row r="56851" spans="23:23">
      <c r="W56851" s="503"/>
    </row>
    <row r="56852" spans="23:23">
      <c r="W56852" s="503"/>
    </row>
    <row r="56853" spans="23:23">
      <c r="W56853" s="503"/>
    </row>
    <row r="56854" spans="23:23">
      <c r="W56854" s="503"/>
    </row>
    <row r="56855" spans="23:23">
      <c r="W56855" s="503"/>
    </row>
    <row r="56856" spans="23:23">
      <c r="W56856" s="503"/>
    </row>
    <row r="56857" spans="23:23">
      <c r="W56857" s="503"/>
    </row>
    <row r="56858" spans="23:23">
      <c r="W56858" s="503"/>
    </row>
    <row r="56859" spans="23:23">
      <c r="W56859" s="503"/>
    </row>
    <row r="56860" spans="23:23">
      <c r="W56860" s="503"/>
    </row>
    <row r="56861" spans="23:23">
      <c r="W56861" s="503"/>
    </row>
    <row r="56862" spans="23:23">
      <c r="W56862" s="503"/>
    </row>
    <row r="56863" spans="23:23">
      <c r="W56863" s="503"/>
    </row>
    <row r="56864" spans="23:23">
      <c r="W56864" s="503"/>
    </row>
    <row r="56865" spans="23:23">
      <c r="W56865" s="503"/>
    </row>
    <row r="56866" spans="23:23">
      <c r="W56866" s="503"/>
    </row>
    <row r="56867" spans="23:23">
      <c r="W56867" s="503"/>
    </row>
    <row r="56868" spans="23:23">
      <c r="W56868" s="503"/>
    </row>
    <row r="56869" spans="23:23">
      <c r="W56869" s="503"/>
    </row>
    <row r="56870" spans="23:23">
      <c r="W56870" s="503"/>
    </row>
    <row r="56871" spans="23:23">
      <c r="W56871" s="503"/>
    </row>
    <row r="56872" spans="23:23">
      <c r="W56872" s="503"/>
    </row>
    <row r="56873" spans="23:23">
      <c r="W56873" s="503"/>
    </row>
    <row r="56874" spans="23:23">
      <c r="W56874" s="503"/>
    </row>
    <row r="56875" spans="23:23">
      <c r="W56875" s="503"/>
    </row>
    <row r="56876" spans="23:23">
      <c r="W56876" s="503"/>
    </row>
    <row r="56877" spans="23:23">
      <c r="W56877" s="503"/>
    </row>
    <row r="56878" spans="23:23">
      <c r="W56878" s="503"/>
    </row>
    <row r="56879" spans="23:23">
      <c r="W56879" s="503"/>
    </row>
    <row r="56880" spans="23:23">
      <c r="W56880" s="503"/>
    </row>
    <row r="56881" spans="23:23">
      <c r="W56881" s="503"/>
    </row>
    <row r="56882" spans="23:23">
      <c r="W56882" s="503"/>
    </row>
    <row r="56883" spans="23:23">
      <c r="W56883" s="503"/>
    </row>
    <row r="56884" spans="23:23">
      <c r="W56884" s="503"/>
    </row>
    <row r="56885" spans="23:23">
      <c r="W56885" s="503"/>
    </row>
    <row r="56886" spans="23:23">
      <c r="W56886" s="503"/>
    </row>
    <row r="56887" spans="23:23">
      <c r="W56887" s="503"/>
    </row>
    <row r="56888" spans="23:23">
      <c r="W56888" s="503"/>
    </row>
    <row r="56889" spans="23:23">
      <c r="W56889" s="503"/>
    </row>
    <row r="56890" spans="23:23">
      <c r="W56890" s="503"/>
    </row>
    <row r="56891" spans="23:23">
      <c r="W56891" s="503"/>
    </row>
    <row r="56892" spans="23:23">
      <c r="W56892" s="503"/>
    </row>
    <row r="56893" spans="23:23">
      <c r="W56893" s="503"/>
    </row>
    <row r="56894" spans="23:23">
      <c r="W56894" s="503"/>
    </row>
    <row r="56895" spans="23:23">
      <c r="W56895" s="503"/>
    </row>
    <row r="56896" spans="23:23">
      <c r="W56896" s="503"/>
    </row>
    <row r="56897" spans="23:23">
      <c r="W56897" s="503"/>
    </row>
    <row r="56898" spans="23:23">
      <c r="W56898" s="503"/>
    </row>
    <row r="56899" spans="23:23">
      <c r="W56899" s="503"/>
    </row>
    <row r="56900" spans="23:23">
      <c r="W56900" s="503"/>
    </row>
    <row r="56901" spans="23:23">
      <c r="W56901" s="503"/>
    </row>
    <row r="56902" spans="23:23">
      <c r="W56902" s="503"/>
    </row>
    <row r="56903" spans="23:23">
      <c r="W56903" s="503"/>
    </row>
    <row r="56904" spans="23:23">
      <c r="W56904" s="503"/>
    </row>
    <row r="56905" spans="23:23">
      <c r="W56905" s="503"/>
    </row>
    <row r="56906" spans="23:23">
      <c r="W56906" s="503"/>
    </row>
    <row r="56907" spans="23:23">
      <c r="W56907" s="503"/>
    </row>
    <row r="56908" spans="23:23">
      <c r="W56908" s="503"/>
    </row>
    <row r="56909" spans="23:23">
      <c r="W56909" s="503"/>
    </row>
    <row r="56910" spans="23:23">
      <c r="W56910" s="503"/>
    </row>
    <row r="56911" spans="23:23">
      <c r="W56911" s="503"/>
    </row>
    <row r="56912" spans="23:23">
      <c r="W56912" s="503"/>
    </row>
    <row r="56913" spans="23:23">
      <c r="W56913" s="503"/>
    </row>
    <row r="56914" spans="23:23">
      <c r="W56914" s="503"/>
    </row>
    <row r="56915" spans="23:23">
      <c r="W56915" s="503"/>
    </row>
    <row r="56916" spans="23:23">
      <c r="W56916" s="503"/>
    </row>
    <row r="56917" spans="23:23">
      <c r="W56917" s="503"/>
    </row>
    <row r="56918" spans="23:23">
      <c r="W56918" s="503"/>
    </row>
    <row r="56919" spans="23:23">
      <c r="W56919" s="503"/>
    </row>
    <row r="56920" spans="23:23">
      <c r="W56920" s="503"/>
    </row>
    <row r="56921" spans="23:23">
      <c r="W56921" s="503"/>
    </row>
    <row r="56922" spans="23:23">
      <c r="W56922" s="503"/>
    </row>
    <row r="56923" spans="23:23">
      <c r="W56923" s="503"/>
    </row>
    <row r="56924" spans="23:23">
      <c r="W56924" s="503"/>
    </row>
    <row r="56925" spans="23:23">
      <c r="W56925" s="503"/>
    </row>
    <row r="56926" spans="23:23">
      <c r="W56926" s="503"/>
    </row>
    <row r="56927" spans="23:23">
      <c r="W56927" s="503"/>
    </row>
    <row r="56928" spans="23:23">
      <c r="W56928" s="503"/>
    </row>
    <row r="56929" spans="23:23">
      <c r="W56929" s="503"/>
    </row>
    <row r="56930" spans="23:23">
      <c r="W56930" s="503"/>
    </row>
    <row r="56931" spans="23:23">
      <c r="W56931" s="503"/>
    </row>
    <row r="56932" spans="23:23">
      <c r="W56932" s="503"/>
    </row>
    <row r="56933" spans="23:23">
      <c r="W56933" s="503"/>
    </row>
    <row r="56934" spans="23:23">
      <c r="W56934" s="503"/>
    </row>
    <row r="56935" spans="23:23">
      <c r="W56935" s="503"/>
    </row>
    <row r="56936" spans="23:23">
      <c r="W56936" s="503"/>
    </row>
    <row r="56937" spans="23:23">
      <c r="W56937" s="503"/>
    </row>
    <row r="56938" spans="23:23">
      <c r="W56938" s="503"/>
    </row>
    <row r="56939" spans="23:23">
      <c r="W56939" s="503"/>
    </row>
    <row r="56940" spans="23:23">
      <c r="W56940" s="503"/>
    </row>
    <row r="56941" spans="23:23">
      <c r="W56941" s="503"/>
    </row>
    <row r="56942" spans="23:23">
      <c r="W56942" s="503"/>
    </row>
    <row r="56943" spans="23:23">
      <c r="W56943" s="503"/>
    </row>
    <row r="56944" spans="23:23">
      <c r="W56944" s="503"/>
    </row>
    <row r="56945" spans="23:23">
      <c r="W56945" s="503"/>
    </row>
    <row r="56946" spans="23:23">
      <c r="W56946" s="503"/>
    </row>
    <row r="56947" spans="23:23">
      <c r="W56947" s="503"/>
    </row>
    <row r="56948" spans="23:23">
      <c r="W56948" s="503"/>
    </row>
    <row r="56949" spans="23:23">
      <c r="W56949" s="503"/>
    </row>
    <row r="56950" spans="23:23">
      <c r="W56950" s="503"/>
    </row>
    <row r="56951" spans="23:23">
      <c r="W56951" s="503"/>
    </row>
    <row r="56952" spans="23:23">
      <c r="W56952" s="503"/>
    </row>
    <row r="56953" spans="23:23">
      <c r="W56953" s="503"/>
    </row>
    <row r="56954" spans="23:23">
      <c r="W56954" s="503"/>
    </row>
    <row r="56955" spans="23:23">
      <c r="W56955" s="503"/>
    </row>
    <row r="56956" spans="23:23">
      <c r="W56956" s="503"/>
    </row>
    <row r="56957" spans="23:23">
      <c r="W56957" s="503"/>
    </row>
    <row r="56958" spans="23:23">
      <c r="W56958" s="503"/>
    </row>
    <row r="56959" spans="23:23">
      <c r="W56959" s="503"/>
    </row>
    <row r="56960" spans="23:23">
      <c r="W56960" s="503"/>
    </row>
    <row r="56961" spans="23:23">
      <c r="W56961" s="503"/>
    </row>
    <row r="56962" spans="23:23">
      <c r="W56962" s="503"/>
    </row>
    <row r="56963" spans="23:23">
      <c r="W56963" s="503"/>
    </row>
    <row r="56964" spans="23:23">
      <c r="W56964" s="503"/>
    </row>
    <row r="56965" spans="23:23">
      <c r="W56965" s="503"/>
    </row>
    <row r="56966" spans="23:23">
      <c r="W56966" s="503"/>
    </row>
    <row r="56967" spans="23:23">
      <c r="W56967" s="503"/>
    </row>
    <row r="56968" spans="23:23">
      <c r="W56968" s="503"/>
    </row>
    <row r="56969" spans="23:23">
      <c r="W56969" s="503"/>
    </row>
    <row r="56970" spans="23:23">
      <c r="W56970" s="503"/>
    </row>
    <row r="56971" spans="23:23">
      <c r="W56971" s="503"/>
    </row>
    <row r="56972" spans="23:23">
      <c r="W56972" s="503"/>
    </row>
    <row r="56973" spans="23:23">
      <c r="W56973" s="503"/>
    </row>
    <row r="56974" spans="23:23">
      <c r="W56974" s="503"/>
    </row>
    <row r="56975" spans="23:23">
      <c r="W56975" s="503"/>
    </row>
    <row r="56976" spans="23:23">
      <c r="W56976" s="503"/>
    </row>
    <row r="56977" spans="23:23">
      <c r="W56977" s="503"/>
    </row>
    <row r="56978" spans="23:23">
      <c r="W56978" s="503"/>
    </row>
    <row r="56979" spans="23:23">
      <c r="W56979" s="503"/>
    </row>
    <row r="56980" spans="23:23">
      <c r="W56980" s="503"/>
    </row>
    <row r="56981" spans="23:23">
      <c r="W56981" s="503"/>
    </row>
    <row r="56982" spans="23:23">
      <c r="W56982" s="503"/>
    </row>
    <row r="56983" spans="23:23">
      <c r="W56983" s="503"/>
    </row>
    <row r="56984" spans="23:23">
      <c r="W56984" s="503"/>
    </row>
    <row r="56985" spans="23:23">
      <c r="W56985" s="503"/>
    </row>
    <row r="56986" spans="23:23">
      <c r="W56986" s="503"/>
    </row>
    <row r="56987" spans="23:23">
      <c r="W56987" s="503"/>
    </row>
    <row r="56988" spans="23:23">
      <c r="W56988" s="503"/>
    </row>
    <row r="56989" spans="23:23">
      <c r="W56989" s="503"/>
    </row>
    <row r="56990" spans="23:23">
      <c r="W56990" s="503"/>
    </row>
    <row r="56991" spans="23:23">
      <c r="W56991" s="503"/>
    </row>
    <row r="56992" spans="23:23">
      <c r="W56992" s="503"/>
    </row>
    <row r="56993" spans="23:23">
      <c r="W56993" s="503"/>
    </row>
    <row r="56994" spans="23:23">
      <c r="W56994" s="503"/>
    </row>
    <row r="56995" spans="23:23">
      <c r="W56995" s="503"/>
    </row>
    <row r="56996" spans="23:23">
      <c r="W56996" s="503"/>
    </row>
    <row r="56997" spans="23:23">
      <c r="W56997" s="503"/>
    </row>
    <row r="56998" spans="23:23">
      <c r="W56998" s="503"/>
    </row>
    <row r="56999" spans="23:23">
      <c r="W56999" s="503"/>
    </row>
    <row r="57000" spans="23:23">
      <c r="W57000" s="503"/>
    </row>
    <row r="57001" spans="23:23">
      <c r="W57001" s="503"/>
    </row>
    <row r="57002" spans="23:23">
      <c r="W57002" s="503"/>
    </row>
    <row r="57003" spans="23:23">
      <c r="W57003" s="503"/>
    </row>
    <row r="57004" spans="23:23">
      <c r="W57004" s="503"/>
    </row>
    <row r="57005" spans="23:23">
      <c r="W57005" s="503"/>
    </row>
    <row r="57006" spans="23:23">
      <c r="W57006" s="503"/>
    </row>
    <row r="57007" spans="23:23">
      <c r="W57007" s="503"/>
    </row>
    <row r="57008" spans="23:23">
      <c r="W57008" s="503"/>
    </row>
    <row r="57009" spans="23:23">
      <c r="W57009" s="503"/>
    </row>
    <row r="57010" spans="23:23">
      <c r="W57010" s="503"/>
    </row>
    <row r="57011" spans="23:23">
      <c r="W57011" s="503"/>
    </row>
    <row r="57012" spans="23:23">
      <c r="W57012" s="503"/>
    </row>
    <row r="57013" spans="23:23">
      <c r="W57013" s="503"/>
    </row>
    <row r="57014" spans="23:23">
      <c r="W57014" s="503"/>
    </row>
    <row r="57015" spans="23:23">
      <c r="W57015" s="503"/>
    </row>
    <row r="57016" spans="23:23">
      <c r="W57016" s="503"/>
    </row>
    <row r="57017" spans="23:23">
      <c r="W57017" s="503"/>
    </row>
    <row r="57018" spans="23:23">
      <c r="W57018" s="503"/>
    </row>
    <row r="57019" spans="23:23">
      <c r="W57019" s="503"/>
    </row>
    <row r="57020" spans="23:23">
      <c r="W57020" s="503"/>
    </row>
    <row r="57021" spans="23:23">
      <c r="W57021" s="503"/>
    </row>
    <row r="57022" spans="23:23">
      <c r="W57022" s="503"/>
    </row>
    <row r="57023" spans="23:23">
      <c r="W57023" s="503"/>
    </row>
    <row r="57024" spans="23:23">
      <c r="W57024" s="503"/>
    </row>
    <row r="57025" spans="23:23">
      <c r="W57025" s="503"/>
    </row>
    <row r="57026" spans="23:23">
      <c r="W57026" s="503"/>
    </row>
    <row r="57027" spans="23:23">
      <c r="W57027" s="503"/>
    </row>
    <row r="57028" spans="23:23">
      <c r="W57028" s="503"/>
    </row>
    <row r="57029" spans="23:23">
      <c r="W57029" s="503"/>
    </row>
    <row r="57030" spans="23:23">
      <c r="W57030" s="503"/>
    </row>
    <row r="57031" spans="23:23">
      <c r="W57031" s="503"/>
    </row>
    <row r="57032" spans="23:23">
      <c r="W57032" s="503"/>
    </row>
    <row r="57033" spans="23:23">
      <c r="W57033" s="503"/>
    </row>
    <row r="57034" spans="23:23">
      <c r="W57034" s="503"/>
    </row>
    <row r="57035" spans="23:23">
      <c r="W57035" s="503"/>
    </row>
    <row r="57036" spans="23:23">
      <c r="W57036" s="503"/>
    </row>
    <row r="57037" spans="23:23">
      <c r="W57037" s="503"/>
    </row>
    <row r="57038" spans="23:23">
      <c r="W57038" s="503"/>
    </row>
    <row r="57039" spans="23:23">
      <c r="W57039" s="503"/>
    </row>
    <row r="57040" spans="23:23">
      <c r="W57040" s="503"/>
    </row>
    <row r="57041" spans="23:23">
      <c r="W57041" s="503"/>
    </row>
    <row r="57042" spans="23:23">
      <c r="W57042" s="503"/>
    </row>
    <row r="57043" spans="23:23">
      <c r="W57043" s="503"/>
    </row>
    <row r="57044" spans="23:23">
      <c r="W57044" s="503"/>
    </row>
    <row r="57045" spans="23:23">
      <c r="W57045" s="503"/>
    </row>
    <row r="57046" spans="23:23">
      <c r="W57046" s="503"/>
    </row>
    <row r="57047" spans="23:23">
      <c r="W57047" s="503"/>
    </row>
    <row r="57048" spans="23:23">
      <c r="W57048" s="503"/>
    </row>
    <row r="57049" spans="23:23">
      <c r="W57049" s="503"/>
    </row>
    <row r="57050" spans="23:23">
      <c r="W57050" s="503"/>
    </row>
    <row r="57051" spans="23:23">
      <c r="W57051" s="503"/>
    </row>
    <row r="57052" spans="23:23">
      <c r="W57052" s="503"/>
    </row>
    <row r="57053" spans="23:23">
      <c r="W57053" s="503"/>
    </row>
    <row r="57054" spans="23:23">
      <c r="W57054" s="503"/>
    </row>
    <row r="57055" spans="23:23">
      <c r="W57055" s="503"/>
    </row>
    <row r="57056" spans="23:23">
      <c r="W57056" s="503"/>
    </row>
    <row r="57057" spans="23:23">
      <c r="W57057" s="503"/>
    </row>
    <row r="57058" spans="23:23">
      <c r="W57058" s="503"/>
    </row>
    <row r="57059" spans="23:23">
      <c r="W57059" s="503"/>
    </row>
    <row r="57060" spans="23:23">
      <c r="W57060" s="503"/>
    </row>
    <row r="57061" spans="23:23">
      <c r="W57061" s="503"/>
    </row>
    <row r="57062" spans="23:23">
      <c r="W57062" s="503"/>
    </row>
    <row r="57063" spans="23:23">
      <c r="W57063" s="503"/>
    </row>
    <row r="57064" spans="23:23">
      <c r="W57064" s="503"/>
    </row>
    <row r="57065" spans="23:23">
      <c r="W57065" s="503"/>
    </row>
    <row r="57066" spans="23:23">
      <c r="W57066" s="503"/>
    </row>
    <row r="57067" spans="23:23">
      <c r="W57067" s="503"/>
    </row>
    <row r="57068" spans="23:23">
      <c r="W57068" s="503"/>
    </row>
    <row r="57069" spans="23:23">
      <c r="W57069" s="503"/>
    </row>
    <row r="57070" spans="23:23">
      <c r="W57070" s="503"/>
    </row>
    <row r="57071" spans="23:23">
      <c r="W57071" s="503"/>
    </row>
    <row r="57072" spans="23:23">
      <c r="W57072" s="503"/>
    </row>
    <row r="57073" spans="23:23">
      <c r="W57073" s="503"/>
    </row>
    <row r="57074" spans="23:23">
      <c r="W57074" s="503"/>
    </row>
    <row r="57075" spans="23:23">
      <c r="W57075" s="503"/>
    </row>
    <row r="57076" spans="23:23">
      <c r="W57076" s="503"/>
    </row>
    <row r="57077" spans="23:23">
      <c r="W57077" s="503"/>
    </row>
    <row r="57078" spans="23:23">
      <c r="W57078" s="503"/>
    </row>
    <row r="57079" spans="23:23">
      <c r="W57079" s="503"/>
    </row>
    <row r="57080" spans="23:23">
      <c r="W57080" s="503"/>
    </row>
    <row r="57081" spans="23:23">
      <c r="W57081" s="503"/>
    </row>
    <row r="57082" spans="23:23">
      <c r="W57082" s="503"/>
    </row>
    <row r="57083" spans="23:23">
      <c r="W57083" s="503"/>
    </row>
    <row r="57084" spans="23:23">
      <c r="W57084" s="503"/>
    </row>
    <row r="57085" spans="23:23">
      <c r="W57085" s="503"/>
    </row>
    <row r="57086" spans="23:23">
      <c r="W57086" s="503"/>
    </row>
    <row r="57087" spans="23:23">
      <c r="W57087" s="503"/>
    </row>
    <row r="57088" spans="23:23">
      <c r="W57088" s="503"/>
    </row>
    <row r="57089" spans="23:23">
      <c r="W57089" s="503"/>
    </row>
    <row r="57090" spans="23:23">
      <c r="W57090" s="503"/>
    </row>
    <row r="57091" spans="23:23">
      <c r="W57091" s="503"/>
    </row>
    <row r="57092" spans="23:23">
      <c r="W57092" s="503"/>
    </row>
    <row r="57093" spans="23:23">
      <c r="W57093" s="503"/>
    </row>
    <row r="57094" spans="23:23">
      <c r="W57094" s="503"/>
    </row>
    <row r="57095" spans="23:23">
      <c r="W57095" s="503"/>
    </row>
    <row r="57096" spans="23:23">
      <c r="W57096" s="503"/>
    </row>
    <row r="57097" spans="23:23">
      <c r="W57097" s="503"/>
    </row>
    <row r="57098" spans="23:23">
      <c r="W57098" s="503"/>
    </row>
    <row r="57099" spans="23:23">
      <c r="W57099" s="503"/>
    </row>
    <row r="57100" spans="23:23">
      <c r="W57100" s="503"/>
    </row>
    <row r="57101" spans="23:23">
      <c r="W57101" s="503"/>
    </row>
    <row r="57102" spans="23:23">
      <c r="W57102" s="503"/>
    </row>
    <row r="57103" spans="23:23">
      <c r="W57103" s="503"/>
    </row>
    <row r="57104" spans="23:23">
      <c r="W57104" s="503"/>
    </row>
    <row r="57105" spans="23:23">
      <c r="W57105" s="503"/>
    </row>
    <row r="57106" spans="23:23">
      <c r="W57106" s="503"/>
    </row>
    <row r="57107" spans="23:23">
      <c r="W57107" s="503"/>
    </row>
    <row r="57108" spans="23:23">
      <c r="W57108" s="503"/>
    </row>
    <row r="57109" spans="23:23">
      <c r="W57109" s="503"/>
    </row>
    <row r="57110" spans="23:23">
      <c r="W57110" s="503"/>
    </row>
    <row r="57111" spans="23:23">
      <c r="W57111" s="503"/>
    </row>
    <row r="57112" spans="23:23">
      <c r="W57112" s="503"/>
    </row>
    <row r="57113" spans="23:23">
      <c r="W57113" s="503"/>
    </row>
    <row r="57114" spans="23:23">
      <c r="W57114" s="503"/>
    </row>
    <row r="57115" spans="23:23">
      <c r="W57115" s="503"/>
    </row>
    <row r="57116" spans="23:23">
      <c r="W57116" s="503"/>
    </row>
    <row r="57117" spans="23:23">
      <c r="W57117" s="503"/>
    </row>
    <row r="57118" spans="23:23">
      <c r="W57118" s="503"/>
    </row>
    <row r="57119" spans="23:23">
      <c r="W57119" s="503"/>
    </row>
    <row r="57120" spans="23:23">
      <c r="W57120" s="503"/>
    </row>
    <row r="57121" spans="23:23">
      <c r="W57121" s="503"/>
    </row>
    <row r="57122" spans="23:23">
      <c r="W57122" s="503"/>
    </row>
    <row r="57123" spans="23:23">
      <c r="W57123" s="503"/>
    </row>
    <row r="57124" spans="23:23">
      <c r="W57124" s="503"/>
    </row>
    <row r="57125" spans="23:23">
      <c r="W57125" s="503"/>
    </row>
    <row r="57126" spans="23:23">
      <c r="W57126" s="503"/>
    </row>
    <row r="57127" spans="23:23">
      <c r="W57127" s="503"/>
    </row>
    <row r="57128" spans="23:23">
      <c r="W57128" s="503"/>
    </row>
    <row r="57129" spans="23:23">
      <c r="W57129" s="503"/>
    </row>
    <row r="57130" spans="23:23">
      <c r="W57130" s="503"/>
    </row>
    <row r="57131" spans="23:23">
      <c r="W57131" s="503"/>
    </row>
    <row r="57132" spans="23:23">
      <c r="W57132" s="503"/>
    </row>
    <row r="57133" spans="23:23">
      <c r="W57133" s="503"/>
    </row>
    <row r="57134" spans="23:23">
      <c r="W57134" s="503"/>
    </row>
    <row r="57135" spans="23:23">
      <c r="W57135" s="503"/>
    </row>
    <row r="57136" spans="23:23">
      <c r="W57136" s="503"/>
    </row>
    <row r="57137" spans="23:23">
      <c r="W57137" s="503"/>
    </row>
    <row r="57138" spans="23:23">
      <c r="W57138" s="503"/>
    </row>
    <row r="57139" spans="23:23">
      <c r="W57139" s="503"/>
    </row>
    <row r="57140" spans="23:23">
      <c r="W57140" s="503"/>
    </row>
    <row r="57141" spans="23:23">
      <c r="W57141" s="503"/>
    </row>
    <row r="57142" spans="23:23">
      <c r="W57142" s="503"/>
    </row>
    <row r="57143" spans="23:23">
      <c r="W57143" s="503"/>
    </row>
    <row r="57144" spans="23:23">
      <c r="W57144" s="503"/>
    </row>
    <row r="57145" spans="23:23">
      <c r="W57145" s="503"/>
    </row>
    <row r="57146" spans="23:23">
      <c r="W57146" s="503"/>
    </row>
    <row r="57147" spans="23:23">
      <c r="W57147" s="503"/>
    </row>
    <row r="57148" spans="23:23">
      <c r="W57148" s="503"/>
    </row>
    <row r="57149" spans="23:23">
      <c r="W57149" s="503"/>
    </row>
    <row r="57150" spans="23:23">
      <c r="W57150" s="503"/>
    </row>
    <row r="57151" spans="23:23">
      <c r="W57151" s="503"/>
    </row>
    <row r="57152" spans="23:23">
      <c r="W57152" s="503"/>
    </row>
    <row r="57153" spans="23:23">
      <c r="W57153" s="503"/>
    </row>
    <row r="57154" spans="23:23">
      <c r="W57154" s="503"/>
    </row>
    <row r="57155" spans="23:23">
      <c r="W57155" s="503"/>
    </row>
    <row r="57156" spans="23:23">
      <c r="W57156" s="503"/>
    </row>
    <row r="57157" spans="23:23">
      <c r="W57157" s="503"/>
    </row>
    <row r="57158" spans="23:23">
      <c r="W57158" s="503"/>
    </row>
    <row r="57159" spans="23:23">
      <c r="W57159" s="503"/>
    </row>
    <row r="57160" spans="23:23">
      <c r="W57160" s="503"/>
    </row>
    <row r="57161" spans="23:23">
      <c r="W57161" s="503"/>
    </row>
    <row r="57162" spans="23:23">
      <c r="W57162" s="503"/>
    </row>
    <row r="57163" spans="23:23">
      <c r="W57163" s="503"/>
    </row>
    <row r="57164" spans="23:23">
      <c r="W57164" s="503"/>
    </row>
    <row r="57165" spans="23:23">
      <c r="W57165" s="503"/>
    </row>
    <row r="57166" spans="23:23">
      <c r="W57166" s="503"/>
    </row>
    <row r="57167" spans="23:23">
      <c r="W57167" s="503"/>
    </row>
    <row r="57168" spans="23:23">
      <c r="W57168" s="503"/>
    </row>
    <row r="57169" spans="23:23">
      <c r="W57169" s="503"/>
    </row>
    <row r="57170" spans="23:23">
      <c r="W57170" s="503"/>
    </row>
    <row r="57171" spans="23:23">
      <c r="W57171" s="503"/>
    </row>
    <row r="57172" spans="23:23">
      <c r="W57172" s="503"/>
    </row>
    <row r="57173" spans="23:23">
      <c r="W57173" s="503"/>
    </row>
    <row r="57174" spans="23:23">
      <c r="W57174" s="503"/>
    </row>
    <row r="57175" spans="23:23">
      <c r="W57175" s="503"/>
    </row>
    <row r="57176" spans="23:23">
      <c r="W57176" s="503"/>
    </row>
    <row r="57177" spans="23:23">
      <c r="W57177" s="503"/>
    </row>
    <row r="57178" spans="23:23">
      <c r="W57178" s="503"/>
    </row>
    <row r="57179" spans="23:23">
      <c r="W57179" s="503"/>
    </row>
    <row r="57180" spans="23:23">
      <c r="W57180" s="503"/>
    </row>
    <row r="57181" spans="23:23">
      <c r="W57181" s="503"/>
    </row>
    <row r="57182" spans="23:23">
      <c r="W57182" s="503"/>
    </row>
    <row r="57183" spans="23:23">
      <c r="W57183" s="503"/>
    </row>
    <row r="57184" spans="23:23">
      <c r="W57184" s="503"/>
    </row>
    <row r="57185" spans="23:23">
      <c r="W57185" s="503"/>
    </row>
    <row r="57186" spans="23:23">
      <c r="W57186" s="503"/>
    </row>
    <row r="57187" spans="23:23">
      <c r="W57187" s="503"/>
    </row>
    <row r="57188" spans="23:23">
      <c r="W57188" s="503"/>
    </row>
    <row r="57189" spans="23:23">
      <c r="W57189" s="503"/>
    </row>
    <row r="57190" spans="23:23">
      <c r="W57190" s="503"/>
    </row>
    <row r="57191" spans="23:23">
      <c r="W57191" s="503"/>
    </row>
    <row r="57192" spans="23:23">
      <c r="W57192" s="503"/>
    </row>
    <row r="57193" spans="23:23">
      <c r="W57193" s="503"/>
    </row>
    <row r="57194" spans="23:23">
      <c r="W57194" s="503"/>
    </row>
    <row r="57195" spans="23:23">
      <c r="W57195" s="503"/>
    </row>
    <row r="57196" spans="23:23">
      <c r="W57196" s="503"/>
    </row>
    <row r="57197" spans="23:23">
      <c r="W57197" s="503"/>
    </row>
    <row r="57198" spans="23:23">
      <c r="W57198" s="503"/>
    </row>
    <row r="57199" spans="23:23">
      <c r="W57199" s="503"/>
    </row>
    <row r="57200" spans="23:23">
      <c r="W57200" s="503"/>
    </row>
    <row r="57201" spans="23:23">
      <c r="W57201" s="503"/>
    </row>
    <row r="57202" spans="23:23">
      <c r="W57202" s="503"/>
    </row>
    <row r="57203" spans="23:23">
      <c r="W57203" s="503"/>
    </row>
    <row r="57204" spans="23:23">
      <c r="W57204" s="503"/>
    </row>
    <row r="57205" spans="23:23">
      <c r="W57205" s="503"/>
    </row>
    <row r="57206" spans="23:23">
      <c r="W57206" s="503"/>
    </row>
    <row r="57207" spans="23:23">
      <c r="W57207" s="503"/>
    </row>
    <row r="57208" spans="23:23">
      <c r="W57208" s="503"/>
    </row>
    <row r="57209" spans="23:23">
      <c r="W57209" s="503"/>
    </row>
    <row r="57210" spans="23:23">
      <c r="W57210" s="503"/>
    </row>
    <row r="57211" spans="23:23">
      <c r="W57211" s="503"/>
    </row>
    <row r="57212" spans="23:23">
      <c r="W57212" s="503"/>
    </row>
    <row r="57213" spans="23:23">
      <c r="W57213" s="503"/>
    </row>
    <row r="57214" spans="23:23">
      <c r="W57214" s="503"/>
    </row>
    <row r="57215" spans="23:23">
      <c r="W57215" s="503"/>
    </row>
    <row r="57216" spans="23:23">
      <c r="W57216" s="503"/>
    </row>
    <row r="57217" spans="23:23">
      <c r="W57217" s="503"/>
    </row>
    <row r="57218" spans="23:23">
      <c r="W57218" s="503"/>
    </row>
    <row r="57219" spans="23:23">
      <c r="W57219" s="503"/>
    </row>
    <row r="57220" spans="23:23">
      <c r="W57220" s="503"/>
    </row>
    <row r="57221" spans="23:23">
      <c r="W57221" s="503"/>
    </row>
    <row r="57222" spans="23:23">
      <c r="W57222" s="503"/>
    </row>
    <row r="57223" spans="23:23">
      <c r="W57223" s="503"/>
    </row>
    <row r="57224" spans="23:23">
      <c r="W57224" s="503"/>
    </row>
    <row r="57225" spans="23:23">
      <c r="W57225" s="503"/>
    </row>
    <row r="57226" spans="23:23">
      <c r="W57226" s="503"/>
    </row>
    <row r="57227" spans="23:23">
      <c r="W57227" s="503"/>
    </row>
    <row r="57228" spans="23:23">
      <c r="W57228" s="503"/>
    </row>
    <row r="57229" spans="23:23">
      <c r="W57229" s="503"/>
    </row>
    <row r="57230" spans="23:23">
      <c r="W57230" s="503"/>
    </row>
    <row r="57231" spans="23:23">
      <c r="W57231" s="503"/>
    </row>
    <row r="57232" spans="23:23">
      <c r="W57232" s="503"/>
    </row>
    <row r="57233" spans="23:23">
      <c r="W57233" s="503"/>
    </row>
    <row r="57234" spans="23:23">
      <c r="W57234" s="503"/>
    </row>
    <row r="57235" spans="23:23">
      <c r="W57235" s="503"/>
    </row>
    <row r="57236" spans="23:23">
      <c r="W57236" s="503"/>
    </row>
    <row r="57237" spans="23:23">
      <c r="W57237" s="503"/>
    </row>
    <row r="57238" spans="23:23">
      <c r="W57238" s="503"/>
    </row>
    <row r="57239" spans="23:23">
      <c r="W57239" s="503"/>
    </row>
    <row r="57240" spans="23:23">
      <c r="W57240" s="503"/>
    </row>
    <row r="57241" spans="23:23">
      <c r="W57241" s="503"/>
    </row>
    <row r="57242" spans="23:23">
      <c r="W57242" s="503"/>
    </row>
    <row r="57243" spans="23:23">
      <c r="W57243" s="503"/>
    </row>
    <row r="57244" spans="23:23">
      <c r="W57244" s="503"/>
    </row>
    <row r="57245" spans="23:23">
      <c r="W57245" s="503"/>
    </row>
    <row r="57246" spans="23:23">
      <c r="W57246" s="503"/>
    </row>
    <row r="57247" spans="23:23">
      <c r="W57247" s="503"/>
    </row>
    <row r="57248" spans="23:23">
      <c r="W57248" s="503"/>
    </row>
    <row r="57249" spans="23:23">
      <c r="W57249" s="503"/>
    </row>
    <row r="57250" spans="23:23">
      <c r="W57250" s="503"/>
    </row>
    <row r="57251" spans="23:23">
      <c r="W57251" s="503"/>
    </row>
    <row r="57252" spans="23:23">
      <c r="W57252" s="503"/>
    </row>
    <row r="57253" spans="23:23">
      <c r="W57253" s="503"/>
    </row>
    <row r="57254" spans="23:23">
      <c r="W57254" s="503"/>
    </row>
    <row r="57255" spans="23:23">
      <c r="W57255" s="503"/>
    </row>
    <row r="57256" spans="23:23">
      <c r="W57256" s="503"/>
    </row>
    <row r="57257" spans="23:23">
      <c r="W57257" s="503"/>
    </row>
    <row r="57258" spans="23:23">
      <c r="W57258" s="503"/>
    </row>
    <row r="57259" spans="23:23">
      <c r="W57259" s="503"/>
    </row>
    <row r="57260" spans="23:23">
      <c r="W57260" s="503"/>
    </row>
    <row r="57261" spans="23:23">
      <c r="W57261" s="503"/>
    </row>
    <row r="57262" spans="23:23">
      <c r="W57262" s="503"/>
    </row>
    <row r="57263" spans="23:23">
      <c r="W57263" s="503"/>
    </row>
    <row r="57264" spans="23:23">
      <c r="W57264" s="503"/>
    </row>
    <row r="57265" spans="23:23">
      <c r="W57265" s="503"/>
    </row>
    <row r="57266" spans="23:23">
      <c r="W57266" s="503"/>
    </row>
    <row r="57267" spans="23:23">
      <c r="W57267" s="503"/>
    </row>
    <row r="57268" spans="23:23">
      <c r="W57268" s="503"/>
    </row>
    <row r="57269" spans="23:23">
      <c r="W57269" s="503"/>
    </row>
    <row r="57270" spans="23:23">
      <c r="W57270" s="503"/>
    </row>
    <row r="57271" spans="23:23">
      <c r="W57271" s="503"/>
    </row>
    <row r="57272" spans="23:23">
      <c r="W57272" s="503"/>
    </row>
    <row r="57273" spans="23:23">
      <c r="W57273" s="503"/>
    </row>
    <row r="57274" spans="23:23">
      <c r="W57274" s="503"/>
    </row>
    <row r="57275" spans="23:23">
      <c r="W57275" s="503"/>
    </row>
    <row r="57276" spans="23:23">
      <c r="W57276" s="503"/>
    </row>
    <row r="57277" spans="23:23">
      <c r="W57277" s="503"/>
    </row>
    <row r="57278" spans="23:23">
      <c r="W57278" s="503"/>
    </row>
    <row r="57279" spans="23:23">
      <c r="W57279" s="503"/>
    </row>
    <row r="57280" spans="23:23">
      <c r="W57280" s="503"/>
    </row>
    <row r="57281" spans="23:23">
      <c r="W57281" s="503"/>
    </row>
    <row r="57282" spans="23:23">
      <c r="W57282" s="503"/>
    </row>
    <row r="57283" spans="23:23">
      <c r="W57283" s="503"/>
    </row>
    <row r="57284" spans="23:23">
      <c r="W57284" s="503"/>
    </row>
    <row r="57285" spans="23:23">
      <c r="W57285" s="503"/>
    </row>
    <row r="57286" spans="23:23">
      <c r="W57286" s="503"/>
    </row>
    <row r="57287" spans="23:23">
      <c r="W57287" s="503"/>
    </row>
    <row r="57288" spans="23:23">
      <c r="W57288" s="503"/>
    </row>
    <row r="57289" spans="23:23">
      <c r="W57289" s="503"/>
    </row>
    <row r="57290" spans="23:23">
      <c r="W57290" s="503"/>
    </row>
    <row r="57291" spans="23:23">
      <c r="W57291" s="503"/>
    </row>
    <row r="57292" spans="23:23">
      <c r="W57292" s="503"/>
    </row>
    <row r="57293" spans="23:23">
      <c r="W57293" s="503"/>
    </row>
    <row r="57294" spans="23:23">
      <c r="W57294" s="503"/>
    </row>
    <row r="57295" spans="23:23">
      <c r="W57295" s="503"/>
    </row>
    <row r="57296" spans="23:23">
      <c r="W57296" s="503"/>
    </row>
    <row r="57297" spans="23:23">
      <c r="W57297" s="503"/>
    </row>
    <row r="57298" spans="23:23">
      <c r="W57298" s="503"/>
    </row>
    <row r="57299" spans="23:23">
      <c r="W57299" s="503"/>
    </row>
    <row r="57300" spans="23:23">
      <c r="W57300" s="503"/>
    </row>
    <row r="57301" spans="23:23">
      <c r="W57301" s="503"/>
    </row>
    <row r="57302" spans="23:23">
      <c r="W57302" s="503"/>
    </row>
    <row r="57303" spans="23:23">
      <c r="W57303" s="503"/>
    </row>
    <row r="57304" spans="23:23">
      <c r="W57304" s="503"/>
    </row>
    <row r="57305" spans="23:23">
      <c r="W57305" s="503"/>
    </row>
    <row r="57306" spans="23:23">
      <c r="W57306" s="503"/>
    </row>
    <row r="57307" spans="23:23">
      <c r="W57307" s="503"/>
    </row>
    <row r="57308" spans="23:23">
      <c r="W57308" s="503"/>
    </row>
    <row r="57309" spans="23:23">
      <c r="W57309" s="503"/>
    </row>
    <row r="57310" spans="23:23">
      <c r="W57310" s="503"/>
    </row>
    <row r="57311" spans="23:23">
      <c r="W57311" s="503"/>
    </row>
    <row r="57312" spans="23:23">
      <c r="W57312" s="503"/>
    </row>
    <row r="57313" spans="23:23">
      <c r="W57313" s="503"/>
    </row>
    <row r="57314" spans="23:23">
      <c r="W57314" s="503"/>
    </row>
    <row r="57315" spans="23:23">
      <c r="W57315" s="503"/>
    </row>
    <row r="57316" spans="23:23">
      <c r="W57316" s="503"/>
    </row>
    <row r="57317" spans="23:23">
      <c r="W57317" s="503"/>
    </row>
    <row r="57318" spans="23:23">
      <c r="W57318" s="503"/>
    </row>
    <row r="57319" spans="23:23">
      <c r="W57319" s="503"/>
    </row>
    <row r="57320" spans="23:23">
      <c r="W57320" s="503"/>
    </row>
    <row r="57321" spans="23:23">
      <c r="W57321" s="503"/>
    </row>
    <row r="57322" spans="23:23">
      <c r="W57322" s="503"/>
    </row>
    <row r="57323" spans="23:23">
      <c r="W57323" s="503"/>
    </row>
    <row r="57324" spans="23:23">
      <c r="W57324" s="503"/>
    </row>
    <row r="57325" spans="23:23">
      <c r="W57325" s="503"/>
    </row>
    <row r="57326" spans="23:23">
      <c r="W57326" s="503"/>
    </row>
    <row r="57327" spans="23:23">
      <c r="W57327" s="503"/>
    </row>
    <row r="57328" spans="23:23">
      <c r="W57328" s="503"/>
    </row>
    <row r="57329" spans="23:23">
      <c r="W57329" s="503"/>
    </row>
    <row r="57330" spans="23:23">
      <c r="W57330" s="503"/>
    </row>
    <row r="57331" spans="23:23">
      <c r="W57331" s="503"/>
    </row>
    <row r="57332" spans="23:23">
      <c r="W57332" s="503"/>
    </row>
    <row r="57333" spans="23:23">
      <c r="W57333" s="503"/>
    </row>
    <row r="57334" spans="23:23">
      <c r="W57334" s="503"/>
    </row>
    <row r="57335" spans="23:23">
      <c r="W57335" s="503"/>
    </row>
    <row r="57336" spans="23:23">
      <c r="W57336" s="503"/>
    </row>
    <row r="57337" spans="23:23">
      <c r="W57337" s="503"/>
    </row>
    <row r="57338" spans="23:23">
      <c r="W57338" s="503"/>
    </row>
    <row r="57339" spans="23:23">
      <c r="W57339" s="503"/>
    </row>
    <row r="57340" spans="23:23">
      <c r="W57340" s="503"/>
    </row>
    <row r="57341" spans="23:23">
      <c r="W57341" s="503"/>
    </row>
    <row r="57342" spans="23:23">
      <c r="W57342" s="503"/>
    </row>
    <row r="57343" spans="23:23">
      <c r="W57343" s="503"/>
    </row>
    <row r="57344" spans="23:23">
      <c r="W57344" s="503"/>
    </row>
    <row r="57345" spans="23:23">
      <c r="W57345" s="503"/>
    </row>
    <row r="57346" spans="23:23">
      <c r="W57346" s="503"/>
    </row>
    <row r="57347" spans="23:23">
      <c r="W57347" s="503"/>
    </row>
    <row r="57348" spans="23:23">
      <c r="W57348" s="503"/>
    </row>
    <row r="57349" spans="23:23">
      <c r="W57349" s="503"/>
    </row>
    <row r="57350" spans="23:23">
      <c r="W57350" s="503"/>
    </row>
    <row r="57351" spans="23:23">
      <c r="W57351" s="503"/>
    </row>
    <row r="57352" spans="23:23">
      <c r="W57352" s="503"/>
    </row>
    <row r="57353" spans="23:23">
      <c r="W57353" s="503"/>
    </row>
    <row r="57354" spans="23:23">
      <c r="W57354" s="503"/>
    </row>
    <row r="57355" spans="23:23">
      <c r="W57355" s="503"/>
    </row>
    <row r="57356" spans="23:23">
      <c r="W57356" s="503"/>
    </row>
    <row r="57357" spans="23:23">
      <c r="W57357" s="503"/>
    </row>
    <row r="57358" spans="23:23">
      <c r="W57358" s="503"/>
    </row>
    <row r="57359" spans="23:23">
      <c r="W57359" s="503"/>
    </row>
    <row r="57360" spans="23:23">
      <c r="W57360" s="503"/>
    </row>
    <row r="57361" spans="23:23">
      <c r="W57361" s="503"/>
    </row>
    <row r="57362" spans="23:23">
      <c r="W57362" s="503"/>
    </row>
    <row r="57363" spans="23:23">
      <c r="W57363" s="503"/>
    </row>
    <row r="57364" spans="23:23">
      <c r="W57364" s="503"/>
    </row>
    <row r="57365" spans="23:23">
      <c r="W57365" s="503"/>
    </row>
    <row r="57366" spans="23:23">
      <c r="W57366" s="503"/>
    </row>
    <row r="57367" spans="23:23">
      <c r="W57367" s="503"/>
    </row>
    <row r="57368" spans="23:23">
      <c r="W57368" s="503"/>
    </row>
    <row r="57369" spans="23:23">
      <c r="W57369" s="503"/>
    </row>
    <row r="57370" spans="23:23">
      <c r="W57370" s="503"/>
    </row>
    <row r="57371" spans="23:23">
      <c r="W57371" s="503"/>
    </row>
    <row r="57372" spans="23:23">
      <c r="W57372" s="503"/>
    </row>
    <row r="57373" spans="23:23">
      <c r="W57373" s="503"/>
    </row>
    <row r="57374" spans="23:23">
      <c r="W57374" s="503"/>
    </row>
    <row r="57375" spans="23:23">
      <c r="W57375" s="503"/>
    </row>
    <row r="57376" spans="23:23">
      <c r="W57376" s="503"/>
    </row>
    <row r="57377" spans="23:23">
      <c r="W57377" s="503"/>
    </row>
    <row r="57378" spans="23:23">
      <c r="W57378" s="503"/>
    </row>
    <row r="57379" spans="23:23">
      <c r="W57379" s="503"/>
    </row>
    <row r="57380" spans="23:23">
      <c r="W57380" s="503"/>
    </row>
    <row r="57381" spans="23:23">
      <c r="W57381" s="503"/>
    </row>
    <row r="57382" spans="23:23">
      <c r="W57382" s="503"/>
    </row>
    <row r="57383" spans="23:23">
      <c r="W57383" s="503"/>
    </row>
    <row r="57384" spans="23:23">
      <c r="W57384" s="503"/>
    </row>
    <row r="57385" spans="23:23">
      <c r="W57385" s="503"/>
    </row>
    <row r="57386" spans="23:23">
      <c r="W57386" s="503"/>
    </row>
    <row r="57387" spans="23:23">
      <c r="W57387" s="503"/>
    </row>
    <row r="57388" spans="23:23">
      <c r="W57388" s="503"/>
    </row>
    <row r="57389" spans="23:23">
      <c r="W57389" s="503"/>
    </row>
    <row r="57390" spans="23:23">
      <c r="W57390" s="503"/>
    </row>
    <row r="57391" spans="23:23">
      <c r="W57391" s="503"/>
    </row>
    <row r="57392" spans="23:23">
      <c r="W57392" s="503"/>
    </row>
    <row r="57393" spans="23:23">
      <c r="W57393" s="503"/>
    </row>
    <row r="57394" spans="23:23">
      <c r="W57394" s="503"/>
    </row>
    <row r="57395" spans="23:23">
      <c r="W57395" s="503"/>
    </row>
    <row r="57396" spans="23:23">
      <c r="W57396" s="503"/>
    </row>
    <row r="57397" spans="23:23">
      <c r="W57397" s="503"/>
    </row>
    <row r="57398" spans="23:23">
      <c r="W57398" s="503"/>
    </row>
    <row r="57399" spans="23:23">
      <c r="W57399" s="503"/>
    </row>
    <row r="57400" spans="23:23">
      <c r="W57400" s="503"/>
    </row>
    <row r="57401" spans="23:23">
      <c r="W57401" s="503"/>
    </row>
    <row r="57402" spans="23:23">
      <c r="W57402" s="503"/>
    </row>
    <row r="57403" spans="23:23">
      <c r="W57403" s="503"/>
    </row>
    <row r="57404" spans="23:23">
      <c r="W57404" s="503"/>
    </row>
    <row r="57405" spans="23:23">
      <c r="W57405" s="503"/>
    </row>
    <row r="57406" spans="23:23">
      <c r="W57406" s="503"/>
    </row>
    <row r="57407" spans="23:23">
      <c r="W57407" s="503"/>
    </row>
    <row r="57408" spans="23:23">
      <c r="W57408" s="503"/>
    </row>
    <row r="57409" spans="23:23">
      <c r="W57409" s="503"/>
    </row>
    <row r="57410" spans="23:23">
      <c r="W57410" s="503"/>
    </row>
    <row r="57411" spans="23:23">
      <c r="W57411" s="503"/>
    </row>
    <row r="57412" spans="23:23">
      <c r="W57412" s="503"/>
    </row>
    <row r="57413" spans="23:23">
      <c r="W57413" s="503"/>
    </row>
    <row r="57414" spans="23:23">
      <c r="W57414" s="503"/>
    </row>
    <row r="57415" spans="23:23">
      <c r="W57415" s="503"/>
    </row>
    <row r="57416" spans="23:23">
      <c r="W57416" s="503"/>
    </row>
    <row r="57417" spans="23:23">
      <c r="W57417" s="503"/>
    </row>
    <row r="57418" spans="23:23">
      <c r="W57418" s="503"/>
    </row>
    <row r="57419" spans="23:23">
      <c r="W57419" s="503"/>
    </row>
    <row r="57420" spans="23:23">
      <c r="W57420" s="503"/>
    </row>
    <row r="57421" spans="23:23">
      <c r="W57421" s="503"/>
    </row>
    <row r="57422" spans="23:23">
      <c r="W57422" s="503"/>
    </row>
    <row r="57423" spans="23:23">
      <c r="W57423" s="503"/>
    </row>
    <row r="57424" spans="23:23">
      <c r="W57424" s="503"/>
    </row>
    <row r="57425" spans="23:23">
      <c r="W57425" s="503"/>
    </row>
    <row r="57426" spans="23:23">
      <c r="W57426" s="503"/>
    </row>
    <row r="57427" spans="23:23">
      <c r="W57427" s="503"/>
    </row>
    <row r="57428" spans="23:23">
      <c r="W57428" s="503"/>
    </row>
    <row r="57429" spans="23:23">
      <c r="W57429" s="503"/>
    </row>
    <row r="57430" spans="23:23">
      <c r="W57430" s="503"/>
    </row>
    <row r="57431" spans="23:23">
      <c r="W57431" s="503"/>
    </row>
    <row r="57432" spans="23:23">
      <c r="W57432" s="503"/>
    </row>
    <row r="57433" spans="23:23">
      <c r="W57433" s="503"/>
    </row>
    <row r="57434" spans="23:23">
      <c r="W57434" s="503"/>
    </row>
    <row r="57435" spans="23:23">
      <c r="W57435" s="503"/>
    </row>
    <row r="57436" spans="23:23">
      <c r="W57436" s="503"/>
    </row>
    <row r="57437" spans="23:23">
      <c r="W57437" s="503"/>
    </row>
    <row r="57438" spans="23:23">
      <c r="W57438" s="503"/>
    </row>
    <row r="57439" spans="23:23">
      <c r="W57439" s="503"/>
    </row>
    <row r="57440" spans="23:23">
      <c r="W57440" s="503"/>
    </row>
    <row r="57441" spans="23:23">
      <c r="W57441" s="503"/>
    </row>
    <row r="57442" spans="23:23">
      <c r="W57442" s="503"/>
    </row>
    <row r="57443" spans="23:23">
      <c r="W57443" s="503"/>
    </row>
    <row r="57444" spans="23:23">
      <c r="W57444" s="503"/>
    </row>
    <row r="57445" spans="23:23">
      <c r="W57445" s="503"/>
    </row>
    <row r="57446" spans="23:23">
      <c r="W57446" s="503"/>
    </row>
    <row r="57447" spans="23:23">
      <c r="W57447" s="503"/>
    </row>
    <row r="57448" spans="23:23">
      <c r="W57448" s="503"/>
    </row>
    <row r="57449" spans="23:23">
      <c r="W57449" s="503"/>
    </row>
    <row r="57450" spans="23:23">
      <c r="W57450" s="503"/>
    </row>
    <row r="57451" spans="23:23">
      <c r="W57451" s="503"/>
    </row>
    <row r="57452" spans="23:23">
      <c r="W57452" s="503"/>
    </row>
    <row r="57453" spans="23:23">
      <c r="W57453" s="503"/>
    </row>
    <row r="57454" spans="23:23">
      <c r="W57454" s="503"/>
    </row>
    <row r="57455" spans="23:23">
      <c r="W57455" s="503"/>
    </row>
    <row r="57456" spans="23:23">
      <c r="W57456" s="503"/>
    </row>
    <row r="57457" spans="23:23">
      <c r="W57457" s="503"/>
    </row>
    <row r="57458" spans="23:23">
      <c r="W57458" s="503"/>
    </row>
    <row r="57459" spans="23:23">
      <c r="W57459" s="503"/>
    </row>
    <row r="57460" spans="23:23">
      <c r="W57460" s="503"/>
    </row>
    <row r="57461" spans="23:23">
      <c r="W57461" s="503"/>
    </row>
    <row r="57462" spans="23:23">
      <c r="W57462" s="503"/>
    </row>
    <row r="57463" spans="23:23">
      <c r="W57463" s="503"/>
    </row>
    <row r="57464" spans="23:23">
      <c r="W57464" s="503"/>
    </row>
    <row r="57465" spans="23:23">
      <c r="W57465" s="503"/>
    </row>
    <row r="57466" spans="23:23">
      <c r="W57466" s="503"/>
    </row>
    <row r="57467" spans="23:23">
      <c r="W57467" s="503"/>
    </row>
    <row r="57468" spans="23:23">
      <c r="W57468" s="503"/>
    </row>
    <row r="57469" spans="23:23">
      <c r="W57469" s="503"/>
    </row>
    <row r="57470" spans="23:23">
      <c r="W57470" s="503"/>
    </row>
    <row r="57471" spans="23:23">
      <c r="W57471" s="503"/>
    </row>
    <row r="57472" spans="23:23">
      <c r="W57472" s="503"/>
    </row>
    <row r="57473" spans="23:23">
      <c r="W57473" s="503"/>
    </row>
    <row r="57474" spans="23:23">
      <c r="W57474" s="503"/>
    </row>
    <row r="57475" spans="23:23">
      <c r="W57475" s="503"/>
    </row>
    <row r="57476" spans="23:23">
      <c r="W57476" s="503"/>
    </row>
    <row r="57477" spans="23:23">
      <c r="W57477" s="503"/>
    </row>
    <row r="57478" spans="23:23">
      <c r="W57478" s="503"/>
    </row>
    <row r="57479" spans="23:23">
      <c r="W57479" s="503"/>
    </row>
    <row r="57480" spans="23:23">
      <c r="W57480" s="503"/>
    </row>
    <row r="57481" spans="23:23">
      <c r="W57481" s="503"/>
    </row>
    <row r="57482" spans="23:23">
      <c r="W57482" s="503"/>
    </row>
    <row r="57483" spans="23:23">
      <c r="W57483" s="503"/>
    </row>
    <row r="57484" spans="23:23">
      <c r="W57484" s="503"/>
    </row>
    <row r="57485" spans="23:23">
      <c r="W57485" s="503"/>
    </row>
    <row r="57486" spans="23:23">
      <c r="W57486" s="503"/>
    </row>
    <row r="57487" spans="23:23">
      <c r="W57487" s="503"/>
    </row>
    <row r="57488" spans="23:23">
      <c r="W57488" s="503"/>
    </row>
    <row r="57489" spans="23:23">
      <c r="W57489" s="503"/>
    </row>
    <row r="57490" spans="23:23">
      <c r="W57490" s="503"/>
    </row>
    <row r="57491" spans="23:23">
      <c r="W57491" s="503"/>
    </row>
    <row r="57492" spans="23:23">
      <c r="W57492" s="503"/>
    </row>
    <row r="57493" spans="23:23">
      <c r="W57493" s="503"/>
    </row>
    <row r="57494" spans="23:23">
      <c r="W57494" s="503"/>
    </row>
    <row r="57495" spans="23:23">
      <c r="W57495" s="503"/>
    </row>
    <row r="57496" spans="23:23">
      <c r="W57496" s="503"/>
    </row>
    <row r="57497" spans="23:23">
      <c r="W57497" s="503"/>
    </row>
    <row r="57498" spans="23:23">
      <c r="W57498" s="503"/>
    </row>
    <row r="57499" spans="23:23">
      <c r="W57499" s="503"/>
    </row>
    <row r="57500" spans="23:23">
      <c r="W57500" s="503"/>
    </row>
    <row r="57501" spans="23:23">
      <c r="W57501" s="503"/>
    </row>
    <row r="57502" spans="23:23">
      <c r="W57502" s="503"/>
    </row>
    <row r="57503" spans="23:23">
      <c r="W57503" s="503"/>
    </row>
    <row r="57504" spans="23:23">
      <c r="W57504" s="503"/>
    </row>
    <row r="57505" spans="23:23">
      <c r="W57505" s="503"/>
    </row>
    <row r="57506" spans="23:23">
      <c r="W57506" s="503"/>
    </row>
    <row r="57507" spans="23:23">
      <c r="W57507" s="503"/>
    </row>
    <row r="57508" spans="23:23">
      <c r="W57508" s="503"/>
    </row>
    <row r="57509" spans="23:23">
      <c r="W57509" s="503"/>
    </row>
    <row r="57510" spans="23:23">
      <c r="W57510" s="503"/>
    </row>
    <row r="57511" spans="23:23">
      <c r="W57511" s="503"/>
    </row>
    <row r="57512" spans="23:23">
      <c r="W57512" s="503"/>
    </row>
    <row r="57513" spans="23:23">
      <c r="W57513" s="503"/>
    </row>
    <row r="57514" spans="23:23">
      <c r="W57514" s="503"/>
    </row>
    <row r="57515" spans="23:23">
      <c r="W57515" s="503"/>
    </row>
    <row r="57516" spans="23:23">
      <c r="W57516" s="503"/>
    </row>
    <row r="57517" spans="23:23">
      <c r="W57517" s="503"/>
    </row>
    <row r="57518" spans="23:23">
      <c r="W57518" s="503"/>
    </row>
    <row r="57519" spans="23:23">
      <c r="W57519" s="503"/>
    </row>
    <row r="57520" spans="23:23">
      <c r="W57520" s="503"/>
    </row>
    <row r="57521" spans="23:23">
      <c r="W57521" s="503"/>
    </row>
    <row r="57522" spans="23:23">
      <c r="W57522" s="503"/>
    </row>
    <row r="57523" spans="23:23">
      <c r="W57523" s="503"/>
    </row>
    <row r="57524" spans="23:23">
      <c r="W57524" s="503"/>
    </row>
    <row r="57525" spans="23:23">
      <c r="W57525" s="503"/>
    </row>
    <row r="57526" spans="23:23">
      <c r="W57526" s="503"/>
    </row>
    <row r="57527" spans="23:23">
      <c r="W57527" s="503"/>
    </row>
    <row r="57528" spans="23:23">
      <c r="W57528" s="503"/>
    </row>
    <row r="57529" spans="23:23">
      <c r="W57529" s="503"/>
    </row>
    <row r="57530" spans="23:23">
      <c r="W57530" s="503"/>
    </row>
    <row r="57531" spans="23:23">
      <c r="W57531" s="503"/>
    </row>
    <row r="57532" spans="23:23">
      <c r="W57532" s="503"/>
    </row>
    <row r="57533" spans="23:23">
      <c r="W57533" s="503"/>
    </row>
    <row r="57534" spans="23:23">
      <c r="W57534" s="503"/>
    </row>
    <row r="57535" spans="23:23">
      <c r="W57535" s="503"/>
    </row>
    <row r="57536" spans="23:23">
      <c r="W57536" s="503"/>
    </row>
    <row r="57537" spans="23:23">
      <c r="W57537" s="503"/>
    </row>
    <row r="57538" spans="23:23">
      <c r="W57538" s="503"/>
    </row>
    <row r="57539" spans="23:23">
      <c r="W57539" s="503"/>
    </row>
    <row r="57540" spans="23:23">
      <c r="W57540" s="503"/>
    </row>
    <row r="57541" spans="23:23">
      <c r="W57541" s="503"/>
    </row>
    <row r="57542" spans="23:23">
      <c r="W57542" s="503"/>
    </row>
    <row r="57543" spans="23:23">
      <c r="W57543" s="503"/>
    </row>
    <row r="57544" spans="23:23">
      <c r="W57544" s="503"/>
    </row>
    <row r="57545" spans="23:23">
      <c r="W57545" s="503"/>
    </row>
    <row r="57546" spans="23:23">
      <c r="W57546" s="503"/>
    </row>
    <row r="57547" spans="23:23">
      <c r="W57547" s="503"/>
    </row>
    <row r="57548" spans="23:23">
      <c r="W57548" s="503"/>
    </row>
    <row r="57549" spans="23:23">
      <c r="W57549" s="503"/>
    </row>
    <row r="57550" spans="23:23">
      <c r="W57550" s="503"/>
    </row>
    <row r="57551" spans="23:23">
      <c r="W57551" s="503"/>
    </row>
    <row r="57552" spans="23:23">
      <c r="W57552" s="503"/>
    </row>
    <row r="57553" spans="23:23">
      <c r="W57553" s="503"/>
    </row>
    <row r="57554" spans="23:23">
      <c r="W57554" s="503"/>
    </row>
    <row r="57555" spans="23:23">
      <c r="W57555" s="503"/>
    </row>
    <row r="57556" spans="23:23">
      <c r="W57556" s="503"/>
    </row>
    <row r="57557" spans="23:23">
      <c r="W57557" s="503"/>
    </row>
    <row r="57558" spans="23:23">
      <c r="W57558" s="503"/>
    </row>
    <row r="57559" spans="23:23">
      <c r="W57559" s="503"/>
    </row>
    <row r="57560" spans="23:23">
      <c r="W57560" s="503"/>
    </row>
    <row r="57561" spans="23:23">
      <c r="W57561" s="503"/>
    </row>
    <row r="57562" spans="23:23">
      <c r="W57562" s="503"/>
    </row>
    <row r="57563" spans="23:23">
      <c r="W57563" s="503"/>
    </row>
    <row r="57564" spans="23:23">
      <c r="W57564" s="503"/>
    </row>
    <row r="57565" spans="23:23">
      <c r="W57565" s="503"/>
    </row>
    <row r="57566" spans="23:23">
      <c r="W57566" s="503"/>
    </row>
    <row r="57567" spans="23:23">
      <c r="W57567" s="503"/>
    </row>
    <row r="57568" spans="23:23">
      <c r="W57568" s="503"/>
    </row>
    <row r="57569" spans="23:23">
      <c r="W57569" s="503"/>
    </row>
    <row r="57570" spans="23:23">
      <c r="W57570" s="503"/>
    </row>
    <row r="57571" spans="23:23">
      <c r="W57571" s="503"/>
    </row>
    <row r="57572" spans="23:23">
      <c r="W57572" s="503"/>
    </row>
    <row r="57573" spans="23:23">
      <c r="W57573" s="503"/>
    </row>
    <row r="57574" spans="23:23">
      <c r="W57574" s="503"/>
    </row>
    <row r="57575" spans="23:23">
      <c r="W57575" s="503"/>
    </row>
    <row r="57576" spans="23:23">
      <c r="W57576" s="503"/>
    </row>
    <row r="57577" spans="23:23">
      <c r="W57577" s="503"/>
    </row>
    <row r="57578" spans="23:23">
      <c r="W57578" s="503"/>
    </row>
    <row r="57579" spans="23:23">
      <c r="W57579" s="503"/>
    </row>
    <row r="57580" spans="23:23">
      <c r="W57580" s="503"/>
    </row>
    <row r="57581" spans="23:23">
      <c r="W57581" s="503"/>
    </row>
    <row r="57582" spans="23:23">
      <c r="W57582" s="503"/>
    </row>
    <row r="57583" spans="23:23">
      <c r="W57583" s="503"/>
    </row>
    <row r="57584" spans="23:23">
      <c r="W57584" s="503"/>
    </row>
    <row r="57585" spans="23:23">
      <c r="W57585" s="503"/>
    </row>
    <row r="57586" spans="23:23">
      <c r="W57586" s="503"/>
    </row>
    <row r="57587" spans="23:23">
      <c r="W57587" s="503"/>
    </row>
    <row r="57588" spans="23:23">
      <c r="W57588" s="503"/>
    </row>
    <row r="57589" spans="23:23">
      <c r="W57589" s="503"/>
    </row>
    <row r="57590" spans="23:23">
      <c r="W57590" s="503"/>
    </row>
    <row r="57591" spans="23:23">
      <c r="W57591" s="503"/>
    </row>
    <row r="57592" spans="23:23">
      <c r="W57592" s="503"/>
    </row>
    <row r="57593" spans="23:23">
      <c r="W57593" s="503"/>
    </row>
    <row r="57594" spans="23:23">
      <c r="W57594" s="503"/>
    </row>
    <row r="57595" spans="23:23">
      <c r="W57595" s="503"/>
    </row>
    <row r="57596" spans="23:23">
      <c r="W57596" s="503"/>
    </row>
    <row r="57597" spans="23:23">
      <c r="W57597" s="503"/>
    </row>
    <row r="57598" spans="23:23">
      <c r="W57598" s="503"/>
    </row>
    <row r="57599" spans="23:23">
      <c r="W57599" s="503"/>
    </row>
    <row r="57600" spans="23:23">
      <c r="W57600" s="503"/>
    </row>
    <row r="57601" spans="23:23">
      <c r="W57601" s="503"/>
    </row>
    <row r="57602" spans="23:23">
      <c r="W57602" s="503"/>
    </row>
    <row r="57603" spans="23:23">
      <c r="W57603" s="503"/>
    </row>
    <row r="57604" spans="23:23">
      <c r="W57604" s="503"/>
    </row>
    <row r="57605" spans="23:23">
      <c r="W57605" s="503"/>
    </row>
    <row r="57606" spans="23:23">
      <c r="W57606" s="503"/>
    </row>
    <row r="57607" spans="23:23">
      <c r="W57607" s="503"/>
    </row>
    <row r="57608" spans="23:23">
      <c r="W57608" s="503"/>
    </row>
    <row r="57609" spans="23:23">
      <c r="W57609" s="503"/>
    </row>
    <row r="57610" spans="23:23">
      <c r="W57610" s="503"/>
    </row>
    <row r="57611" spans="23:23">
      <c r="W57611" s="503"/>
    </row>
    <row r="57612" spans="23:23">
      <c r="W57612" s="503"/>
    </row>
    <row r="57613" spans="23:23">
      <c r="W57613" s="503"/>
    </row>
    <row r="57614" spans="23:23">
      <c r="W57614" s="503"/>
    </row>
    <row r="57615" spans="23:23">
      <c r="W57615" s="503"/>
    </row>
    <row r="57616" spans="23:23">
      <c r="W57616" s="503"/>
    </row>
    <row r="57617" spans="23:23">
      <c r="W57617" s="503"/>
    </row>
    <row r="57618" spans="23:23">
      <c r="W57618" s="503"/>
    </row>
    <row r="57619" spans="23:23">
      <c r="W57619" s="503"/>
    </row>
    <row r="57620" spans="23:23">
      <c r="W57620" s="503"/>
    </row>
    <row r="57621" spans="23:23">
      <c r="W57621" s="503"/>
    </row>
    <row r="57622" spans="23:23">
      <c r="W57622" s="503"/>
    </row>
    <row r="57623" spans="23:23">
      <c r="W57623" s="503"/>
    </row>
    <row r="57624" spans="23:23">
      <c r="W57624" s="503"/>
    </row>
    <row r="57625" spans="23:23">
      <c r="W57625" s="503"/>
    </row>
    <row r="57626" spans="23:23">
      <c r="W57626" s="503"/>
    </row>
    <row r="57627" spans="23:23">
      <c r="W57627" s="503"/>
    </row>
    <row r="57628" spans="23:23">
      <c r="W57628" s="503"/>
    </row>
    <row r="57629" spans="23:23">
      <c r="W57629" s="503"/>
    </row>
    <row r="57630" spans="23:23">
      <c r="W57630" s="503"/>
    </row>
    <row r="57631" spans="23:23">
      <c r="W57631" s="503"/>
    </row>
    <row r="57632" spans="23:23">
      <c r="W57632" s="503"/>
    </row>
    <row r="57633" spans="23:23">
      <c r="W57633" s="503"/>
    </row>
    <row r="57634" spans="23:23">
      <c r="W57634" s="503"/>
    </row>
    <row r="57635" spans="23:23">
      <c r="W57635" s="503"/>
    </row>
    <row r="57636" spans="23:23">
      <c r="W57636" s="503"/>
    </row>
    <row r="57637" spans="23:23">
      <c r="W57637" s="503"/>
    </row>
    <row r="57638" spans="23:23">
      <c r="W57638" s="503"/>
    </row>
    <row r="57639" spans="23:23">
      <c r="W57639" s="503"/>
    </row>
    <row r="57640" spans="23:23">
      <c r="W57640" s="503"/>
    </row>
    <row r="57641" spans="23:23">
      <c r="W57641" s="503"/>
    </row>
    <row r="57642" spans="23:23">
      <c r="W57642" s="503"/>
    </row>
    <row r="57643" spans="23:23">
      <c r="W57643" s="503"/>
    </row>
    <row r="57644" spans="23:23">
      <c r="W57644" s="503"/>
    </row>
    <row r="57645" spans="23:23">
      <c r="W57645" s="503"/>
    </row>
    <row r="57646" spans="23:23">
      <c r="W57646" s="503"/>
    </row>
    <row r="57647" spans="23:23">
      <c r="W57647" s="503"/>
    </row>
    <row r="57648" spans="23:23">
      <c r="W57648" s="503"/>
    </row>
    <row r="57649" spans="23:23">
      <c r="W57649" s="503"/>
    </row>
    <row r="57650" spans="23:23">
      <c r="W57650" s="503"/>
    </row>
    <row r="57651" spans="23:23">
      <c r="W57651" s="503"/>
    </row>
    <row r="57652" spans="23:23">
      <c r="W57652" s="503"/>
    </row>
    <row r="57653" spans="23:23">
      <c r="W57653" s="503"/>
    </row>
    <row r="57654" spans="23:23">
      <c r="W57654" s="503"/>
    </row>
    <row r="57655" spans="23:23">
      <c r="W57655" s="503"/>
    </row>
    <row r="57656" spans="23:23">
      <c r="W57656" s="503"/>
    </row>
    <row r="57657" spans="23:23">
      <c r="W57657" s="503"/>
    </row>
    <row r="57658" spans="23:23">
      <c r="W57658" s="503"/>
    </row>
    <row r="57659" spans="23:23">
      <c r="W57659" s="503"/>
    </row>
    <row r="57660" spans="23:23">
      <c r="W57660" s="503"/>
    </row>
    <row r="57661" spans="23:23">
      <c r="W57661" s="503"/>
    </row>
    <row r="57662" spans="23:23">
      <c r="W57662" s="503"/>
    </row>
    <row r="57663" spans="23:23">
      <c r="W57663" s="503"/>
    </row>
    <row r="57664" spans="23:23">
      <c r="W57664" s="503"/>
    </row>
    <row r="57665" spans="23:23">
      <c r="W57665" s="503"/>
    </row>
    <row r="57666" spans="23:23">
      <c r="W57666" s="503"/>
    </row>
    <row r="57667" spans="23:23">
      <c r="W57667" s="503"/>
    </row>
    <row r="57668" spans="23:23">
      <c r="W57668" s="503"/>
    </row>
    <row r="57669" spans="23:23">
      <c r="W57669" s="503"/>
    </row>
    <row r="57670" spans="23:23">
      <c r="W57670" s="503"/>
    </row>
    <row r="57671" spans="23:23">
      <c r="W57671" s="503"/>
    </row>
    <row r="57672" spans="23:23">
      <c r="W57672" s="503"/>
    </row>
    <row r="57673" spans="23:23">
      <c r="W57673" s="503"/>
    </row>
    <row r="57674" spans="23:23">
      <c r="W57674" s="503"/>
    </row>
    <row r="57675" spans="23:23">
      <c r="W57675" s="503"/>
    </row>
    <row r="57676" spans="23:23">
      <c r="W57676" s="503"/>
    </row>
    <row r="57677" spans="23:23">
      <c r="W57677" s="503"/>
    </row>
    <row r="57678" spans="23:23">
      <c r="W57678" s="503"/>
    </row>
    <row r="57679" spans="23:23">
      <c r="W57679" s="503"/>
    </row>
    <row r="57680" spans="23:23">
      <c r="W57680" s="503"/>
    </row>
    <row r="57681" spans="23:23">
      <c r="W57681" s="503"/>
    </row>
    <row r="57682" spans="23:23">
      <c r="W57682" s="503"/>
    </row>
    <row r="57683" spans="23:23">
      <c r="W57683" s="503"/>
    </row>
    <row r="57684" spans="23:23">
      <c r="W57684" s="503"/>
    </row>
    <row r="57685" spans="23:23">
      <c r="W57685" s="503"/>
    </row>
    <row r="57686" spans="23:23">
      <c r="W57686" s="503"/>
    </row>
    <row r="57687" spans="23:23">
      <c r="W57687" s="503"/>
    </row>
    <row r="57688" spans="23:23">
      <c r="W57688" s="503"/>
    </row>
    <row r="57689" spans="23:23">
      <c r="W57689" s="503"/>
    </row>
    <row r="57690" spans="23:23">
      <c r="W57690" s="503"/>
    </row>
    <row r="57691" spans="23:23">
      <c r="W57691" s="503"/>
    </row>
    <row r="57692" spans="23:23">
      <c r="W57692" s="503"/>
    </row>
    <row r="57693" spans="23:23">
      <c r="W57693" s="503"/>
    </row>
    <row r="57694" spans="23:23">
      <c r="W57694" s="503"/>
    </row>
    <row r="57695" spans="23:23">
      <c r="W57695" s="503"/>
    </row>
    <row r="57696" spans="23:23">
      <c r="W57696" s="503"/>
    </row>
    <row r="57697" spans="23:23">
      <c r="W57697" s="503"/>
    </row>
    <row r="57698" spans="23:23">
      <c r="W57698" s="503"/>
    </row>
    <row r="57699" spans="23:23">
      <c r="W57699" s="503"/>
    </row>
    <row r="57700" spans="23:23">
      <c r="W57700" s="503"/>
    </row>
    <row r="57701" spans="23:23">
      <c r="W57701" s="503"/>
    </row>
    <row r="57702" spans="23:23">
      <c r="W57702" s="503"/>
    </row>
    <row r="57703" spans="23:23">
      <c r="W57703" s="503"/>
    </row>
    <row r="57704" spans="23:23">
      <c r="W57704" s="503"/>
    </row>
    <row r="57705" spans="23:23">
      <c r="W57705" s="503"/>
    </row>
    <row r="57706" spans="23:23">
      <c r="W57706" s="503"/>
    </row>
    <row r="57707" spans="23:23">
      <c r="W57707" s="503"/>
    </row>
    <row r="57708" spans="23:23">
      <c r="W57708" s="503"/>
    </row>
    <row r="57709" spans="23:23">
      <c r="W57709" s="503"/>
    </row>
    <row r="57710" spans="23:23">
      <c r="W57710" s="503"/>
    </row>
    <row r="57711" spans="23:23">
      <c r="W57711" s="503"/>
    </row>
    <row r="57712" spans="23:23">
      <c r="W57712" s="503"/>
    </row>
    <row r="57713" spans="23:23">
      <c r="W57713" s="503"/>
    </row>
    <row r="57714" spans="23:23">
      <c r="W57714" s="503"/>
    </row>
    <row r="57715" spans="23:23">
      <c r="W57715" s="503"/>
    </row>
    <row r="57716" spans="23:23">
      <c r="W57716" s="503"/>
    </row>
    <row r="57717" spans="23:23">
      <c r="W57717" s="503"/>
    </row>
    <row r="57718" spans="23:23">
      <c r="W57718" s="503"/>
    </row>
    <row r="57719" spans="23:23">
      <c r="W57719" s="503"/>
    </row>
    <row r="57720" spans="23:23">
      <c r="W57720" s="503"/>
    </row>
    <row r="57721" spans="23:23">
      <c r="W57721" s="503"/>
    </row>
    <row r="57722" spans="23:23">
      <c r="W57722" s="503"/>
    </row>
    <row r="57723" spans="23:23">
      <c r="W57723" s="503"/>
    </row>
    <row r="57724" spans="23:23">
      <c r="W57724" s="503"/>
    </row>
    <row r="57725" spans="23:23">
      <c r="W57725" s="503"/>
    </row>
    <row r="57726" spans="23:23">
      <c r="W57726" s="503"/>
    </row>
    <row r="57727" spans="23:23">
      <c r="W57727" s="503"/>
    </row>
    <row r="57728" spans="23:23">
      <c r="W57728" s="503"/>
    </row>
    <row r="57729" spans="23:23">
      <c r="W57729" s="503"/>
    </row>
    <row r="57730" spans="23:23">
      <c r="W57730" s="503"/>
    </row>
    <row r="57731" spans="23:23">
      <c r="W57731" s="503"/>
    </row>
    <row r="57732" spans="23:23">
      <c r="W57732" s="503"/>
    </row>
    <row r="57733" spans="23:23">
      <c r="W57733" s="503"/>
    </row>
    <row r="57734" spans="23:23">
      <c r="W57734" s="503"/>
    </row>
    <row r="57735" spans="23:23">
      <c r="W57735" s="503"/>
    </row>
    <row r="57736" spans="23:23">
      <c r="W57736" s="503"/>
    </row>
    <row r="57737" spans="23:23">
      <c r="W57737" s="503"/>
    </row>
    <row r="57738" spans="23:23">
      <c r="W57738" s="503"/>
    </row>
    <row r="57739" spans="23:23">
      <c r="W57739" s="503"/>
    </row>
    <row r="57740" spans="23:23">
      <c r="W57740" s="503"/>
    </row>
    <row r="57741" spans="23:23">
      <c r="W57741" s="503"/>
    </row>
    <row r="57742" spans="23:23">
      <c r="W57742" s="503"/>
    </row>
    <row r="57743" spans="23:23">
      <c r="W57743" s="503"/>
    </row>
    <row r="57744" spans="23:23">
      <c r="W57744" s="503"/>
    </row>
    <row r="57745" spans="23:23">
      <c r="W57745" s="503"/>
    </row>
    <row r="57746" spans="23:23">
      <c r="W57746" s="503"/>
    </row>
    <row r="57747" spans="23:23">
      <c r="W57747" s="503"/>
    </row>
    <row r="57748" spans="23:23">
      <c r="W57748" s="503"/>
    </row>
    <row r="57749" spans="23:23">
      <c r="W57749" s="503"/>
    </row>
    <row r="57750" spans="23:23">
      <c r="W57750" s="503"/>
    </row>
    <row r="57751" spans="23:23">
      <c r="W57751" s="503"/>
    </row>
    <row r="57752" spans="23:23">
      <c r="W57752" s="503"/>
    </row>
    <row r="57753" spans="23:23">
      <c r="W57753" s="503"/>
    </row>
    <row r="57754" spans="23:23">
      <c r="W57754" s="503"/>
    </row>
    <row r="57755" spans="23:23">
      <c r="W57755" s="503"/>
    </row>
    <row r="57756" spans="23:23">
      <c r="W57756" s="503"/>
    </row>
    <row r="57757" spans="23:23">
      <c r="W57757" s="503"/>
    </row>
    <row r="57758" spans="23:23">
      <c r="W57758" s="503"/>
    </row>
    <row r="57759" spans="23:23">
      <c r="W57759" s="503"/>
    </row>
    <row r="57760" spans="23:23">
      <c r="W57760" s="503"/>
    </row>
    <row r="57761" spans="23:23">
      <c r="W57761" s="503"/>
    </row>
    <row r="57762" spans="23:23">
      <c r="W57762" s="503"/>
    </row>
    <row r="57763" spans="23:23">
      <c r="W57763" s="503"/>
    </row>
    <row r="57764" spans="23:23">
      <c r="W57764" s="503"/>
    </row>
    <row r="57765" spans="23:23">
      <c r="W57765" s="503"/>
    </row>
    <row r="57766" spans="23:23">
      <c r="W57766" s="503"/>
    </row>
    <row r="57767" spans="23:23">
      <c r="W57767" s="503"/>
    </row>
    <row r="57768" spans="23:23">
      <c r="W57768" s="503"/>
    </row>
    <row r="57769" spans="23:23">
      <c r="W57769" s="503"/>
    </row>
    <row r="57770" spans="23:23">
      <c r="W57770" s="503"/>
    </row>
    <row r="57771" spans="23:23">
      <c r="W57771" s="503"/>
    </row>
    <row r="57772" spans="23:23">
      <c r="W57772" s="503"/>
    </row>
    <row r="57773" spans="23:23">
      <c r="W57773" s="503"/>
    </row>
    <row r="57774" spans="23:23">
      <c r="W57774" s="503"/>
    </row>
    <row r="57775" spans="23:23">
      <c r="W57775" s="503"/>
    </row>
    <row r="57776" spans="23:23">
      <c r="W57776" s="503"/>
    </row>
    <row r="57777" spans="23:23">
      <c r="W57777" s="503"/>
    </row>
    <row r="57778" spans="23:23">
      <c r="W57778" s="503"/>
    </row>
    <row r="57779" spans="23:23">
      <c r="W57779" s="503"/>
    </row>
    <row r="57780" spans="23:23">
      <c r="W57780" s="503"/>
    </row>
    <row r="57781" spans="23:23">
      <c r="W57781" s="503"/>
    </row>
    <row r="57782" spans="23:23">
      <c r="W57782" s="503"/>
    </row>
    <row r="57783" spans="23:23">
      <c r="W57783" s="503"/>
    </row>
    <row r="57784" spans="23:23">
      <c r="W57784" s="503"/>
    </row>
    <row r="57785" spans="23:23">
      <c r="W57785" s="503"/>
    </row>
    <row r="57786" spans="23:23">
      <c r="W57786" s="503"/>
    </row>
    <row r="57787" spans="23:23">
      <c r="W57787" s="503"/>
    </row>
    <row r="57788" spans="23:23">
      <c r="W57788" s="503"/>
    </row>
    <row r="57789" spans="23:23">
      <c r="W57789" s="503"/>
    </row>
    <row r="57790" spans="23:23">
      <c r="W57790" s="503"/>
    </row>
    <row r="57791" spans="23:23">
      <c r="W57791" s="503"/>
    </row>
    <row r="57792" spans="23:23">
      <c r="W57792" s="503"/>
    </row>
    <row r="57793" spans="23:23">
      <c r="W57793" s="503"/>
    </row>
    <row r="57794" spans="23:23">
      <c r="W57794" s="503"/>
    </row>
    <row r="57795" spans="23:23">
      <c r="W57795" s="503"/>
    </row>
    <row r="57796" spans="23:23">
      <c r="W57796" s="503"/>
    </row>
    <row r="57797" spans="23:23">
      <c r="W57797" s="503"/>
    </row>
    <row r="57798" spans="23:23">
      <c r="W57798" s="503"/>
    </row>
    <row r="57799" spans="23:23">
      <c r="W57799" s="503"/>
    </row>
    <row r="57800" spans="23:23">
      <c r="W57800" s="503"/>
    </row>
    <row r="57801" spans="23:23">
      <c r="W57801" s="503"/>
    </row>
    <row r="57802" spans="23:23">
      <c r="W57802" s="503"/>
    </row>
    <row r="57803" spans="23:23">
      <c r="W57803" s="503"/>
    </row>
    <row r="57804" spans="23:23">
      <c r="W57804" s="503"/>
    </row>
    <row r="57805" spans="23:23">
      <c r="W57805" s="503"/>
    </row>
    <row r="57806" spans="23:23">
      <c r="W57806" s="503"/>
    </row>
    <row r="57807" spans="23:23">
      <c r="W57807" s="503"/>
    </row>
    <row r="57808" spans="23:23">
      <c r="W57808" s="503"/>
    </row>
    <row r="57809" spans="23:23">
      <c r="W57809" s="503"/>
    </row>
    <row r="57810" spans="23:23">
      <c r="W57810" s="503"/>
    </row>
    <row r="57811" spans="23:23">
      <c r="W57811" s="503"/>
    </row>
    <row r="57812" spans="23:23">
      <c r="W57812" s="503"/>
    </row>
    <row r="57813" spans="23:23">
      <c r="W57813" s="503"/>
    </row>
    <row r="57814" spans="23:23">
      <c r="W57814" s="503"/>
    </row>
    <row r="57815" spans="23:23">
      <c r="W57815" s="503"/>
    </row>
    <row r="57816" spans="23:23">
      <c r="W57816" s="503"/>
    </row>
    <row r="57817" spans="23:23">
      <c r="W57817" s="503"/>
    </row>
    <row r="57818" spans="23:23">
      <c r="W57818" s="503"/>
    </row>
    <row r="57819" spans="23:23">
      <c r="W57819" s="503"/>
    </row>
    <row r="57820" spans="23:23">
      <c r="W57820" s="503"/>
    </row>
    <row r="57821" spans="23:23">
      <c r="W57821" s="503"/>
    </row>
    <row r="57822" spans="23:23">
      <c r="W57822" s="503"/>
    </row>
    <row r="57823" spans="23:23">
      <c r="W57823" s="503"/>
    </row>
    <row r="57824" spans="23:23">
      <c r="W57824" s="503"/>
    </row>
    <row r="57825" spans="23:23">
      <c r="W57825" s="503"/>
    </row>
    <row r="57826" spans="23:23">
      <c r="W57826" s="503"/>
    </row>
    <row r="57827" spans="23:23">
      <c r="W57827" s="503"/>
    </row>
    <row r="57828" spans="23:23">
      <c r="W57828" s="503"/>
    </row>
    <row r="57829" spans="23:23">
      <c r="W57829" s="503"/>
    </row>
    <row r="57830" spans="23:23">
      <c r="W57830" s="503"/>
    </row>
    <row r="57831" spans="23:23">
      <c r="W57831" s="503"/>
    </row>
    <row r="57832" spans="23:23">
      <c r="W57832" s="503"/>
    </row>
    <row r="57833" spans="23:23">
      <c r="W57833" s="503"/>
    </row>
    <row r="57834" spans="23:23">
      <c r="W57834" s="503"/>
    </row>
    <row r="57835" spans="23:23">
      <c r="W57835" s="503"/>
    </row>
    <row r="57836" spans="23:23">
      <c r="W57836" s="503"/>
    </row>
    <row r="57837" spans="23:23">
      <c r="W57837" s="503"/>
    </row>
    <row r="57838" spans="23:23">
      <c r="W57838" s="503"/>
    </row>
    <row r="57839" spans="23:23">
      <c r="W57839" s="503"/>
    </row>
    <row r="57840" spans="23:23">
      <c r="W57840" s="503"/>
    </row>
    <row r="57841" spans="23:23">
      <c r="W57841" s="503"/>
    </row>
    <row r="57842" spans="23:23">
      <c r="W57842" s="503"/>
    </row>
    <row r="57843" spans="23:23">
      <c r="W57843" s="503"/>
    </row>
    <row r="57844" spans="23:23">
      <c r="W57844" s="503"/>
    </row>
    <row r="57845" spans="23:23">
      <c r="W57845" s="503"/>
    </row>
    <row r="57846" spans="23:23">
      <c r="W57846" s="503"/>
    </row>
    <row r="57847" spans="23:23">
      <c r="W57847" s="503"/>
    </row>
    <row r="57848" spans="23:23">
      <c r="W57848" s="503"/>
    </row>
    <row r="57849" spans="23:23">
      <c r="W57849" s="503"/>
    </row>
    <row r="57850" spans="23:23">
      <c r="W57850" s="503"/>
    </row>
    <row r="57851" spans="23:23">
      <c r="W57851" s="503"/>
    </row>
    <row r="57852" spans="23:23">
      <c r="W57852" s="503"/>
    </row>
    <row r="57853" spans="23:23">
      <c r="W57853" s="503"/>
    </row>
    <row r="57854" spans="23:23">
      <c r="W57854" s="503"/>
    </row>
    <row r="57855" spans="23:23">
      <c r="W57855" s="503"/>
    </row>
    <row r="57856" spans="23:23">
      <c r="W57856" s="503"/>
    </row>
    <row r="57857" spans="23:23">
      <c r="W57857" s="503"/>
    </row>
    <row r="57858" spans="23:23">
      <c r="W57858" s="503"/>
    </row>
    <row r="57859" spans="23:23">
      <c r="W57859" s="503"/>
    </row>
    <row r="57860" spans="23:23">
      <c r="W57860" s="503"/>
    </row>
    <row r="57861" spans="23:23">
      <c r="W57861" s="503"/>
    </row>
    <row r="57862" spans="23:23">
      <c r="W57862" s="503"/>
    </row>
    <row r="57863" spans="23:23">
      <c r="W57863" s="503"/>
    </row>
    <row r="57864" spans="23:23">
      <c r="W57864" s="503"/>
    </row>
    <row r="57865" spans="23:23">
      <c r="W57865" s="503"/>
    </row>
    <row r="57866" spans="23:23">
      <c r="W57866" s="503"/>
    </row>
    <row r="57867" spans="23:23">
      <c r="W57867" s="503"/>
    </row>
    <row r="57868" spans="23:23">
      <c r="W57868" s="503"/>
    </row>
    <row r="57869" spans="23:23">
      <c r="W57869" s="503"/>
    </row>
    <row r="57870" spans="23:23">
      <c r="W57870" s="503"/>
    </row>
    <row r="57871" spans="23:23">
      <c r="W57871" s="503"/>
    </row>
    <row r="57872" spans="23:23">
      <c r="W57872" s="503"/>
    </row>
    <row r="57873" spans="23:23">
      <c r="W57873" s="503"/>
    </row>
    <row r="57874" spans="23:23">
      <c r="W57874" s="503"/>
    </row>
    <row r="57875" spans="23:23">
      <c r="W57875" s="503"/>
    </row>
    <row r="57876" spans="23:23">
      <c r="W57876" s="503"/>
    </row>
    <row r="57877" spans="23:23">
      <c r="W57877" s="503"/>
    </row>
    <row r="57878" spans="23:23">
      <c r="W57878" s="503"/>
    </row>
    <row r="57879" spans="23:23">
      <c r="W57879" s="503"/>
    </row>
    <row r="57880" spans="23:23">
      <c r="W57880" s="503"/>
    </row>
    <row r="57881" spans="23:23">
      <c r="W57881" s="503"/>
    </row>
    <row r="57882" spans="23:23">
      <c r="W57882" s="503"/>
    </row>
    <row r="57883" spans="23:23">
      <c r="W57883" s="503"/>
    </row>
    <row r="57884" spans="23:23">
      <c r="W57884" s="503"/>
    </row>
    <row r="57885" spans="23:23">
      <c r="W57885" s="503"/>
    </row>
    <row r="57886" spans="23:23">
      <c r="W57886" s="503"/>
    </row>
    <row r="57887" spans="23:23">
      <c r="W57887" s="503"/>
    </row>
    <row r="57888" spans="23:23">
      <c r="W57888" s="503"/>
    </row>
    <row r="57889" spans="23:23">
      <c r="W57889" s="503"/>
    </row>
    <row r="57890" spans="23:23">
      <c r="W57890" s="503"/>
    </row>
    <row r="57891" spans="23:23">
      <c r="W57891" s="503"/>
    </row>
    <row r="57892" spans="23:23">
      <c r="W57892" s="503"/>
    </row>
    <row r="57893" spans="23:23">
      <c r="W57893" s="503"/>
    </row>
    <row r="57894" spans="23:23">
      <c r="W57894" s="503"/>
    </row>
    <row r="57895" spans="23:23">
      <c r="W57895" s="503"/>
    </row>
    <row r="57896" spans="23:23">
      <c r="W57896" s="503"/>
    </row>
    <row r="57897" spans="23:23">
      <c r="W57897" s="503"/>
    </row>
    <row r="57898" spans="23:23">
      <c r="W57898" s="503"/>
    </row>
    <row r="57899" spans="23:23">
      <c r="W57899" s="503"/>
    </row>
    <row r="57900" spans="23:23">
      <c r="W57900" s="503"/>
    </row>
    <row r="57901" spans="23:23">
      <c r="W57901" s="503"/>
    </row>
    <row r="57902" spans="23:23">
      <c r="W57902" s="503"/>
    </row>
    <row r="57903" spans="23:23">
      <c r="W57903" s="503"/>
    </row>
    <row r="57904" spans="23:23">
      <c r="W57904" s="503"/>
    </row>
    <row r="57905" spans="23:23">
      <c r="W57905" s="503"/>
    </row>
    <row r="57906" spans="23:23">
      <c r="W57906" s="503"/>
    </row>
    <row r="57907" spans="23:23">
      <c r="W57907" s="503"/>
    </row>
    <row r="57908" spans="23:23">
      <c r="W57908" s="503"/>
    </row>
    <row r="57909" spans="23:23">
      <c r="W57909" s="503"/>
    </row>
    <row r="57910" spans="23:23">
      <c r="W57910" s="503"/>
    </row>
    <row r="57911" spans="23:23">
      <c r="W57911" s="503"/>
    </row>
    <row r="57912" spans="23:23">
      <c r="W57912" s="503"/>
    </row>
    <row r="57913" spans="23:23">
      <c r="W57913" s="503"/>
    </row>
    <row r="57914" spans="23:23">
      <c r="W57914" s="503"/>
    </row>
    <row r="57915" spans="23:23">
      <c r="W57915" s="503"/>
    </row>
    <row r="57916" spans="23:23">
      <c r="W57916" s="503"/>
    </row>
    <row r="57917" spans="23:23">
      <c r="W57917" s="503"/>
    </row>
    <row r="57918" spans="23:23">
      <c r="W57918" s="503"/>
    </row>
    <row r="57919" spans="23:23">
      <c r="W57919" s="503"/>
    </row>
    <row r="57920" spans="23:23">
      <c r="W57920" s="503"/>
    </row>
    <row r="57921" spans="23:23">
      <c r="W57921" s="503"/>
    </row>
    <row r="57922" spans="23:23">
      <c r="W57922" s="503"/>
    </row>
    <row r="57923" spans="23:23">
      <c r="W57923" s="503"/>
    </row>
    <row r="57924" spans="23:23">
      <c r="W57924" s="503"/>
    </row>
    <row r="57925" spans="23:23">
      <c r="W57925" s="503"/>
    </row>
    <row r="57926" spans="23:23">
      <c r="W57926" s="503"/>
    </row>
    <row r="57927" spans="23:23">
      <c r="W57927" s="503"/>
    </row>
    <row r="57928" spans="23:23">
      <c r="W57928" s="503"/>
    </row>
    <row r="57929" spans="23:23">
      <c r="W57929" s="503"/>
    </row>
    <row r="57930" spans="23:23">
      <c r="W57930" s="503"/>
    </row>
    <row r="57931" spans="23:23">
      <c r="W57931" s="503"/>
    </row>
    <row r="57932" spans="23:23">
      <c r="W57932" s="503"/>
    </row>
    <row r="57933" spans="23:23">
      <c r="W57933" s="503"/>
    </row>
    <row r="57934" spans="23:23">
      <c r="W57934" s="503"/>
    </row>
    <row r="57935" spans="23:23">
      <c r="W57935" s="503"/>
    </row>
    <row r="57936" spans="23:23">
      <c r="W57936" s="503"/>
    </row>
    <row r="57937" spans="23:23">
      <c r="W57937" s="503"/>
    </row>
    <row r="57938" spans="23:23">
      <c r="W57938" s="503"/>
    </row>
    <row r="57939" spans="23:23">
      <c r="W57939" s="503"/>
    </row>
    <row r="57940" spans="23:23">
      <c r="W57940" s="503"/>
    </row>
    <row r="57941" spans="23:23">
      <c r="W57941" s="503"/>
    </row>
    <row r="57942" spans="23:23">
      <c r="W57942" s="503"/>
    </row>
    <row r="57943" spans="23:23">
      <c r="W57943" s="503"/>
    </row>
    <row r="57944" spans="23:23">
      <c r="W57944" s="503"/>
    </row>
    <row r="57945" spans="23:23">
      <c r="W57945" s="503"/>
    </row>
    <row r="57946" spans="23:23">
      <c r="W57946" s="503"/>
    </row>
    <row r="57947" spans="23:23">
      <c r="W57947" s="503"/>
    </row>
    <row r="57948" spans="23:23">
      <c r="W57948" s="503"/>
    </row>
    <row r="57949" spans="23:23">
      <c r="W57949" s="503"/>
    </row>
    <row r="57950" spans="23:23">
      <c r="W57950" s="503"/>
    </row>
    <row r="57951" spans="23:23">
      <c r="W57951" s="503"/>
    </row>
    <row r="57952" spans="23:23">
      <c r="W57952" s="503"/>
    </row>
    <row r="57953" spans="23:23">
      <c r="W57953" s="503"/>
    </row>
    <row r="57954" spans="23:23">
      <c r="W57954" s="503"/>
    </row>
    <row r="57955" spans="23:23">
      <c r="W57955" s="503"/>
    </row>
    <row r="57956" spans="23:23">
      <c r="W57956" s="503"/>
    </row>
    <row r="57957" spans="23:23">
      <c r="W57957" s="503"/>
    </row>
    <row r="57958" spans="23:23">
      <c r="W57958" s="503"/>
    </row>
    <row r="57959" spans="23:23">
      <c r="W57959" s="503"/>
    </row>
    <row r="57960" spans="23:23">
      <c r="W57960" s="503"/>
    </row>
    <row r="57961" spans="23:23">
      <c r="W57961" s="503"/>
    </row>
    <row r="57962" spans="23:23">
      <c r="W57962" s="503"/>
    </row>
    <row r="57963" spans="23:23">
      <c r="W57963" s="503"/>
    </row>
    <row r="57964" spans="23:23">
      <c r="W57964" s="503"/>
    </row>
    <row r="57965" spans="23:23">
      <c r="W57965" s="503"/>
    </row>
    <row r="57966" spans="23:23">
      <c r="W57966" s="503"/>
    </row>
    <row r="57967" spans="23:23">
      <c r="W57967" s="503"/>
    </row>
    <row r="57968" spans="23:23">
      <c r="W57968" s="503"/>
    </row>
    <row r="57969" spans="23:23">
      <c r="W57969" s="503"/>
    </row>
    <row r="57970" spans="23:23">
      <c r="W57970" s="503"/>
    </row>
    <row r="57971" spans="23:23">
      <c r="W57971" s="503"/>
    </row>
    <row r="57972" spans="23:23">
      <c r="W57972" s="503"/>
    </row>
    <row r="57973" spans="23:23">
      <c r="W57973" s="503"/>
    </row>
    <row r="57974" spans="23:23">
      <c r="W57974" s="503"/>
    </row>
    <row r="57975" spans="23:23">
      <c r="W57975" s="503"/>
    </row>
    <row r="57976" spans="23:23">
      <c r="W57976" s="503"/>
    </row>
    <row r="57977" spans="23:23">
      <c r="W57977" s="503"/>
    </row>
    <row r="57978" spans="23:23">
      <c r="W57978" s="503"/>
    </row>
    <row r="57979" spans="23:23">
      <c r="W57979" s="503"/>
    </row>
    <row r="57980" spans="23:23">
      <c r="W57980" s="503"/>
    </row>
    <row r="57981" spans="23:23">
      <c r="W57981" s="503"/>
    </row>
    <row r="57982" spans="23:23">
      <c r="W57982" s="503"/>
    </row>
    <row r="57983" spans="23:23">
      <c r="W57983" s="503"/>
    </row>
    <row r="57984" spans="23:23">
      <c r="W57984" s="503"/>
    </row>
    <row r="57985" spans="23:23">
      <c r="W57985" s="503"/>
    </row>
    <row r="57986" spans="23:23">
      <c r="W57986" s="503"/>
    </row>
    <row r="57987" spans="23:23">
      <c r="W57987" s="503"/>
    </row>
    <row r="57988" spans="23:23">
      <c r="W57988" s="503"/>
    </row>
    <row r="57989" spans="23:23">
      <c r="W57989" s="503"/>
    </row>
    <row r="57990" spans="23:23">
      <c r="W57990" s="503"/>
    </row>
    <row r="57991" spans="23:23">
      <c r="W57991" s="503"/>
    </row>
    <row r="57992" spans="23:23">
      <c r="W57992" s="503"/>
    </row>
    <row r="57993" spans="23:23">
      <c r="W57993" s="503"/>
    </row>
    <row r="57994" spans="23:23">
      <c r="W57994" s="503"/>
    </row>
    <row r="57995" spans="23:23">
      <c r="W57995" s="503"/>
    </row>
    <row r="57996" spans="23:23">
      <c r="W57996" s="503"/>
    </row>
    <row r="57997" spans="23:23">
      <c r="W57997" s="503"/>
    </row>
    <row r="57998" spans="23:23">
      <c r="W57998" s="503"/>
    </row>
    <row r="57999" spans="23:23">
      <c r="W57999" s="503"/>
    </row>
    <row r="58000" spans="23:23">
      <c r="W58000" s="503"/>
    </row>
    <row r="58001" spans="23:23">
      <c r="W58001" s="503"/>
    </row>
    <row r="58002" spans="23:23">
      <c r="W58002" s="503"/>
    </row>
    <row r="58003" spans="23:23">
      <c r="W58003" s="503"/>
    </row>
    <row r="58004" spans="23:23">
      <c r="W58004" s="503"/>
    </row>
    <row r="58005" spans="23:23">
      <c r="W58005" s="503"/>
    </row>
    <row r="58006" spans="23:23">
      <c r="W58006" s="503"/>
    </row>
    <row r="58007" spans="23:23">
      <c r="W58007" s="503"/>
    </row>
    <row r="58008" spans="23:23">
      <c r="W58008" s="503"/>
    </row>
    <row r="58009" spans="23:23">
      <c r="W58009" s="503"/>
    </row>
    <row r="58010" spans="23:23">
      <c r="W58010" s="503"/>
    </row>
    <row r="58011" spans="23:23">
      <c r="W58011" s="503"/>
    </row>
    <row r="58012" spans="23:23">
      <c r="W58012" s="503"/>
    </row>
    <row r="58013" spans="23:23">
      <c r="W58013" s="503"/>
    </row>
    <row r="58014" spans="23:23">
      <c r="W58014" s="503"/>
    </row>
    <row r="58015" spans="23:23">
      <c r="W58015" s="503"/>
    </row>
    <row r="58016" spans="23:23">
      <c r="W58016" s="503"/>
    </row>
    <row r="58017" spans="23:23">
      <c r="W58017" s="503"/>
    </row>
    <row r="58018" spans="23:23">
      <c r="W58018" s="503"/>
    </row>
    <row r="58019" spans="23:23">
      <c r="W58019" s="503"/>
    </row>
    <row r="58020" spans="23:23">
      <c r="W58020" s="503"/>
    </row>
    <row r="58021" spans="23:23">
      <c r="W58021" s="503"/>
    </row>
    <row r="58022" spans="23:23">
      <c r="W58022" s="503"/>
    </row>
    <row r="58023" spans="23:23">
      <c r="W58023" s="503"/>
    </row>
    <row r="58024" spans="23:23">
      <c r="W58024" s="503"/>
    </row>
    <row r="58025" spans="23:23">
      <c r="W58025" s="503"/>
    </row>
    <row r="58026" spans="23:23">
      <c r="W58026" s="503"/>
    </row>
    <row r="58027" spans="23:23">
      <c r="W58027" s="503"/>
    </row>
    <row r="58028" spans="23:23">
      <c r="W58028" s="503"/>
    </row>
    <row r="58029" spans="23:23">
      <c r="W58029" s="503"/>
    </row>
    <row r="58030" spans="23:23">
      <c r="W58030" s="503"/>
    </row>
    <row r="58031" spans="23:23">
      <c r="W58031" s="503"/>
    </row>
    <row r="58032" spans="23:23">
      <c r="W58032" s="503"/>
    </row>
    <row r="58033" spans="23:23">
      <c r="W58033" s="503"/>
    </row>
    <row r="58034" spans="23:23">
      <c r="W58034" s="503"/>
    </row>
    <row r="58035" spans="23:23">
      <c r="W58035" s="503"/>
    </row>
    <row r="58036" spans="23:23">
      <c r="W58036" s="503"/>
    </row>
    <row r="58037" spans="23:23">
      <c r="W58037" s="503"/>
    </row>
    <row r="58038" spans="23:23">
      <c r="W58038" s="503"/>
    </row>
    <row r="58039" spans="23:23">
      <c r="W58039" s="503"/>
    </row>
    <row r="58040" spans="23:23">
      <c r="W58040" s="503"/>
    </row>
    <row r="58041" spans="23:23">
      <c r="W58041" s="503"/>
    </row>
    <row r="58042" spans="23:23">
      <c r="W58042" s="503"/>
    </row>
    <row r="58043" spans="23:23">
      <c r="W58043" s="503"/>
    </row>
    <row r="58044" spans="23:23">
      <c r="W58044" s="503"/>
    </row>
    <row r="58045" spans="23:23">
      <c r="W58045" s="503"/>
    </row>
    <row r="58046" spans="23:23">
      <c r="W58046" s="503"/>
    </row>
    <row r="58047" spans="23:23">
      <c r="W58047" s="503"/>
    </row>
    <row r="58048" spans="23:23">
      <c r="W58048" s="503"/>
    </row>
    <row r="58049" spans="23:23">
      <c r="W58049" s="503"/>
    </row>
    <row r="58050" spans="23:23">
      <c r="W58050" s="503"/>
    </row>
    <row r="58051" spans="23:23">
      <c r="W58051" s="503"/>
    </row>
    <row r="58052" spans="23:23">
      <c r="W58052" s="503"/>
    </row>
    <row r="58053" spans="23:23">
      <c r="W58053" s="503"/>
    </row>
    <row r="58054" spans="23:23">
      <c r="W58054" s="503"/>
    </row>
    <row r="58055" spans="23:23">
      <c r="W58055" s="503"/>
    </row>
    <row r="58056" spans="23:23">
      <c r="W58056" s="503"/>
    </row>
    <row r="58057" spans="23:23">
      <c r="W58057" s="503"/>
    </row>
    <row r="58058" spans="23:23">
      <c r="W58058" s="503"/>
    </row>
    <row r="58059" spans="23:23">
      <c r="W58059" s="503"/>
    </row>
    <row r="58060" spans="23:23">
      <c r="W58060" s="503"/>
    </row>
    <row r="58061" spans="23:23">
      <c r="W58061" s="503"/>
    </row>
    <row r="58062" spans="23:23">
      <c r="W58062" s="503"/>
    </row>
    <row r="58063" spans="23:23">
      <c r="W58063" s="503"/>
    </row>
    <row r="58064" spans="23:23">
      <c r="W58064" s="503"/>
    </row>
    <row r="58065" spans="23:23">
      <c r="W58065" s="503"/>
    </row>
    <row r="58066" spans="23:23">
      <c r="W58066" s="503"/>
    </row>
    <row r="58067" spans="23:23">
      <c r="W58067" s="503"/>
    </row>
    <row r="58068" spans="23:23">
      <c r="W58068" s="503"/>
    </row>
    <row r="58069" spans="23:23">
      <c r="W58069" s="503"/>
    </row>
    <row r="58070" spans="23:23">
      <c r="W58070" s="503"/>
    </row>
    <row r="58071" spans="23:23">
      <c r="W58071" s="503"/>
    </row>
    <row r="58072" spans="23:23">
      <c r="W58072" s="503"/>
    </row>
    <row r="58073" spans="23:23">
      <c r="W58073" s="503"/>
    </row>
    <row r="58074" spans="23:23">
      <c r="W58074" s="503"/>
    </row>
    <row r="58075" spans="23:23">
      <c r="W58075" s="503"/>
    </row>
    <row r="58076" spans="23:23">
      <c r="W58076" s="503"/>
    </row>
    <row r="58077" spans="23:23">
      <c r="W58077" s="503"/>
    </row>
    <row r="58078" spans="23:23">
      <c r="W58078" s="503"/>
    </row>
    <row r="58079" spans="23:23">
      <c r="W58079" s="503"/>
    </row>
    <row r="58080" spans="23:23">
      <c r="W58080" s="503"/>
    </row>
    <row r="58081" spans="23:23">
      <c r="W58081" s="503"/>
    </row>
    <row r="58082" spans="23:23">
      <c r="W58082" s="503"/>
    </row>
    <row r="58083" spans="23:23">
      <c r="W58083" s="503"/>
    </row>
    <row r="58084" spans="23:23">
      <c r="W58084" s="503"/>
    </row>
    <row r="58085" spans="23:23">
      <c r="W58085" s="503"/>
    </row>
    <row r="58086" spans="23:23">
      <c r="W58086" s="503"/>
    </row>
    <row r="58087" spans="23:23">
      <c r="W58087" s="503"/>
    </row>
    <row r="58088" spans="23:23">
      <c r="W58088" s="503"/>
    </row>
    <row r="58089" spans="23:23">
      <c r="W58089" s="503"/>
    </row>
    <row r="58090" spans="23:23">
      <c r="W58090" s="503"/>
    </row>
    <row r="58091" spans="23:23">
      <c r="W58091" s="503"/>
    </row>
    <row r="58092" spans="23:23">
      <c r="W58092" s="503"/>
    </row>
    <row r="58093" spans="23:23">
      <c r="W58093" s="503"/>
    </row>
    <row r="58094" spans="23:23">
      <c r="W58094" s="503"/>
    </row>
    <row r="58095" spans="23:23">
      <c r="W58095" s="503"/>
    </row>
    <row r="58096" spans="23:23">
      <c r="W58096" s="503"/>
    </row>
    <row r="58097" spans="23:23">
      <c r="W58097" s="503"/>
    </row>
    <row r="58098" spans="23:23">
      <c r="W58098" s="503"/>
    </row>
    <row r="58099" spans="23:23">
      <c r="W58099" s="503"/>
    </row>
    <row r="58100" spans="23:23">
      <c r="W58100" s="503"/>
    </row>
    <row r="58101" spans="23:23">
      <c r="W58101" s="503"/>
    </row>
    <row r="58102" spans="23:23">
      <c r="W58102" s="503"/>
    </row>
    <row r="58103" spans="23:23">
      <c r="W58103" s="503"/>
    </row>
    <row r="58104" spans="23:23">
      <c r="W58104" s="503"/>
    </row>
    <row r="58105" spans="23:23">
      <c r="W58105" s="503"/>
    </row>
    <row r="58106" spans="23:23">
      <c r="W58106" s="503"/>
    </row>
    <row r="58107" spans="23:23">
      <c r="W58107" s="503"/>
    </row>
    <row r="58108" spans="23:23">
      <c r="W58108" s="503"/>
    </row>
    <row r="58109" spans="23:23">
      <c r="W58109" s="503"/>
    </row>
    <row r="58110" spans="23:23">
      <c r="W58110" s="503"/>
    </row>
    <row r="58111" spans="23:23">
      <c r="W58111" s="503"/>
    </row>
    <row r="58112" spans="23:23">
      <c r="W58112" s="503"/>
    </row>
    <row r="58113" spans="23:23">
      <c r="W58113" s="503"/>
    </row>
    <row r="58114" spans="23:23">
      <c r="W58114" s="503"/>
    </row>
    <row r="58115" spans="23:23">
      <c r="W58115" s="503"/>
    </row>
    <row r="58116" spans="23:23">
      <c r="W58116" s="503"/>
    </row>
    <row r="58117" spans="23:23">
      <c r="W58117" s="503"/>
    </row>
    <row r="58118" spans="23:23">
      <c r="W58118" s="503"/>
    </row>
    <row r="58119" spans="23:23">
      <c r="W58119" s="503"/>
    </row>
    <row r="58120" spans="23:23">
      <c r="W58120" s="503"/>
    </row>
    <row r="58121" spans="23:23">
      <c r="W58121" s="503"/>
    </row>
    <row r="58122" spans="23:23">
      <c r="W58122" s="503"/>
    </row>
    <row r="58123" spans="23:23">
      <c r="W58123" s="503"/>
    </row>
    <row r="58124" spans="23:23">
      <c r="W58124" s="503"/>
    </row>
    <row r="58125" spans="23:23">
      <c r="W58125" s="503"/>
    </row>
    <row r="58126" spans="23:23">
      <c r="W58126" s="503"/>
    </row>
    <row r="58127" spans="23:23">
      <c r="W58127" s="503"/>
    </row>
    <row r="58128" spans="23:23">
      <c r="W58128" s="503"/>
    </row>
    <row r="58129" spans="23:23">
      <c r="W58129" s="503"/>
    </row>
    <row r="58130" spans="23:23">
      <c r="W58130" s="503"/>
    </row>
    <row r="58131" spans="23:23">
      <c r="W58131" s="503"/>
    </row>
    <row r="58132" spans="23:23">
      <c r="W58132" s="503"/>
    </row>
    <row r="58133" spans="23:23">
      <c r="W58133" s="503"/>
    </row>
    <row r="58134" spans="23:23">
      <c r="W58134" s="503"/>
    </row>
    <row r="58135" spans="23:23">
      <c r="W58135" s="503"/>
    </row>
    <row r="58136" spans="23:23">
      <c r="W58136" s="503"/>
    </row>
    <row r="58137" spans="23:23">
      <c r="W58137" s="503"/>
    </row>
    <row r="58138" spans="23:23">
      <c r="W58138" s="503"/>
    </row>
    <row r="58139" spans="23:23">
      <c r="W58139" s="503"/>
    </row>
    <row r="58140" spans="23:23">
      <c r="W58140" s="503"/>
    </row>
    <row r="58141" spans="23:23">
      <c r="W58141" s="503"/>
    </row>
    <row r="58142" spans="23:23">
      <c r="W58142" s="503"/>
    </row>
    <row r="58143" spans="23:23">
      <c r="W58143" s="503"/>
    </row>
    <row r="58144" spans="23:23">
      <c r="W58144" s="503"/>
    </row>
    <row r="58145" spans="23:23">
      <c r="W58145" s="503"/>
    </row>
    <row r="58146" spans="23:23">
      <c r="W58146" s="503"/>
    </row>
    <row r="58147" spans="23:23">
      <c r="W58147" s="503"/>
    </row>
    <row r="58148" spans="23:23">
      <c r="W58148" s="503"/>
    </row>
    <row r="58149" spans="23:23">
      <c r="W58149" s="503"/>
    </row>
    <row r="58150" spans="23:23">
      <c r="W58150" s="503"/>
    </row>
    <row r="58151" spans="23:23">
      <c r="W58151" s="503"/>
    </row>
    <row r="58152" spans="23:23">
      <c r="W58152" s="503"/>
    </row>
    <row r="58153" spans="23:23">
      <c r="W58153" s="503"/>
    </row>
    <row r="58154" spans="23:23">
      <c r="W58154" s="503"/>
    </row>
    <row r="58155" spans="23:23">
      <c r="W58155" s="503"/>
    </row>
    <row r="58156" spans="23:23">
      <c r="W58156" s="503"/>
    </row>
    <row r="58157" spans="23:23">
      <c r="W58157" s="503"/>
    </row>
    <row r="58158" spans="23:23">
      <c r="W58158" s="503"/>
    </row>
    <row r="58159" spans="23:23">
      <c r="W58159" s="503"/>
    </row>
    <row r="58160" spans="23:23">
      <c r="W58160" s="503"/>
    </row>
    <row r="58161" spans="23:23">
      <c r="W58161" s="503"/>
    </row>
    <row r="58162" spans="23:23">
      <c r="W58162" s="503"/>
    </row>
    <row r="58163" spans="23:23">
      <c r="W58163" s="503"/>
    </row>
    <row r="58164" spans="23:23">
      <c r="W58164" s="503"/>
    </row>
    <row r="58165" spans="23:23">
      <c r="W58165" s="503"/>
    </row>
    <row r="58166" spans="23:23">
      <c r="W58166" s="503"/>
    </row>
    <row r="58167" spans="23:23">
      <c r="W58167" s="503"/>
    </row>
    <row r="58168" spans="23:23">
      <c r="W58168" s="503"/>
    </row>
    <row r="58169" spans="23:23">
      <c r="W58169" s="503"/>
    </row>
    <row r="58170" spans="23:23">
      <c r="W58170" s="503"/>
    </row>
    <row r="58171" spans="23:23">
      <c r="W58171" s="503"/>
    </row>
    <row r="58172" spans="23:23">
      <c r="W58172" s="503"/>
    </row>
    <row r="58173" spans="23:23">
      <c r="W58173" s="503"/>
    </row>
    <row r="58174" spans="23:23">
      <c r="W58174" s="503"/>
    </row>
    <row r="58175" spans="23:23">
      <c r="W58175" s="503"/>
    </row>
    <row r="58176" spans="23:23">
      <c r="W58176" s="503"/>
    </row>
    <row r="58177" spans="23:23">
      <c r="W58177" s="503"/>
    </row>
    <row r="58178" spans="23:23">
      <c r="W58178" s="503"/>
    </row>
    <row r="58179" spans="23:23">
      <c r="W58179" s="503"/>
    </row>
    <row r="58180" spans="23:23">
      <c r="W58180" s="503"/>
    </row>
    <row r="58181" spans="23:23">
      <c r="W58181" s="503"/>
    </row>
    <row r="58182" spans="23:23">
      <c r="W58182" s="503"/>
    </row>
    <row r="58183" spans="23:23">
      <c r="W58183" s="503"/>
    </row>
    <row r="58184" spans="23:23">
      <c r="W58184" s="503"/>
    </row>
    <row r="58185" spans="23:23">
      <c r="W58185" s="503"/>
    </row>
    <row r="58186" spans="23:23">
      <c r="W58186" s="503"/>
    </row>
    <row r="58187" spans="23:23">
      <c r="W58187" s="503"/>
    </row>
    <row r="58188" spans="23:23">
      <c r="W58188" s="503"/>
    </row>
    <row r="58189" spans="23:23">
      <c r="W58189" s="503"/>
    </row>
    <row r="58190" spans="23:23">
      <c r="W58190" s="503"/>
    </row>
    <row r="58191" spans="23:23">
      <c r="W58191" s="503"/>
    </row>
    <row r="58192" spans="23:23">
      <c r="W58192" s="503"/>
    </row>
    <row r="58193" spans="23:23">
      <c r="W58193" s="503"/>
    </row>
    <row r="58194" spans="23:23">
      <c r="W58194" s="503"/>
    </row>
    <row r="58195" spans="23:23">
      <c r="W58195" s="503"/>
    </row>
    <row r="58196" spans="23:23">
      <c r="W58196" s="503"/>
    </row>
    <row r="58197" spans="23:23">
      <c r="W58197" s="503"/>
    </row>
    <row r="58198" spans="23:23">
      <c r="W58198" s="503"/>
    </row>
    <row r="58199" spans="23:23">
      <c r="W58199" s="503"/>
    </row>
    <row r="58200" spans="23:23">
      <c r="W58200" s="503"/>
    </row>
    <row r="58201" spans="23:23">
      <c r="W58201" s="503"/>
    </row>
    <row r="58202" spans="23:23">
      <c r="W58202" s="503"/>
    </row>
    <row r="58203" spans="23:23">
      <c r="W58203" s="503"/>
    </row>
    <row r="58204" spans="23:23">
      <c r="W58204" s="503"/>
    </row>
    <row r="58205" spans="23:23">
      <c r="W58205" s="503"/>
    </row>
    <row r="58206" spans="23:23">
      <c r="W58206" s="503"/>
    </row>
    <row r="58207" spans="23:23">
      <c r="W58207" s="503"/>
    </row>
    <row r="58208" spans="23:23">
      <c r="W58208" s="503"/>
    </row>
    <row r="58209" spans="23:23">
      <c r="W58209" s="503"/>
    </row>
    <row r="58210" spans="23:23">
      <c r="W58210" s="503"/>
    </row>
    <row r="58211" spans="23:23">
      <c r="W58211" s="503"/>
    </row>
    <row r="58212" spans="23:23">
      <c r="W58212" s="503"/>
    </row>
    <row r="58213" spans="23:23">
      <c r="W58213" s="503"/>
    </row>
    <row r="58214" spans="23:23">
      <c r="W58214" s="503"/>
    </row>
    <row r="58215" spans="23:23">
      <c r="W58215" s="503"/>
    </row>
    <row r="58216" spans="23:23">
      <c r="W58216" s="503"/>
    </row>
    <row r="58217" spans="23:23">
      <c r="W58217" s="503"/>
    </row>
    <row r="58218" spans="23:23">
      <c r="W58218" s="503"/>
    </row>
    <row r="58219" spans="23:23">
      <c r="W58219" s="503"/>
    </row>
    <row r="58220" spans="23:23">
      <c r="W58220" s="503"/>
    </row>
    <row r="58221" spans="23:23">
      <c r="W58221" s="503"/>
    </row>
    <row r="58222" spans="23:23">
      <c r="W58222" s="503"/>
    </row>
    <row r="58223" spans="23:23">
      <c r="W58223" s="503"/>
    </row>
    <row r="58224" spans="23:23">
      <c r="W58224" s="503"/>
    </row>
    <row r="58225" spans="23:23">
      <c r="W58225" s="503"/>
    </row>
    <row r="58226" spans="23:23">
      <c r="W58226" s="503"/>
    </row>
    <row r="58227" spans="23:23">
      <c r="W58227" s="503"/>
    </row>
    <row r="58228" spans="23:23">
      <c r="W58228" s="503"/>
    </row>
    <row r="58229" spans="23:23">
      <c r="W58229" s="503"/>
    </row>
    <row r="58230" spans="23:23">
      <c r="W58230" s="503"/>
    </row>
    <row r="58231" spans="23:23">
      <c r="W58231" s="503"/>
    </row>
    <row r="58232" spans="23:23">
      <c r="W58232" s="503"/>
    </row>
    <row r="58233" spans="23:23">
      <c r="W58233" s="503"/>
    </row>
    <row r="58234" spans="23:23">
      <c r="W58234" s="503"/>
    </row>
    <row r="58235" spans="23:23">
      <c r="W58235" s="503"/>
    </row>
    <row r="58236" spans="23:23">
      <c r="W58236" s="503"/>
    </row>
    <row r="58237" spans="23:23">
      <c r="W58237" s="503"/>
    </row>
    <row r="58238" spans="23:23">
      <c r="W58238" s="503"/>
    </row>
    <row r="58239" spans="23:23">
      <c r="W58239" s="503"/>
    </row>
    <row r="58240" spans="23:23">
      <c r="W58240" s="503"/>
    </row>
    <row r="58241" spans="23:23">
      <c r="W58241" s="503"/>
    </row>
    <row r="58242" spans="23:23">
      <c r="W58242" s="503"/>
    </row>
    <row r="58243" spans="23:23">
      <c r="W58243" s="503"/>
    </row>
    <row r="58244" spans="23:23">
      <c r="W58244" s="503"/>
    </row>
    <row r="58245" spans="23:23">
      <c r="W58245" s="503"/>
    </row>
    <row r="58246" spans="23:23">
      <c r="W58246" s="503"/>
    </row>
    <row r="58247" spans="23:23">
      <c r="W58247" s="503"/>
    </row>
    <row r="58248" spans="23:23">
      <c r="W58248" s="503"/>
    </row>
    <row r="58249" spans="23:23">
      <c r="W58249" s="503"/>
    </row>
    <row r="58250" spans="23:23">
      <c r="W58250" s="503"/>
    </row>
    <row r="58251" spans="23:23">
      <c r="W58251" s="503"/>
    </row>
    <row r="58252" spans="23:23">
      <c r="W58252" s="503"/>
    </row>
    <row r="58253" spans="23:23">
      <c r="W58253" s="503"/>
    </row>
    <row r="58254" spans="23:23">
      <c r="W58254" s="503"/>
    </row>
    <row r="58255" spans="23:23">
      <c r="W58255" s="503"/>
    </row>
    <row r="58256" spans="23:23">
      <c r="W58256" s="503"/>
    </row>
    <row r="58257" spans="23:23">
      <c r="W58257" s="503"/>
    </row>
    <row r="58258" spans="23:23">
      <c r="W58258" s="503"/>
    </row>
    <row r="58259" spans="23:23">
      <c r="W58259" s="503"/>
    </row>
    <row r="58260" spans="23:23">
      <c r="W58260" s="503"/>
    </row>
    <row r="58261" spans="23:23">
      <c r="W58261" s="503"/>
    </row>
    <row r="58262" spans="23:23">
      <c r="W58262" s="503"/>
    </row>
    <row r="58263" spans="23:23">
      <c r="W58263" s="503"/>
    </row>
    <row r="58264" spans="23:23">
      <c r="W58264" s="503"/>
    </row>
    <row r="58265" spans="23:23">
      <c r="W58265" s="503"/>
    </row>
    <row r="58266" spans="23:23">
      <c r="W58266" s="503"/>
    </row>
    <row r="58267" spans="23:23">
      <c r="W58267" s="503"/>
    </row>
    <row r="58268" spans="23:23">
      <c r="W58268" s="503"/>
    </row>
    <row r="58269" spans="23:23">
      <c r="W58269" s="503"/>
    </row>
    <row r="58270" spans="23:23">
      <c r="W58270" s="503"/>
    </row>
    <row r="58271" spans="23:23">
      <c r="W58271" s="503"/>
    </row>
    <row r="58272" spans="23:23">
      <c r="W58272" s="503"/>
    </row>
    <row r="58273" spans="23:23">
      <c r="W58273" s="503"/>
    </row>
    <row r="58274" spans="23:23">
      <c r="W58274" s="503"/>
    </row>
    <row r="58275" spans="23:23">
      <c r="W58275" s="503"/>
    </row>
    <row r="58276" spans="23:23">
      <c r="W58276" s="503"/>
    </row>
    <row r="58277" spans="23:23">
      <c r="W58277" s="503"/>
    </row>
    <row r="58278" spans="23:23">
      <c r="W58278" s="503"/>
    </row>
    <row r="58279" spans="23:23">
      <c r="W58279" s="503"/>
    </row>
    <row r="58280" spans="23:23">
      <c r="W58280" s="503"/>
    </row>
    <row r="58281" spans="23:23">
      <c r="W58281" s="503"/>
    </row>
    <row r="58282" spans="23:23">
      <c r="W58282" s="503"/>
    </row>
    <row r="58283" spans="23:23">
      <c r="W58283" s="503"/>
    </row>
    <row r="58284" spans="23:23">
      <c r="W58284" s="503"/>
    </row>
    <row r="58285" spans="23:23">
      <c r="W58285" s="503"/>
    </row>
    <row r="58286" spans="23:23">
      <c r="W58286" s="503"/>
    </row>
    <row r="58287" spans="23:23">
      <c r="W58287" s="503"/>
    </row>
    <row r="58288" spans="23:23">
      <c r="W58288" s="503"/>
    </row>
    <row r="58289" spans="23:23">
      <c r="W58289" s="503"/>
    </row>
    <row r="58290" spans="23:23">
      <c r="W58290" s="503"/>
    </row>
    <row r="58291" spans="23:23">
      <c r="W58291" s="503"/>
    </row>
    <row r="58292" spans="23:23">
      <c r="W58292" s="503"/>
    </row>
    <row r="58293" spans="23:23">
      <c r="W58293" s="503"/>
    </row>
    <row r="58294" spans="23:23">
      <c r="W58294" s="503"/>
    </row>
    <row r="58295" spans="23:23">
      <c r="W58295" s="503"/>
    </row>
    <row r="58296" spans="23:23">
      <c r="W58296" s="503"/>
    </row>
    <row r="58297" spans="23:23">
      <c r="W58297" s="503"/>
    </row>
    <row r="58298" spans="23:23">
      <c r="W58298" s="503"/>
    </row>
    <row r="58299" spans="23:23">
      <c r="W58299" s="503"/>
    </row>
    <row r="58300" spans="23:23">
      <c r="W58300" s="503"/>
    </row>
    <row r="58301" spans="23:23">
      <c r="W58301" s="503"/>
    </row>
    <row r="58302" spans="23:23">
      <c r="W58302" s="503"/>
    </row>
    <row r="58303" spans="23:23">
      <c r="W58303" s="503"/>
    </row>
    <row r="58304" spans="23:23">
      <c r="W58304" s="503"/>
    </row>
    <row r="58305" spans="23:23">
      <c r="W58305" s="503"/>
    </row>
    <row r="58306" spans="23:23">
      <c r="W58306" s="503"/>
    </row>
    <row r="58307" spans="23:23">
      <c r="W58307" s="503"/>
    </row>
    <row r="58308" spans="23:23">
      <c r="W58308" s="503"/>
    </row>
    <row r="58309" spans="23:23">
      <c r="W58309" s="503"/>
    </row>
    <row r="58310" spans="23:23">
      <c r="W58310" s="503"/>
    </row>
    <row r="58311" spans="23:23">
      <c r="W58311" s="503"/>
    </row>
    <row r="58312" spans="23:23">
      <c r="W58312" s="503"/>
    </row>
    <row r="58313" spans="23:23">
      <c r="W58313" s="503"/>
    </row>
    <row r="58314" spans="23:23">
      <c r="W58314" s="503"/>
    </row>
    <row r="58315" spans="23:23">
      <c r="W58315" s="503"/>
    </row>
    <row r="58316" spans="23:23">
      <c r="W58316" s="503"/>
    </row>
    <row r="58317" spans="23:23">
      <c r="W58317" s="503"/>
    </row>
    <row r="58318" spans="23:23">
      <c r="W58318" s="503"/>
    </row>
    <row r="58319" spans="23:23">
      <c r="W58319" s="503"/>
    </row>
    <row r="58320" spans="23:23">
      <c r="W58320" s="503"/>
    </row>
    <row r="58321" spans="23:23">
      <c r="W58321" s="503"/>
    </row>
    <row r="58322" spans="23:23">
      <c r="W58322" s="503"/>
    </row>
    <row r="58323" spans="23:23">
      <c r="W58323" s="503"/>
    </row>
    <row r="58324" spans="23:23">
      <c r="W58324" s="503"/>
    </row>
    <row r="58325" spans="23:23">
      <c r="W58325" s="503"/>
    </row>
    <row r="58326" spans="23:23">
      <c r="W58326" s="503"/>
    </row>
    <row r="58327" spans="23:23">
      <c r="W58327" s="503"/>
    </row>
    <row r="58328" spans="23:23">
      <c r="W58328" s="503"/>
    </row>
    <row r="58329" spans="23:23">
      <c r="W58329" s="503"/>
    </row>
    <row r="58330" spans="23:23">
      <c r="W58330" s="503"/>
    </row>
    <row r="58331" spans="23:23">
      <c r="W58331" s="503"/>
    </row>
    <row r="58332" spans="23:23">
      <c r="W58332" s="503"/>
    </row>
    <row r="58333" spans="23:23">
      <c r="W58333" s="503"/>
    </row>
    <row r="58334" spans="23:23">
      <c r="W58334" s="503"/>
    </row>
    <row r="58335" spans="23:23">
      <c r="W58335" s="503"/>
    </row>
    <row r="58336" spans="23:23">
      <c r="W58336" s="503"/>
    </row>
    <row r="58337" spans="23:23">
      <c r="W58337" s="503"/>
    </row>
    <row r="58338" spans="23:23">
      <c r="W58338" s="503"/>
    </row>
    <row r="58339" spans="23:23">
      <c r="W58339" s="503"/>
    </row>
    <row r="58340" spans="23:23">
      <c r="W58340" s="503"/>
    </row>
    <row r="58341" spans="23:23">
      <c r="W58341" s="503"/>
    </row>
    <row r="58342" spans="23:23">
      <c r="W58342" s="503"/>
    </row>
    <row r="58343" spans="23:23">
      <c r="W58343" s="503"/>
    </row>
    <row r="58344" spans="23:23">
      <c r="W58344" s="503"/>
    </row>
    <row r="58345" spans="23:23">
      <c r="W58345" s="503"/>
    </row>
    <row r="58346" spans="23:23">
      <c r="W58346" s="503"/>
    </row>
    <row r="58347" spans="23:23">
      <c r="W58347" s="503"/>
    </row>
    <row r="58348" spans="23:23">
      <c r="W58348" s="503"/>
    </row>
    <row r="58349" spans="23:23">
      <c r="W58349" s="503"/>
    </row>
    <row r="58350" spans="23:23">
      <c r="W58350" s="503"/>
    </row>
    <row r="58351" spans="23:23">
      <c r="W58351" s="503"/>
    </row>
    <row r="58352" spans="23:23">
      <c r="W58352" s="503"/>
    </row>
    <row r="58353" spans="23:23">
      <c r="W58353" s="503"/>
    </row>
    <row r="58354" spans="23:23">
      <c r="W58354" s="503"/>
    </row>
    <row r="58355" spans="23:23">
      <c r="W58355" s="503"/>
    </row>
    <row r="58356" spans="23:23">
      <c r="W58356" s="503"/>
    </row>
    <row r="58357" spans="23:23">
      <c r="W58357" s="503"/>
    </row>
    <row r="58358" spans="23:23">
      <c r="W58358" s="503"/>
    </row>
    <row r="58359" spans="23:23">
      <c r="W58359" s="503"/>
    </row>
    <row r="58360" spans="23:23">
      <c r="W58360" s="503"/>
    </row>
    <row r="58361" spans="23:23">
      <c r="W58361" s="503"/>
    </row>
    <row r="58362" spans="23:23">
      <c r="W58362" s="503"/>
    </row>
    <row r="58363" spans="23:23">
      <c r="W58363" s="503"/>
    </row>
    <row r="58364" spans="23:23">
      <c r="W58364" s="503"/>
    </row>
    <row r="58365" spans="23:23">
      <c r="W58365" s="503"/>
    </row>
    <row r="58366" spans="23:23">
      <c r="W58366" s="503"/>
    </row>
    <row r="58367" spans="23:23">
      <c r="W58367" s="503"/>
    </row>
    <row r="58368" spans="23:23">
      <c r="W58368" s="503"/>
    </row>
    <row r="58369" spans="23:23">
      <c r="W58369" s="503"/>
    </row>
    <row r="58370" spans="23:23">
      <c r="W58370" s="503"/>
    </row>
    <row r="58371" spans="23:23">
      <c r="W58371" s="503"/>
    </row>
    <row r="58372" spans="23:23">
      <c r="W58372" s="503"/>
    </row>
    <row r="58373" spans="23:23">
      <c r="W58373" s="503"/>
    </row>
    <row r="58374" spans="23:23">
      <c r="W58374" s="503"/>
    </row>
    <row r="58375" spans="23:23">
      <c r="W58375" s="503"/>
    </row>
    <row r="58376" spans="23:23">
      <c r="W58376" s="503"/>
    </row>
    <row r="58377" spans="23:23">
      <c r="W58377" s="503"/>
    </row>
    <row r="58378" spans="23:23">
      <c r="W58378" s="503"/>
    </row>
    <row r="58379" spans="23:23">
      <c r="W58379" s="503"/>
    </row>
    <row r="58380" spans="23:23">
      <c r="W58380" s="503"/>
    </row>
    <row r="58381" spans="23:23">
      <c r="W58381" s="503"/>
    </row>
    <row r="58382" spans="23:23">
      <c r="W58382" s="503"/>
    </row>
    <row r="58383" spans="23:23">
      <c r="W58383" s="503"/>
    </row>
    <row r="58384" spans="23:23">
      <c r="W58384" s="503"/>
    </row>
    <row r="58385" spans="23:23">
      <c r="W58385" s="503"/>
    </row>
    <row r="58386" spans="23:23">
      <c r="W58386" s="503"/>
    </row>
    <row r="58387" spans="23:23">
      <c r="W58387" s="503"/>
    </row>
    <row r="58388" spans="23:23">
      <c r="W58388" s="503"/>
    </row>
    <row r="58389" spans="23:23">
      <c r="W58389" s="503"/>
    </row>
    <row r="58390" spans="23:23">
      <c r="W58390" s="503"/>
    </row>
    <row r="58391" spans="23:23">
      <c r="W58391" s="503"/>
    </row>
    <row r="58392" spans="23:23">
      <c r="W58392" s="503"/>
    </row>
    <row r="58393" spans="23:23">
      <c r="W58393" s="503"/>
    </row>
    <row r="58394" spans="23:23">
      <c r="W58394" s="503"/>
    </row>
    <row r="58395" spans="23:23">
      <c r="W58395" s="503"/>
    </row>
    <row r="58396" spans="23:23">
      <c r="W58396" s="503"/>
    </row>
    <row r="58397" spans="23:23">
      <c r="W58397" s="503"/>
    </row>
    <row r="58398" spans="23:23">
      <c r="W58398" s="503"/>
    </row>
    <row r="58399" spans="23:23">
      <c r="W58399" s="503"/>
    </row>
    <row r="58400" spans="23:23">
      <c r="W58400" s="503"/>
    </row>
    <row r="58401" spans="23:23">
      <c r="W58401" s="503"/>
    </row>
    <row r="58402" spans="23:23">
      <c r="W58402" s="503"/>
    </row>
    <row r="58403" spans="23:23">
      <c r="W58403" s="503"/>
    </row>
    <row r="58404" spans="23:23">
      <c r="W58404" s="503"/>
    </row>
    <row r="58405" spans="23:23">
      <c r="W58405" s="503"/>
    </row>
    <row r="58406" spans="23:23">
      <c r="W58406" s="503"/>
    </row>
    <row r="58407" spans="23:23">
      <c r="W58407" s="503"/>
    </row>
    <row r="58408" spans="23:23">
      <c r="W58408" s="503"/>
    </row>
    <row r="58409" spans="23:23">
      <c r="W58409" s="503"/>
    </row>
    <row r="58410" spans="23:23">
      <c r="W58410" s="503"/>
    </row>
    <row r="58411" spans="23:23">
      <c r="W58411" s="503"/>
    </row>
    <row r="58412" spans="23:23">
      <c r="W58412" s="503"/>
    </row>
    <row r="58413" spans="23:23">
      <c r="W58413" s="503"/>
    </row>
    <row r="58414" spans="23:23">
      <c r="W58414" s="503"/>
    </row>
    <row r="58415" spans="23:23">
      <c r="W58415" s="503"/>
    </row>
    <row r="58416" spans="23:23">
      <c r="W58416" s="503"/>
    </row>
    <row r="58417" spans="23:23">
      <c r="W58417" s="503"/>
    </row>
    <row r="58418" spans="23:23">
      <c r="W58418" s="503"/>
    </row>
    <row r="58419" spans="23:23">
      <c r="W58419" s="503"/>
    </row>
    <row r="58420" spans="23:23">
      <c r="W58420" s="503"/>
    </row>
    <row r="58421" spans="23:23">
      <c r="W58421" s="503"/>
    </row>
    <row r="58422" spans="23:23">
      <c r="W58422" s="503"/>
    </row>
    <row r="58423" spans="23:23">
      <c r="W58423" s="503"/>
    </row>
    <row r="58424" spans="23:23">
      <c r="W58424" s="503"/>
    </row>
    <row r="58425" spans="23:23">
      <c r="W58425" s="503"/>
    </row>
    <row r="58426" spans="23:23">
      <c r="W58426" s="503"/>
    </row>
    <row r="58427" spans="23:23">
      <c r="W58427" s="503"/>
    </row>
    <row r="58428" spans="23:23">
      <c r="W58428" s="503"/>
    </row>
    <row r="58429" spans="23:23">
      <c r="W58429" s="503"/>
    </row>
    <row r="58430" spans="23:23">
      <c r="W58430" s="503"/>
    </row>
    <row r="58431" spans="23:23">
      <c r="W58431" s="503"/>
    </row>
    <row r="58432" spans="23:23">
      <c r="W58432" s="503"/>
    </row>
    <row r="58433" spans="23:23">
      <c r="W58433" s="503"/>
    </row>
    <row r="58434" spans="23:23">
      <c r="W58434" s="503"/>
    </row>
    <row r="58435" spans="23:23">
      <c r="W58435" s="503"/>
    </row>
    <row r="58436" spans="23:23">
      <c r="W58436" s="503"/>
    </row>
    <row r="58437" spans="23:23">
      <c r="W58437" s="503"/>
    </row>
    <row r="58438" spans="23:23">
      <c r="W58438" s="503"/>
    </row>
    <row r="58439" spans="23:23">
      <c r="W58439" s="503"/>
    </row>
    <row r="58440" spans="23:23">
      <c r="W58440" s="503"/>
    </row>
    <row r="58441" spans="23:23">
      <c r="W58441" s="503"/>
    </row>
    <row r="58442" spans="23:23">
      <c r="W58442" s="503"/>
    </row>
    <row r="58443" spans="23:23">
      <c r="W58443" s="503"/>
    </row>
    <row r="58444" spans="23:23">
      <c r="W58444" s="503"/>
    </row>
    <row r="58445" spans="23:23">
      <c r="W58445" s="503"/>
    </row>
    <row r="58446" spans="23:23">
      <c r="W58446" s="503"/>
    </row>
    <row r="58447" spans="23:23">
      <c r="W58447" s="503"/>
    </row>
    <row r="58448" spans="23:23">
      <c r="W58448" s="503"/>
    </row>
    <row r="58449" spans="23:23">
      <c r="W58449" s="503"/>
    </row>
    <row r="58450" spans="23:23">
      <c r="W58450" s="503"/>
    </row>
    <row r="58451" spans="23:23">
      <c r="W58451" s="503"/>
    </row>
    <row r="58452" spans="23:23">
      <c r="W58452" s="503"/>
    </row>
    <row r="58453" spans="23:23">
      <c r="W58453" s="503"/>
    </row>
    <row r="58454" spans="23:23">
      <c r="W58454" s="503"/>
    </row>
    <row r="58455" spans="23:23">
      <c r="W58455" s="503"/>
    </row>
    <row r="58456" spans="23:23">
      <c r="W58456" s="503"/>
    </row>
    <row r="58457" spans="23:23">
      <c r="W58457" s="503"/>
    </row>
    <row r="58458" spans="23:23">
      <c r="W58458" s="503"/>
    </row>
    <row r="58459" spans="23:23">
      <c r="W58459" s="503"/>
    </row>
    <row r="58460" spans="23:23">
      <c r="W58460" s="503"/>
    </row>
    <row r="58461" spans="23:23">
      <c r="W58461" s="503"/>
    </row>
    <row r="58462" spans="23:23">
      <c r="W58462" s="503"/>
    </row>
    <row r="58463" spans="23:23">
      <c r="W58463" s="503"/>
    </row>
    <row r="58464" spans="23:23">
      <c r="W58464" s="503"/>
    </row>
    <row r="58465" spans="23:23">
      <c r="W58465" s="503"/>
    </row>
    <row r="58466" spans="23:23">
      <c r="W58466" s="503"/>
    </row>
    <row r="58467" spans="23:23">
      <c r="W58467" s="503"/>
    </row>
    <row r="58468" spans="23:23">
      <c r="W58468" s="503"/>
    </row>
    <row r="58469" spans="23:23">
      <c r="W58469" s="503"/>
    </row>
    <row r="58470" spans="23:23">
      <c r="W58470" s="503"/>
    </row>
    <row r="58471" spans="23:23">
      <c r="W58471" s="503"/>
    </row>
    <row r="58472" spans="23:23">
      <c r="W58472" s="503"/>
    </row>
    <row r="58473" spans="23:23">
      <c r="W58473" s="503"/>
    </row>
    <row r="58474" spans="23:23">
      <c r="W58474" s="503"/>
    </row>
    <row r="58475" spans="23:23">
      <c r="W58475" s="503"/>
    </row>
    <row r="58476" spans="23:23">
      <c r="W58476" s="503"/>
    </row>
    <row r="58477" spans="23:23">
      <c r="W58477" s="503"/>
    </row>
    <row r="58478" spans="23:23">
      <c r="W58478" s="503"/>
    </row>
    <row r="58479" spans="23:23">
      <c r="W58479" s="503"/>
    </row>
    <row r="58480" spans="23:23">
      <c r="W58480" s="503"/>
    </row>
    <row r="58481" spans="23:23">
      <c r="W58481" s="503"/>
    </row>
    <row r="58482" spans="23:23">
      <c r="W58482" s="503"/>
    </row>
    <row r="58483" spans="23:23">
      <c r="W58483" s="503"/>
    </row>
    <row r="58484" spans="23:23">
      <c r="W58484" s="503"/>
    </row>
    <row r="58485" spans="23:23">
      <c r="W58485" s="503"/>
    </row>
    <row r="58486" spans="23:23">
      <c r="W58486" s="503"/>
    </row>
    <row r="58487" spans="23:23">
      <c r="W58487" s="503"/>
    </row>
    <row r="58488" spans="23:23">
      <c r="W58488" s="503"/>
    </row>
    <row r="58489" spans="23:23">
      <c r="W58489" s="503"/>
    </row>
    <row r="58490" spans="23:23">
      <c r="W58490" s="503"/>
    </row>
    <row r="58491" spans="23:23">
      <c r="W58491" s="503"/>
    </row>
    <row r="58492" spans="23:23">
      <c r="W58492" s="503"/>
    </row>
    <row r="58493" spans="23:23">
      <c r="W58493" s="503"/>
    </row>
    <row r="58494" spans="23:23">
      <c r="W58494" s="503"/>
    </row>
    <row r="58495" spans="23:23">
      <c r="W58495" s="503"/>
    </row>
    <row r="58496" spans="23:23">
      <c r="W58496" s="503"/>
    </row>
    <row r="58497" spans="23:23">
      <c r="W58497" s="503"/>
    </row>
    <row r="58498" spans="23:23">
      <c r="W58498" s="503"/>
    </row>
    <row r="58499" spans="23:23">
      <c r="W58499" s="503"/>
    </row>
    <row r="58500" spans="23:23">
      <c r="W58500" s="503"/>
    </row>
    <row r="58501" spans="23:23">
      <c r="W58501" s="503"/>
    </row>
    <row r="58502" spans="23:23">
      <c r="W58502" s="503"/>
    </row>
    <row r="58503" spans="23:23">
      <c r="W58503" s="503"/>
    </row>
    <row r="58504" spans="23:23">
      <c r="W58504" s="503"/>
    </row>
    <row r="58505" spans="23:23">
      <c r="W58505" s="503"/>
    </row>
    <row r="58506" spans="23:23">
      <c r="W58506" s="503"/>
    </row>
    <row r="58507" spans="23:23">
      <c r="W58507" s="503"/>
    </row>
    <row r="58508" spans="23:23">
      <c r="W58508" s="503"/>
    </row>
    <row r="58509" spans="23:23">
      <c r="W58509" s="503"/>
    </row>
    <row r="58510" spans="23:23">
      <c r="W58510" s="503"/>
    </row>
    <row r="58511" spans="23:23">
      <c r="W58511" s="503"/>
    </row>
    <row r="58512" spans="23:23">
      <c r="W58512" s="503"/>
    </row>
    <row r="58513" spans="23:23">
      <c r="W58513" s="503"/>
    </row>
    <row r="58514" spans="23:23">
      <c r="W58514" s="503"/>
    </row>
    <row r="58515" spans="23:23">
      <c r="W58515" s="503"/>
    </row>
    <row r="58516" spans="23:23">
      <c r="W58516" s="503"/>
    </row>
    <row r="58517" spans="23:23">
      <c r="W58517" s="503"/>
    </row>
    <row r="58518" spans="23:23">
      <c r="W58518" s="503"/>
    </row>
    <row r="58519" spans="23:23">
      <c r="W58519" s="503"/>
    </row>
    <row r="58520" spans="23:23">
      <c r="W58520" s="503"/>
    </row>
    <row r="58521" spans="23:23">
      <c r="W58521" s="503"/>
    </row>
    <row r="58522" spans="23:23">
      <c r="W58522" s="503"/>
    </row>
    <row r="58523" spans="23:23">
      <c r="W58523" s="503"/>
    </row>
    <row r="58524" spans="23:23">
      <c r="W58524" s="503"/>
    </row>
    <row r="58525" spans="23:23">
      <c r="W58525" s="503"/>
    </row>
    <row r="58526" spans="23:23">
      <c r="W58526" s="503"/>
    </row>
    <row r="58527" spans="23:23">
      <c r="W58527" s="503"/>
    </row>
    <row r="58528" spans="23:23">
      <c r="W58528" s="503"/>
    </row>
    <row r="58529" spans="23:23">
      <c r="W58529" s="503"/>
    </row>
    <row r="58530" spans="23:23">
      <c r="W58530" s="503"/>
    </row>
    <row r="58531" spans="23:23">
      <c r="W58531" s="503"/>
    </row>
    <row r="58532" spans="23:23">
      <c r="W58532" s="503"/>
    </row>
    <row r="58533" spans="23:23">
      <c r="W58533" s="503"/>
    </row>
    <row r="58534" spans="23:23">
      <c r="W58534" s="503"/>
    </row>
    <row r="58535" spans="23:23">
      <c r="W58535" s="503"/>
    </row>
    <row r="58536" spans="23:23">
      <c r="W58536" s="503"/>
    </row>
    <row r="58537" spans="23:23">
      <c r="W58537" s="503"/>
    </row>
    <row r="58538" spans="23:23">
      <c r="W58538" s="503"/>
    </row>
    <row r="58539" spans="23:23">
      <c r="W58539" s="503"/>
    </row>
    <row r="58540" spans="23:23">
      <c r="W58540" s="503"/>
    </row>
    <row r="58541" spans="23:23">
      <c r="W58541" s="503"/>
    </row>
    <row r="58542" spans="23:23">
      <c r="W58542" s="503"/>
    </row>
    <row r="58543" spans="23:23">
      <c r="W58543" s="503"/>
    </row>
    <row r="58544" spans="23:23">
      <c r="W58544" s="503"/>
    </row>
    <row r="58545" spans="23:23">
      <c r="W58545" s="503"/>
    </row>
    <row r="58546" spans="23:23">
      <c r="W58546" s="503"/>
    </row>
    <row r="58547" spans="23:23">
      <c r="W58547" s="503"/>
    </row>
    <row r="58548" spans="23:23">
      <c r="W58548" s="503"/>
    </row>
    <row r="58549" spans="23:23">
      <c r="W58549" s="503"/>
    </row>
    <row r="58550" spans="23:23">
      <c r="W58550" s="503"/>
    </row>
    <row r="58551" spans="23:23">
      <c r="W58551" s="503"/>
    </row>
    <row r="58552" spans="23:23">
      <c r="W58552" s="503"/>
    </row>
    <row r="58553" spans="23:23">
      <c r="W58553" s="503"/>
    </row>
    <row r="58554" spans="23:23">
      <c r="W58554" s="503"/>
    </row>
    <row r="58555" spans="23:23">
      <c r="W58555" s="503"/>
    </row>
    <row r="58556" spans="23:23">
      <c r="W58556" s="503"/>
    </row>
    <row r="58557" spans="23:23">
      <c r="W58557" s="503"/>
    </row>
    <row r="58558" spans="23:23">
      <c r="W58558" s="503"/>
    </row>
    <row r="58559" spans="23:23">
      <c r="W58559" s="503"/>
    </row>
    <row r="58560" spans="23:23">
      <c r="W58560" s="503"/>
    </row>
    <row r="58561" spans="23:23">
      <c r="W58561" s="503"/>
    </row>
    <row r="58562" spans="23:23">
      <c r="W58562" s="503"/>
    </row>
    <row r="58563" spans="23:23">
      <c r="W58563" s="503"/>
    </row>
    <row r="58564" spans="23:23">
      <c r="W58564" s="503"/>
    </row>
    <row r="58565" spans="23:23">
      <c r="W58565" s="503"/>
    </row>
    <row r="58566" spans="23:23">
      <c r="W58566" s="503"/>
    </row>
    <row r="58567" spans="23:23">
      <c r="W58567" s="503"/>
    </row>
    <row r="58568" spans="23:23">
      <c r="W58568" s="503"/>
    </row>
    <row r="58569" spans="23:23">
      <c r="W58569" s="503"/>
    </row>
    <row r="58570" spans="23:23">
      <c r="W58570" s="503"/>
    </row>
    <row r="58571" spans="23:23">
      <c r="W58571" s="503"/>
    </row>
    <row r="58572" spans="23:23">
      <c r="W58572" s="503"/>
    </row>
    <row r="58573" spans="23:23">
      <c r="W58573" s="503"/>
    </row>
    <row r="58574" spans="23:23">
      <c r="W58574" s="503"/>
    </row>
    <row r="58575" spans="23:23">
      <c r="W58575" s="503"/>
    </row>
    <row r="58576" spans="23:23">
      <c r="W58576" s="503"/>
    </row>
    <row r="58577" spans="23:23">
      <c r="W58577" s="503"/>
    </row>
    <row r="58578" spans="23:23">
      <c r="W58578" s="503"/>
    </row>
    <row r="58579" spans="23:23">
      <c r="W58579" s="503"/>
    </row>
    <row r="58580" spans="23:23">
      <c r="W58580" s="503"/>
    </row>
    <row r="58581" spans="23:23">
      <c r="W58581" s="503"/>
    </row>
    <row r="58582" spans="23:23">
      <c r="W58582" s="503"/>
    </row>
    <row r="58583" spans="23:23">
      <c r="W58583" s="503"/>
    </row>
    <row r="58584" spans="23:23">
      <c r="W58584" s="503"/>
    </row>
    <row r="58585" spans="23:23">
      <c r="W58585" s="503"/>
    </row>
    <row r="58586" spans="23:23">
      <c r="W58586" s="503"/>
    </row>
    <row r="58587" spans="23:23">
      <c r="W58587" s="503"/>
    </row>
    <row r="58588" spans="23:23">
      <c r="W58588" s="503"/>
    </row>
    <row r="58589" spans="23:23">
      <c r="W58589" s="503"/>
    </row>
    <row r="58590" spans="23:23">
      <c r="W58590" s="503"/>
    </row>
    <row r="58591" spans="23:23">
      <c r="W58591" s="503"/>
    </row>
    <row r="58592" spans="23:23">
      <c r="W58592" s="503"/>
    </row>
    <row r="58593" spans="23:23">
      <c r="W58593" s="503"/>
    </row>
    <row r="58594" spans="23:23">
      <c r="W58594" s="503"/>
    </row>
    <row r="58595" spans="23:23">
      <c r="W58595" s="503"/>
    </row>
    <row r="58596" spans="23:23">
      <c r="W58596" s="503"/>
    </row>
    <row r="58597" spans="23:23">
      <c r="W58597" s="503"/>
    </row>
    <row r="58598" spans="23:23">
      <c r="W58598" s="503"/>
    </row>
    <row r="58599" spans="23:23">
      <c r="W58599" s="503"/>
    </row>
    <row r="58600" spans="23:23">
      <c r="W58600" s="503"/>
    </row>
    <row r="58601" spans="23:23">
      <c r="W58601" s="503"/>
    </row>
    <row r="58602" spans="23:23">
      <c r="W58602" s="503"/>
    </row>
    <row r="58603" spans="23:23">
      <c r="W58603" s="503"/>
    </row>
    <row r="58604" spans="23:23">
      <c r="W58604" s="503"/>
    </row>
    <row r="58605" spans="23:23">
      <c r="W58605" s="503"/>
    </row>
    <row r="58606" spans="23:23">
      <c r="W58606" s="503"/>
    </row>
    <row r="58607" spans="23:23">
      <c r="W58607" s="503"/>
    </row>
    <row r="58608" spans="23:23">
      <c r="W58608" s="503"/>
    </row>
    <row r="58609" spans="23:23">
      <c r="W58609" s="503"/>
    </row>
    <row r="58610" spans="23:23">
      <c r="W58610" s="503"/>
    </row>
    <row r="58611" spans="23:23">
      <c r="W58611" s="503"/>
    </row>
    <row r="58612" spans="23:23">
      <c r="W58612" s="503"/>
    </row>
    <row r="58613" spans="23:23">
      <c r="W58613" s="503"/>
    </row>
    <row r="58614" spans="23:23">
      <c r="W58614" s="503"/>
    </row>
    <row r="58615" spans="23:23">
      <c r="W58615" s="503"/>
    </row>
    <row r="58616" spans="23:23">
      <c r="W58616" s="503"/>
    </row>
    <row r="58617" spans="23:23">
      <c r="W58617" s="503"/>
    </row>
    <row r="58618" spans="23:23">
      <c r="W58618" s="503"/>
    </row>
    <row r="58619" spans="23:23">
      <c r="W58619" s="503"/>
    </row>
    <row r="58620" spans="23:23">
      <c r="W58620" s="503"/>
    </row>
    <row r="58621" spans="23:23">
      <c r="W58621" s="503"/>
    </row>
    <row r="58622" spans="23:23">
      <c r="W58622" s="503"/>
    </row>
    <row r="58623" spans="23:23">
      <c r="W58623" s="503"/>
    </row>
    <row r="58624" spans="23:23">
      <c r="W58624" s="503"/>
    </row>
    <row r="58625" spans="23:23">
      <c r="W58625" s="503"/>
    </row>
    <row r="58626" spans="23:23">
      <c r="W58626" s="503"/>
    </row>
    <row r="58627" spans="23:23">
      <c r="W58627" s="503"/>
    </row>
    <row r="58628" spans="23:23">
      <c r="W58628" s="503"/>
    </row>
    <row r="58629" spans="23:23">
      <c r="W58629" s="503"/>
    </row>
    <row r="58630" spans="23:23">
      <c r="W58630" s="503"/>
    </row>
    <row r="58631" spans="23:23">
      <c r="W58631" s="503"/>
    </row>
    <row r="58632" spans="23:23">
      <c r="W58632" s="503"/>
    </row>
    <row r="58633" spans="23:23">
      <c r="W58633" s="503"/>
    </row>
    <row r="58634" spans="23:23">
      <c r="W58634" s="503"/>
    </row>
    <row r="58635" spans="23:23">
      <c r="W58635" s="503"/>
    </row>
    <row r="58636" spans="23:23">
      <c r="W58636" s="503"/>
    </row>
    <row r="58637" spans="23:23">
      <c r="W58637" s="503"/>
    </row>
    <row r="58638" spans="23:23">
      <c r="W58638" s="503"/>
    </row>
    <row r="58639" spans="23:23">
      <c r="W58639" s="503"/>
    </row>
    <row r="58640" spans="23:23">
      <c r="W58640" s="503"/>
    </row>
    <row r="58641" spans="23:23">
      <c r="W58641" s="503"/>
    </row>
    <row r="58642" spans="23:23">
      <c r="W58642" s="503"/>
    </row>
    <row r="58643" spans="23:23">
      <c r="W58643" s="503"/>
    </row>
    <row r="58644" spans="23:23">
      <c r="W58644" s="503"/>
    </row>
    <row r="58645" spans="23:23">
      <c r="W58645" s="503"/>
    </row>
    <row r="58646" spans="23:23">
      <c r="W58646" s="503"/>
    </row>
    <row r="58647" spans="23:23">
      <c r="W58647" s="503"/>
    </row>
    <row r="58648" spans="23:23">
      <c r="W58648" s="503"/>
    </row>
    <row r="58649" spans="23:23">
      <c r="W58649" s="503"/>
    </row>
    <row r="58650" spans="23:23">
      <c r="W58650" s="503"/>
    </row>
    <row r="58651" spans="23:23">
      <c r="W58651" s="503"/>
    </row>
    <row r="58652" spans="23:23">
      <c r="W58652" s="503"/>
    </row>
    <row r="58653" spans="23:23">
      <c r="W58653" s="503"/>
    </row>
    <row r="58654" spans="23:23">
      <c r="W58654" s="503"/>
    </row>
    <row r="58655" spans="23:23">
      <c r="W58655" s="503"/>
    </row>
    <row r="58656" spans="23:23">
      <c r="W58656" s="503"/>
    </row>
    <row r="58657" spans="23:23">
      <c r="W58657" s="503"/>
    </row>
    <row r="58658" spans="23:23">
      <c r="W58658" s="503"/>
    </row>
    <row r="58659" spans="23:23">
      <c r="W58659" s="503"/>
    </row>
    <row r="58660" spans="23:23">
      <c r="W58660" s="503"/>
    </row>
    <row r="58661" spans="23:23">
      <c r="W58661" s="503"/>
    </row>
    <row r="58662" spans="23:23">
      <c r="W58662" s="503"/>
    </row>
    <row r="58663" spans="23:23">
      <c r="W58663" s="503"/>
    </row>
    <row r="58664" spans="23:23">
      <c r="W58664" s="503"/>
    </row>
    <row r="58665" spans="23:23">
      <c r="W58665" s="503"/>
    </row>
    <row r="58666" spans="23:23">
      <c r="W58666" s="503"/>
    </row>
    <row r="58667" spans="23:23">
      <c r="W58667" s="503"/>
    </row>
    <row r="58668" spans="23:23">
      <c r="W58668" s="503"/>
    </row>
    <row r="58669" spans="23:23">
      <c r="W58669" s="503"/>
    </row>
    <row r="58670" spans="23:23">
      <c r="W58670" s="503"/>
    </row>
    <row r="58671" spans="23:23">
      <c r="W58671" s="503"/>
    </row>
    <row r="58672" spans="23:23">
      <c r="W58672" s="503"/>
    </row>
    <row r="58673" spans="23:23">
      <c r="W58673" s="503"/>
    </row>
    <row r="58674" spans="23:23">
      <c r="W58674" s="503"/>
    </row>
    <row r="58675" spans="23:23">
      <c r="W58675" s="503"/>
    </row>
    <row r="58676" spans="23:23">
      <c r="W58676" s="503"/>
    </row>
    <row r="58677" spans="23:23">
      <c r="W58677" s="503"/>
    </row>
    <row r="58678" spans="23:23">
      <c r="W58678" s="503"/>
    </row>
    <row r="58679" spans="23:23">
      <c r="W58679" s="503"/>
    </row>
    <row r="58680" spans="23:23">
      <c r="W58680" s="503"/>
    </row>
    <row r="58681" spans="23:23">
      <c r="W58681" s="503"/>
    </row>
    <row r="58682" spans="23:23">
      <c r="W58682" s="503"/>
    </row>
    <row r="58683" spans="23:23">
      <c r="W58683" s="503"/>
    </row>
    <row r="58684" spans="23:23">
      <c r="W58684" s="503"/>
    </row>
    <row r="58685" spans="23:23">
      <c r="W58685" s="503"/>
    </row>
    <row r="58686" spans="23:23">
      <c r="W58686" s="503"/>
    </row>
    <row r="58687" spans="23:23">
      <c r="W58687" s="503"/>
    </row>
    <row r="58688" spans="23:23">
      <c r="W58688" s="503"/>
    </row>
    <row r="58689" spans="23:23">
      <c r="W58689" s="503"/>
    </row>
    <row r="58690" spans="23:23">
      <c r="W58690" s="503"/>
    </row>
    <row r="58691" spans="23:23">
      <c r="W58691" s="503"/>
    </row>
    <row r="58692" spans="23:23">
      <c r="W58692" s="503"/>
    </row>
    <row r="58693" spans="23:23">
      <c r="W58693" s="503"/>
    </row>
    <row r="58694" spans="23:23">
      <c r="W58694" s="503"/>
    </row>
    <row r="58695" spans="23:23">
      <c r="W58695" s="503"/>
    </row>
    <row r="58696" spans="23:23">
      <c r="W58696" s="503"/>
    </row>
    <row r="58697" spans="23:23">
      <c r="W58697" s="503"/>
    </row>
    <row r="58698" spans="23:23">
      <c r="W58698" s="503"/>
    </row>
    <row r="58699" spans="23:23">
      <c r="W58699" s="503"/>
    </row>
    <row r="58700" spans="23:23">
      <c r="W58700" s="503"/>
    </row>
    <row r="58701" spans="23:23">
      <c r="W58701" s="503"/>
    </row>
    <row r="58702" spans="23:23">
      <c r="W58702" s="503"/>
    </row>
    <row r="58703" spans="23:23">
      <c r="W58703" s="503"/>
    </row>
    <row r="58704" spans="23:23">
      <c r="W58704" s="503"/>
    </row>
    <row r="58705" spans="23:23">
      <c r="W58705" s="503"/>
    </row>
    <row r="58706" spans="23:23">
      <c r="W58706" s="503"/>
    </row>
    <row r="58707" spans="23:23">
      <c r="W58707" s="503"/>
    </row>
    <row r="58708" spans="23:23">
      <c r="W58708" s="503"/>
    </row>
    <row r="58709" spans="23:23">
      <c r="W58709" s="503"/>
    </row>
    <row r="58710" spans="23:23">
      <c r="W58710" s="503"/>
    </row>
    <row r="58711" spans="23:23">
      <c r="W58711" s="503"/>
    </row>
    <row r="58712" spans="23:23">
      <c r="W58712" s="503"/>
    </row>
    <row r="58713" spans="23:23">
      <c r="W58713" s="503"/>
    </row>
    <row r="58714" spans="23:23">
      <c r="W58714" s="503"/>
    </row>
    <row r="58715" spans="23:23">
      <c r="W58715" s="503"/>
    </row>
    <row r="58716" spans="23:23">
      <c r="W58716" s="503"/>
    </row>
    <row r="58717" spans="23:23">
      <c r="W58717" s="503"/>
    </row>
    <row r="58718" spans="23:23">
      <c r="W58718" s="503"/>
    </row>
    <row r="58719" spans="23:23">
      <c r="W58719" s="503"/>
    </row>
    <row r="58720" spans="23:23">
      <c r="W58720" s="503"/>
    </row>
    <row r="58721" spans="23:23">
      <c r="W58721" s="503"/>
    </row>
    <row r="58722" spans="23:23">
      <c r="W58722" s="503"/>
    </row>
    <row r="58723" spans="23:23">
      <c r="W58723" s="503"/>
    </row>
    <row r="58724" spans="23:23">
      <c r="W58724" s="503"/>
    </row>
    <row r="58725" spans="23:23">
      <c r="W58725" s="503"/>
    </row>
    <row r="58726" spans="23:23">
      <c r="W58726" s="503"/>
    </row>
    <row r="58727" spans="23:23">
      <c r="W58727" s="503"/>
    </row>
    <row r="58728" spans="23:23">
      <c r="W58728" s="503"/>
    </row>
    <row r="58729" spans="23:23">
      <c r="W58729" s="503"/>
    </row>
    <row r="58730" spans="23:23">
      <c r="W58730" s="503"/>
    </row>
    <row r="58731" spans="23:23">
      <c r="W58731" s="503"/>
    </row>
    <row r="58732" spans="23:23">
      <c r="W58732" s="503"/>
    </row>
    <row r="58733" spans="23:23">
      <c r="W58733" s="503"/>
    </row>
    <row r="58734" spans="23:23">
      <c r="W58734" s="503"/>
    </row>
    <row r="58735" spans="23:23">
      <c r="W58735" s="503"/>
    </row>
    <row r="58736" spans="23:23">
      <c r="W58736" s="503"/>
    </row>
    <row r="58737" spans="23:23">
      <c r="W58737" s="503"/>
    </row>
    <row r="58738" spans="23:23">
      <c r="W58738" s="503"/>
    </row>
    <row r="58739" spans="23:23">
      <c r="W58739" s="503"/>
    </row>
    <row r="58740" spans="23:23">
      <c r="W58740" s="503"/>
    </row>
    <row r="58741" spans="23:23">
      <c r="W58741" s="503"/>
    </row>
    <row r="58742" spans="23:23">
      <c r="W58742" s="503"/>
    </row>
    <row r="58743" spans="23:23">
      <c r="W58743" s="503"/>
    </row>
    <row r="58744" spans="23:23">
      <c r="W58744" s="503"/>
    </row>
    <row r="58745" spans="23:23">
      <c r="W58745" s="503"/>
    </row>
    <row r="58746" spans="23:23">
      <c r="W58746" s="503"/>
    </row>
    <row r="58747" spans="23:23">
      <c r="W58747" s="503"/>
    </row>
    <row r="58748" spans="23:23">
      <c r="W58748" s="503"/>
    </row>
    <row r="58749" spans="23:23">
      <c r="W58749" s="503"/>
    </row>
    <row r="58750" spans="23:23">
      <c r="W58750" s="503"/>
    </row>
    <row r="58751" spans="23:23">
      <c r="W58751" s="503"/>
    </row>
    <row r="58752" spans="23:23">
      <c r="W58752" s="503"/>
    </row>
    <row r="58753" spans="23:23">
      <c r="W58753" s="503"/>
    </row>
    <row r="58754" spans="23:23">
      <c r="W58754" s="503"/>
    </row>
    <row r="58755" spans="23:23">
      <c r="W58755" s="503"/>
    </row>
    <row r="58756" spans="23:23">
      <c r="W58756" s="503"/>
    </row>
    <row r="58757" spans="23:23">
      <c r="W58757" s="503"/>
    </row>
    <row r="58758" spans="23:23">
      <c r="W58758" s="503"/>
    </row>
    <row r="58759" spans="23:23">
      <c r="W58759" s="503"/>
    </row>
    <row r="58760" spans="23:23">
      <c r="W58760" s="503"/>
    </row>
    <row r="58761" spans="23:23">
      <c r="W58761" s="503"/>
    </row>
    <row r="58762" spans="23:23">
      <c r="W58762" s="503"/>
    </row>
    <row r="58763" spans="23:23">
      <c r="W58763" s="503"/>
    </row>
    <row r="58764" spans="23:23">
      <c r="W58764" s="503"/>
    </row>
    <row r="58765" spans="23:23">
      <c r="W58765" s="503"/>
    </row>
    <row r="58766" spans="23:23">
      <c r="W58766" s="503"/>
    </row>
    <row r="58767" spans="23:23">
      <c r="W58767" s="503"/>
    </row>
    <row r="58768" spans="23:23">
      <c r="W58768" s="503"/>
    </row>
    <row r="58769" spans="23:23">
      <c r="W58769" s="503"/>
    </row>
    <row r="58770" spans="23:23">
      <c r="W58770" s="503"/>
    </row>
    <row r="58771" spans="23:23">
      <c r="W58771" s="503"/>
    </row>
    <row r="58772" spans="23:23">
      <c r="W58772" s="503"/>
    </row>
    <row r="58773" spans="23:23">
      <c r="W58773" s="503"/>
    </row>
    <row r="58774" spans="23:23">
      <c r="W58774" s="503"/>
    </row>
    <row r="58775" spans="23:23">
      <c r="W58775" s="503"/>
    </row>
    <row r="58776" spans="23:23">
      <c r="W58776" s="503"/>
    </row>
    <row r="58777" spans="23:23">
      <c r="W58777" s="503"/>
    </row>
    <row r="58778" spans="23:23">
      <c r="W58778" s="503"/>
    </row>
    <row r="58779" spans="23:23">
      <c r="W58779" s="503"/>
    </row>
    <row r="58780" spans="23:23">
      <c r="W58780" s="503"/>
    </row>
    <row r="58781" spans="23:23">
      <c r="W58781" s="503"/>
    </row>
    <row r="58782" spans="23:23">
      <c r="W58782" s="503"/>
    </row>
    <row r="58783" spans="23:23">
      <c r="W58783" s="503"/>
    </row>
    <row r="58784" spans="23:23">
      <c r="W58784" s="503"/>
    </row>
    <row r="58785" spans="23:23">
      <c r="W58785" s="503"/>
    </row>
    <row r="58786" spans="23:23">
      <c r="W58786" s="503"/>
    </row>
    <row r="58787" spans="23:23">
      <c r="W58787" s="503"/>
    </row>
    <row r="58788" spans="23:23">
      <c r="W58788" s="503"/>
    </row>
    <row r="58789" spans="23:23">
      <c r="W58789" s="503"/>
    </row>
    <row r="58790" spans="23:23">
      <c r="W58790" s="503"/>
    </row>
    <row r="58791" spans="23:23">
      <c r="W58791" s="503"/>
    </row>
    <row r="58792" spans="23:23">
      <c r="W58792" s="503"/>
    </row>
    <row r="58793" spans="23:23">
      <c r="W58793" s="503"/>
    </row>
    <row r="58794" spans="23:23">
      <c r="W58794" s="503"/>
    </row>
    <row r="58795" spans="23:23">
      <c r="W58795" s="503"/>
    </row>
    <row r="58796" spans="23:23">
      <c r="W58796" s="503"/>
    </row>
    <row r="58797" spans="23:23">
      <c r="W58797" s="503"/>
    </row>
    <row r="58798" spans="23:23">
      <c r="W58798" s="503"/>
    </row>
    <row r="58799" spans="23:23">
      <c r="W58799" s="503"/>
    </row>
    <row r="58800" spans="23:23">
      <c r="W58800" s="503"/>
    </row>
    <row r="58801" spans="23:23">
      <c r="W58801" s="503"/>
    </row>
    <row r="58802" spans="23:23">
      <c r="W58802" s="503"/>
    </row>
    <row r="58803" spans="23:23">
      <c r="W58803" s="503"/>
    </row>
    <row r="58804" spans="23:23">
      <c r="W58804" s="503"/>
    </row>
    <row r="58805" spans="23:23">
      <c r="W58805" s="503"/>
    </row>
    <row r="58806" spans="23:23">
      <c r="W58806" s="503"/>
    </row>
    <row r="58807" spans="23:23">
      <c r="W58807" s="503"/>
    </row>
    <row r="58808" spans="23:23">
      <c r="W58808" s="503"/>
    </row>
    <row r="58809" spans="23:23">
      <c r="W58809" s="503"/>
    </row>
    <row r="58810" spans="23:23">
      <c r="W58810" s="503"/>
    </row>
    <row r="58811" spans="23:23">
      <c r="W58811" s="503"/>
    </row>
    <row r="58812" spans="23:23">
      <c r="W58812" s="503"/>
    </row>
    <row r="58813" spans="23:23">
      <c r="W58813" s="503"/>
    </row>
    <row r="58814" spans="23:23">
      <c r="W58814" s="503"/>
    </row>
    <row r="58815" spans="23:23">
      <c r="W58815" s="503"/>
    </row>
    <row r="58816" spans="23:23">
      <c r="W58816" s="503"/>
    </row>
    <row r="58817" spans="23:23">
      <c r="W58817" s="503"/>
    </row>
    <row r="58818" spans="23:23">
      <c r="W58818" s="503"/>
    </row>
    <row r="58819" spans="23:23">
      <c r="W58819" s="503"/>
    </row>
    <row r="58820" spans="23:23">
      <c r="W58820" s="503"/>
    </row>
    <row r="58821" spans="23:23">
      <c r="W58821" s="503"/>
    </row>
    <row r="58822" spans="23:23">
      <c r="W58822" s="503"/>
    </row>
    <row r="58823" spans="23:23">
      <c r="W58823" s="503"/>
    </row>
    <row r="58824" spans="23:23">
      <c r="W58824" s="503"/>
    </row>
    <row r="58825" spans="23:23">
      <c r="W58825" s="503"/>
    </row>
    <row r="58826" spans="23:23">
      <c r="W58826" s="503"/>
    </row>
    <row r="58827" spans="23:23">
      <c r="W58827" s="503"/>
    </row>
    <row r="58828" spans="23:23">
      <c r="W58828" s="503"/>
    </row>
    <row r="58829" spans="23:23">
      <c r="W58829" s="503"/>
    </row>
    <row r="58830" spans="23:23">
      <c r="W58830" s="503"/>
    </row>
    <row r="58831" spans="23:23">
      <c r="W58831" s="503"/>
    </row>
    <row r="58832" spans="23:23">
      <c r="W58832" s="503"/>
    </row>
    <row r="58833" spans="23:23">
      <c r="W58833" s="503"/>
    </row>
    <row r="58834" spans="23:23">
      <c r="W58834" s="503"/>
    </row>
    <row r="58835" spans="23:23">
      <c r="W58835" s="503"/>
    </row>
    <row r="58836" spans="23:23">
      <c r="W58836" s="503"/>
    </row>
    <row r="58837" spans="23:23">
      <c r="W58837" s="503"/>
    </row>
    <row r="58838" spans="23:23">
      <c r="W58838" s="503"/>
    </row>
    <row r="58839" spans="23:23">
      <c r="W58839" s="503"/>
    </row>
    <row r="58840" spans="23:23">
      <c r="W58840" s="503"/>
    </row>
    <row r="58841" spans="23:23">
      <c r="W58841" s="503"/>
    </row>
    <row r="58842" spans="23:23">
      <c r="W58842" s="503"/>
    </row>
    <row r="58843" spans="23:23">
      <c r="W58843" s="503"/>
    </row>
    <row r="58844" spans="23:23">
      <c r="W58844" s="503"/>
    </row>
    <row r="58845" spans="23:23">
      <c r="W58845" s="503"/>
    </row>
    <row r="58846" spans="23:23">
      <c r="W58846" s="503"/>
    </row>
    <row r="58847" spans="23:23">
      <c r="W58847" s="503"/>
    </row>
    <row r="58848" spans="23:23">
      <c r="W58848" s="503"/>
    </row>
    <row r="58849" spans="23:23">
      <c r="W58849" s="503"/>
    </row>
    <row r="58850" spans="23:23">
      <c r="W58850" s="503"/>
    </row>
    <row r="58851" spans="23:23">
      <c r="W58851" s="503"/>
    </row>
    <row r="58852" spans="23:23">
      <c r="W58852" s="503"/>
    </row>
    <row r="58853" spans="23:23">
      <c r="W58853" s="503"/>
    </row>
    <row r="58854" spans="23:23">
      <c r="W58854" s="503"/>
    </row>
    <row r="58855" spans="23:23">
      <c r="W58855" s="503"/>
    </row>
    <row r="58856" spans="23:23">
      <c r="W58856" s="503"/>
    </row>
    <row r="58857" spans="23:23">
      <c r="W58857" s="503"/>
    </row>
    <row r="58858" spans="23:23">
      <c r="W58858" s="503"/>
    </row>
    <row r="58859" spans="23:23">
      <c r="W58859" s="503"/>
    </row>
    <row r="58860" spans="23:23">
      <c r="W58860" s="503"/>
    </row>
    <row r="58861" spans="23:23">
      <c r="W58861" s="503"/>
    </row>
    <row r="58862" spans="23:23">
      <c r="W58862" s="503"/>
    </row>
    <row r="58863" spans="23:23">
      <c r="W58863" s="503"/>
    </row>
    <row r="58864" spans="23:23">
      <c r="W58864" s="503"/>
    </row>
    <row r="58865" spans="23:23">
      <c r="W58865" s="503"/>
    </row>
    <row r="58866" spans="23:23">
      <c r="W58866" s="503"/>
    </row>
    <row r="58867" spans="23:23">
      <c r="W58867" s="503"/>
    </row>
    <row r="58868" spans="23:23">
      <c r="W58868" s="503"/>
    </row>
    <row r="58869" spans="23:23">
      <c r="W58869" s="503"/>
    </row>
    <row r="58870" spans="23:23">
      <c r="W58870" s="503"/>
    </row>
    <row r="58871" spans="23:23">
      <c r="W58871" s="503"/>
    </row>
    <row r="58872" spans="23:23">
      <c r="W58872" s="503"/>
    </row>
    <row r="58873" spans="23:23">
      <c r="W58873" s="503"/>
    </row>
    <row r="58874" spans="23:23">
      <c r="W58874" s="503"/>
    </row>
    <row r="58875" spans="23:23">
      <c r="W58875" s="503"/>
    </row>
    <row r="58876" spans="23:23">
      <c r="W58876" s="503"/>
    </row>
    <row r="58877" spans="23:23">
      <c r="W58877" s="503"/>
    </row>
    <row r="58878" spans="23:23">
      <c r="W58878" s="503"/>
    </row>
    <row r="58879" spans="23:23">
      <c r="W58879" s="503"/>
    </row>
    <row r="58880" spans="23:23">
      <c r="W58880" s="503"/>
    </row>
    <row r="58881" spans="23:23">
      <c r="W58881" s="503"/>
    </row>
    <row r="58882" spans="23:23">
      <c r="W58882" s="503"/>
    </row>
    <row r="58883" spans="23:23">
      <c r="W58883" s="503"/>
    </row>
    <row r="58884" spans="23:23">
      <c r="W58884" s="503"/>
    </row>
    <row r="58885" spans="23:23">
      <c r="W58885" s="503"/>
    </row>
    <row r="58886" spans="23:23">
      <c r="W58886" s="503"/>
    </row>
    <row r="58887" spans="23:23">
      <c r="W58887" s="503"/>
    </row>
    <row r="58888" spans="23:23">
      <c r="W58888" s="503"/>
    </row>
    <row r="58889" spans="23:23">
      <c r="W58889" s="503"/>
    </row>
    <row r="58890" spans="23:23">
      <c r="W58890" s="503"/>
    </row>
    <row r="58891" spans="23:23">
      <c r="W58891" s="503"/>
    </row>
    <row r="58892" spans="23:23">
      <c r="W58892" s="503"/>
    </row>
    <row r="58893" spans="23:23">
      <c r="W58893" s="503"/>
    </row>
    <row r="58894" spans="23:23">
      <c r="W58894" s="503"/>
    </row>
    <row r="58895" spans="23:23">
      <c r="W58895" s="503"/>
    </row>
    <row r="58896" spans="23:23">
      <c r="W58896" s="503"/>
    </row>
    <row r="58897" spans="23:23">
      <c r="W58897" s="503"/>
    </row>
    <row r="58898" spans="23:23">
      <c r="W58898" s="503"/>
    </row>
    <row r="58899" spans="23:23">
      <c r="W58899" s="503"/>
    </row>
    <row r="58900" spans="23:23">
      <c r="W58900" s="503"/>
    </row>
    <row r="58901" spans="23:23">
      <c r="W58901" s="503"/>
    </row>
    <row r="58902" spans="23:23">
      <c r="W58902" s="503"/>
    </row>
    <row r="58903" spans="23:23">
      <c r="W58903" s="503"/>
    </row>
    <row r="58904" spans="23:23">
      <c r="W58904" s="503"/>
    </row>
    <row r="58905" spans="23:23">
      <c r="W58905" s="503"/>
    </row>
    <row r="58906" spans="23:23">
      <c r="W58906" s="503"/>
    </row>
    <row r="58907" spans="23:23">
      <c r="W58907" s="503"/>
    </row>
    <row r="58908" spans="23:23">
      <c r="W58908" s="503"/>
    </row>
    <row r="58909" spans="23:23">
      <c r="W58909" s="503"/>
    </row>
    <row r="58910" spans="23:23">
      <c r="W58910" s="503"/>
    </row>
    <row r="58911" spans="23:23">
      <c r="W58911" s="503"/>
    </row>
    <row r="58912" spans="23:23">
      <c r="W58912" s="503"/>
    </row>
    <row r="58913" spans="23:23">
      <c r="W58913" s="503"/>
    </row>
    <row r="58914" spans="23:23">
      <c r="W58914" s="503"/>
    </row>
    <row r="58915" spans="23:23">
      <c r="W58915" s="503"/>
    </row>
    <row r="58916" spans="23:23">
      <c r="W58916" s="503"/>
    </row>
    <row r="58917" spans="23:23">
      <c r="W58917" s="503"/>
    </row>
    <row r="58918" spans="23:23">
      <c r="W58918" s="503"/>
    </row>
    <row r="58919" spans="23:23">
      <c r="W58919" s="503"/>
    </row>
    <row r="58920" spans="23:23">
      <c r="W58920" s="503"/>
    </row>
    <row r="58921" spans="23:23">
      <c r="W58921" s="503"/>
    </row>
    <row r="58922" spans="23:23">
      <c r="W58922" s="503"/>
    </row>
    <row r="58923" spans="23:23">
      <c r="W58923" s="503"/>
    </row>
    <row r="58924" spans="23:23">
      <c r="W58924" s="503"/>
    </row>
    <row r="58925" spans="23:23">
      <c r="W58925" s="503"/>
    </row>
    <row r="58926" spans="23:23">
      <c r="W58926" s="503"/>
    </row>
    <row r="58927" spans="23:23">
      <c r="W58927" s="503"/>
    </row>
    <row r="58928" spans="23:23">
      <c r="W58928" s="503"/>
    </row>
    <row r="58929" spans="23:23">
      <c r="W58929" s="503"/>
    </row>
    <row r="58930" spans="23:23">
      <c r="W58930" s="503"/>
    </row>
    <row r="58931" spans="23:23">
      <c r="W58931" s="503"/>
    </row>
    <row r="58932" spans="23:23">
      <c r="W58932" s="503"/>
    </row>
    <row r="58933" spans="23:23">
      <c r="W58933" s="503"/>
    </row>
    <row r="58934" spans="23:23">
      <c r="W58934" s="503"/>
    </row>
    <row r="58935" spans="23:23">
      <c r="W58935" s="503"/>
    </row>
    <row r="58936" spans="23:23">
      <c r="W58936" s="503"/>
    </row>
    <row r="58937" spans="23:23">
      <c r="W58937" s="503"/>
    </row>
    <row r="58938" spans="23:23">
      <c r="W58938" s="503"/>
    </row>
    <row r="58939" spans="23:23">
      <c r="W58939" s="503"/>
    </row>
    <row r="58940" spans="23:23">
      <c r="W58940" s="503"/>
    </row>
    <row r="58941" spans="23:23">
      <c r="W58941" s="503"/>
    </row>
    <row r="58942" spans="23:23">
      <c r="W58942" s="503"/>
    </row>
    <row r="58943" spans="23:23">
      <c r="W58943" s="503"/>
    </row>
    <row r="58944" spans="23:23">
      <c r="W58944" s="503"/>
    </row>
    <row r="58945" spans="23:23">
      <c r="W58945" s="503"/>
    </row>
    <row r="58946" spans="23:23">
      <c r="W58946" s="503"/>
    </row>
    <row r="58947" spans="23:23">
      <c r="W58947" s="503"/>
    </row>
    <row r="58948" spans="23:23">
      <c r="W58948" s="503"/>
    </row>
    <row r="58949" spans="23:23">
      <c r="W58949" s="503"/>
    </row>
    <row r="58950" spans="23:23">
      <c r="W58950" s="503"/>
    </row>
    <row r="58951" spans="23:23">
      <c r="W58951" s="503"/>
    </row>
    <row r="58952" spans="23:23">
      <c r="W58952" s="503"/>
    </row>
    <row r="58953" spans="23:23">
      <c r="W58953" s="503"/>
    </row>
    <row r="58954" spans="23:23">
      <c r="W58954" s="503"/>
    </row>
    <row r="58955" spans="23:23">
      <c r="W58955" s="503"/>
    </row>
    <row r="58956" spans="23:23">
      <c r="W58956" s="503"/>
    </row>
    <row r="58957" spans="23:23">
      <c r="W58957" s="503"/>
    </row>
    <row r="58958" spans="23:23">
      <c r="W58958" s="503"/>
    </row>
    <row r="58959" spans="23:23">
      <c r="W58959" s="503"/>
    </row>
    <row r="58960" spans="23:23">
      <c r="W58960" s="503"/>
    </row>
    <row r="58961" spans="23:23">
      <c r="W58961" s="503"/>
    </row>
    <row r="58962" spans="23:23">
      <c r="W58962" s="503"/>
    </row>
    <row r="58963" spans="23:23">
      <c r="W58963" s="503"/>
    </row>
    <row r="58964" spans="23:23">
      <c r="W58964" s="503"/>
    </row>
    <row r="58965" spans="23:23">
      <c r="W58965" s="503"/>
    </row>
    <row r="58966" spans="23:23">
      <c r="W58966" s="503"/>
    </row>
    <row r="58967" spans="23:23">
      <c r="W58967" s="503"/>
    </row>
    <row r="58968" spans="23:23">
      <c r="W58968" s="503"/>
    </row>
    <row r="58969" spans="23:23">
      <c r="W58969" s="503"/>
    </row>
    <row r="58970" spans="23:23">
      <c r="W58970" s="503"/>
    </row>
    <row r="58971" spans="23:23">
      <c r="W58971" s="503"/>
    </row>
    <row r="58972" spans="23:23">
      <c r="W58972" s="503"/>
    </row>
    <row r="58973" spans="23:23">
      <c r="W58973" s="503"/>
    </row>
    <row r="58974" spans="23:23">
      <c r="W58974" s="503"/>
    </row>
    <row r="58975" spans="23:23">
      <c r="W58975" s="503"/>
    </row>
    <row r="58976" spans="23:23">
      <c r="W58976" s="503"/>
    </row>
    <row r="58977" spans="23:23">
      <c r="W58977" s="503"/>
    </row>
    <row r="58978" spans="23:23">
      <c r="W58978" s="503"/>
    </row>
    <row r="58979" spans="23:23">
      <c r="W58979" s="503"/>
    </row>
    <row r="58980" spans="23:23">
      <c r="W58980" s="503"/>
    </row>
    <row r="58981" spans="23:23">
      <c r="W58981" s="503"/>
    </row>
    <row r="58982" spans="23:23">
      <c r="W58982" s="503"/>
    </row>
    <row r="58983" spans="23:23">
      <c r="W58983" s="503"/>
    </row>
    <row r="58984" spans="23:23">
      <c r="W58984" s="503"/>
    </row>
    <row r="58985" spans="23:23">
      <c r="W58985" s="503"/>
    </row>
    <row r="58986" spans="23:23">
      <c r="W58986" s="503"/>
    </row>
    <row r="58987" spans="23:23">
      <c r="W58987" s="503"/>
    </row>
    <row r="58988" spans="23:23">
      <c r="W58988" s="503"/>
    </row>
    <row r="58989" spans="23:23">
      <c r="W58989" s="503"/>
    </row>
    <row r="58990" spans="23:23">
      <c r="W58990" s="503"/>
    </row>
    <row r="58991" spans="23:23">
      <c r="W58991" s="503"/>
    </row>
    <row r="58992" spans="23:23">
      <c r="W58992" s="503"/>
    </row>
    <row r="58993" spans="23:23">
      <c r="W58993" s="503"/>
    </row>
    <row r="58994" spans="23:23">
      <c r="W58994" s="503"/>
    </row>
    <row r="58995" spans="23:23">
      <c r="W58995" s="503"/>
    </row>
    <row r="58996" spans="23:23">
      <c r="W58996" s="503"/>
    </row>
    <row r="58997" spans="23:23">
      <c r="W58997" s="503"/>
    </row>
    <row r="58998" spans="23:23">
      <c r="W58998" s="503"/>
    </row>
    <row r="58999" spans="23:23">
      <c r="W58999" s="503"/>
    </row>
    <row r="59000" spans="23:23">
      <c r="W59000" s="503"/>
    </row>
    <row r="59001" spans="23:23">
      <c r="W59001" s="503"/>
    </row>
    <row r="59002" spans="23:23">
      <c r="W59002" s="503"/>
    </row>
    <row r="59003" spans="23:23">
      <c r="W59003" s="503"/>
    </row>
    <row r="59004" spans="23:23">
      <c r="W59004" s="503"/>
    </row>
    <row r="59005" spans="23:23">
      <c r="W59005" s="503"/>
    </row>
    <row r="59006" spans="23:23">
      <c r="W59006" s="503"/>
    </row>
    <row r="59007" spans="23:23">
      <c r="W59007" s="503"/>
    </row>
    <row r="59008" spans="23:23">
      <c r="W59008" s="503"/>
    </row>
    <row r="59009" spans="23:23">
      <c r="W59009" s="503"/>
    </row>
    <row r="59010" spans="23:23">
      <c r="W59010" s="503"/>
    </row>
    <row r="59011" spans="23:23">
      <c r="W59011" s="503"/>
    </row>
    <row r="59012" spans="23:23">
      <c r="W59012" s="503"/>
    </row>
    <row r="59013" spans="23:23">
      <c r="W59013" s="503"/>
    </row>
    <row r="59014" spans="23:23">
      <c r="W59014" s="503"/>
    </row>
    <row r="59015" spans="23:23">
      <c r="W59015" s="503"/>
    </row>
    <row r="59016" spans="23:23">
      <c r="W59016" s="503"/>
    </row>
    <row r="59017" spans="23:23">
      <c r="W59017" s="503"/>
    </row>
    <row r="59018" spans="23:23">
      <c r="W59018" s="503"/>
    </row>
    <row r="59019" spans="23:23">
      <c r="W59019" s="503"/>
    </row>
    <row r="59020" spans="23:23">
      <c r="W59020" s="503"/>
    </row>
    <row r="59021" spans="23:23">
      <c r="W59021" s="503"/>
    </row>
    <row r="59022" spans="23:23">
      <c r="W59022" s="503"/>
    </row>
    <row r="59023" spans="23:23">
      <c r="W59023" s="503"/>
    </row>
    <row r="59024" spans="23:23">
      <c r="W59024" s="503"/>
    </row>
    <row r="59025" spans="23:23">
      <c r="W59025" s="503"/>
    </row>
    <row r="59026" spans="23:23">
      <c r="W59026" s="503"/>
    </row>
    <row r="59027" spans="23:23">
      <c r="W59027" s="503"/>
    </row>
    <row r="59028" spans="23:23">
      <c r="W59028" s="503"/>
    </row>
    <row r="59029" spans="23:23">
      <c r="W59029" s="503"/>
    </row>
    <row r="59030" spans="23:23">
      <c r="W59030" s="503"/>
    </row>
    <row r="59031" spans="23:23">
      <c r="W59031" s="503"/>
    </row>
    <row r="59032" spans="23:23">
      <c r="W59032" s="503"/>
    </row>
    <row r="59033" spans="23:23">
      <c r="W59033" s="503"/>
    </row>
    <row r="59034" spans="23:23">
      <c r="W59034" s="503"/>
    </row>
    <row r="59035" spans="23:23">
      <c r="W59035" s="503"/>
    </row>
    <row r="59036" spans="23:23">
      <c r="W59036" s="503"/>
    </row>
    <row r="59037" spans="23:23">
      <c r="W59037" s="503"/>
    </row>
    <row r="59038" spans="23:23">
      <c r="W59038" s="503"/>
    </row>
    <row r="59039" spans="23:23">
      <c r="W59039" s="503"/>
    </row>
    <row r="59040" spans="23:23">
      <c r="W59040" s="503"/>
    </row>
    <row r="59041" spans="23:23">
      <c r="W59041" s="503"/>
    </row>
    <row r="59042" spans="23:23">
      <c r="W59042" s="503"/>
    </row>
    <row r="59043" spans="23:23">
      <c r="W59043" s="503"/>
    </row>
    <row r="59044" spans="23:23">
      <c r="W59044" s="503"/>
    </row>
    <row r="59045" spans="23:23">
      <c r="W59045" s="503"/>
    </row>
    <row r="59046" spans="23:23">
      <c r="W59046" s="503"/>
    </row>
    <row r="59047" spans="23:23">
      <c r="W59047" s="503"/>
    </row>
    <row r="59048" spans="23:23">
      <c r="W59048" s="503"/>
    </row>
    <row r="59049" spans="23:23">
      <c r="W59049" s="503"/>
    </row>
    <row r="59050" spans="23:23">
      <c r="W59050" s="503"/>
    </row>
    <row r="59051" spans="23:23">
      <c r="W59051" s="503"/>
    </row>
    <row r="59052" spans="23:23">
      <c r="W59052" s="503"/>
    </row>
    <row r="59053" spans="23:23">
      <c r="W59053" s="503"/>
    </row>
    <row r="59054" spans="23:23">
      <c r="W59054" s="503"/>
    </row>
    <row r="59055" spans="23:23">
      <c r="W59055" s="503"/>
    </row>
    <row r="59056" spans="23:23">
      <c r="W59056" s="503"/>
    </row>
    <row r="59057" spans="23:23">
      <c r="W59057" s="503"/>
    </row>
    <row r="59058" spans="23:23">
      <c r="W59058" s="503"/>
    </row>
    <row r="59059" spans="23:23">
      <c r="W59059" s="503"/>
    </row>
    <row r="59060" spans="23:23">
      <c r="W59060" s="503"/>
    </row>
    <row r="59061" spans="23:23">
      <c r="W59061" s="503"/>
    </row>
    <row r="59062" spans="23:23">
      <c r="W59062" s="503"/>
    </row>
    <row r="59063" spans="23:23">
      <c r="W59063" s="503"/>
    </row>
    <row r="59064" spans="23:23">
      <c r="W59064" s="503"/>
    </row>
    <row r="59065" spans="23:23">
      <c r="W59065" s="503"/>
    </row>
    <row r="59066" spans="23:23">
      <c r="W59066" s="503"/>
    </row>
    <row r="59067" spans="23:23">
      <c r="W59067" s="503"/>
    </row>
    <row r="59068" spans="23:23">
      <c r="W59068" s="503"/>
    </row>
    <row r="59069" spans="23:23">
      <c r="W59069" s="503"/>
    </row>
    <row r="59070" spans="23:23">
      <c r="W59070" s="503"/>
    </row>
    <row r="59071" spans="23:23">
      <c r="W59071" s="503"/>
    </row>
    <row r="59072" spans="23:23">
      <c r="W59072" s="503"/>
    </row>
    <row r="59073" spans="23:23">
      <c r="W59073" s="503"/>
    </row>
    <row r="59074" spans="23:23">
      <c r="W59074" s="503"/>
    </row>
    <row r="59075" spans="23:23">
      <c r="W59075" s="503"/>
    </row>
    <row r="59076" spans="23:23">
      <c r="W59076" s="503"/>
    </row>
    <row r="59077" spans="23:23">
      <c r="W59077" s="503"/>
    </row>
    <row r="59078" spans="23:23">
      <c r="W59078" s="503"/>
    </row>
    <row r="59079" spans="23:23">
      <c r="W59079" s="503"/>
    </row>
    <row r="59080" spans="23:23">
      <c r="W59080" s="503"/>
    </row>
    <row r="59081" spans="23:23">
      <c r="W59081" s="503"/>
    </row>
    <row r="59082" spans="23:23">
      <c r="W59082" s="503"/>
    </row>
    <row r="59083" spans="23:23">
      <c r="W59083" s="503"/>
    </row>
    <row r="59084" spans="23:23">
      <c r="W59084" s="503"/>
    </row>
    <row r="59085" spans="23:23">
      <c r="W59085" s="503"/>
    </row>
    <row r="59086" spans="23:23">
      <c r="W59086" s="503"/>
    </row>
    <row r="59087" spans="23:23">
      <c r="W59087" s="503"/>
    </row>
    <row r="59088" spans="23:23">
      <c r="W59088" s="503"/>
    </row>
    <row r="59089" spans="23:23">
      <c r="W59089" s="503"/>
    </row>
    <row r="59090" spans="23:23">
      <c r="W59090" s="503"/>
    </row>
    <row r="59091" spans="23:23">
      <c r="W59091" s="503"/>
    </row>
    <row r="59092" spans="23:23">
      <c r="W59092" s="503"/>
    </row>
    <row r="59093" spans="23:23">
      <c r="W59093" s="503"/>
    </row>
    <row r="59094" spans="23:23">
      <c r="W59094" s="503"/>
    </row>
    <row r="59095" spans="23:23">
      <c r="W59095" s="503"/>
    </row>
    <row r="59096" spans="23:23">
      <c r="W59096" s="503"/>
    </row>
    <row r="59097" spans="23:23">
      <c r="W59097" s="503"/>
    </row>
    <row r="59098" spans="23:23">
      <c r="W59098" s="503"/>
    </row>
    <row r="59099" spans="23:23">
      <c r="W59099" s="503"/>
    </row>
    <row r="59100" spans="23:23">
      <c r="W59100" s="503"/>
    </row>
    <row r="59101" spans="23:23">
      <c r="W59101" s="503"/>
    </row>
    <row r="59102" spans="23:23">
      <c r="W59102" s="503"/>
    </row>
    <row r="59103" spans="23:23">
      <c r="W59103" s="503"/>
    </row>
    <row r="59104" spans="23:23">
      <c r="W59104" s="503"/>
    </row>
    <row r="59105" spans="23:23">
      <c r="W59105" s="503"/>
    </row>
    <row r="59106" spans="23:23">
      <c r="W59106" s="503"/>
    </row>
    <row r="59107" spans="23:23">
      <c r="W59107" s="503"/>
    </row>
    <row r="59108" spans="23:23">
      <c r="W59108" s="503"/>
    </row>
    <row r="59109" spans="23:23">
      <c r="W59109" s="503"/>
    </row>
    <row r="59110" spans="23:23">
      <c r="W59110" s="503"/>
    </row>
    <row r="59111" spans="23:23">
      <c r="W59111" s="503"/>
    </row>
    <row r="59112" spans="23:23">
      <c r="W59112" s="503"/>
    </row>
    <row r="59113" spans="23:23">
      <c r="W59113" s="503"/>
    </row>
    <row r="59114" spans="23:23">
      <c r="W59114" s="503"/>
    </row>
    <row r="59115" spans="23:23">
      <c r="W59115" s="503"/>
    </row>
    <row r="59116" spans="23:23">
      <c r="W59116" s="503"/>
    </row>
    <row r="59117" spans="23:23">
      <c r="W59117" s="503"/>
    </row>
    <row r="59118" spans="23:23">
      <c r="W59118" s="503"/>
    </row>
    <row r="59119" spans="23:23">
      <c r="W59119" s="503"/>
    </row>
    <row r="59120" spans="23:23">
      <c r="W59120" s="503"/>
    </row>
    <row r="59121" spans="23:23">
      <c r="W59121" s="503"/>
    </row>
    <row r="59122" spans="23:23">
      <c r="W59122" s="503"/>
    </row>
    <row r="59123" spans="23:23">
      <c r="W59123" s="503"/>
    </row>
    <row r="59124" spans="23:23">
      <c r="W59124" s="503"/>
    </row>
    <row r="59125" spans="23:23">
      <c r="W59125" s="503"/>
    </row>
    <row r="59126" spans="23:23">
      <c r="W59126" s="503"/>
    </row>
    <row r="59127" spans="23:23">
      <c r="W59127" s="503"/>
    </row>
    <row r="59128" spans="23:23">
      <c r="W59128" s="503"/>
    </row>
    <row r="59129" spans="23:23">
      <c r="W59129" s="503"/>
    </row>
    <row r="59130" spans="23:23">
      <c r="W59130" s="503"/>
    </row>
    <row r="59131" spans="23:23">
      <c r="W59131" s="503"/>
    </row>
    <row r="59132" spans="23:23">
      <c r="W59132" s="503"/>
    </row>
    <row r="59133" spans="23:23">
      <c r="W59133" s="503"/>
    </row>
    <row r="59134" spans="23:23">
      <c r="W59134" s="503"/>
    </row>
    <row r="59135" spans="23:23">
      <c r="W59135" s="503"/>
    </row>
    <row r="59136" spans="23:23">
      <c r="W59136" s="503"/>
    </row>
    <row r="59137" spans="23:23">
      <c r="W59137" s="503"/>
    </row>
    <row r="59138" spans="23:23">
      <c r="W59138" s="503"/>
    </row>
    <row r="59139" spans="23:23">
      <c r="W59139" s="503"/>
    </row>
    <row r="59140" spans="23:23">
      <c r="W59140" s="503"/>
    </row>
    <row r="59141" spans="23:23">
      <c r="W59141" s="503"/>
    </row>
    <row r="59142" spans="23:23">
      <c r="W59142" s="503"/>
    </row>
    <row r="59143" spans="23:23">
      <c r="W59143" s="503"/>
    </row>
    <row r="59144" spans="23:23">
      <c r="W59144" s="503"/>
    </row>
    <row r="59145" spans="23:23">
      <c r="W59145" s="503"/>
    </row>
    <row r="59146" spans="23:23">
      <c r="W59146" s="503"/>
    </row>
    <row r="59147" spans="23:23">
      <c r="W59147" s="503"/>
    </row>
    <row r="59148" spans="23:23">
      <c r="W59148" s="503"/>
    </row>
    <row r="59149" spans="23:23">
      <c r="W59149" s="503"/>
    </row>
    <row r="59150" spans="23:23">
      <c r="W59150" s="503"/>
    </row>
    <row r="59151" spans="23:23">
      <c r="W59151" s="503"/>
    </row>
    <row r="59152" spans="23:23">
      <c r="W59152" s="503"/>
    </row>
    <row r="59153" spans="23:23">
      <c r="W59153" s="503"/>
    </row>
    <row r="59154" spans="23:23">
      <c r="W59154" s="503"/>
    </row>
    <row r="59155" spans="23:23">
      <c r="W59155" s="503"/>
    </row>
    <row r="59156" spans="23:23">
      <c r="W59156" s="503"/>
    </row>
    <row r="59157" spans="23:23">
      <c r="W59157" s="503"/>
    </row>
    <row r="59158" spans="23:23">
      <c r="W59158" s="503"/>
    </row>
    <row r="59159" spans="23:23">
      <c r="W59159" s="503"/>
    </row>
    <row r="59160" spans="23:23">
      <c r="W59160" s="503"/>
    </row>
    <row r="59161" spans="23:23">
      <c r="W59161" s="503"/>
    </row>
    <row r="59162" spans="23:23">
      <c r="W59162" s="503"/>
    </row>
    <row r="59163" spans="23:23">
      <c r="W59163" s="503"/>
    </row>
    <row r="59164" spans="23:23">
      <c r="W59164" s="503"/>
    </row>
    <row r="59165" spans="23:23">
      <c r="W59165" s="503"/>
    </row>
    <row r="59166" spans="23:23">
      <c r="W59166" s="503"/>
    </row>
    <row r="59167" spans="23:23">
      <c r="W59167" s="503"/>
    </row>
    <row r="59168" spans="23:23">
      <c r="W59168" s="503"/>
    </row>
    <row r="59169" spans="23:23">
      <c r="W59169" s="503"/>
    </row>
    <row r="59170" spans="23:23">
      <c r="W59170" s="503"/>
    </row>
    <row r="59171" spans="23:23">
      <c r="W59171" s="503"/>
    </row>
    <row r="59172" spans="23:23">
      <c r="W59172" s="503"/>
    </row>
    <row r="59173" spans="23:23">
      <c r="W59173" s="503"/>
    </row>
    <row r="59174" spans="23:23">
      <c r="W59174" s="503"/>
    </row>
    <row r="59175" spans="23:23">
      <c r="W59175" s="503"/>
    </row>
    <row r="59176" spans="23:23">
      <c r="W59176" s="503"/>
    </row>
    <row r="59177" spans="23:23">
      <c r="W59177" s="503"/>
    </row>
    <row r="59178" spans="23:23">
      <c r="W59178" s="503"/>
    </row>
    <row r="59179" spans="23:23">
      <c r="W59179" s="503"/>
    </row>
    <row r="59180" spans="23:23">
      <c r="W59180" s="503"/>
    </row>
    <row r="59181" spans="23:23">
      <c r="W59181" s="503"/>
    </row>
    <row r="59182" spans="23:23">
      <c r="W59182" s="503"/>
    </row>
    <row r="59183" spans="23:23">
      <c r="W59183" s="503"/>
    </row>
    <row r="59184" spans="23:23">
      <c r="W59184" s="503"/>
    </row>
    <row r="59185" spans="23:23">
      <c r="W59185" s="503"/>
    </row>
    <row r="59186" spans="23:23">
      <c r="W59186" s="503"/>
    </row>
    <row r="59187" spans="23:23">
      <c r="W59187" s="503"/>
    </row>
    <row r="59188" spans="23:23">
      <c r="W59188" s="503"/>
    </row>
    <row r="59189" spans="23:23">
      <c r="W59189" s="503"/>
    </row>
    <row r="59190" spans="23:23">
      <c r="W59190" s="503"/>
    </row>
    <row r="59191" spans="23:23">
      <c r="W59191" s="503"/>
    </row>
    <row r="59192" spans="23:23">
      <c r="W59192" s="503"/>
    </row>
    <row r="59193" spans="23:23">
      <c r="W59193" s="503"/>
    </row>
    <row r="59194" spans="23:23">
      <c r="W59194" s="503"/>
    </row>
    <row r="59195" spans="23:23">
      <c r="W59195" s="503"/>
    </row>
    <row r="59196" spans="23:23">
      <c r="W59196" s="503"/>
    </row>
    <row r="59197" spans="23:23">
      <c r="W59197" s="503"/>
    </row>
    <row r="59198" spans="23:23">
      <c r="W59198" s="503"/>
    </row>
    <row r="59199" spans="23:23">
      <c r="W59199" s="503"/>
    </row>
    <row r="59200" spans="23:23">
      <c r="W59200" s="503"/>
    </row>
    <row r="59201" spans="23:23">
      <c r="W59201" s="503"/>
    </row>
    <row r="59202" spans="23:23">
      <c r="W59202" s="503"/>
    </row>
    <row r="59203" spans="23:23">
      <c r="W59203" s="503"/>
    </row>
    <row r="59204" spans="23:23">
      <c r="W59204" s="503"/>
    </row>
    <row r="59205" spans="23:23">
      <c r="W59205" s="503"/>
    </row>
    <row r="59206" spans="23:23">
      <c r="W59206" s="503"/>
    </row>
    <row r="59207" spans="23:23">
      <c r="W59207" s="503"/>
    </row>
    <row r="59208" spans="23:23">
      <c r="W59208" s="503"/>
    </row>
    <row r="59209" spans="23:23">
      <c r="W59209" s="503"/>
    </row>
    <row r="59210" spans="23:23">
      <c r="W59210" s="503"/>
    </row>
    <row r="59211" spans="23:23">
      <c r="W59211" s="503"/>
    </row>
    <row r="59212" spans="23:23">
      <c r="W59212" s="503"/>
    </row>
    <row r="59213" spans="23:23">
      <c r="W59213" s="503"/>
    </row>
    <row r="59214" spans="23:23">
      <c r="W59214" s="503"/>
    </row>
    <row r="59215" spans="23:23">
      <c r="W59215" s="503"/>
    </row>
    <row r="59216" spans="23:23">
      <c r="W59216" s="503"/>
    </row>
    <row r="59217" spans="23:23">
      <c r="W59217" s="503"/>
    </row>
    <row r="59218" spans="23:23">
      <c r="W59218" s="503"/>
    </row>
    <row r="59219" spans="23:23">
      <c r="W59219" s="503"/>
    </row>
    <row r="59220" spans="23:23">
      <c r="W59220" s="503"/>
    </row>
    <row r="59221" spans="23:23">
      <c r="W59221" s="503"/>
    </row>
    <row r="59222" spans="23:23">
      <c r="W59222" s="503"/>
    </row>
    <row r="59223" spans="23:23">
      <c r="W59223" s="503"/>
    </row>
    <row r="59224" spans="23:23">
      <c r="W59224" s="503"/>
    </row>
    <row r="59225" spans="23:23">
      <c r="W59225" s="503"/>
    </row>
    <row r="59226" spans="23:23">
      <c r="W59226" s="503"/>
    </row>
    <row r="59227" spans="23:23">
      <c r="W59227" s="503"/>
    </row>
    <row r="59228" spans="23:23">
      <c r="W59228" s="503"/>
    </row>
    <row r="59229" spans="23:23">
      <c r="W59229" s="503"/>
    </row>
    <row r="59230" spans="23:23">
      <c r="W59230" s="503"/>
    </row>
    <row r="59231" spans="23:23">
      <c r="W59231" s="503"/>
    </row>
    <row r="59232" spans="23:23">
      <c r="W59232" s="503"/>
    </row>
    <row r="59233" spans="23:23">
      <c r="W59233" s="503"/>
    </row>
    <row r="59234" spans="23:23">
      <c r="W59234" s="503"/>
    </row>
    <row r="59235" spans="23:23">
      <c r="W59235" s="503"/>
    </row>
    <row r="59236" spans="23:23">
      <c r="W59236" s="503"/>
    </row>
    <row r="59237" spans="23:23">
      <c r="W59237" s="503"/>
    </row>
    <row r="59238" spans="23:23">
      <c r="W59238" s="503"/>
    </row>
    <row r="59239" spans="23:23">
      <c r="W59239" s="503"/>
    </row>
    <row r="59240" spans="23:23">
      <c r="W59240" s="503"/>
    </row>
    <row r="59241" spans="23:23">
      <c r="W59241" s="503"/>
    </row>
    <row r="59242" spans="23:23">
      <c r="W59242" s="503"/>
    </row>
    <row r="59243" spans="23:23">
      <c r="W59243" s="503"/>
    </row>
    <row r="59244" spans="23:23">
      <c r="W59244" s="503"/>
    </row>
    <row r="59245" spans="23:23">
      <c r="W59245" s="503"/>
    </row>
    <row r="59246" spans="23:23">
      <c r="W59246" s="503"/>
    </row>
    <row r="59247" spans="23:23">
      <c r="W59247" s="503"/>
    </row>
    <row r="59248" spans="23:23">
      <c r="W59248" s="503"/>
    </row>
    <row r="59249" spans="23:23">
      <c r="W59249" s="503"/>
    </row>
    <row r="59250" spans="23:23">
      <c r="W59250" s="503"/>
    </row>
    <row r="59251" spans="23:23">
      <c r="W59251" s="503"/>
    </row>
    <row r="59252" spans="23:23">
      <c r="W59252" s="503"/>
    </row>
    <row r="59253" spans="23:23">
      <c r="W59253" s="503"/>
    </row>
    <row r="59254" spans="23:23">
      <c r="W59254" s="503"/>
    </row>
    <row r="59255" spans="23:23">
      <c r="W59255" s="503"/>
    </row>
    <row r="59256" spans="23:23">
      <c r="W59256" s="503"/>
    </row>
    <row r="59257" spans="23:23">
      <c r="W59257" s="503"/>
    </row>
    <row r="59258" spans="23:23">
      <c r="W59258" s="503"/>
    </row>
    <row r="59259" spans="23:23">
      <c r="W59259" s="503"/>
    </row>
    <row r="59260" spans="23:23">
      <c r="W59260" s="503"/>
    </row>
    <row r="59261" spans="23:23">
      <c r="W59261" s="503"/>
    </row>
    <row r="59262" spans="23:23">
      <c r="W59262" s="503"/>
    </row>
    <row r="59263" spans="23:23">
      <c r="W59263" s="503"/>
    </row>
    <row r="59264" spans="23:23">
      <c r="W59264" s="503"/>
    </row>
    <row r="59265" spans="23:23">
      <c r="W59265" s="503"/>
    </row>
    <row r="59266" spans="23:23">
      <c r="W59266" s="503"/>
    </row>
    <row r="59267" spans="23:23">
      <c r="W59267" s="503"/>
    </row>
    <row r="59268" spans="23:23">
      <c r="W59268" s="503"/>
    </row>
    <row r="59269" spans="23:23">
      <c r="W59269" s="503"/>
    </row>
    <row r="59270" spans="23:23">
      <c r="W59270" s="503"/>
    </row>
    <row r="59271" spans="23:23">
      <c r="W59271" s="503"/>
    </row>
    <row r="59272" spans="23:23">
      <c r="W59272" s="503"/>
    </row>
    <row r="59273" spans="23:23">
      <c r="W59273" s="503"/>
    </row>
    <row r="59274" spans="23:23">
      <c r="W59274" s="503"/>
    </row>
    <row r="59275" spans="23:23">
      <c r="W59275" s="503"/>
    </row>
    <row r="59276" spans="23:23">
      <c r="W59276" s="503"/>
    </row>
    <row r="59277" spans="23:23">
      <c r="W59277" s="503"/>
    </row>
    <row r="59278" spans="23:23">
      <c r="W59278" s="503"/>
    </row>
    <row r="59279" spans="23:23">
      <c r="W59279" s="503"/>
    </row>
    <row r="59280" spans="23:23">
      <c r="W59280" s="503"/>
    </row>
    <row r="59281" spans="23:23">
      <c r="W59281" s="503"/>
    </row>
    <row r="59282" spans="23:23">
      <c r="W59282" s="503"/>
    </row>
    <row r="59283" spans="23:23">
      <c r="W59283" s="503"/>
    </row>
    <row r="59284" spans="23:23">
      <c r="W59284" s="503"/>
    </row>
    <row r="59285" spans="23:23">
      <c r="W59285" s="503"/>
    </row>
    <row r="59286" spans="23:23">
      <c r="W59286" s="503"/>
    </row>
    <row r="59287" spans="23:23">
      <c r="W59287" s="503"/>
    </row>
    <row r="59288" spans="23:23">
      <c r="W59288" s="503"/>
    </row>
    <row r="59289" spans="23:23">
      <c r="W59289" s="503"/>
    </row>
    <row r="59290" spans="23:23">
      <c r="W59290" s="503"/>
    </row>
    <row r="59291" spans="23:23">
      <c r="W59291" s="503"/>
    </row>
    <row r="59292" spans="23:23">
      <c r="W59292" s="503"/>
    </row>
    <row r="59293" spans="23:23">
      <c r="W59293" s="503"/>
    </row>
    <row r="59294" spans="23:23">
      <c r="W59294" s="503"/>
    </row>
    <row r="59295" spans="23:23">
      <c r="W59295" s="503"/>
    </row>
    <row r="59296" spans="23:23">
      <c r="W59296" s="503"/>
    </row>
    <row r="59297" spans="23:23">
      <c r="W59297" s="503"/>
    </row>
    <row r="59298" spans="23:23">
      <c r="W59298" s="503"/>
    </row>
    <row r="59299" spans="23:23">
      <c r="W59299" s="503"/>
    </row>
    <row r="59300" spans="23:23">
      <c r="W59300" s="503"/>
    </row>
    <row r="59301" spans="23:23">
      <c r="W59301" s="503"/>
    </row>
    <row r="59302" spans="23:23">
      <c r="W59302" s="503"/>
    </row>
    <row r="59303" spans="23:23">
      <c r="W59303" s="503"/>
    </row>
    <row r="59304" spans="23:23">
      <c r="W59304" s="503"/>
    </row>
    <row r="59305" spans="23:23">
      <c r="W59305" s="503"/>
    </row>
    <row r="59306" spans="23:23">
      <c r="W59306" s="503"/>
    </row>
    <row r="59307" spans="23:23">
      <c r="W59307" s="503"/>
    </row>
    <row r="59308" spans="23:23">
      <c r="W59308" s="503"/>
    </row>
    <row r="59309" spans="23:23">
      <c r="W59309" s="503"/>
    </row>
    <row r="59310" spans="23:23">
      <c r="W59310" s="503"/>
    </row>
    <row r="59311" spans="23:23">
      <c r="W59311" s="503"/>
    </row>
    <row r="59312" spans="23:23">
      <c r="W59312" s="503"/>
    </row>
    <row r="59313" spans="23:23">
      <c r="W59313" s="503"/>
    </row>
    <row r="59314" spans="23:23">
      <c r="W59314" s="503"/>
    </row>
    <row r="59315" spans="23:23">
      <c r="W59315" s="503"/>
    </row>
    <row r="59316" spans="23:23">
      <c r="W59316" s="503"/>
    </row>
    <row r="59317" spans="23:23">
      <c r="W59317" s="503"/>
    </row>
    <row r="59318" spans="23:23">
      <c r="W59318" s="503"/>
    </row>
    <row r="59319" spans="23:23">
      <c r="W59319" s="503"/>
    </row>
    <row r="59320" spans="23:23">
      <c r="W59320" s="503"/>
    </row>
    <row r="59321" spans="23:23">
      <c r="W59321" s="503"/>
    </row>
    <row r="59322" spans="23:23">
      <c r="W59322" s="503"/>
    </row>
    <row r="59323" spans="23:23">
      <c r="W59323" s="503"/>
    </row>
    <row r="59324" spans="23:23">
      <c r="W59324" s="503"/>
    </row>
    <row r="59325" spans="23:23">
      <c r="W59325" s="503"/>
    </row>
    <row r="59326" spans="23:23">
      <c r="W59326" s="503"/>
    </row>
    <row r="59327" spans="23:23">
      <c r="W59327" s="503"/>
    </row>
    <row r="59328" spans="23:23">
      <c r="W59328" s="503"/>
    </row>
    <row r="59329" spans="23:23">
      <c r="W59329" s="503"/>
    </row>
    <row r="59330" spans="23:23">
      <c r="W59330" s="503"/>
    </row>
    <row r="59331" spans="23:23">
      <c r="W59331" s="503"/>
    </row>
    <row r="59332" spans="23:23">
      <c r="W59332" s="503"/>
    </row>
    <row r="59333" spans="23:23">
      <c r="W59333" s="503"/>
    </row>
    <row r="59334" spans="23:23">
      <c r="W59334" s="503"/>
    </row>
    <row r="59335" spans="23:23">
      <c r="W59335" s="503"/>
    </row>
    <row r="59336" spans="23:23">
      <c r="W59336" s="503"/>
    </row>
    <row r="59337" spans="23:23">
      <c r="W59337" s="503"/>
    </row>
    <row r="59338" spans="23:23">
      <c r="W59338" s="503"/>
    </row>
    <row r="59339" spans="23:23">
      <c r="W59339" s="503"/>
    </row>
    <row r="59340" spans="23:23">
      <c r="W59340" s="503"/>
    </row>
    <row r="59341" spans="23:23">
      <c r="W59341" s="503"/>
    </row>
    <row r="59342" spans="23:23">
      <c r="W59342" s="503"/>
    </row>
    <row r="59343" spans="23:23">
      <c r="W59343" s="503"/>
    </row>
    <row r="59344" spans="23:23">
      <c r="W59344" s="503"/>
    </row>
    <row r="59345" spans="23:23">
      <c r="W59345" s="503"/>
    </row>
    <row r="59346" spans="23:23">
      <c r="W59346" s="503"/>
    </row>
    <row r="59347" spans="23:23">
      <c r="W59347" s="503"/>
    </row>
    <row r="59348" spans="23:23">
      <c r="W59348" s="503"/>
    </row>
    <row r="59349" spans="23:23">
      <c r="W59349" s="503"/>
    </row>
    <row r="59350" spans="23:23">
      <c r="W59350" s="503"/>
    </row>
    <row r="59351" spans="23:23">
      <c r="W59351" s="503"/>
    </row>
    <row r="59352" spans="23:23">
      <c r="W59352" s="503"/>
    </row>
    <row r="59353" spans="23:23">
      <c r="W59353" s="503"/>
    </row>
    <row r="59354" spans="23:23">
      <c r="W59354" s="503"/>
    </row>
    <row r="59355" spans="23:23">
      <c r="W59355" s="503"/>
    </row>
    <row r="59356" spans="23:23">
      <c r="W59356" s="503"/>
    </row>
    <row r="59357" spans="23:23">
      <c r="W59357" s="503"/>
    </row>
    <row r="59358" spans="23:23">
      <c r="W59358" s="503"/>
    </row>
    <row r="59359" spans="23:23">
      <c r="W59359" s="503"/>
    </row>
    <row r="59360" spans="23:23">
      <c r="W59360" s="503"/>
    </row>
    <row r="59361" spans="23:23">
      <c r="W59361" s="503"/>
    </row>
    <row r="59362" spans="23:23">
      <c r="W59362" s="503"/>
    </row>
    <row r="59363" spans="23:23">
      <c r="W59363" s="503"/>
    </row>
    <row r="59364" spans="23:23">
      <c r="W59364" s="503"/>
    </row>
    <row r="59365" spans="23:23">
      <c r="W59365" s="503"/>
    </row>
    <row r="59366" spans="23:23">
      <c r="W59366" s="503"/>
    </row>
    <row r="59367" spans="23:23">
      <c r="W59367" s="503"/>
    </row>
    <row r="59368" spans="23:23">
      <c r="W59368" s="503"/>
    </row>
    <row r="59369" spans="23:23">
      <c r="W59369" s="503"/>
    </row>
    <row r="59370" spans="23:23">
      <c r="W59370" s="503"/>
    </row>
    <row r="59371" spans="23:23">
      <c r="W59371" s="503"/>
    </row>
    <row r="59372" spans="23:23">
      <c r="W59372" s="503"/>
    </row>
    <row r="59373" spans="23:23">
      <c r="W59373" s="503"/>
    </row>
    <row r="59374" spans="23:23">
      <c r="W59374" s="503"/>
    </row>
    <row r="59375" spans="23:23">
      <c r="W59375" s="503"/>
    </row>
    <row r="59376" spans="23:23">
      <c r="W59376" s="503"/>
    </row>
    <row r="59377" spans="23:23">
      <c r="W59377" s="503"/>
    </row>
    <row r="59378" spans="23:23">
      <c r="W59378" s="503"/>
    </row>
    <row r="59379" spans="23:23">
      <c r="W59379" s="503"/>
    </row>
    <row r="59380" spans="23:23">
      <c r="W59380" s="503"/>
    </row>
    <row r="59381" spans="23:23">
      <c r="W59381" s="503"/>
    </row>
    <row r="59382" spans="23:23">
      <c r="W59382" s="503"/>
    </row>
    <row r="59383" spans="23:23">
      <c r="W59383" s="503"/>
    </row>
    <row r="59384" spans="23:23">
      <c r="W59384" s="503"/>
    </row>
    <row r="59385" spans="23:23">
      <c r="W59385" s="503"/>
    </row>
    <row r="59386" spans="23:23">
      <c r="W59386" s="503"/>
    </row>
    <row r="59387" spans="23:23">
      <c r="W59387" s="503"/>
    </row>
    <row r="59388" spans="23:23">
      <c r="W59388" s="503"/>
    </row>
    <row r="59389" spans="23:23">
      <c r="W59389" s="503"/>
    </row>
    <row r="59390" spans="23:23">
      <c r="W59390" s="503"/>
    </row>
    <row r="59391" spans="23:23">
      <c r="W59391" s="503"/>
    </row>
    <row r="59392" spans="23:23">
      <c r="W59392" s="503"/>
    </row>
    <row r="59393" spans="23:23">
      <c r="W59393" s="503"/>
    </row>
    <row r="59394" spans="23:23">
      <c r="W59394" s="503"/>
    </row>
    <row r="59395" spans="23:23">
      <c r="W59395" s="503"/>
    </row>
    <row r="59396" spans="23:23">
      <c r="W59396" s="503"/>
    </row>
    <row r="59397" spans="23:23">
      <c r="W59397" s="503"/>
    </row>
    <row r="59398" spans="23:23">
      <c r="W59398" s="503"/>
    </row>
    <row r="59399" spans="23:23">
      <c r="W59399" s="503"/>
    </row>
    <row r="59400" spans="23:23">
      <c r="W59400" s="503"/>
    </row>
    <row r="59401" spans="23:23">
      <c r="W59401" s="503"/>
    </row>
    <row r="59402" spans="23:23">
      <c r="W59402" s="503"/>
    </row>
    <row r="59403" spans="23:23">
      <c r="W59403" s="503"/>
    </row>
    <row r="59404" spans="23:23">
      <c r="W59404" s="503"/>
    </row>
    <row r="59405" spans="23:23">
      <c r="W59405" s="503"/>
    </row>
    <row r="59406" spans="23:23">
      <c r="W59406" s="503"/>
    </row>
    <row r="59407" spans="23:23">
      <c r="W59407" s="503"/>
    </row>
    <row r="59408" spans="23:23">
      <c r="W59408" s="503"/>
    </row>
    <row r="59409" spans="23:23">
      <c r="W59409" s="503"/>
    </row>
    <row r="59410" spans="23:23">
      <c r="W59410" s="503"/>
    </row>
    <row r="59411" spans="23:23">
      <c r="W59411" s="503"/>
    </row>
    <row r="59412" spans="23:23">
      <c r="W59412" s="503"/>
    </row>
    <row r="59413" spans="23:23">
      <c r="W59413" s="503"/>
    </row>
    <row r="59414" spans="23:23">
      <c r="W59414" s="503"/>
    </row>
    <row r="59415" spans="23:23">
      <c r="W59415" s="503"/>
    </row>
    <row r="59416" spans="23:23">
      <c r="W59416" s="503"/>
    </row>
    <row r="59417" spans="23:23">
      <c r="W59417" s="503"/>
    </row>
    <row r="59418" spans="23:23">
      <c r="W59418" s="503"/>
    </row>
    <row r="59419" spans="23:23">
      <c r="W59419" s="503"/>
    </row>
    <row r="59420" spans="23:23">
      <c r="W59420" s="503"/>
    </row>
    <row r="59421" spans="23:23">
      <c r="W59421" s="503"/>
    </row>
    <row r="59422" spans="23:23">
      <c r="W59422" s="503"/>
    </row>
    <row r="59423" spans="23:23">
      <c r="W59423" s="503"/>
    </row>
    <row r="59424" spans="23:23">
      <c r="W59424" s="503"/>
    </row>
    <row r="59425" spans="23:23">
      <c r="W59425" s="503"/>
    </row>
    <row r="59426" spans="23:23">
      <c r="W59426" s="503"/>
    </row>
    <row r="59427" spans="23:23">
      <c r="W59427" s="503"/>
    </row>
    <row r="59428" spans="23:23">
      <c r="W59428" s="503"/>
    </row>
    <row r="59429" spans="23:23">
      <c r="W59429" s="503"/>
    </row>
    <row r="59430" spans="23:23">
      <c r="W59430" s="503"/>
    </row>
    <row r="59431" spans="23:23">
      <c r="W59431" s="503"/>
    </row>
    <row r="59432" spans="23:23">
      <c r="W59432" s="503"/>
    </row>
    <row r="59433" spans="23:23">
      <c r="W59433" s="503"/>
    </row>
    <row r="59434" spans="23:23">
      <c r="W59434" s="503"/>
    </row>
    <row r="59435" spans="23:23">
      <c r="W59435" s="503"/>
    </row>
    <row r="59436" spans="23:23">
      <c r="W59436" s="503"/>
    </row>
    <row r="59437" spans="23:23">
      <c r="W59437" s="503"/>
    </row>
    <row r="59438" spans="23:23">
      <c r="W59438" s="503"/>
    </row>
    <row r="59439" spans="23:23">
      <c r="W59439" s="503"/>
    </row>
    <row r="59440" spans="23:23">
      <c r="W59440" s="503"/>
    </row>
    <row r="59441" spans="23:23">
      <c r="W59441" s="503"/>
    </row>
    <row r="59442" spans="23:23">
      <c r="W59442" s="503"/>
    </row>
    <row r="59443" spans="23:23">
      <c r="W59443" s="503"/>
    </row>
    <row r="59444" spans="23:23">
      <c r="W59444" s="503"/>
    </row>
    <row r="59445" spans="23:23">
      <c r="W59445" s="503"/>
    </row>
    <row r="59446" spans="23:23">
      <c r="W59446" s="503"/>
    </row>
    <row r="59447" spans="23:23">
      <c r="W59447" s="503"/>
    </row>
    <row r="59448" spans="23:23">
      <c r="W59448" s="503"/>
    </row>
    <row r="59449" spans="23:23">
      <c r="W59449" s="503"/>
    </row>
    <row r="59450" spans="23:23">
      <c r="W59450" s="503"/>
    </row>
    <row r="59451" spans="23:23">
      <c r="W59451" s="503"/>
    </row>
    <row r="59452" spans="23:23">
      <c r="W59452" s="503"/>
    </row>
    <row r="59453" spans="23:23">
      <c r="W59453" s="503"/>
    </row>
    <row r="59454" spans="23:23">
      <c r="W59454" s="503"/>
    </row>
    <row r="59455" spans="23:23">
      <c r="W59455" s="503"/>
    </row>
    <row r="59456" spans="23:23">
      <c r="W59456" s="503"/>
    </row>
    <row r="59457" spans="23:23">
      <c r="W59457" s="503"/>
    </row>
    <row r="59458" spans="23:23">
      <c r="W59458" s="503"/>
    </row>
    <row r="59459" spans="23:23">
      <c r="W59459" s="503"/>
    </row>
    <row r="59460" spans="23:23">
      <c r="W59460" s="503"/>
    </row>
    <row r="59461" spans="23:23">
      <c r="W59461" s="503"/>
    </row>
    <row r="59462" spans="23:23">
      <c r="W59462" s="503"/>
    </row>
    <row r="59463" spans="23:23">
      <c r="W59463" s="503"/>
    </row>
    <row r="59464" spans="23:23">
      <c r="W59464" s="503"/>
    </row>
    <row r="59465" spans="23:23">
      <c r="W59465" s="503"/>
    </row>
    <row r="59466" spans="23:23">
      <c r="W59466" s="503"/>
    </row>
    <row r="59467" spans="23:23">
      <c r="W59467" s="503"/>
    </row>
    <row r="59468" spans="23:23">
      <c r="W59468" s="503"/>
    </row>
    <row r="59469" spans="23:23">
      <c r="W59469" s="503"/>
    </row>
    <row r="59470" spans="23:23">
      <c r="W59470" s="503"/>
    </row>
    <row r="59471" spans="23:23">
      <c r="W59471" s="503"/>
    </row>
    <row r="59472" spans="23:23">
      <c r="W59472" s="503"/>
    </row>
    <row r="59473" spans="23:23">
      <c r="W59473" s="503"/>
    </row>
    <row r="59474" spans="23:23">
      <c r="W59474" s="503"/>
    </row>
    <row r="59475" spans="23:23">
      <c r="W59475" s="503"/>
    </row>
    <row r="59476" spans="23:23">
      <c r="W59476" s="503"/>
    </row>
    <row r="59477" spans="23:23">
      <c r="W59477" s="503"/>
    </row>
    <row r="59478" spans="23:23">
      <c r="W59478" s="503"/>
    </row>
    <row r="59479" spans="23:23">
      <c r="W59479" s="503"/>
    </row>
    <row r="59480" spans="23:23">
      <c r="W59480" s="503"/>
    </row>
    <row r="59481" spans="23:23">
      <c r="W59481" s="503"/>
    </row>
    <row r="59482" spans="23:23">
      <c r="W59482" s="503"/>
    </row>
    <row r="59483" spans="23:23">
      <c r="W59483" s="503"/>
    </row>
    <row r="59484" spans="23:23">
      <c r="W59484" s="503"/>
    </row>
    <row r="59485" spans="23:23">
      <c r="W59485" s="503"/>
    </row>
    <row r="59486" spans="23:23">
      <c r="W59486" s="503"/>
    </row>
    <row r="59487" spans="23:23">
      <c r="W59487" s="503"/>
    </row>
    <row r="59488" spans="23:23">
      <c r="W59488" s="503"/>
    </row>
    <row r="59489" spans="23:23">
      <c r="W59489" s="503"/>
    </row>
    <row r="59490" spans="23:23">
      <c r="W59490" s="503"/>
    </row>
    <row r="59491" spans="23:23">
      <c r="W59491" s="503"/>
    </row>
    <row r="59492" spans="23:23">
      <c r="W59492" s="503"/>
    </row>
    <row r="59493" spans="23:23">
      <c r="W59493" s="503"/>
    </row>
    <row r="59494" spans="23:23">
      <c r="W59494" s="503"/>
    </row>
    <row r="59495" spans="23:23">
      <c r="W59495" s="503"/>
    </row>
    <row r="59496" spans="23:23">
      <c r="W59496" s="503"/>
    </row>
    <row r="59497" spans="23:23">
      <c r="W59497" s="503"/>
    </row>
    <row r="59498" spans="23:23">
      <c r="W59498" s="503"/>
    </row>
    <row r="59499" spans="23:23">
      <c r="W59499" s="503"/>
    </row>
    <row r="59500" spans="23:23">
      <c r="W59500" s="503"/>
    </row>
    <row r="59501" spans="23:23">
      <c r="W59501" s="503"/>
    </row>
    <row r="59502" spans="23:23">
      <c r="W59502" s="503"/>
    </row>
    <row r="59503" spans="23:23">
      <c r="W59503" s="503"/>
    </row>
    <row r="59504" spans="23:23">
      <c r="W59504" s="503"/>
    </row>
    <row r="59505" spans="23:23">
      <c r="W59505" s="503"/>
    </row>
    <row r="59506" spans="23:23">
      <c r="W59506" s="503"/>
    </row>
    <row r="59507" spans="23:23">
      <c r="W59507" s="503"/>
    </row>
    <row r="59508" spans="23:23">
      <c r="W59508" s="503"/>
    </row>
    <row r="59509" spans="23:23">
      <c r="W59509" s="503"/>
    </row>
    <row r="59510" spans="23:23">
      <c r="W59510" s="503"/>
    </row>
    <row r="59511" spans="23:23">
      <c r="W59511" s="503"/>
    </row>
    <row r="59512" spans="23:23">
      <c r="W59512" s="503"/>
    </row>
    <row r="59513" spans="23:23">
      <c r="W59513" s="503"/>
    </row>
    <row r="59514" spans="23:23">
      <c r="W59514" s="503"/>
    </row>
    <row r="59515" spans="23:23">
      <c r="W59515" s="503"/>
    </row>
    <row r="59516" spans="23:23">
      <c r="W59516" s="503"/>
    </row>
    <row r="59517" spans="23:23">
      <c r="W59517" s="503"/>
    </row>
    <row r="59518" spans="23:23">
      <c r="W59518" s="503"/>
    </row>
    <row r="59519" spans="23:23">
      <c r="W59519" s="503"/>
    </row>
    <row r="59520" spans="23:23">
      <c r="W59520" s="503"/>
    </row>
    <row r="59521" spans="23:23">
      <c r="W59521" s="503"/>
    </row>
    <row r="59522" spans="23:23">
      <c r="W59522" s="503"/>
    </row>
    <row r="59523" spans="23:23">
      <c r="W59523" s="503"/>
    </row>
    <row r="59524" spans="23:23">
      <c r="W59524" s="503"/>
    </row>
    <row r="59525" spans="23:23">
      <c r="W59525" s="503"/>
    </row>
    <row r="59526" spans="23:23">
      <c r="W59526" s="503"/>
    </row>
    <row r="59527" spans="23:23">
      <c r="W59527" s="503"/>
    </row>
    <row r="59528" spans="23:23">
      <c r="W59528" s="503"/>
    </row>
    <row r="59529" spans="23:23">
      <c r="W59529" s="503"/>
    </row>
    <row r="59530" spans="23:23">
      <c r="W59530" s="503"/>
    </row>
    <row r="59531" spans="23:23">
      <c r="W59531" s="503"/>
    </row>
    <row r="59532" spans="23:23">
      <c r="W59532" s="503"/>
    </row>
    <row r="59533" spans="23:23">
      <c r="W59533" s="503"/>
    </row>
    <row r="59534" spans="23:23">
      <c r="W59534" s="503"/>
    </row>
    <row r="59535" spans="23:23">
      <c r="W59535" s="503"/>
    </row>
    <row r="59536" spans="23:23">
      <c r="W59536" s="503"/>
    </row>
    <row r="59537" spans="23:23">
      <c r="W59537" s="503"/>
    </row>
    <row r="59538" spans="23:23">
      <c r="W59538" s="503"/>
    </row>
    <row r="59539" spans="23:23">
      <c r="W59539" s="503"/>
    </row>
    <row r="59540" spans="23:23">
      <c r="W59540" s="503"/>
    </row>
    <row r="59541" spans="23:23">
      <c r="W59541" s="503"/>
    </row>
    <row r="59542" spans="23:23">
      <c r="W59542" s="503"/>
    </row>
    <row r="59543" spans="23:23">
      <c r="W59543" s="503"/>
    </row>
    <row r="59544" spans="23:23">
      <c r="W59544" s="503"/>
    </row>
    <row r="59545" spans="23:23">
      <c r="W59545" s="503"/>
    </row>
    <row r="59546" spans="23:23">
      <c r="W59546" s="503"/>
    </row>
    <row r="59547" spans="23:23">
      <c r="W59547" s="503"/>
    </row>
    <row r="59548" spans="23:23">
      <c r="W59548" s="503"/>
    </row>
    <row r="59549" spans="23:23">
      <c r="W59549" s="503"/>
    </row>
    <row r="59550" spans="23:23">
      <c r="W59550" s="503"/>
    </row>
    <row r="59551" spans="23:23">
      <c r="W59551" s="503"/>
    </row>
    <row r="59552" spans="23:23">
      <c r="W59552" s="503"/>
    </row>
    <row r="59553" spans="23:23">
      <c r="W59553" s="503"/>
    </row>
    <row r="59554" spans="23:23">
      <c r="W59554" s="503"/>
    </row>
    <row r="59555" spans="23:23">
      <c r="W59555" s="503"/>
    </row>
    <row r="59556" spans="23:23">
      <c r="W59556" s="503"/>
    </row>
    <row r="59557" spans="23:23">
      <c r="W59557" s="503"/>
    </row>
    <row r="59558" spans="23:23">
      <c r="W59558" s="503"/>
    </row>
    <row r="59559" spans="23:23">
      <c r="W59559" s="503"/>
    </row>
    <row r="59560" spans="23:23">
      <c r="W59560" s="503"/>
    </row>
    <row r="59561" spans="23:23">
      <c r="W59561" s="503"/>
    </row>
    <row r="59562" spans="23:23">
      <c r="W59562" s="503"/>
    </row>
    <row r="59563" spans="23:23">
      <c r="W59563" s="503"/>
    </row>
    <row r="59564" spans="23:23">
      <c r="W59564" s="503"/>
    </row>
    <row r="59565" spans="23:23">
      <c r="W59565" s="503"/>
    </row>
    <row r="59566" spans="23:23">
      <c r="W59566" s="503"/>
    </row>
    <row r="59567" spans="23:23">
      <c r="W59567" s="503"/>
    </row>
    <row r="59568" spans="23:23">
      <c r="W59568" s="503"/>
    </row>
    <row r="59569" spans="23:23">
      <c r="W59569" s="503"/>
    </row>
    <row r="59570" spans="23:23">
      <c r="W59570" s="503"/>
    </row>
    <row r="59571" spans="23:23">
      <c r="W59571" s="503"/>
    </row>
    <row r="59572" spans="23:23">
      <c r="W59572" s="503"/>
    </row>
    <row r="59573" spans="23:23">
      <c r="W59573" s="503"/>
    </row>
    <row r="59574" spans="23:23">
      <c r="W59574" s="503"/>
    </row>
    <row r="59575" spans="23:23">
      <c r="W59575" s="503"/>
    </row>
    <row r="59576" spans="23:23">
      <c r="W59576" s="503"/>
    </row>
    <row r="59577" spans="23:23">
      <c r="W59577" s="503"/>
    </row>
    <row r="59578" spans="23:23">
      <c r="W59578" s="503"/>
    </row>
    <row r="59579" spans="23:23">
      <c r="W59579" s="503"/>
    </row>
    <row r="59580" spans="23:23">
      <c r="W59580" s="503"/>
    </row>
    <row r="59581" spans="23:23">
      <c r="W59581" s="503"/>
    </row>
    <row r="59582" spans="23:23">
      <c r="W59582" s="503"/>
    </row>
    <row r="59583" spans="23:23">
      <c r="W59583" s="503"/>
    </row>
    <row r="59584" spans="23:23">
      <c r="W59584" s="503"/>
    </row>
    <row r="59585" spans="23:23">
      <c r="W59585" s="503"/>
    </row>
    <row r="59586" spans="23:23">
      <c r="W59586" s="503"/>
    </row>
    <row r="59587" spans="23:23">
      <c r="W59587" s="503"/>
    </row>
    <row r="59588" spans="23:23">
      <c r="W59588" s="503"/>
    </row>
    <row r="59589" spans="23:23">
      <c r="W59589" s="503"/>
    </row>
    <row r="59590" spans="23:23">
      <c r="W59590" s="503"/>
    </row>
    <row r="59591" spans="23:23">
      <c r="W59591" s="503"/>
    </row>
    <row r="59592" spans="23:23">
      <c r="W59592" s="503"/>
    </row>
    <row r="59593" spans="23:23">
      <c r="W59593" s="503"/>
    </row>
    <row r="59594" spans="23:23">
      <c r="W59594" s="503"/>
    </row>
    <row r="59595" spans="23:23">
      <c r="W59595" s="503"/>
    </row>
    <row r="59596" spans="23:23">
      <c r="W59596" s="503"/>
    </row>
    <row r="59597" spans="23:23">
      <c r="W59597" s="503"/>
    </row>
    <row r="59598" spans="23:23">
      <c r="W59598" s="503"/>
    </row>
    <row r="59599" spans="23:23">
      <c r="W59599" s="503"/>
    </row>
    <row r="59600" spans="23:23">
      <c r="W59600" s="503"/>
    </row>
    <row r="59601" spans="23:23">
      <c r="W59601" s="503"/>
    </row>
    <row r="59602" spans="23:23">
      <c r="W59602" s="503"/>
    </row>
    <row r="59603" spans="23:23">
      <c r="W59603" s="503"/>
    </row>
    <row r="59604" spans="23:23">
      <c r="W59604" s="503"/>
    </row>
    <row r="59605" spans="23:23">
      <c r="W59605" s="503"/>
    </row>
    <row r="59606" spans="23:23">
      <c r="W59606" s="503"/>
    </row>
    <row r="59607" spans="23:23">
      <c r="W59607" s="503"/>
    </row>
    <row r="59608" spans="23:23">
      <c r="W59608" s="503"/>
    </row>
    <row r="59609" spans="23:23">
      <c r="W59609" s="503"/>
    </row>
    <row r="59610" spans="23:23">
      <c r="W59610" s="503"/>
    </row>
    <row r="59611" spans="23:23">
      <c r="W59611" s="503"/>
    </row>
    <row r="59612" spans="23:23">
      <c r="W59612" s="503"/>
    </row>
    <row r="59613" spans="23:23">
      <c r="W59613" s="503"/>
    </row>
    <row r="59614" spans="23:23">
      <c r="W59614" s="503"/>
    </row>
    <row r="59615" spans="23:23">
      <c r="W59615" s="503"/>
    </row>
    <row r="59616" spans="23:23">
      <c r="W59616" s="503"/>
    </row>
    <row r="59617" spans="23:23">
      <c r="W59617" s="503"/>
    </row>
    <row r="59618" spans="23:23">
      <c r="W59618" s="503"/>
    </row>
    <row r="59619" spans="23:23">
      <c r="W59619" s="503"/>
    </row>
    <row r="59620" spans="23:23">
      <c r="W59620" s="503"/>
    </row>
    <row r="59621" spans="23:23">
      <c r="W59621" s="503"/>
    </row>
    <row r="59622" spans="23:23">
      <c r="W59622" s="503"/>
    </row>
    <row r="59623" spans="23:23">
      <c r="W59623" s="503"/>
    </row>
    <row r="59624" spans="23:23">
      <c r="W59624" s="503"/>
    </row>
    <row r="59625" spans="23:23">
      <c r="W59625" s="503"/>
    </row>
    <row r="59626" spans="23:23">
      <c r="W59626" s="503"/>
    </row>
    <row r="59627" spans="23:23">
      <c r="W59627" s="503"/>
    </row>
    <row r="59628" spans="23:23">
      <c r="W59628" s="503"/>
    </row>
    <row r="59629" spans="23:23">
      <c r="W59629" s="503"/>
    </row>
    <row r="59630" spans="23:23">
      <c r="W59630" s="503"/>
    </row>
    <row r="59631" spans="23:23">
      <c r="W59631" s="503"/>
    </row>
    <row r="59632" spans="23:23">
      <c r="W59632" s="503"/>
    </row>
    <row r="59633" spans="23:23">
      <c r="W59633" s="503"/>
    </row>
    <row r="59634" spans="23:23">
      <c r="W59634" s="503"/>
    </row>
    <row r="59635" spans="23:23">
      <c r="W59635" s="503"/>
    </row>
    <row r="59636" spans="23:23">
      <c r="W59636" s="503"/>
    </row>
    <row r="59637" spans="23:23">
      <c r="W59637" s="503"/>
    </row>
    <row r="59638" spans="23:23">
      <c r="W59638" s="503"/>
    </row>
    <row r="59639" spans="23:23">
      <c r="W59639" s="503"/>
    </row>
    <row r="59640" spans="23:23">
      <c r="W59640" s="503"/>
    </row>
    <row r="59641" spans="23:23">
      <c r="W59641" s="503"/>
    </row>
    <row r="59642" spans="23:23">
      <c r="W59642" s="503"/>
    </row>
    <row r="59643" spans="23:23">
      <c r="W59643" s="503"/>
    </row>
    <row r="59644" spans="23:23">
      <c r="W59644" s="503"/>
    </row>
    <row r="59645" spans="23:23">
      <c r="W59645" s="503"/>
    </row>
    <row r="59646" spans="23:23">
      <c r="W59646" s="503"/>
    </row>
    <row r="59647" spans="23:23">
      <c r="W59647" s="503"/>
    </row>
    <row r="59648" spans="23:23">
      <c r="W59648" s="503"/>
    </row>
    <row r="59649" spans="23:23">
      <c r="W59649" s="503"/>
    </row>
    <row r="59650" spans="23:23">
      <c r="W59650" s="503"/>
    </row>
    <row r="59651" spans="23:23">
      <c r="W59651" s="503"/>
    </row>
    <row r="59652" spans="23:23">
      <c r="W59652" s="503"/>
    </row>
    <row r="59653" spans="23:23">
      <c r="W59653" s="503"/>
    </row>
    <row r="59654" spans="23:23">
      <c r="W59654" s="503"/>
    </row>
    <row r="59655" spans="23:23">
      <c r="W59655" s="503"/>
    </row>
    <row r="59656" spans="23:23">
      <c r="W59656" s="503"/>
    </row>
    <row r="59657" spans="23:23">
      <c r="W59657" s="503"/>
    </row>
    <row r="59658" spans="23:23">
      <c r="W59658" s="503"/>
    </row>
    <row r="59659" spans="23:23">
      <c r="W59659" s="503"/>
    </row>
    <row r="59660" spans="23:23">
      <c r="W59660" s="503"/>
    </row>
    <row r="59661" spans="23:23">
      <c r="W59661" s="503"/>
    </row>
    <row r="59662" spans="23:23">
      <c r="W59662" s="503"/>
    </row>
    <row r="59663" spans="23:23">
      <c r="W59663" s="503"/>
    </row>
    <row r="59664" spans="23:23">
      <c r="W59664" s="503"/>
    </row>
    <row r="59665" spans="23:23">
      <c r="W59665" s="503"/>
    </row>
    <row r="59666" spans="23:23">
      <c r="W59666" s="503"/>
    </row>
    <row r="59667" spans="23:23">
      <c r="W59667" s="503"/>
    </row>
    <row r="59668" spans="23:23">
      <c r="W59668" s="503"/>
    </row>
    <row r="59669" spans="23:23">
      <c r="W59669" s="503"/>
    </row>
    <row r="59670" spans="23:23">
      <c r="W59670" s="503"/>
    </row>
    <row r="59671" spans="23:23">
      <c r="W59671" s="503"/>
    </row>
    <row r="59672" spans="23:23">
      <c r="W59672" s="503"/>
    </row>
    <row r="59673" spans="23:23">
      <c r="W59673" s="503"/>
    </row>
    <row r="59674" spans="23:23">
      <c r="W59674" s="503"/>
    </row>
    <row r="59675" spans="23:23">
      <c r="W59675" s="503"/>
    </row>
    <row r="59676" spans="23:23">
      <c r="W59676" s="503"/>
    </row>
    <row r="59677" spans="23:23">
      <c r="W59677" s="503"/>
    </row>
    <row r="59678" spans="23:23">
      <c r="W59678" s="503"/>
    </row>
    <row r="59679" spans="23:23">
      <c r="W59679" s="503"/>
    </row>
    <row r="59680" spans="23:23">
      <c r="W59680" s="503"/>
    </row>
    <row r="59681" spans="23:23">
      <c r="W59681" s="503"/>
    </row>
    <row r="59682" spans="23:23">
      <c r="W59682" s="503"/>
    </row>
    <row r="59683" spans="23:23">
      <c r="W59683" s="503"/>
    </row>
    <row r="59684" spans="23:23">
      <c r="W59684" s="503"/>
    </row>
    <row r="59685" spans="23:23">
      <c r="W59685" s="503"/>
    </row>
    <row r="59686" spans="23:23">
      <c r="W59686" s="503"/>
    </row>
    <row r="59687" spans="23:23">
      <c r="W59687" s="503"/>
    </row>
    <row r="59688" spans="23:23">
      <c r="W59688" s="503"/>
    </row>
    <row r="59689" spans="23:23">
      <c r="W59689" s="503"/>
    </row>
    <row r="59690" spans="23:23">
      <c r="W59690" s="503"/>
    </row>
    <row r="59691" spans="23:23">
      <c r="W59691" s="503"/>
    </row>
    <row r="59692" spans="23:23">
      <c r="W59692" s="503"/>
    </row>
    <row r="59693" spans="23:23">
      <c r="W59693" s="503"/>
    </row>
    <row r="59694" spans="23:23">
      <c r="W59694" s="503"/>
    </row>
    <row r="59695" spans="23:23">
      <c r="W59695" s="503"/>
    </row>
    <row r="59696" spans="23:23">
      <c r="W59696" s="503"/>
    </row>
    <row r="59697" spans="23:23">
      <c r="W59697" s="503"/>
    </row>
    <row r="59698" spans="23:23">
      <c r="W59698" s="503"/>
    </row>
    <row r="59699" spans="23:23">
      <c r="W59699" s="503"/>
    </row>
    <row r="59700" spans="23:23">
      <c r="W59700" s="503"/>
    </row>
    <row r="59701" spans="23:23">
      <c r="W59701" s="503"/>
    </row>
    <row r="59702" spans="23:23">
      <c r="W59702" s="503"/>
    </row>
    <row r="59703" spans="23:23">
      <c r="W59703" s="503"/>
    </row>
    <row r="59704" spans="23:23">
      <c r="W59704" s="503"/>
    </row>
    <row r="59705" spans="23:23">
      <c r="W59705" s="503"/>
    </row>
    <row r="59706" spans="23:23">
      <c r="W59706" s="503"/>
    </row>
    <row r="59707" spans="23:23">
      <c r="W59707" s="503"/>
    </row>
    <row r="59708" spans="23:23">
      <c r="W59708" s="503"/>
    </row>
    <row r="59709" spans="23:23">
      <c r="W59709" s="503"/>
    </row>
    <row r="59710" spans="23:23">
      <c r="W59710" s="503"/>
    </row>
    <row r="59711" spans="23:23">
      <c r="W59711" s="503"/>
    </row>
    <row r="59712" spans="23:23">
      <c r="W59712" s="503"/>
    </row>
    <row r="59713" spans="23:23">
      <c r="W59713" s="503"/>
    </row>
    <row r="59714" spans="23:23">
      <c r="W59714" s="503"/>
    </row>
    <row r="59715" spans="23:23">
      <c r="W59715" s="503"/>
    </row>
    <row r="59716" spans="23:23">
      <c r="W59716" s="503"/>
    </row>
    <row r="59717" spans="23:23">
      <c r="W59717" s="503"/>
    </row>
    <row r="59718" spans="23:23">
      <c r="W59718" s="503"/>
    </row>
    <row r="59719" spans="23:23">
      <c r="W59719" s="503"/>
    </row>
    <row r="59720" spans="23:23">
      <c r="W59720" s="503"/>
    </row>
    <row r="59721" spans="23:23">
      <c r="W59721" s="503"/>
    </row>
    <row r="59722" spans="23:23">
      <c r="W59722" s="503"/>
    </row>
    <row r="59723" spans="23:23">
      <c r="W59723" s="503"/>
    </row>
    <row r="59724" spans="23:23">
      <c r="W59724" s="503"/>
    </row>
    <row r="59725" spans="23:23">
      <c r="W59725" s="503"/>
    </row>
    <row r="59726" spans="23:23">
      <c r="W59726" s="503"/>
    </row>
    <row r="59727" spans="23:23">
      <c r="W59727" s="503"/>
    </row>
    <row r="59728" spans="23:23">
      <c r="W59728" s="503"/>
    </row>
    <row r="59729" spans="23:23">
      <c r="W59729" s="503"/>
    </row>
    <row r="59730" spans="23:23">
      <c r="W59730" s="503"/>
    </row>
    <row r="59731" spans="23:23">
      <c r="W59731" s="503"/>
    </row>
    <row r="59732" spans="23:23">
      <c r="W59732" s="503"/>
    </row>
    <row r="59733" spans="23:23">
      <c r="W59733" s="503"/>
    </row>
    <row r="59734" spans="23:23">
      <c r="W59734" s="503"/>
    </row>
    <row r="59735" spans="23:23">
      <c r="W59735" s="503"/>
    </row>
    <row r="59736" spans="23:23">
      <c r="W59736" s="503"/>
    </row>
    <row r="59737" spans="23:23">
      <c r="W59737" s="503"/>
    </row>
    <row r="59738" spans="23:23">
      <c r="W59738" s="503"/>
    </row>
    <row r="59739" spans="23:23">
      <c r="W59739" s="503"/>
    </row>
    <row r="59740" spans="23:23">
      <c r="W59740" s="503"/>
    </row>
    <row r="59741" spans="23:23">
      <c r="W59741" s="503"/>
    </row>
    <row r="59742" spans="23:23">
      <c r="W59742" s="503"/>
    </row>
    <row r="59743" spans="23:23">
      <c r="W59743" s="503"/>
    </row>
    <row r="59744" spans="23:23">
      <c r="W59744" s="503"/>
    </row>
    <row r="59745" spans="23:23">
      <c r="W59745" s="503"/>
    </row>
    <row r="59746" spans="23:23">
      <c r="W59746" s="503"/>
    </row>
    <row r="59747" spans="23:23">
      <c r="W59747" s="503"/>
    </row>
    <row r="59748" spans="23:23">
      <c r="W59748" s="503"/>
    </row>
    <row r="59749" spans="23:23">
      <c r="W59749" s="503"/>
    </row>
    <row r="59750" spans="23:23">
      <c r="W59750" s="503"/>
    </row>
    <row r="59751" spans="23:23">
      <c r="W59751" s="503"/>
    </row>
    <row r="59752" spans="23:23">
      <c r="W59752" s="503"/>
    </row>
    <row r="59753" spans="23:23">
      <c r="W59753" s="503"/>
    </row>
    <row r="59754" spans="23:23">
      <c r="W59754" s="503"/>
    </row>
    <row r="59755" spans="23:23">
      <c r="W59755" s="503"/>
    </row>
    <row r="59756" spans="23:23">
      <c r="W59756" s="503"/>
    </row>
    <row r="59757" spans="23:23">
      <c r="W59757" s="503"/>
    </row>
    <row r="59758" spans="23:23">
      <c r="W59758" s="503"/>
    </row>
    <row r="59759" spans="23:23">
      <c r="W59759" s="503"/>
    </row>
    <row r="59760" spans="23:23">
      <c r="W59760" s="503"/>
    </row>
    <row r="59761" spans="23:23">
      <c r="W59761" s="503"/>
    </row>
    <row r="59762" spans="23:23">
      <c r="W59762" s="503"/>
    </row>
    <row r="59763" spans="23:23">
      <c r="W59763" s="503"/>
    </row>
    <row r="59764" spans="23:23">
      <c r="W59764" s="503"/>
    </row>
    <row r="59765" spans="23:23">
      <c r="W59765" s="503"/>
    </row>
    <row r="59766" spans="23:23">
      <c r="W59766" s="503"/>
    </row>
    <row r="59767" spans="23:23">
      <c r="W59767" s="503"/>
    </row>
    <row r="59768" spans="23:23">
      <c r="W59768" s="503"/>
    </row>
    <row r="59769" spans="23:23">
      <c r="W59769" s="503"/>
    </row>
    <row r="59770" spans="23:23">
      <c r="W59770" s="503"/>
    </row>
    <row r="59771" spans="23:23">
      <c r="W59771" s="503"/>
    </row>
    <row r="59772" spans="23:23">
      <c r="W59772" s="503"/>
    </row>
    <row r="59773" spans="23:23">
      <c r="W59773" s="503"/>
    </row>
    <row r="59774" spans="23:23">
      <c r="W59774" s="503"/>
    </row>
    <row r="59775" spans="23:23">
      <c r="W59775" s="503"/>
    </row>
    <row r="59776" spans="23:23">
      <c r="W59776" s="503"/>
    </row>
    <row r="59777" spans="23:23">
      <c r="W59777" s="503"/>
    </row>
    <row r="59778" spans="23:23">
      <c r="W59778" s="503"/>
    </row>
    <row r="59779" spans="23:23">
      <c r="W59779" s="503"/>
    </row>
    <row r="59780" spans="23:23">
      <c r="W59780" s="503"/>
    </row>
    <row r="59781" spans="23:23">
      <c r="W59781" s="503"/>
    </row>
    <row r="59782" spans="23:23">
      <c r="W59782" s="503"/>
    </row>
    <row r="59783" spans="23:23">
      <c r="W59783" s="503"/>
    </row>
    <row r="59784" spans="23:23">
      <c r="W59784" s="503"/>
    </row>
    <row r="59785" spans="23:23">
      <c r="W59785" s="503"/>
    </row>
    <row r="59786" spans="23:23">
      <c r="W59786" s="503"/>
    </row>
    <row r="59787" spans="23:23">
      <c r="W59787" s="503"/>
    </row>
    <row r="59788" spans="23:23">
      <c r="W59788" s="503"/>
    </row>
    <row r="59789" spans="23:23">
      <c r="W59789" s="503"/>
    </row>
    <row r="59790" spans="23:23">
      <c r="W59790" s="503"/>
    </row>
    <row r="59791" spans="23:23">
      <c r="W59791" s="503"/>
    </row>
    <row r="59792" spans="23:23">
      <c r="W59792" s="503"/>
    </row>
    <row r="59793" spans="23:23">
      <c r="W59793" s="503"/>
    </row>
    <row r="59794" spans="23:23">
      <c r="W59794" s="503"/>
    </row>
    <row r="59795" spans="23:23">
      <c r="W59795" s="503"/>
    </row>
    <row r="59796" spans="23:23">
      <c r="W59796" s="503"/>
    </row>
    <row r="59797" spans="23:23">
      <c r="W59797" s="503"/>
    </row>
    <row r="59798" spans="23:23">
      <c r="W59798" s="503"/>
    </row>
    <row r="59799" spans="23:23">
      <c r="W59799" s="503"/>
    </row>
    <row r="59800" spans="23:23">
      <c r="W59800" s="503"/>
    </row>
    <row r="59801" spans="23:23">
      <c r="W59801" s="503"/>
    </row>
    <row r="59802" spans="23:23">
      <c r="W59802" s="503"/>
    </row>
    <row r="59803" spans="23:23">
      <c r="W59803" s="503"/>
    </row>
    <row r="59804" spans="23:23">
      <c r="W59804" s="503"/>
    </row>
    <row r="59805" spans="23:23">
      <c r="W59805" s="503"/>
    </row>
    <row r="59806" spans="23:23">
      <c r="W59806" s="503"/>
    </row>
    <row r="59807" spans="23:23">
      <c r="W59807" s="503"/>
    </row>
    <row r="59808" spans="23:23">
      <c r="W59808" s="503"/>
    </row>
    <row r="59809" spans="23:23">
      <c r="W59809" s="503"/>
    </row>
    <row r="59810" spans="23:23">
      <c r="W59810" s="503"/>
    </row>
    <row r="59811" spans="23:23">
      <c r="W59811" s="503"/>
    </row>
    <row r="59812" spans="23:23">
      <c r="W59812" s="503"/>
    </row>
    <row r="59813" spans="23:23">
      <c r="W59813" s="503"/>
    </row>
    <row r="59814" spans="23:23">
      <c r="W59814" s="503"/>
    </row>
    <row r="59815" spans="23:23">
      <c r="W59815" s="503"/>
    </row>
    <row r="59816" spans="23:23">
      <c r="W59816" s="503"/>
    </row>
    <row r="59817" spans="23:23">
      <c r="W59817" s="503"/>
    </row>
    <row r="59818" spans="23:23">
      <c r="W59818" s="503"/>
    </row>
    <row r="59819" spans="23:23">
      <c r="W59819" s="503"/>
    </row>
    <row r="59820" spans="23:23">
      <c r="W59820" s="503"/>
    </row>
    <row r="59821" spans="23:23">
      <c r="W59821" s="503"/>
    </row>
    <row r="59822" spans="23:23">
      <c r="W59822" s="503"/>
    </row>
    <row r="59823" spans="23:23">
      <c r="W59823" s="503"/>
    </row>
    <row r="59824" spans="23:23">
      <c r="W59824" s="503"/>
    </row>
    <row r="59825" spans="23:23">
      <c r="W59825" s="503"/>
    </row>
    <row r="59826" spans="23:23">
      <c r="W59826" s="503"/>
    </row>
    <row r="59827" spans="23:23">
      <c r="W59827" s="503"/>
    </row>
    <row r="59828" spans="23:23">
      <c r="W59828" s="503"/>
    </row>
    <row r="59829" spans="23:23">
      <c r="W59829" s="503"/>
    </row>
    <row r="59830" spans="23:23">
      <c r="W59830" s="503"/>
    </row>
    <row r="59831" spans="23:23">
      <c r="W59831" s="503"/>
    </row>
    <row r="59832" spans="23:23">
      <c r="W59832" s="503"/>
    </row>
    <row r="59833" spans="23:23">
      <c r="W59833" s="503"/>
    </row>
    <row r="59834" spans="23:23">
      <c r="W59834" s="503"/>
    </row>
    <row r="59835" spans="23:23">
      <c r="W59835" s="503"/>
    </row>
    <row r="59836" spans="23:23">
      <c r="W59836" s="503"/>
    </row>
    <row r="59837" spans="23:23">
      <c r="W59837" s="503"/>
    </row>
    <row r="59838" spans="23:23">
      <c r="W59838" s="503"/>
    </row>
    <row r="59839" spans="23:23">
      <c r="W59839" s="503"/>
    </row>
    <row r="59840" spans="23:23">
      <c r="W59840" s="503"/>
    </row>
    <row r="59841" spans="23:23">
      <c r="W59841" s="503"/>
    </row>
    <row r="59842" spans="23:23">
      <c r="W59842" s="503"/>
    </row>
    <row r="59843" spans="23:23">
      <c r="W59843" s="503"/>
    </row>
    <row r="59844" spans="23:23">
      <c r="W59844" s="503"/>
    </row>
    <row r="59845" spans="23:23">
      <c r="W59845" s="503"/>
    </row>
    <row r="59846" spans="23:23">
      <c r="W59846" s="503"/>
    </row>
    <row r="59847" spans="23:23">
      <c r="W59847" s="503"/>
    </row>
    <row r="59848" spans="23:23">
      <c r="W59848" s="503"/>
    </row>
    <row r="59849" spans="23:23">
      <c r="W59849" s="503"/>
    </row>
    <row r="59850" spans="23:23">
      <c r="W59850" s="503"/>
    </row>
    <row r="59851" spans="23:23">
      <c r="W59851" s="503"/>
    </row>
    <row r="59852" spans="23:23">
      <c r="W59852" s="503"/>
    </row>
    <row r="59853" spans="23:23">
      <c r="W59853" s="503"/>
    </row>
    <row r="59854" spans="23:23">
      <c r="W59854" s="503"/>
    </row>
    <row r="59855" spans="23:23">
      <c r="W59855" s="503"/>
    </row>
    <row r="59856" spans="23:23">
      <c r="W59856" s="503"/>
    </row>
    <row r="59857" spans="23:23">
      <c r="W59857" s="503"/>
    </row>
    <row r="59858" spans="23:23">
      <c r="W59858" s="503"/>
    </row>
    <row r="59859" spans="23:23">
      <c r="W59859" s="503"/>
    </row>
    <row r="59860" spans="23:23">
      <c r="W59860" s="503"/>
    </row>
    <row r="59861" spans="23:23">
      <c r="W59861" s="503"/>
    </row>
    <row r="59862" spans="23:23">
      <c r="W59862" s="503"/>
    </row>
    <row r="59863" spans="23:23">
      <c r="W59863" s="503"/>
    </row>
    <row r="59864" spans="23:23">
      <c r="W59864" s="503"/>
    </row>
    <row r="59865" spans="23:23">
      <c r="W59865" s="503"/>
    </row>
    <row r="59866" spans="23:23">
      <c r="W59866" s="503"/>
    </row>
    <row r="59867" spans="23:23">
      <c r="W59867" s="503"/>
    </row>
    <row r="59868" spans="23:23">
      <c r="W59868" s="503"/>
    </row>
    <row r="59869" spans="23:23">
      <c r="W59869" s="503"/>
    </row>
    <row r="59870" spans="23:23">
      <c r="W59870" s="503"/>
    </row>
    <row r="59871" spans="23:23">
      <c r="W59871" s="503"/>
    </row>
    <row r="59872" spans="23:23">
      <c r="W59872" s="503"/>
    </row>
    <row r="59873" spans="23:23">
      <c r="W59873" s="503"/>
    </row>
    <row r="59874" spans="23:23">
      <c r="W59874" s="503"/>
    </row>
    <row r="59875" spans="23:23">
      <c r="W59875" s="503"/>
    </row>
    <row r="59876" spans="23:23">
      <c r="W59876" s="503"/>
    </row>
    <row r="59877" spans="23:23">
      <c r="W59877" s="503"/>
    </row>
    <row r="59878" spans="23:23">
      <c r="W59878" s="503"/>
    </row>
    <row r="59879" spans="23:23">
      <c r="W59879" s="503"/>
    </row>
    <row r="59880" spans="23:23">
      <c r="W59880" s="503"/>
    </row>
    <row r="59881" spans="23:23">
      <c r="W59881" s="503"/>
    </row>
    <row r="59882" spans="23:23">
      <c r="W59882" s="503"/>
    </row>
    <row r="59883" spans="23:23">
      <c r="W59883" s="503"/>
    </row>
    <row r="59884" spans="23:23">
      <c r="W59884" s="503"/>
    </row>
    <row r="59885" spans="23:23">
      <c r="W59885" s="503"/>
    </row>
    <row r="59886" spans="23:23">
      <c r="W59886" s="503"/>
    </row>
    <row r="59887" spans="23:23">
      <c r="W59887" s="503"/>
    </row>
    <row r="59888" spans="23:23">
      <c r="W59888" s="503"/>
    </row>
    <row r="59889" spans="23:23">
      <c r="W59889" s="503"/>
    </row>
    <row r="59890" spans="23:23">
      <c r="W59890" s="503"/>
    </row>
    <row r="59891" spans="23:23">
      <c r="W59891" s="503"/>
    </row>
    <row r="59892" spans="23:23">
      <c r="W59892" s="503"/>
    </row>
    <row r="59893" spans="23:23">
      <c r="W59893" s="503"/>
    </row>
    <row r="59894" spans="23:23">
      <c r="W59894" s="503"/>
    </row>
    <row r="59895" spans="23:23">
      <c r="W59895" s="503"/>
    </row>
    <row r="59896" spans="23:23">
      <c r="W59896" s="503"/>
    </row>
    <row r="59897" spans="23:23">
      <c r="W59897" s="503"/>
    </row>
    <row r="59898" spans="23:23">
      <c r="W59898" s="503"/>
    </row>
    <row r="59899" spans="23:23">
      <c r="W59899" s="503"/>
    </row>
    <row r="59900" spans="23:23">
      <c r="W59900" s="503"/>
    </row>
    <row r="59901" spans="23:23">
      <c r="W59901" s="503"/>
    </row>
    <row r="59902" spans="23:23">
      <c r="W59902" s="503"/>
    </row>
    <row r="59903" spans="23:23">
      <c r="W59903" s="503"/>
    </row>
    <row r="59904" spans="23:23">
      <c r="W59904" s="503"/>
    </row>
    <row r="59905" spans="23:23">
      <c r="W59905" s="503"/>
    </row>
    <row r="59906" spans="23:23">
      <c r="W59906" s="503"/>
    </row>
    <row r="59907" spans="23:23">
      <c r="W59907" s="503"/>
    </row>
    <row r="59908" spans="23:23">
      <c r="W59908" s="503"/>
    </row>
    <row r="59909" spans="23:23">
      <c r="W59909" s="503"/>
    </row>
    <row r="59910" spans="23:23">
      <c r="W59910" s="503"/>
    </row>
    <row r="59911" spans="23:23">
      <c r="W59911" s="503"/>
    </row>
    <row r="59912" spans="23:23">
      <c r="W59912" s="503"/>
    </row>
    <row r="59913" spans="23:23">
      <c r="W59913" s="503"/>
    </row>
    <row r="59914" spans="23:23">
      <c r="W59914" s="503"/>
    </row>
    <row r="59915" spans="23:23">
      <c r="W59915" s="503"/>
    </row>
    <row r="59916" spans="23:23">
      <c r="W59916" s="503"/>
    </row>
    <row r="59917" spans="23:23">
      <c r="W59917" s="503"/>
    </row>
    <row r="59918" spans="23:23">
      <c r="W59918" s="503"/>
    </row>
    <row r="59919" spans="23:23">
      <c r="W59919" s="503"/>
    </row>
    <row r="59920" spans="23:23">
      <c r="W59920" s="503"/>
    </row>
    <row r="59921" spans="23:23">
      <c r="W59921" s="503"/>
    </row>
    <row r="59922" spans="23:23">
      <c r="W59922" s="503"/>
    </row>
    <row r="59923" spans="23:23">
      <c r="W59923" s="503"/>
    </row>
    <row r="59924" spans="23:23">
      <c r="W59924" s="503"/>
    </row>
    <row r="59925" spans="23:23">
      <c r="W59925" s="503"/>
    </row>
    <row r="59926" spans="23:23">
      <c r="W59926" s="503"/>
    </row>
    <row r="59927" spans="23:23">
      <c r="W59927" s="503"/>
    </row>
    <row r="59928" spans="23:23">
      <c r="W59928" s="503"/>
    </row>
    <row r="59929" spans="23:23">
      <c r="W59929" s="503"/>
    </row>
    <row r="59930" spans="23:23">
      <c r="W59930" s="503"/>
    </row>
    <row r="59931" spans="23:23">
      <c r="W59931" s="503"/>
    </row>
    <row r="59932" spans="23:23">
      <c r="W59932" s="503"/>
    </row>
    <row r="59933" spans="23:23">
      <c r="W59933" s="503"/>
    </row>
    <row r="59934" spans="23:23">
      <c r="W59934" s="503"/>
    </row>
    <row r="59935" spans="23:23">
      <c r="W59935" s="503"/>
    </row>
    <row r="59936" spans="23:23">
      <c r="W59936" s="503"/>
    </row>
    <row r="59937" spans="23:23">
      <c r="W59937" s="503"/>
    </row>
    <row r="59938" spans="23:23">
      <c r="W59938" s="503"/>
    </row>
    <row r="59939" spans="23:23">
      <c r="W59939" s="503"/>
    </row>
    <row r="59940" spans="23:23">
      <c r="W59940" s="503"/>
    </row>
    <row r="59941" spans="23:23">
      <c r="W59941" s="503"/>
    </row>
    <row r="59942" spans="23:23">
      <c r="W59942" s="503"/>
    </row>
    <row r="59943" spans="23:23">
      <c r="W59943" s="503"/>
    </row>
    <row r="59944" spans="23:23">
      <c r="W59944" s="503"/>
    </row>
    <row r="59945" spans="23:23">
      <c r="W59945" s="503"/>
    </row>
    <row r="59946" spans="23:23">
      <c r="W59946" s="503"/>
    </row>
    <row r="59947" spans="23:23">
      <c r="W59947" s="503"/>
    </row>
    <row r="59948" spans="23:23">
      <c r="W59948" s="503"/>
    </row>
    <row r="59949" spans="23:23">
      <c r="W59949" s="503"/>
    </row>
    <row r="59950" spans="23:23">
      <c r="W59950" s="503"/>
    </row>
    <row r="59951" spans="23:23">
      <c r="W59951" s="503"/>
    </row>
    <row r="59952" spans="23:23">
      <c r="W59952" s="503"/>
    </row>
    <row r="59953" spans="23:23">
      <c r="W59953" s="503"/>
    </row>
    <row r="59954" spans="23:23">
      <c r="W59954" s="503"/>
    </row>
    <row r="59955" spans="23:23">
      <c r="W59955" s="503"/>
    </row>
    <row r="59956" spans="23:23">
      <c r="W59956" s="503"/>
    </row>
    <row r="59957" spans="23:23">
      <c r="W59957" s="503"/>
    </row>
    <row r="59958" spans="23:23">
      <c r="W59958" s="503"/>
    </row>
    <row r="59959" spans="23:23">
      <c r="W59959" s="503"/>
    </row>
    <row r="59960" spans="23:23">
      <c r="W59960" s="503"/>
    </row>
    <row r="59961" spans="23:23">
      <c r="W59961" s="503"/>
    </row>
    <row r="59962" spans="23:23">
      <c r="W59962" s="503"/>
    </row>
    <row r="59963" spans="23:23">
      <c r="W59963" s="503"/>
    </row>
    <row r="59964" spans="23:23">
      <c r="W59964" s="503"/>
    </row>
    <row r="59965" spans="23:23">
      <c r="W59965" s="503"/>
    </row>
    <row r="59966" spans="23:23">
      <c r="W59966" s="503"/>
    </row>
    <row r="59967" spans="23:23">
      <c r="W59967" s="503"/>
    </row>
    <row r="59968" spans="23:23">
      <c r="W59968" s="503"/>
    </row>
    <row r="59969" spans="23:23">
      <c r="W59969" s="503"/>
    </row>
    <row r="59970" spans="23:23">
      <c r="W59970" s="503"/>
    </row>
    <row r="59971" spans="23:23">
      <c r="W59971" s="503"/>
    </row>
    <row r="59972" spans="23:23">
      <c r="W59972" s="503"/>
    </row>
    <row r="59973" spans="23:23">
      <c r="W59973" s="503"/>
    </row>
    <row r="59974" spans="23:23">
      <c r="W59974" s="503"/>
    </row>
    <row r="59975" spans="23:23">
      <c r="W59975" s="503"/>
    </row>
    <row r="59976" spans="23:23">
      <c r="W59976" s="503"/>
    </row>
    <row r="59977" spans="23:23">
      <c r="W59977" s="503"/>
    </row>
    <row r="59978" spans="23:23">
      <c r="W59978" s="503"/>
    </row>
    <row r="59979" spans="23:23">
      <c r="W59979" s="503"/>
    </row>
    <row r="59980" spans="23:23">
      <c r="W59980" s="503"/>
    </row>
    <row r="59981" spans="23:23">
      <c r="W59981" s="503"/>
    </row>
    <row r="59982" spans="23:23">
      <c r="W59982" s="503"/>
    </row>
    <row r="59983" spans="23:23">
      <c r="W59983" s="503"/>
    </row>
    <row r="59984" spans="23:23">
      <c r="W59984" s="503"/>
    </row>
    <row r="59985" spans="23:23">
      <c r="W59985" s="503"/>
    </row>
    <row r="59986" spans="23:23">
      <c r="W59986" s="503"/>
    </row>
    <row r="59987" spans="23:23">
      <c r="W59987" s="503"/>
    </row>
    <row r="59988" spans="23:23">
      <c r="W59988" s="503"/>
    </row>
    <row r="59989" spans="23:23">
      <c r="W59989" s="503"/>
    </row>
    <row r="59990" spans="23:23">
      <c r="W59990" s="503"/>
    </row>
    <row r="59991" spans="23:23">
      <c r="W59991" s="503"/>
    </row>
    <row r="59992" spans="23:23">
      <c r="W59992" s="503"/>
    </row>
    <row r="59993" spans="23:23">
      <c r="W59993" s="503"/>
    </row>
    <row r="59994" spans="23:23">
      <c r="W59994" s="503"/>
    </row>
    <row r="59995" spans="23:23">
      <c r="W59995" s="503"/>
    </row>
    <row r="59996" spans="23:23">
      <c r="W59996" s="503"/>
    </row>
    <row r="59997" spans="23:23">
      <c r="W59997" s="503"/>
    </row>
    <row r="59998" spans="23:23">
      <c r="W59998" s="503"/>
    </row>
    <row r="59999" spans="23:23">
      <c r="W59999" s="503"/>
    </row>
    <row r="60000" spans="23:23">
      <c r="W60000" s="503"/>
    </row>
    <row r="60001" spans="23:23">
      <c r="W60001" s="503"/>
    </row>
    <row r="60002" spans="23:23">
      <c r="W60002" s="503"/>
    </row>
    <row r="60003" spans="23:23">
      <c r="W60003" s="503"/>
    </row>
    <row r="60004" spans="23:23">
      <c r="W60004" s="503"/>
    </row>
    <row r="60005" spans="23:23">
      <c r="W60005" s="503"/>
    </row>
    <row r="60006" spans="23:23">
      <c r="W60006" s="503"/>
    </row>
    <row r="60007" spans="23:23">
      <c r="W60007" s="503"/>
    </row>
    <row r="60008" spans="23:23">
      <c r="W60008" s="503"/>
    </row>
    <row r="60009" spans="23:23">
      <c r="W60009" s="503"/>
    </row>
    <row r="60010" spans="23:23">
      <c r="W60010" s="503"/>
    </row>
    <row r="60011" spans="23:23">
      <c r="W60011" s="503"/>
    </row>
    <row r="60012" spans="23:23">
      <c r="W60012" s="503"/>
    </row>
    <row r="60013" spans="23:23">
      <c r="W60013" s="503"/>
    </row>
    <row r="60014" spans="23:23">
      <c r="W60014" s="503"/>
    </row>
    <row r="60015" spans="23:23">
      <c r="W60015" s="503"/>
    </row>
    <row r="60016" spans="23:23">
      <c r="W60016" s="503"/>
    </row>
    <row r="60017" spans="23:23">
      <c r="W60017" s="503"/>
    </row>
    <row r="60018" spans="23:23">
      <c r="W60018" s="503"/>
    </row>
    <row r="60019" spans="23:23">
      <c r="W60019" s="503"/>
    </row>
    <row r="60020" spans="23:23">
      <c r="W60020" s="503"/>
    </row>
    <row r="60021" spans="23:23">
      <c r="W60021" s="503"/>
    </row>
    <row r="60022" spans="23:23">
      <c r="W60022" s="503"/>
    </row>
    <row r="60023" spans="23:23">
      <c r="W60023" s="503"/>
    </row>
    <row r="60024" spans="23:23">
      <c r="W60024" s="503"/>
    </row>
    <row r="60025" spans="23:23">
      <c r="W60025" s="503"/>
    </row>
    <row r="60026" spans="23:23">
      <c r="W60026" s="503"/>
    </row>
    <row r="60027" spans="23:23">
      <c r="W60027" s="503"/>
    </row>
    <row r="60028" spans="23:23">
      <c r="W60028" s="503"/>
    </row>
    <row r="60029" spans="23:23">
      <c r="W60029" s="503"/>
    </row>
    <row r="60030" spans="23:23">
      <c r="W60030" s="503"/>
    </row>
    <row r="60031" spans="23:23">
      <c r="W60031" s="503"/>
    </row>
    <row r="60032" spans="23:23">
      <c r="W60032" s="503"/>
    </row>
    <row r="60033" spans="23:23">
      <c r="W60033" s="503"/>
    </row>
    <row r="60034" spans="23:23">
      <c r="W60034" s="503"/>
    </row>
    <row r="60035" spans="23:23">
      <c r="W60035" s="503"/>
    </row>
    <row r="60036" spans="23:23">
      <c r="W60036" s="503"/>
    </row>
    <row r="60037" spans="23:23">
      <c r="W60037" s="503"/>
    </row>
    <row r="60038" spans="23:23">
      <c r="W60038" s="503"/>
    </row>
    <row r="60039" spans="23:23">
      <c r="W60039" s="503"/>
    </row>
    <row r="60040" spans="23:23">
      <c r="W60040" s="503"/>
    </row>
    <row r="60041" spans="23:23">
      <c r="W60041" s="503"/>
    </row>
    <row r="60042" spans="23:23">
      <c r="W60042" s="503"/>
    </row>
    <row r="60043" spans="23:23">
      <c r="W60043" s="503"/>
    </row>
    <row r="60044" spans="23:23">
      <c r="W60044" s="503"/>
    </row>
    <row r="60045" spans="23:23">
      <c r="W60045" s="503"/>
    </row>
    <row r="60046" spans="23:23">
      <c r="W60046" s="503"/>
    </row>
    <row r="60047" spans="23:23">
      <c r="W60047" s="503"/>
    </row>
    <row r="60048" spans="23:23">
      <c r="W60048" s="503"/>
    </row>
    <row r="60049" spans="23:23">
      <c r="W60049" s="503"/>
    </row>
    <row r="60050" spans="23:23">
      <c r="W60050" s="503"/>
    </row>
    <row r="60051" spans="23:23">
      <c r="W60051" s="503"/>
    </row>
    <row r="60052" spans="23:23">
      <c r="W60052" s="503"/>
    </row>
    <row r="60053" spans="23:23">
      <c r="W60053" s="503"/>
    </row>
    <row r="60054" spans="23:23">
      <c r="W60054" s="503"/>
    </row>
    <row r="60055" spans="23:23">
      <c r="W60055" s="503"/>
    </row>
    <row r="60056" spans="23:23">
      <c r="W60056" s="503"/>
    </row>
    <row r="60057" spans="23:23">
      <c r="W60057" s="503"/>
    </row>
    <row r="60058" spans="23:23">
      <c r="W60058" s="503"/>
    </row>
    <row r="60059" spans="23:23">
      <c r="W60059" s="503"/>
    </row>
    <row r="60060" spans="23:23">
      <c r="W60060" s="503"/>
    </row>
    <row r="60061" spans="23:23">
      <c r="W60061" s="503"/>
    </row>
    <row r="60062" spans="23:23">
      <c r="W60062" s="503"/>
    </row>
    <row r="60063" spans="23:23">
      <c r="W60063" s="503"/>
    </row>
    <row r="60064" spans="23:23">
      <c r="W60064" s="503"/>
    </row>
    <row r="60065" spans="23:23">
      <c r="W60065" s="503"/>
    </row>
    <row r="60066" spans="23:23">
      <c r="W60066" s="503"/>
    </row>
    <row r="60067" spans="23:23">
      <c r="W60067" s="503"/>
    </row>
    <row r="60068" spans="23:23">
      <c r="W60068" s="503"/>
    </row>
    <row r="60069" spans="23:23">
      <c r="W60069" s="503"/>
    </row>
    <row r="60070" spans="23:23">
      <c r="W60070" s="503"/>
    </row>
    <row r="60071" spans="23:23">
      <c r="W60071" s="503"/>
    </row>
    <row r="60072" spans="23:23">
      <c r="W60072" s="503"/>
    </row>
    <row r="60073" spans="23:23">
      <c r="W60073" s="503"/>
    </row>
    <row r="60074" spans="23:23">
      <c r="W60074" s="503"/>
    </row>
    <row r="60075" spans="23:23">
      <c r="W60075" s="503"/>
    </row>
    <row r="60076" spans="23:23">
      <c r="W60076" s="503"/>
    </row>
    <row r="60077" spans="23:23">
      <c r="W60077" s="503"/>
    </row>
    <row r="60078" spans="23:23">
      <c r="W60078" s="503"/>
    </row>
    <row r="60079" spans="23:23">
      <c r="W60079" s="503"/>
    </row>
    <row r="60080" spans="23:23">
      <c r="W60080" s="503"/>
    </row>
    <row r="60081" spans="23:23">
      <c r="W60081" s="503"/>
    </row>
    <row r="60082" spans="23:23">
      <c r="W60082" s="503"/>
    </row>
    <row r="60083" spans="23:23">
      <c r="W60083" s="503"/>
    </row>
    <row r="60084" spans="23:23">
      <c r="W60084" s="503"/>
    </row>
    <row r="60085" spans="23:23">
      <c r="W60085" s="503"/>
    </row>
    <row r="60086" spans="23:23">
      <c r="W60086" s="503"/>
    </row>
    <row r="60087" spans="23:23">
      <c r="W60087" s="503"/>
    </row>
    <row r="60088" spans="23:23">
      <c r="W60088" s="503"/>
    </row>
    <row r="60089" spans="23:23">
      <c r="W60089" s="503"/>
    </row>
    <row r="60090" spans="23:23">
      <c r="W60090" s="503"/>
    </row>
    <row r="60091" spans="23:23">
      <c r="W60091" s="503"/>
    </row>
    <row r="60092" spans="23:23">
      <c r="W60092" s="503"/>
    </row>
    <row r="60093" spans="23:23">
      <c r="W60093" s="503"/>
    </row>
    <row r="60094" spans="23:23">
      <c r="W60094" s="503"/>
    </row>
    <row r="60095" spans="23:23">
      <c r="W60095" s="503"/>
    </row>
    <row r="60096" spans="23:23">
      <c r="W60096" s="503"/>
    </row>
    <row r="60097" spans="23:23">
      <c r="W60097" s="503"/>
    </row>
    <row r="60098" spans="23:23">
      <c r="W60098" s="503"/>
    </row>
    <row r="60099" spans="23:23">
      <c r="W60099" s="503"/>
    </row>
    <row r="60100" spans="23:23">
      <c r="W60100" s="503"/>
    </row>
    <row r="60101" spans="23:23">
      <c r="W60101" s="503"/>
    </row>
    <row r="60102" spans="23:23">
      <c r="W60102" s="503"/>
    </row>
    <row r="60103" spans="23:23">
      <c r="W60103" s="503"/>
    </row>
    <row r="60104" spans="23:23">
      <c r="W60104" s="503"/>
    </row>
    <row r="60105" spans="23:23">
      <c r="W60105" s="503"/>
    </row>
    <row r="60106" spans="23:23">
      <c r="W60106" s="503"/>
    </row>
    <row r="60107" spans="23:23">
      <c r="W60107" s="503"/>
    </row>
    <row r="60108" spans="23:23">
      <c r="W60108" s="503"/>
    </row>
    <row r="60109" spans="23:23">
      <c r="W60109" s="503"/>
    </row>
    <row r="60110" spans="23:23">
      <c r="W60110" s="503"/>
    </row>
    <row r="60111" spans="23:23">
      <c r="W60111" s="503"/>
    </row>
    <row r="60112" spans="23:23">
      <c r="W60112" s="503"/>
    </row>
    <row r="60113" spans="23:23">
      <c r="W60113" s="503"/>
    </row>
    <row r="60114" spans="23:23">
      <c r="W60114" s="503"/>
    </row>
    <row r="60115" spans="23:23">
      <c r="W60115" s="503"/>
    </row>
    <row r="60116" spans="23:23">
      <c r="W60116" s="503"/>
    </row>
    <row r="60117" spans="23:23">
      <c r="W60117" s="503"/>
    </row>
    <row r="60118" spans="23:23">
      <c r="W60118" s="503"/>
    </row>
    <row r="60119" spans="23:23">
      <c r="W60119" s="503"/>
    </row>
    <row r="60120" spans="23:23">
      <c r="W60120" s="503"/>
    </row>
    <row r="60121" spans="23:23">
      <c r="W60121" s="503"/>
    </row>
    <row r="60122" spans="23:23">
      <c r="W60122" s="503"/>
    </row>
    <row r="60123" spans="23:23">
      <c r="W60123" s="503"/>
    </row>
    <row r="60124" spans="23:23">
      <c r="W60124" s="503"/>
    </row>
    <row r="60125" spans="23:23">
      <c r="W60125" s="503"/>
    </row>
    <row r="60126" spans="23:23">
      <c r="W60126" s="503"/>
    </row>
    <row r="60127" spans="23:23">
      <c r="W60127" s="503"/>
    </row>
    <row r="60128" spans="23:23">
      <c r="W60128" s="503"/>
    </row>
    <row r="60129" spans="23:23">
      <c r="W60129" s="503"/>
    </row>
    <row r="60130" spans="23:23">
      <c r="W60130" s="503"/>
    </row>
    <row r="60131" spans="23:23">
      <c r="W60131" s="503"/>
    </row>
    <row r="60132" spans="23:23">
      <c r="W60132" s="503"/>
    </row>
    <row r="60133" spans="23:23">
      <c r="W60133" s="503"/>
    </row>
    <row r="60134" spans="23:23">
      <c r="W60134" s="503"/>
    </row>
    <row r="60135" spans="23:23">
      <c r="W60135" s="503"/>
    </row>
    <row r="60136" spans="23:23">
      <c r="W60136" s="503"/>
    </row>
    <row r="60137" spans="23:23">
      <c r="W60137" s="503"/>
    </row>
    <row r="60138" spans="23:23">
      <c r="W60138" s="503"/>
    </row>
    <row r="60139" spans="23:23">
      <c r="W60139" s="503"/>
    </row>
    <row r="60140" spans="23:23">
      <c r="W60140" s="503"/>
    </row>
    <row r="60141" spans="23:23">
      <c r="W60141" s="503"/>
    </row>
    <row r="60142" spans="23:23">
      <c r="W60142" s="503"/>
    </row>
    <row r="60143" spans="23:23">
      <c r="W60143" s="503"/>
    </row>
    <row r="60144" spans="23:23">
      <c r="W60144" s="503"/>
    </row>
    <row r="60145" spans="23:23">
      <c r="W60145" s="503"/>
    </row>
    <row r="60146" spans="23:23">
      <c r="W60146" s="503"/>
    </row>
    <row r="60147" spans="23:23">
      <c r="W60147" s="503"/>
    </row>
    <row r="60148" spans="23:23">
      <c r="W60148" s="503"/>
    </row>
    <row r="60149" spans="23:23">
      <c r="W60149" s="503"/>
    </row>
    <row r="60150" spans="23:23">
      <c r="W60150" s="503"/>
    </row>
    <row r="60151" spans="23:23">
      <c r="W60151" s="503"/>
    </row>
    <row r="60152" spans="23:23">
      <c r="W60152" s="503"/>
    </row>
    <row r="60153" spans="23:23">
      <c r="W60153" s="503"/>
    </row>
    <row r="60154" spans="23:23">
      <c r="W60154" s="503"/>
    </row>
    <row r="60155" spans="23:23">
      <c r="W60155" s="503"/>
    </row>
    <row r="60156" spans="23:23">
      <c r="W60156" s="503"/>
    </row>
    <row r="60157" spans="23:23">
      <c r="W60157" s="503"/>
    </row>
    <row r="60158" spans="23:23">
      <c r="W60158" s="503"/>
    </row>
    <row r="60159" spans="23:23">
      <c r="W60159" s="503"/>
    </row>
    <row r="60160" spans="23:23">
      <c r="W60160" s="503"/>
    </row>
    <row r="60161" spans="23:23">
      <c r="W60161" s="503"/>
    </row>
    <row r="60162" spans="23:23">
      <c r="W60162" s="503"/>
    </row>
    <row r="60163" spans="23:23">
      <c r="W60163" s="503"/>
    </row>
    <row r="60164" spans="23:23">
      <c r="W60164" s="503"/>
    </row>
    <row r="60165" spans="23:23">
      <c r="W60165" s="503"/>
    </row>
    <row r="60166" spans="23:23">
      <c r="W60166" s="503"/>
    </row>
    <row r="60167" spans="23:23">
      <c r="W60167" s="503"/>
    </row>
    <row r="60168" spans="23:23">
      <c r="W60168" s="503"/>
    </row>
    <row r="60169" spans="23:23">
      <c r="W60169" s="503"/>
    </row>
    <row r="60170" spans="23:23">
      <c r="W60170" s="503"/>
    </row>
    <row r="60171" spans="23:23">
      <c r="W60171" s="503"/>
    </row>
    <row r="60172" spans="23:23">
      <c r="W60172" s="503"/>
    </row>
    <row r="60173" spans="23:23">
      <c r="W60173" s="503"/>
    </row>
    <row r="60174" spans="23:23">
      <c r="W60174" s="503"/>
    </row>
    <row r="60175" spans="23:23">
      <c r="W60175" s="503"/>
    </row>
    <row r="60176" spans="23:23">
      <c r="W60176" s="503"/>
    </row>
    <row r="60177" spans="23:23">
      <c r="W60177" s="503"/>
    </row>
    <row r="60178" spans="23:23">
      <c r="W60178" s="503"/>
    </row>
    <row r="60179" spans="23:23">
      <c r="W60179" s="503"/>
    </row>
    <row r="60180" spans="23:23">
      <c r="W60180" s="503"/>
    </row>
    <row r="60181" spans="23:23">
      <c r="W60181" s="503"/>
    </row>
    <row r="60182" spans="23:23">
      <c r="W60182" s="503"/>
    </row>
    <row r="60183" spans="23:23">
      <c r="W60183" s="503"/>
    </row>
    <row r="60184" spans="23:23">
      <c r="W60184" s="503"/>
    </row>
    <row r="60185" spans="23:23">
      <c r="W60185" s="503"/>
    </row>
    <row r="60186" spans="23:23">
      <c r="W60186" s="503"/>
    </row>
    <row r="60187" spans="23:23">
      <c r="W60187" s="503"/>
    </row>
    <row r="60188" spans="23:23">
      <c r="W60188" s="503"/>
    </row>
    <row r="60189" spans="23:23">
      <c r="W60189" s="503"/>
    </row>
    <row r="60190" spans="23:23">
      <c r="W60190" s="503"/>
    </row>
    <row r="60191" spans="23:23">
      <c r="W60191" s="503"/>
    </row>
    <row r="60192" spans="23:23">
      <c r="W60192" s="503"/>
    </row>
    <row r="60193" spans="23:23">
      <c r="W60193" s="503"/>
    </row>
    <row r="60194" spans="23:23">
      <c r="W60194" s="503"/>
    </row>
    <row r="60195" spans="23:23">
      <c r="W60195" s="503"/>
    </row>
    <row r="60196" spans="23:23">
      <c r="W60196" s="503"/>
    </row>
    <row r="60197" spans="23:23">
      <c r="W60197" s="503"/>
    </row>
    <row r="60198" spans="23:23">
      <c r="W60198" s="503"/>
    </row>
    <row r="60199" spans="23:23">
      <c r="W60199" s="503"/>
    </row>
    <row r="60200" spans="23:23">
      <c r="W60200" s="503"/>
    </row>
    <row r="60201" spans="23:23">
      <c r="W60201" s="503"/>
    </row>
    <row r="60202" spans="23:23">
      <c r="W60202" s="503"/>
    </row>
    <row r="60203" spans="23:23">
      <c r="W60203" s="503"/>
    </row>
    <row r="60204" spans="23:23">
      <c r="W60204" s="503"/>
    </row>
    <row r="60205" spans="23:23">
      <c r="W60205" s="503"/>
    </row>
    <row r="60206" spans="23:23">
      <c r="W60206" s="503"/>
    </row>
    <row r="60207" spans="23:23">
      <c r="W60207" s="503"/>
    </row>
    <row r="60208" spans="23:23">
      <c r="W60208" s="503"/>
    </row>
    <row r="60209" spans="23:23">
      <c r="W60209" s="503"/>
    </row>
    <row r="60210" spans="23:23">
      <c r="W60210" s="503"/>
    </row>
    <row r="60211" spans="23:23">
      <c r="W60211" s="503"/>
    </row>
    <row r="60212" spans="23:23">
      <c r="W60212" s="503"/>
    </row>
    <row r="60213" spans="23:23">
      <c r="W60213" s="503"/>
    </row>
    <row r="60214" spans="23:23">
      <c r="W60214" s="503"/>
    </row>
    <row r="60215" spans="23:23">
      <c r="W60215" s="503"/>
    </row>
    <row r="60216" spans="23:23">
      <c r="W60216" s="503"/>
    </row>
    <row r="60217" spans="23:23">
      <c r="W60217" s="503"/>
    </row>
    <row r="60218" spans="23:23">
      <c r="W60218" s="503"/>
    </row>
    <row r="60219" spans="23:23">
      <c r="W60219" s="503"/>
    </row>
    <row r="60220" spans="23:23">
      <c r="W60220" s="503"/>
    </row>
    <row r="60221" spans="23:23">
      <c r="W60221" s="503"/>
    </row>
    <row r="60222" spans="23:23">
      <c r="W60222" s="503"/>
    </row>
    <row r="60223" spans="23:23">
      <c r="W60223" s="503"/>
    </row>
    <row r="60224" spans="23:23">
      <c r="W60224" s="503"/>
    </row>
    <row r="60225" spans="23:23">
      <c r="W60225" s="503"/>
    </row>
    <row r="60226" spans="23:23">
      <c r="W60226" s="503"/>
    </row>
    <row r="60227" spans="23:23">
      <c r="W60227" s="503"/>
    </row>
    <row r="60228" spans="23:23">
      <c r="W60228" s="503"/>
    </row>
    <row r="60229" spans="23:23">
      <c r="W60229" s="503"/>
    </row>
    <row r="60230" spans="23:23">
      <c r="W60230" s="503"/>
    </row>
    <row r="60231" spans="23:23">
      <c r="W60231" s="503"/>
    </row>
    <row r="60232" spans="23:23">
      <c r="W60232" s="503"/>
    </row>
    <row r="60233" spans="23:23">
      <c r="W60233" s="503"/>
    </row>
    <row r="60234" spans="23:23">
      <c r="W60234" s="503"/>
    </row>
    <row r="60235" spans="23:23">
      <c r="W60235" s="503"/>
    </row>
    <row r="60236" spans="23:23">
      <c r="W60236" s="503"/>
    </row>
    <row r="60237" spans="23:23">
      <c r="W60237" s="503"/>
    </row>
    <row r="60238" spans="23:23">
      <c r="W60238" s="503"/>
    </row>
    <row r="60239" spans="23:23">
      <c r="W60239" s="503"/>
    </row>
    <row r="60240" spans="23:23">
      <c r="W60240" s="503"/>
    </row>
    <row r="60241" spans="23:23">
      <c r="W60241" s="503"/>
    </row>
    <row r="60242" spans="23:23">
      <c r="W60242" s="503"/>
    </row>
    <row r="60243" spans="23:23">
      <c r="W60243" s="503"/>
    </row>
    <row r="60244" spans="23:23">
      <c r="W60244" s="503"/>
    </row>
    <row r="60245" spans="23:23">
      <c r="W60245" s="503"/>
    </row>
    <row r="60246" spans="23:23">
      <c r="W60246" s="503"/>
    </row>
    <row r="60247" spans="23:23">
      <c r="W60247" s="503"/>
    </row>
    <row r="60248" spans="23:23">
      <c r="W60248" s="503"/>
    </row>
    <row r="60249" spans="23:23">
      <c r="W60249" s="503"/>
    </row>
    <row r="60250" spans="23:23">
      <c r="W60250" s="503"/>
    </row>
    <row r="60251" spans="23:23">
      <c r="W60251" s="503"/>
    </row>
    <row r="60252" spans="23:23">
      <c r="W60252" s="503"/>
    </row>
    <row r="60253" spans="23:23">
      <c r="W60253" s="503"/>
    </row>
    <row r="60254" spans="23:23">
      <c r="W60254" s="503"/>
    </row>
    <row r="60255" spans="23:23">
      <c r="W60255" s="503"/>
    </row>
    <row r="60256" spans="23:23">
      <c r="W60256" s="503"/>
    </row>
    <row r="60257" spans="23:23">
      <c r="W60257" s="503"/>
    </row>
    <row r="60258" spans="23:23">
      <c r="W60258" s="503"/>
    </row>
    <row r="60259" spans="23:23">
      <c r="W60259" s="503"/>
    </row>
    <row r="60260" spans="23:23">
      <c r="W60260" s="503"/>
    </row>
    <row r="60261" spans="23:23">
      <c r="W60261" s="503"/>
    </row>
    <row r="60262" spans="23:23">
      <c r="W60262" s="503"/>
    </row>
    <row r="60263" spans="23:23">
      <c r="W60263" s="503"/>
    </row>
    <row r="60264" spans="23:23">
      <c r="W60264" s="503"/>
    </row>
    <row r="60265" spans="23:23">
      <c r="W60265" s="503"/>
    </row>
    <row r="60266" spans="23:23">
      <c r="W60266" s="503"/>
    </row>
    <row r="60267" spans="23:23">
      <c r="W60267" s="503"/>
    </row>
    <row r="60268" spans="23:23">
      <c r="W60268" s="503"/>
    </row>
    <row r="60269" spans="23:23">
      <c r="W60269" s="503"/>
    </row>
    <row r="60270" spans="23:23">
      <c r="W60270" s="503"/>
    </row>
    <row r="60271" spans="23:23">
      <c r="W60271" s="503"/>
    </row>
    <row r="60272" spans="23:23">
      <c r="W60272" s="503"/>
    </row>
    <row r="60273" spans="23:23">
      <c r="W60273" s="503"/>
    </row>
    <row r="60274" spans="23:23">
      <c r="W60274" s="503"/>
    </row>
    <row r="60275" spans="23:23">
      <c r="W60275" s="503"/>
    </row>
    <row r="60276" spans="23:23">
      <c r="W60276" s="503"/>
    </row>
    <row r="60277" spans="23:23">
      <c r="W60277" s="503"/>
    </row>
    <row r="60278" spans="23:23">
      <c r="W60278" s="503"/>
    </row>
    <row r="60279" spans="23:23">
      <c r="W60279" s="503"/>
    </row>
    <row r="60280" spans="23:23">
      <c r="W60280" s="503"/>
    </row>
    <row r="60281" spans="23:23">
      <c r="W60281" s="503"/>
    </row>
    <row r="60282" spans="23:23">
      <c r="W60282" s="503"/>
    </row>
    <row r="60283" spans="23:23">
      <c r="W60283" s="503"/>
    </row>
    <row r="60284" spans="23:23">
      <c r="W60284" s="503"/>
    </row>
    <row r="60285" spans="23:23">
      <c r="W60285" s="503"/>
    </row>
    <row r="60286" spans="23:23">
      <c r="W60286" s="503"/>
    </row>
    <row r="60287" spans="23:23">
      <c r="W60287" s="503"/>
    </row>
    <row r="60288" spans="23:23">
      <c r="W60288" s="503"/>
    </row>
    <row r="60289" spans="23:23">
      <c r="W60289" s="503"/>
    </row>
    <row r="60290" spans="23:23">
      <c r="W60290" s="503"/>
    </row>
    <row r="60291" spans="23:23">
      <c r="W60291" s="503"/>
    </row>
    <row r="60292" spans="23:23">
      <c r="W60292" s="503"/>
    </row>
    <row r="60293" spans="23:23">
      <c r="W60293" s="503"/>
    </row>
    <row r="60294" spans="23:23">
      <c r="W60294" s="503"/>
    </row>
    <row r="60295" spans="23:23">
      <c r="W60295" s="503"/>
    </row>
    <row r="60296" spans="23:23">
      <c r="W60296" s="503"/>
    </row>
    <row r="60297" spans="23:23">
      <c r="W60297" s="503"/>
    </row>
    <row r="60298" spans="23:23">
      <c r="W60298" s="503"/>
    </row>
    <row r="60299" spans="23:23">
      <c r="W60299" s="503"/>
    </row>
    <row r="60300" spans="23:23">
      <c r="W60300" s="503"/>
    </row>
    <row r="60301" spans="23:23">
      <c r="W60301" s="503"/>
    </row>
    <row r="60302" spans="23:23">
      <c r="W60302" s="503"/>
    </row>
    <row r="60303" spans="23:23">
      <c r="W60303" s="503"/>
    </row>
    <row r="60304" spans="23:23">
      <c r="W60304" s="503"/>
    </row>
    <row r="60305" spans="23:23">
      <c r="W60305" s="503"/>
    </row>
    <row r="60306" spans="23:23">
      <c r="W60306" s="503"/>
    </row>
    <row r="60307" spans="23:23">
      <c r="W60307" s="503"/>
    </row>
    <row r="60308" spans="23:23">
      <c r="W60308" s="503"/>
    </row>
    <row r="60309" spans="23:23">
      <c r="W60309" s="503"/>
    </row>
    <row r="60310" spans="23:23">
      <c r="W60310" s="503"/>
    </row>
    <row r="60311" spans="23:23">
      <c r="W60311" s="503"/>
    </row>
    <row r="60312" spans="23:23">
      <c r="W60312" s="503"/>
    </row>
    <row r="60313" spans="23:23">
      <c r="W60313" s="503"/>
    </row>
    <row r="60314" spans="23:23">
      <c r="W60314" s="503"/>
    </row>
    <row r="60315" spans="23:23">
      <c r="W60315" s="503"/>
    </row>
    <row r="60316" spans="23:23">
      <c r="W60316" s="503"/>
    </row>
    <row r="60317" spans="23:23">
      <c r="W60317" s="503"/>
    </row>
    <row r="60318" spans="23:23">
      <c r="W60318" s="503"/>
    </row>
    <row r="60319" spans="23:23">
      <c r="W60319" s="503"/>
    </row>
    <row r="60320" spans="23:23">
      <c r="W60320" s="503"/>
    </row>
    <row r="60321" spans="23:23">
      <c r="W60321" s="503"/>
    </row>
    <row r="60322" spans="23:23">
      <c r="W60322" s="503"/>
    </row>
    <row r="60323" spans="23:23">
      <c r="W60323" s="503"/>
    </row>
    <row r="60324" spans="23:23">
      <c r="W60324" s="503"/>
    </row>
    <row r="60325" spans="23:23">
      <c r="W60325" s="503"/>
    </row>
    <row r="60326" spans="23:23">
      <c r="W60326" s="503"/>
    </row>
    <row r="60327" spans="23:23">
      <c r="W60327" s="503"/>
    </row>
    <row r="60328" spans="23:23">
      <c r="W60328" s="503"/>
    </row>
    <row r="60329" spans="23:23">
      <c r="W60329" s="503"/>
    </row>
    <row r="60330" spans="23:23">
      <c r="W60330" s="503"/>
    </row>
    <row r="60331" spans="23:23">
      <c r="W60331" s="503"/>
    </row>
    <row r="60332" spans="23:23">
      <c r="W60332" s="503"/>
    </row>
    <row r="60333" spans="23:23">
      <c r="W60333" s="503"/>
    </row>
    <row r="60334" spans="23:23">
      <c r="W60334" s="503"/>
    </row>
    <row r="60335" spans="23:23">
      <c r="W60335" s="503"/>
    </row>
    <row r="60336" spans="23:23">
      <c r="W60336" s="503"/>
    </row>
    <row r="60337" spans="23:23">
      <c r="W60337" s="503"/>
    </row>
    <row r="60338" spans="23:23">
      <c r="W60338" s="503"/>
    </row>
    <row r="60339" spans="23:23">
      <c r="W60339" s="503"/>
    </row>
    <row r="60340" spans="23:23">
      <c r="W60340" s="503"/>
    </row>
    <row r="60341" spans="23:23">
      <c r="W60341" s="503"/>
    </row>
    <row r="60342" spans="23:23">
      <c r="W60342" s="503"/>
    </row>
    <row r="60343" spans="23:23">
      <c r="W60343" s="503"/>
    </row>
    <row r="60344" spans="23:23">
      <c r="W60344" s="503"/>
    </row>
    <row r="60345" spans="23:23">
      <c r="W60345" s="503"/>
    </row>
    <row r="60346" spans="23:23">
      <c r="W60346" s="503"/>
    </row>
    <row r="60347" spans="23:23">
      <c r="W60347" s="503"/>
    </row>
    <row r="60348" spans="23:23">
      <c r="W60348" s="503"/>
    </row>
    <row r="60349" spans="23:23">
      <c r="W60349" s="503"/>
    </row>
    <row r="60350" spans="23:23">
      <c r="W60350" s="503"/>
    </row>
    <row r="60351" spans="23:23">
      <c r="W60351" s="503"/>
    </row>
    <row r="60352" spans="23:23">
      <c r="W60352" s="503"/>
    </row>
    <row r="60353" spans="23:23">
      <c r="W60353" s="503"/>
    </row>
    <row r="60354" spans="23:23">
      <c r="W60354" s="503"/>
    </row>
    <row r="60355" spans="23:23">
      <c r="W60355" s="503"/>
    </row>
    <row r="60356" spans="23:23">
      <c r="W60356" s="503"/>
    </row>
    <row r="60357" spans="23:23">
      <c r="W60357" s="503"/>
    </row>
    <row r="60358" spans="23:23">
      <c r="W60358" s="503"/>
    </row>
    <row r="60359" spans="23:23">
      <c r="W60359" s="503"/>
    </row>
    <row r="60360" spans="23:23">
      <c r="W60360" s="503"/>
    </row>
    <row r="60361" spans="23:23">
      <c r="W60361" s="503"/>
    </row>
    <row r="60362" spans="23:23">
      <c r="W60362" s="503"/>
    </row>
    <row r="60363" spans="23:23">
      <c r="W60363" s="503"/>
    </row>
    <row r="60364" spans="23:23">
      <c r="W60364" s="503"/>
    </row>
    <row r="60365" spans="23:23">
      <c r="W60365" s="503"/>
    </row>
    <row r="60366" spans="23:23">
      <c r="W60366" s="503"/>
    </row>
    <row r="60367" spans="23:23">
      <c r="W60367" s="503"/>
    </row>
    <row r="60368" spans="23:23">
      <c r="W60368" s="503"/>
    </row>
    <row r="60369" spans="23:23">
      <c r="W60369" s="503"/>
    </row>
    <row r="60370" spans="23:23">
      <c r="W60370" s="503"/>
    </row>
    <row r="60371" spans="23:23">
      <c r="W60371" s="503"/>
    </row>
    <row r="60372" spans="23:23">
      <c r="W60372" s="503"/>
    </row>
    <row r="60373" spans="23:23">
      <c r="W60373" s="503"/>
    </row>
    <row r="60374" spans="23:23">
      <c r="W60374" s="503"/>
    </row>
    <row r="60375" spans="23:23">
      <c r="W60375" s="503"/>
    </row>
    <row r="60376" spans="23:23">
      <c r="W60376" s="503"/>
    </row>
    <row r="60377" spans="23:23">
      <c r="W60377" s="503"/>
    </row>
    <row r="60378" spans="23:23">
      <c r="W60378" s="503"/>
    </row>
    <row r="60379" spans="23:23">
      <c r="W60379" s="503"/>
    </row>
    <row r="60380" spans="23:23">
      <c r="W60380" s="503"/>
    </row>
    <row r="60381" spans="23:23">
      <c r="W60381" s="503"/>
    </row>
    <row r="60382" spans="23:23">
      <c r="W60382" s="503"/>
    </row>
    <row r="60383" spans="23:23">
      <c r="W60383" s="503"/>
    </row>
    <row r="60384" spans="23:23">
      <c r="W60384" s="503"/>
    </row>
    <row r="60385" spans="23:23">
      <c r="W60385" s="503"/>
    </row>
    <row r="60386" spans="23:23">
      <c r="W60386" s="503"/>
    </row>
    <row r="60387" spans="23:23">
      <c r="W60387" s="503"/>
    </row>
    <row r="60388" spans="23:23">
      <c r="W60388" s="503"/>
    </row>
    <row r="60389" spans="23:23">
      <c r="W60389" s="503"/>
    </row>
    <row r="60390" spans="23:23">
      <c r="W60390" s="503"/>
    </row>
    <row r="60391" spans="23:23">
      <c r="W60391" s="503"/>
    </row>
    <row r="60392" spans="23:23">
      <c r="W60392" s="503"/>
    </row>
    <row r="60393" spans="23:23">
      <c r="W60393" s="503"/>
    </row>
    <row r="60394" spans="23:23">
      <c r="W60394" s="503"/>
    </row>
    <row r="60395" spans="23:23">
      <c r="W60395" s="503"/>
    </row>
    <row r="60396" spans="23:23">
      <c r="W60396" s="503"/>
    </row>
    <row r="60397" spans="23:23">
      <c r="W60397" s="503"/>
    </row>
    <row r="60398" spans="23:23">
      <c r="W60398" s="503"/>
    </row>
    <row r="60399" spans="23:23">
      <c r="W60399" s="503"/>
    </row>
    <row r="60400" spans="23:23">
      <c r="W60400" s="503"/>
    </row>
    <row r="60401" spans="23:23">
      <c r="W60401" s="503"/>
    </row>
    <row r="60402" spans="23:23">
      <c r="W60402" s="503"/>
    </row>
    <row r="60403" spans="23:23">
      <c r="W60403" s="503"/>
    </row>
    <row r="60404" spans="23:23">
      <c r="W60404" s="503"/>
    </row>
    <row r="60405" spans="23:23">
      <c r="W60405" s="503"/>
    </row>
    <row r="60406" spans="23:23">
      <c r="W60406" s="503"/>
    </row>
    <row r="60407" spans="23:23">
      <c r="W60407" s="503"/>
    </row>
    <row r="60408" spans="23:23">
      <c r="W60408" s="503"/>
    </row>
    <row r="60409" spans="23:23">
      <c r="W60409" s="503"/>
    </row>
    <row r="60410" spans="23:23">
      <c r="W60410" s="503"/>
    </row>
    <row r="60411" spans="23:23">
      <c r="W60411" s="503"/>
    </row>
    <row r="60412" spans="23:23">
      <c r="W60412" s="503"/>
    </row>
    <row r="60413" spans="23:23">
      <c r="W60413" s="503"/>
    </row>
    <row r="60414" spans="23:23">
      <c r="W60414" s="503"/>
    </row>
    <row r="60415" spans="23:23">
      <c r="W60415" s="503"/>
    </row>
    <row r="60416" spans="23:23">
      <c r="W60416" s="503"/>
    </row>
    <row r="60417" spans="23:23">
      <c r="W60417" s="503"/>
    </row>
    <row r="60418" spans="23:23">
      <c r="W60418" s="503"/>
    </row>
    <row r="60419" spans="23:23">
      <c r="W60419" s="503"/>
    </row>
    <row r="60420" spans="23:23">
      <c r="W60420" s="503"/>
    </row>
    <row r="60421" spans="23:23">
      <c r="W60421" s="503"/>
    </row>
    <row r="60422" spans="23:23">
      <c r="W60422" s="503"/>
    </row>
    <row r="60423" spans="23:23">
      <c r="W60423" s="503"/>
    </row>
    <row r="60424" spans="23:23">
      <c r="W60424" s="503"/>
    </row>
    <row r="60425" spans="23:23">
      <c r="W60425" s="503"/>
    </row>
    <row r="60426" spans="23:23">
      <c r="W60426" s="503"/>
    </row>
    <row r="60427" spans="23:23">
      <c r="W60427" s="503"/>
    </row>
    <row r="60428" spans="23:23">
      <c r="W60428" s="503"/>
    </row>
    <row r="60429" spans="23:23">
      <c r="W60429" s="503"/>
    </row>
    <row r="60430" spans="23:23">
      <c r="W60430" s="503"/>
    </row>
    <row r="60431" spans="23:23">
      <c r="W60431" s="503"/>
    </row>
    <row r="60432" spans="23:23">
      <c r="W60432" s="503"/>
    </row>
    <row r="60433" spans="23:23">
      <c r="W60433" s="503"/>
    </row>
    <row r="60434" spans="23:23">
      <c r="W60434" s="503"/>
    </row>
    <row r="60435" spans="23:23">
      <c r="W60435" s="503"/>
    </row>
    <row r="60436" spans="23:23">
      <c r="W60436" s="503"/>
    </row>
    <row r="60437" spans="23:23">
      <c r="W60437" s="503"/>
    </row>
    <row r="60438" spans="23:23">
      <c r="W60438" s="503"/>
    </row>
    <row r="60439" spans="23:23">
      <c r="W60439" s="503"/>
    </row>
    <row r="60440" spans="23:23">
      <c r="W60440" s="503"/>
    </row>
    <row r="60441" spans="23:23">
      <c r="W60441" s="503"/>
    </row>
    <row r="60442" spans="23:23">
      <c r="W60442" s="503"/>
    </row>
    <row r="60443" spans="23:23">
      <c r="W60443" s="503"/>
    </row>
    <row r="60444" spans="23:23">
      <c r="W60444" s="503"/>
    </row>
    <row r="60445" spans="23:23">
      <c r="W60445" s="503"/>
    </row>
    <row r="60446" spans="23:23">
      <c r="W60446" s="503"/>
    </row>
    <row r="60447" spans="23:23">
      <c r="W60447" s="503"/>
    </row>
    <row r="60448" spans="23:23">
      <c r="W60448" s="503"/>
    </row>
    <row r="60449" spans="23:23">
      <c r="W60449" s="503"/>
    </row>
    <row r="60450" spans="23:23">
      <c r="W60450" s="503"/>
    </row>
    <row r="60451" spans="23:23">
      <c r="W60451" s="503"/>
    </row>
    <row r="60452" spans="23:23">
      <c r="W60452" s="503"/>
    </row>
    <row r="60453" spans="23:23">
      <c r="W60453" s="503"/>
    </row>
    <row r="60454" spans="23:23">
      <c r="W60454" s="503"/>
    </row>
    <row r="60455" spans="23:23">
      <c r="W60455" s="503"/>
    </row>
    <row r="60456" spans="23:23">
      <c r="W60456" s="503"/>
    </row>
    <row r="60457" spans="23:23">
      <c r="W60457" s="503"/>
    </row>
    <row r="60458" spans="23:23">
      <c r="W60458" s="503"/>
    </row>
    <row r="60459" spans="23:23">
      <c r="W60459" s="503"/>
    </row>
    <row r="60460" spans="23:23">
      <c r="W60460" s="503"/>
    </row>
    <row r="60461" spans="23:23">
      <c r="W60461" s="503"/>
    </row>
    <row r="60462" spans="23:23">
      <c r="W60462" s="503"/>
    </row>
    <row r="60463" spans="23:23">
      <c r="W60463" s="503"/>
    </row>
    <row r="60464" spans="23:23">
      <c r="W60464" s="503"/>
    </row>
    <row r="60465" spans="23:23">
      <c r="W60465" s="503"/>
    </row>
    <row r="60466" spans="23:23">
      <c r="W60466" s="503"/>
    </row>
    <row r="60467" spans="23:23">
      <c r="W60467" s="503"/>
    </row>
    <row r="60468" spans="23:23">
      <c r="W60468" s="503"/>
    </row>
    <row r="60469" spans="23:23">
      <c r="W60469" s="503"/>
    </row>
    <row r="60470" spans="23:23">
      <c r="W60470" s="503"/>
    </row>
    <row r="60471" spans="23:23">
      <c r="W60471" s="503"/>
    </row>
    <row r="60472" spans="23:23">
      <c r="W60472" s="503"/>
    </row>
    <row r="60473" spans="23:23">
      <c r="W60473" s="503"/>
    </row>
    <row r="60474" spans="23:23">
      <c r="W60474" s="503"/>
    </row>
    <row r="60475" spans="23:23">
      <c r="W60475" s="503"/>
    </row>
    <row r="60476" spans="23:23">
      <c r="W60476" s="503"/>
    </row>
    <row r="60477" spans="23:23">
      <c r="W60477" s="503"/>
    </row>
    <row r="60478" spans="23:23">
      <c r="W60478" s="503"/>
    </row>
    <row r="60479" spans="23:23">
      <c r="W60479" s="503"/>
    </row>
    <row r="60480" spans="23:23">
      <c r="W60480" s="503"/>
    </row>
    <row r="60481" spans="23:23">
      <c r="W60481" s="503"/>
    </row>
    <row r="60482" spans="23:23">
      <c r="W60482" s="503"/>
    </row>
    <row r="60483" spans="23:23">
      <c r="W60483" s="503"/>
    </row>
    <row r="60484" spans="23:23">
      <c r="W60484" s="503"/>
    </row>
    <row r="60485" spans="23:23">
      <c r="W60485" s="503"/>
    </row>
    <row r="60486" spans="23:23">
      <c r="W60486" s="503"/>
    </row>
    <row r="60487" spans="23:23">
      <c r="W60487" s="503"/>
    </row>
    <row r="60488" spans="23:23">
      <c r="W60488" s="503"/>
    </row>
    <row r="60489" spans="23:23">
      <c r="W60489" s="503"/>
    </row>
    <row r="60490" spans="23:23">
      <c r="W60490" s="503"/>
    </row>
    <row r="60491" spans="23:23">
      <c r="W60491" s="503"/>
    </row>
    <row r="60492" spans="23:23">
      <c r="W60492" s="503"/>
    </row>
    <row r="60493" spans="23:23">
      <c r="W60493" s="503"/>
    </row>
    <row r="60494" spans="23:23">
      <c r="W60494" s="503"/>
    </row>
    <row r="60495" spans="23:23">
      <c r="W60495" s="503"/>
    </row>
    <row r="60496" spans="23:23">
      <c r="W60496" s="503"/>
    </row>
    <row r="60497" spans="23:23">
      <c r="W60497" s="503"/>
    </row>
    <row r="60498" spans="23:23">
      <c r="W60498" s="503"/>
    </row>
    <row r="60499" spans="23:23">
      <c r="W60499" s="503"/>
    </row>
    <row r="60500" spans="23:23">
      <c r="W60500" s="503"/>
    </row>
    <row r="60501" spans="23:23">
      <c r="W60501" s="503"/>
    </row>
    <row r="60502" spans="23:23">
      <c r="W60502" s="503"/>
    </row>
    <row r="60503" spans="23:23">
      <c r="W60503" s="503"/>
    </row>
    <row r="60504" spans="23:23">
      <c r="W60504" s="503"/>
    </row>
    <row r="60505" spans="23:23">
      <c r="W60505" s="503"/>
    </row>
    <row r="60506" spans="23:23">
      <c r="W60506" s="503"/>
    </row>
    <row r="60507" spans="23:23">
      <c r="W60507" s="503"/>
    </row>
    <row r="60508" spans="23:23">
      <c r="W60508" s="503"/>
    </row>
    <row r="60509" spans="23:23">
      <c r="W60509" s="503"/>
    </row>
    <row r="60510" spans="23:23">
      <c r="W60510" s="503"/>
    </row>
    <row r="60511" spans="23:23">
      <c r="W60511" s="503"/>
    </row>
    <row r="60512" spans="23:23">
      <c r="W60512" s="503"/>
    </row>
    <row r="60513" spans="23:23">
      <c r="W60513" s="503"/>
    </row>
    <row r="60514" spans="23:23">
      <c r="W60514" s="503"/>
    </row>
    <row r="60515" spans="23:23">
      <c r="W60515" s="503"/>
    </row>
    <row r="60516" spans="23:23">
      <c r="W60516" s="503"/>
    </row>
    <row r="60517" spans="23:23">
      <c r="W60517" s="503"/>
    </row>
    <row r="60518" spans="23:23">
      <c r="W60518" s="503"/>
    </row>
    <row r="60519" spans="23:23">
      <c r="W60519" s="503"/>
    </row>
    <row r="60520" spans="23:23">
      <c r="W60520" s="503"/>
    </row>
    <row r="60521" spans="23:23">
      <c r="W60521" s="503"/>
    </row>
    <row r="60522" spans="23:23">
      <c r="W60522" s="503"/>
    </row>
    <row r="60523" spans="23:23">
      <c r="W60523" s="503"/>
    </row>
    <row r="60524" spans="23:23">
      <c r="W60524" s="503"/>
    </row>
    <row r="60525" spans="23:23">
      <c r="W60525" s="503"/>
    </row>
    <row r="60526" spans="23:23">
      <c r="W60526" s="503"/>
    </row>
    <row r="60527" spans="23:23">
      <c r="W60527" s="503"/>
    </row>
    <row r="60528" spans="23:23">
      <c r="W60528" s="503"/>
    </row>
    <row r="60529" spans="23:23">
      <c r="W60529" s="503"/>
    </row>
    <row r="60530" spans="23:23">
      <c r="W60530" s="503"/>
    </row>
    <row r="60531" spans="23:23">
      <c r="W60531" s="503"/>
    </row>
    <row r="60532" spans="23:23">
      <c r="W60532" s="503"/>
    </row>
    <row r="60533" spans="23:23">
      <c r="W60533" s="503"/>
    </row>
    <row r="60534" spans="23:23">
      <c r="W60534" s="503"/>
    </row>
    <row r="60535" spans="23:23">
      <c r="W60535" s="503"/>
    </row>
    <row r="60536" spans="23:23">
      <c r="W60536" s="503"/>
    </row>
    <row r="60537" spans="23:23">
      <c r="W60537" s="503"/>
    </row>
    <row r="60538" spans="23:23">
      <c r="W60538" s="503"/>
    </row>
    <row r="60539" spans="23:23">
      <c r="W60539" s="503"/>
    </row>
    <row r="60540" spans="23:23">
      <c r="W60540" s="503"/>
    </row>
    <row r="60541" spans="23:23">
      <c r="W60541" s="503"/>
    </row>
    <row r="60542" spans="23:23">
      <c r="W60542" s="503"/>
    </row>
    <row r="60543" spans="23:23">
      <c r="W60543" s="503"/>
    </row>
    <row r="60544" spans="23:23">
      <c r="W60544" s="503"/>
    </row>
    <row r="60545" spans="23:23">
      <c r="W60545" s="503"/>
    </row>
    <row r="60546" spans="23:23">
      <c r="W60546" s="503"/>
    </row>
    <row r="60547" spans="23:23">
      <c r="W60547" s="503"/>
    </row>
    <row r="60548" spans="23:23">
      <c r="W60548" s="503"/>
    </row>
    <row r="60549" spans="23:23">
      <c r="W60549" s="503"/>
    </row>
    <row r="60550" spans="23:23">
      <c r="W60550" s="503"/>
    </row>
    <row r="60551" spans="23:23">
      <c r="W60551" s="503"/>
    </row>
    <row r="60552" spans="23:23">
      <c r="W60552" s="503"/>
    </row>
    <row r="60553" spans="23:23">
      <c r="W60553" s="503"/>
    </row>
    <row r="60554" spans="23:23">
      <c r="W60554" s="503"/>
    </row>
    <row r="60555" spans="23:23">
      <c r="W60555" s="503"/>
    </row>
    <row r="60556" spans="23:23">
      <c r="W60556" s="503"/>
    </row>
    <row r="60557" spans="23:23">
      <c r="W60557" s="503"/>
    </row>
    <row r="60558" spans="23:23">
      <c r="W60558" s="503"/>
    </row>
    <row r="60559" spans="23:23">
      <c r="W60559" s="503"/>
    </row>
    <row r="60560" spans="23:23">
      <c r="W60560" s="503"/>
    </row>
    <row r="60561" spans="23:23">
      <c r="W60561" s="503"/>
    </row>
    <row r="60562" spans="23:23">
      <c r="W60562" s="503"/>
    </row>
    <row r="60563" spans="23:23">
      <c r="W60563" s="503"/>
    </row>
    <row r="60564" spans="23:23">
      <c r="W60564" s="503"/>
    </row>
    <row r="60565" spans="23:23">
      <c r="W60565" s="503"/>
    </row>
    <row r="60566" spans="23:23">
      <c r="W60566" s="503"/>
    </row>
    <row r="60567" spans="23:23">
      <c r="W60567" s="503"/>
    </row>
    <row r="60568" spans="23:23">
      <c r="W60568" s="503"/>
    </row>
    <row r="60569" spans="23:23">
      <c r="W60569" s="503"/>
    </row>
    <row r="60570" spans="23:23">
      <c r="W60570" s="503"/>
    </row>
    <row r="60571" spans="23:23">
      <c r="W60571" s="503"/>
    </row>
    <row r="60572" spans="23:23">
      <c r="W60572" s="503"/>
    </row>
    <row r="60573" spans="23:23">
      <c r="W60573" s="503"/>
    </row>
    <row r="60574" spans="23:23">
      <c r="W60574" s="503"/>
    </row>
    <row r="60575" spans="23:23">
      <c r="W60575" s="503"/>
    </row>
    <row r="60576" spans="23:23">
      <c r="W60576" s="503"/>
    </row>
    <row r="60577" spans="23:23">
      <c r="W60577" s="503"/>
    </row>
    <row r="60578" spans="23:23">
      <c r="W60578" s="503"/>
    </row>
    <row r="60579" spans="23:23">
      <c r="W60579" s="503"/>
    </row>
    <row r="60580" spans="23:23">
      <c r="W60580" s="503"/>
    </row>
    <row r="60581" spans="23:23">
      <c r="W60581" s="503"/>
    </row>
    <row r="60582" spans="23:23">
      <c r="W60582" s="503"/>
    </row>
    <row r="60583" spans="23:23">
      <c r="W60583" s="503"/>
    </row>
    <row r="60584" spans="23:23">
      <c r="W60584" s="503"/>
    </row>
    <row r="60585" spans="23:23">
      <c r="W60585" s="503"/>
    </row>
    <row r="60586" spans="23:23">
      <c r="W60586" s="503"/>
    </row>
    <row r="60587" spans="23:23">
      <c r="W60587" s="503"/>
    </row>
    <row r="60588" spans="23:23">
      <c r="W60588" s="503"/>
    </row>
    <row r="60589" spans="23:23">
      <c r="W60589" s="503"/>
    </row>
    <row r="60590" spans="23:23">
      <c r="W60590" s="503"/>
    </row>
    <row r="60591" spans="23:23">
      <c r="W60591" s="503"/>
    </row>
    <row r="60592" spans="23:23">
      <c r="W60592" s="503"/>
    </row>
    <row r="60593" spans="23:23">
      <c r="W60593" s="503"/>
    </row>
    <row r="60594" spans="23:23">
      <c r="W60594" s="503"/>
    </row>
    <row r="60595" spans="23:23">
      <c r="W60595" s="503"/>
    </row>
    <row r="60596" spans="23:23">
      <c r="W60596" s="503"/>
    </row>
    <row r="60597" spans="23:23">
      <c r="W60597" s="503"/>
    </row>
    <row r="60598" spans="23:23">
      <c r="W60598" s="503"/>
    </row>
    <row r="60599" spans="23:23">
      <c r="W60599" s="503"/>
    </row>
    <row r="60600" spans="23:23">
      <c r="W60600" s="503"/>
    </row>
    <row r="60601" spans="23:23">
      <c r="W60601" s="503"/>
    </row>
    <row r="60602" spans="23:23">
      <c r="W60602" s="503"/>
    </row>
    <row r="60603" spans="23:23">
      <c r="W60603" s="503"/>
    </row>
    <row r="60604" spans="23:23">
      <c r="W60604" s="503"/>
    </row>
    <row r="60605" spans="23:23">
      <c r="W60605" s="503"/>
    </row>
    <row r="60606" spans="23:23">
      <c r="W60606" s="503"/>
    </row>
    <row r="60607" spans="23:23">
      <c r="W60607" s="503"/>
    </row>
    <row r="60608" spans="23:23">
      <c r="W60608" s="503"/>
    </row>
    <row r="60609" spans="23:23">
      <c r="W60609" s="503"/>
    </row>
    <row r="60610" spans="23:23">
      <c r="W60610" s="503"/>
    </row>
    <row r="60611" spans="23:23">
      <c r="W60611" s="503"/>
    </row>
    <row r="60612" spans="23:23">
      <c r="W60612" s="503"/>
    </row>
    <row r="60613" spans="23:23">
      <c r="W60613" s="503"/>
    </row>
    <row r="60614" spans="23:23">
      <c r="W60614" s="503"/>
    </row>
    <row r="60615" spans="23:23">
      <c r="W60615" s="503"/>
    </row>
    <row r="60616" spans="23:23">
      <c r="W60616" s="503"/>
    </row>
    <row r="60617" spans="23:23">
      <c r="W60617" s="503"/>
    </row>
    <row r="60618" spans="23:23">
      <c r="W60618" s="503"/>
    </row>
    <row r="60619" spans="23:23">
      <c r="W60619" s="503"/>
    </row>
    <row r="60620" spans="23:23">
      <c r="W60620" s="503"/>
    </row>
    <row r="60621" spans="23:23">
      <c r="W60621" s="503"/>
    </row>
    <row r="60622" spans="23:23">
      <c r="W60622" s="503"/>
    </row>
    <row r="60623" spans="23:23">
      <c r="W60623" s="503"/>
    </row>
    <row r="60624" spans="23:23">
      <c r="W60624" s="503"/>
    </row>
    <row r="60625" spans="23:23">
      <c r="W60625" s="503"/>
    </row>
    <row r="60626" spans="23:23">
      <c r="W60626" s="503"/>
    </row>
    <row r="60627" spans="23:23">
      <c r="W60627" s="503"/>
    </row>
    <row r="60628" spans="23:23">
      <c r="W60628" s="503"/>
    </row>
    <row r="60629" spans="23:23">
      <c r="W60629" s="503"/>
    </row>
    <row r="60630" spans="23:23">
      <c r="W60630" s="503"/>
    </row>
    <row r="60631" spans="23:23">
      <c r="W60631" s="503"/>
    </row>
    <row r="60632" spans="23:23">
      <c r="W60632" s="503"/>
    </row>
    <row r="60633" spans="23:23">
      <c r="W60633" s="503"/>
    </row>
    <row r="60634" spans="23:23">
      <c r="W60634" s="503"/>
    </row>
    <row r="60635" spans="23:23">
      <c r="W60635" s="503"/>
    </row>
    <row r="60636" spans="23:23">
      <c r="W60636" s="503"/>
    </row>
    <row r="60637" spans="23:23">
      <c r="W60637" s="503"/>
    </row>
    <row r="60638" spans="23:23">
      <c r="W60638" s="503"/>
    </row>
    <row r="60639" spans="23:23">
      <c r="W60639" s="503"/>
    </row>
    <row r="60640" spans="23:23">
      <c r="W60640" s="503"/>
    </row>
    <row r="60641" spans="23:23">
      <c r="W60641" s="503"/>
    </row>
    <row r="60642" spans="23:23">
      <c r="W60642" s="503"/>
    </row>
    <row r="60643" spans="23:23">
      <c r="W60643" s="503"/>
    </row>
    <row r="60644" spans="23:23">
      <c r="W60644" s="503"/>
    </row>
    <row r="60645" spans="23:23">
      <c r="W60645" s="503"/>
    </row>
    <row r="60646" spans="23:23">
      <c r="W60646" s="503"/>
    </row>
    <row r="60647" spans="23:23">
      <c r="W60647" s="503"/>
    </row>
    <row r="60648" spans="23:23">
      <c r="W60648" s="503"/>
    </row>
    <row r="60649" spans="23:23">
      <c r="W60649" s="503"/>
    </row>
    <row r="60650" spans="23:23">
      <c r="W60650" s="503"/>
    </row>
    <row r="60651" spans="23:23">
      <c r="W60651" s="503"/>
    </row>
    <row r="60652" spans="23:23">
      <c r="W60652" s="503"/>
    </row>
    <row r="60653" spans="23:23">
      <c r="W60653" s="503"/>
    </row>
    <row r="60654" spans="23:23">
      <c r="W60654" s="503"/>
    </row>
    <row r="60655" spans="23:23">
      <c r="W60655" s="503"/>
    </row>
    <row r="60656" spans="23:23">
      <c r="W60656" s="503"/>
    </row>
    <row r="60657" spans="23:23">
      <c r="W60657" s="503"/>
    </row>
    <row r="60658" spans="23:23">
      <c r="W60658" s="503"/>
    </row>
    <row r="60659" spans="23:23">
      <c r="W60659" s="503"/>
    </row>
    <row r="60660" spans="23:23">
      <c r="W60660" s="503"/>
    </row>
    <row r="60661" spans="23:23">
      <c r="W60661" s="503"/>
    </row>
    <row r="60662" spans="23:23">
      <c r="W60662" s="503"/>
    </row>
    <row r="60663" spans="23:23">
      <c r="W60663" s="503"/>
    </row>
    <row r="60664" spans="23:23">
      <c r="W60664" s="503"/>
    </row>
    <row r="60665" spans="23:23">
      <c r="W60665" s="503"/>
    </row>
    <row r="60666" spans="23:23">
      <c r="W60666" s="503"/>
    </row>
    <row r="60667" spans="23:23">
      <c r="W60667" s="503"/>
    </row>
    <row r="60668" spans="23:23">
      <c r="W60668" s="503"/>
    </row>
    <row r="60669" spans="23:23">
      <c r="W60669" s="503"/>
    </row>
    <row r="60670" spans="23:23">
      <c r="W60670" s="503"/>
    </row>
    <row r="60671" spans="23:23">
      <c r="W60671" s="503"/>
    </row>
    <row r="60672" spans="23:23">
      <c r="W60672" s="503"/>
    </row>
    <row r="60673" spans="23:23">
      <c r="W60673" s="503"/>
    </row>
    <row r="60674" spans="23:23">
      <c r="W60674" s="503"/>
    </row>
    <row r="60675" spans="23:23">
      <c r="W60675" s="503"/>
    </row>
    <row r="60676" spans="23:23">
      <c r="W60676" s="503"/>
    </row>
    <row r="60677" spans="23:23">
      <c r="W60677" s="503"/>
    </row>
    <row r="60678" spans="23:23">
      <c r="W60678" s="503"/>
    </row>
    <row r="60679" spans="23:23">
      <c r="W60679" s="503"/>
    </row>
    <row r="60680" spans="23:23">
      <c r="W60680" s="503"/>
    </row>
    <row r="60681" spans="23:23">
      <c r="W60681" s="503"/>
    </row>
    <row r="60682" spans="23:23">
      <c r="W60682" s="503"/>
    </row>
    <row r="60683" spans="23:23">
      <c r="W60683" s="503"/>
    </row>
    <row r="60684" spans="23:23">
      <c r="W60684" s="503"/>
    </row>
    <row r="60685" spans="23:23">
      <c r="W60685" s="503"/>
    </row>
    <row r="60686" spans="23:23">
      <c r="W60686" s="503"/>
    </row>
    <row r="60687" spans="23:23">
      <c r="W60687" s="503"/>
    </row>
    <row r="60688" spans="23:23">
      <c r="W60688" s="503"/>
    </row>
    <row r="60689" spans="23:23">
      <c r="W60689" s="503"/>
    </row>
    <row r="60690" spans="23:23">
      <c r="W60690" s="503"/>
    </row>
    <row r="60691" spans="23:23">
      <c r="W60691" s="503"/>
    </row>
    <row r="60692" spans="23:23">
      <c r="W60692" s="503"/>
    </row>
    <row r="60693" spans="23:23">
      <c r="W60693" s="503"/>
    </row>
    <row r="60694" spans="23:23">
      <c r="W60694" s="503"/>
    </row>
    <row r="60695" spans="23:23">
      <c r="W60695" s="503"/>
    </row>
    <row r="60696" spans="23:23">
      <c r="W60696" s="503"/>
    </row>
    <row r="60697" spans="23:23">
      <c r="W60697" s="503"/>
    </row>
    <row r="60698" spans="23:23">
      <c r="W60698" s="503"/>
    </row>
    <row r="60699" spans="23:23">
      <c r="W60699" s="503"/>
    </row>
    <row r="60700" spans="23:23">
      <c r="W60700" s="503"/>
    </row>
    <row r="60701" spans="23:23">
      <c r="W60701" s="503"/>
    </row>
    <row r="60702" spans="23:23">
      <c r="W60702" s="503"/>
    </row>
    <row r="60703" spans="23:23">
      <c r="W60703" s="503"/>
    </row>
    <row r="60704" spans="23:23">
      <c r="W60704" s="503"/>
    </row>
    <row r="60705" spans="23:23">
      <c r="W60705" s="503"/>
    </row>
    <row r="60706" spans="23:23">
      <c r="W60706" s="503"/>
    </row>
    <row r="60707" spans="23:23">
      <c r="W60707" s="503"/>
    </row>
    <row r="60708" spans="23:23">
      <c r="W60708" s="503"/>
    </row>
    <row r="60709" spans="23:23">
      <c r="W60709" s="503"/>
    </row>
    <row r="60710" spans="23:23">
      <c r="W60710" s="503"/>
    </row>
    <row r="60711" spans="23:23">
      <c r="W60711" s="503"/>
    </row>
    <row r="60712" spans="23:23">
      <c r="W60712" s="503"/>
    </row>
    <row r="60713" spans="23:23">
      <c r="W60713" s="503"/>
    </row>
    <row r="60714" spans="23:23">
      <c r="W60714" s="503"/>
    </row>
    <row r="60715" spans="23:23">
      <c r="W60715" s="503"/>
    </row>
    <row r="60716" spans="23:23">
      <c r="W60716" s="503"/>
    </row>
    <row r="60717" spans="23:23">
      <c r="W60717" s="503"/>
    </row>
    <row r="60718" spans="23:23">
      <c r="W60718" s="503"/>
    </row>
    <row r="60719" spans="23:23">
      <c r="W60719" s="503"/>
    </row>
    <row r="60720" spans="23:23">
      <c r="W60720" s="503"/>
    </row>
    <row r="60721" spans="23:23">
      <c r="W60721" s="503"/>
    </row>
    <row r="60722" spans="23:23">
      <c r="W60722" s="503"/>
    </row>
    <row r="60723" spans="23:23">
      <c r="W60723" s="503"/>
    </row>
    <row r="60724" spans="23:23">
      <c r="W60724" s="503"/>
    </row>
    <row r="60725" spans="23:23">
      <c r="W60725" s="503"/>
    </row>
    <row r="60726" spans="23:23">
      <c r="W60726" s="503"/>
    </row>
    <row r="60727" spans="23:23">
      <c r="W60727" s="503"/>
    </row>
    <row r="60728" spans="23:23">
      <c r="W60728" s="503"/>
    </row>
    <row r="60729" spans="23:23">
      <c r="W60729" s="503"/>
    </row>
    <row r="60730" spans="23:23">
      <c r="W60730" s="503"/>
    </row>
    <row r="60731" spans="23:23">
      <c r="W60731" s="503"/>
    </row>
    <row r="60732" spans="23:23">
      <c r="W60732" s="503"/>
    </row>
    <row r="60733" spans="23:23">
      <c r="W60733" s="503"/>
    </row>
    <row r="60734" spans="23:23">
      <c r="W60734" s="503"/>
    </row>
    <row r="60735" spans="23:23">
      <c r="W60735" s="503"/>
    </row>
    <row r="60736" spans="23:23">
      <c r="W60736" s="503"/>
    </row>
    <row r="60737" spans="23:23">
      <c r="W60737" s="503"/>
    </row>
    <row r="60738" spans="23:23">
      <c r="W60738" s="503"/>
    </row>
    <row r="60739" spans="23:23">
      <c r="W60739" s="503"/>
    </row>
    <row r="60740" spans="23:23">
      <c r="W60740" s="503"/>
    </row>
    <row r="60741" spans="23:23">
      <c r="W60741" s="503"/>
    </row>
    <row r="60742" spans="23:23">
      <c r="W60742" s="503"/>
    </row>
    <row r="60743" spans="23:23">
      <c r="W60743" s="503"/>
    </row>
    <row r="60744" spans="23:23">
      <c r="W60744" s="503"/>
    </row>
    <row r="60745" spans="23:23">
      <c r="W60745" s="503"/>
    </row>
    <row r="60746" spans="23:23">
      <c r="W60746" s="503"/>
    </row>
    <row r="60747" spans="23:23">
      <c r="W60747" s="503"/>
    </row>
    <row r="60748" spans="23:23">
      <c r="W60748" s="503"/>
    </row>
    <row r="60749" spans="23:23">
      <c r="W60749" s="503"/>
    </row>
    <row r="60750" spans="23:23">
      <c r="W60750" s="503"/>
    </row>
    <row r="60751" spans="23:23">
      <c r="W60751" s="503"/>
    </row>
    <row r="60752" spans="23:23">
      <c r="W60752" s="503"/>
    </row>
    <row r="60753" spans="23:23">
      <c r="W60753" s="503"/>
    </row>
    <row r="60754" spans="23:23">
      <c r="W60754" s="503"/>
    </row>
    <row r="60755" spans="23:23">
      <c r="W60755" s="503"/>
    </row>
    <row r="60756" spans="23:23">
      <c r="W60756" s="503"/>
    </row>
    <row r="60757" spans="23:23">
      <c r="W60757" s="503"/>
    </row>
    <row r="60758" spans="23:23">
      <c r="W60758" s="503"/>
    </row>
    <row r="60759" spans="23:23">
      <c r="W60759" s="503"/>
    </row>
    <row r="60760" spans="23:23">
      <c r="W60760" s="503"/>
    </row>
    <row r="60761" spans="23:23">
      <c r="W60761" s="503"/>
    </row>
    <row r="60762" spans="23:23">
      <c r="W60762" s="503"/>
    </row>
    <row r="60763" spans="23:23">
      <c r="W60763" s="503"/>
    </row>
    <row r="60764" spans="23:23">
      <c r="W60764" s="503"/>
    </row>
    <row r="60765" spans="23:23">
      <c r="W60765" s="503"/>
    </row>
    <row r="60766" spans="23:23">
      <c r="W60766" s="503"/>
    </row>
    <row r="60767" spans="23:23">
      <c r="W60767" s="503"/>
    </row>
    <row r="60768" spans="23:23">
      <c r="W60768" s="503"/>
    </row>
    <row r="60769" spans="23:23">
      <c r="W60769" s="503"/>
    </row>
    <row r="60770" spans="23:23">
      <c r="W60770" s="503"/>
    </row>
    <row r="60771" spans="23:23">
      <c r="W60771" s="503"/>
    </row>
    <row r="60772" spans="23:23">
      <c r="W60772" s="503"/>
    </row>
    <row r="60773" spans="23:23">
      <c r="W60773" s="503"/>
    </row>
    <row r="60774" spans="23:23">
      <c r="W60774" s="503"/>
    </row>
    <row r="60775" spans="23:23">
      <c r="W60775" s="503"/>
    </row>
    <row r="60776" spans="23:23">
      <c r="W60776" s="503"/>
    </row>
    <row r="60777" spans="23:23">
      <c r="W60777" s="503"/>
    </row>
    <row r="60778" spans="23:23">
      <c r="W60778" s="503"/>
    </row>
    <row r="60779" spans="23:23">
      <c r="W60779" s="503"/>
    </row>
    <row r="60780" spans="23:23">
      <c r="W60780" s="503"/>
    </row>
    <row r="60781" spans="23:23">
      <c r="W60781" s="503"/>
    </row>
    <row r="60782" spans="23:23">
      <c r="W60782" s="503"/>
    </row>
    <row r="60783" spans="23:23">
      <c r="W60783" s="503"/>
    </row>
    <row r="60784" spans="23:23">
      <c r="W60784" s="503"/>
    </row>
    <row r="60785" spans="23:23">
      <c r="W60785" s="503"/>
    </row>
    <row r="60786" spans="23:23">
      <c r="W60786" s="503"/>
    </row>
    <row r="60787" spans="23:23">
      <c r="W60787" s="503"/>
    </row>
    <row r="60788" spans="23:23">
      <c r="W60788" s="503"/>
    </row>
    <row r="60789" spans="23:23">
      <c r="W60789" s="503"/>
    </row>
    <row r="60790" spans="23:23">
      <c r="W60790" s="503"/>
    </row>
    <row r="60791" spans="23:23">
      <c r="W60791" s="503"/>
    </row>
    <row r="60792" spans="23:23">
      <c r="W60792" s="503"/>
    </row>
    <row r="60793" spans="23:23">
      <c r="W60793" s="503"/>
    </row>
    <row r="60794" spans="23:23">
      <c r="W60794" s="503"/>
    </row>
    <row r="60795" spans="23:23">
      <c r="W60795" s="503"/>
    </row>
    <row r="60796" spans="23:23">
      <c r="W60796" s="503"/>
    </row>
    <row r="60797" spans="23:23">
      <c r="W60797" s="503"/>
    </row>
    <row r="60798" spans="23:23">
      <c r="W60798" s="503"/>
    </row>
    <row r="60799" spans="23:23">
      <c r="W60799" s="503"/>
    </row>
    <row r="60800" spans="23:23">
      <c r="W60800" s="503"/>
    </row>
    <row r="60801" spans="23:23">
      <c r="W60801" s="503"/>
    </row>
    <row r="60802" spans="23:23">
      <c r="W60802" s="503"/>
    </row>
    <row r="60803" spans="23:23">
      <c r="W60803" s="503"/>
    </row>
    <row r="60804" spans="23:23">
      <c r="W60804" s="503"/>
    </row>
    <row r="60805" spans="23:23">
      <c r="W60805" s="503"/>
    </row>
    <row r="60806" spans="23:23">
      <c r="W60806" s="503"/>
    </row>
    <row r="60807" spans="23:23">
      <c r="W60807" s="503"/>
    </row>
    <row r="60808" spans="23:23">
      <c r="W60808" s="503"/>
    </row>
    <row r="60809" spans="23:23">
      <c r="W60809" s="503"/>
    </row>
    <row r="60810" spans="23:23">
      <c r="W60810" s="503"/>
    </row>
    <row r="60811" spans="23:23">
      <c r="W60811" s="503"/>
    </row>
    <row r="60812" spans="23:23">
      <c r="W60812" s="503"/>
    </row>
    <row r="60813" spans="23:23">
      <c r="W60813" s="503"/>
    </row>
    <row r="60814" spans="23:23">
      <c r="W60814" s="503"/>
    </row>
    <row r="60815" spans="23:23">
      <c r="W60815" s="503"/>
    </row>
    <row r="60816" spans="23:23">
      <c r="W60816" s="503"/>
    </row>
    <row r="60817" spans="23:23">
      <c r="W60817" s="503"/>
    </row>
    <row r="60818" spans="23:23">
      <c r="W60818" s="503"/>
    </row>
    <row r="60819" spans="23:23">
      <c r="W60819" s="503"/>
    </row>
    <row r="60820" spans="23:23">
      <c r="W60820" s="503"/>
    </row>
    <row r="60821" spans="23:23">
      <c r="W60821" s="503"/>
    </row>
    <row r="60822" spans="23:23">
      <c r="W60822" s="503"/>
    </row>
    <row r="60823" spans="23:23">
      <c r="W60823" s="503"/>
    </row>
    <row r="60824" spans="23:23">
      <c r="W60824" s="503"/>
    </row>
    <row r="60825" spans="23:23">
      <c r="W60825" s="503"/>
    </row>
    <row r="60826" spans="23:23">
      <c r="W60826" s="503"/>
    </row>
    <row r="60827" spans="23:23">
      <c r="W60827" s="503"/>
    </row>
    <row r="60828" spans="23:23">
      <c r="W60828" s="503"/>
    </row>
    <row r="60829" spans="23:23">
      <c r="W60829" s="503"/>
    </row>
    <row r="60830" spans="23:23">
      <c r="W60830" s="503"/>
    </row>
    <row r="60831" spans="23:23">
      <c r="W60831" s="503"/>
    </row>
    <row r="60832" spans="23:23">
      <c r="W60832" s="503"/>
    </row>
    <row r="60833" spans="23:23">
      <c r="W60833" s="503"/>
    </row>
    <row r="60834" spans="23:23">
      <c r="W60834" s="503"/>
    </row>
    <row r="60835" spans="23:23">
      <c r="W60835" s="503"/>
    </row>
    <row r="60836" spans="23:23">
      <c r="W60836" s="503"/>
    </row>
    <row r="60837" spans="23:23">
      <c r="W60837" s="503"/>
    </row>
    <row r="60838" spans="23:23">
      <c r="W60838" s="503"/>
    </row>
    <row r="60839" spans="23:23">
      <c r="W60839" s="503"/>
    </row>
    <row r="60840" spans="23:23">
      <c r="W60840" s="503"/>
    </row>
    <row r="60841" spans="23:23">
      <c r="W60841" s="503"/>
    </row>
    <row r="60842" spans="23:23">
      <c r="W60842" s="503"/>
    </row>
    <row r="60843" spans="23:23">
      <c r="W60843" s="503"/>
    </row>
    <row r="60844" spans="23:23">
      <c r="W60844" s="503"/>
    </row>
    <row r="60845" spans="23:23">
      <c r="W60845" s="503"/>
    </row>
    <row r="60846" spans="23:23">
      <c r="W60846" s="503"/>
    </row>
    <row r="60847" spans="23:23">
      <c r="W60847" s="503"/>
    </row>
    <row r="60848" spans="23:23">
      <c r="W60848" s="503"/>
    </row>
    <row r="60849" spans="23:23">
      <c r="W60849" s="503"/>
    </row>
    <row r="60850" spans="23:23">
      <c r="W60850" s="503"/>
    </row>
    <row r="60851" spans="23:23">
      <c r="W60851" s="503"/>
    </row>
    <row r="60852" spans="23:23">
      <c r="W60852" s="503"/>
    </row>
    <row r="60853" spans="23:23">
      <c r="W60853" s="503"/>
    </row>
    <row r="60854" spans="23:23">
      <c r="W60854" s="503"/>
    </row>
    <row r="60855" spans="23:23">
      <c r="W60855" s="503"/>
    </row>
    <row r="60856" spans="23:23">
      <c r="W60856" s="503"/>
    </row>
    <row r="60857" spans="23:23">
      <c r="W60857" s="503"/>
    </row>
    <row r="60858" spans="23:23">
      <c r="W60858" s="503"/>
    </row>
    <row r="60859" spans="23:23">
      <c r="W60859" s="503"/>
    </row>
    <row r="60860" spans="23:23">
      <c r="W60860" s="503"/>
    </row>
    <row r="60861" spans="23:23">
      <c r="W60861" s="503"/>
    </row>
    <row r="60862" spans="23:23">
      <c r="W60862" s="503"/>
    </row>
    <row r="60863" spans="23:23">
      <c r="W60863" s="503"/>
    </row>
    <row r="60864" spans="23:23">
      <c r="W60864" s="503"/>
    </row>
    <row r="60865" spans="23:23">
      <c r="W60865" s="503"/>
    </row>
    <row r="60866" spans="23:23">
      <c r="W60866" s="503"/>
    </row>
    <row r="60867" spans="23:23">
      <c r="W60867" s="503"/>
    </row>
    <row r="60868" spans="23:23">
      <c r="W60868" s="503"/>
    </row>
    <row r="60869" spans="23:23">
      <c r="W60869" s="503"/>
    </row>
    <row r="60870" spans="23:23">
      <c r="W60870" s="503"/>
    </row>
    <row r="60871" spans="23:23">
      <c r="W60871" s="503"/>
    </row>
    <row r="60872" spans="23:23">
      <c r="W60872" s="503"/>
    </row>
    <row r="60873" spans="23:23">
      <c r="W60873" s="503"/>
    </row>
    <row r="60874" spans="23:23">
      <c r="W60874" s="503"/>
    </row>
    <row r="60875" spans="23:23">
      <c r="W60875" s="503"/>
    </row>
    <row r="60876" spans="23:23">
      <c r="W60876" s="503"/>
    </row>
    <row r="60877" spans="23:23">
      <c r="W60877" s="503"/>
    </row>
    <row r="60878" spans="23:23">
      <c r="W60878" s="503"/>
    </row>
    <row r="60879" spans="23:23">
      <c r="W60879" s="503"/>
    </row>
    <row r="60880" spans="23:23">
      <c r="W60880" s="503"/>
    </row>
    <row r="60881" spans="23:23">
      <c r="W60881" s="503"/>
    </row>
    <row r="60882" spans="23:23">
      <c r="W60882" s="503"/>
    </row>
    <row r="60883" spans="23:23">
      <c r="W60883" s="503"/>
    </row>
    <row r="60884" spans="23:23">
      <c r="W60884" s="503"/>
    </row>
    <row r="60885" spans="23:23">
      <c r="W60885" s="503"/>
    </row>
    <row r="60886" spans="23:23">
      <c r="W60886" s="503"/>
    </row>
    <row r="60887" spans="23:23">
      <c r="W60887" s="503"/>
    </row>
    <row r="60888" spans="23:23">
      <c r="W60888" s="503"/>
    </row>
    <row r="60889" spans="23:23">
      <c r="W60889" s="503"/>
    </row>
    <row r="60890" spans="23:23">
      <c r="W60890" s="503"/>
    </row>
    <row r="60891" spans="23:23">
      <c r="W60891" s="503"/>
    </row>
    <row r="60892" spans="23:23">
      <c r="W60892" s="503"/>
    </row>
    <row r="60893" spans="23:23">
      <c r="W60893" s="503"/>
    </row>
    <row r="60894" spans="23:23">
      <c r="W60894" s="503"/>
    </row>
    <row r="60895" spans="23:23">
      <c r="W60895" s="503"/>
    </row>
    <row r="60896" spans="23:23">
      <c r="W60896" s="503"/>
    </row>
    <row r="60897" spans="23:23">
      <c r="W60897" s="503"/>
    </row>
    <row r="60898" spans="23:23">
      <c r="W60898" s="503"/>
    </row>
    <row r="60899" spans="23:23">
      <c r="W60899" s="503"/>
    </row>
    <row r="60900" spans="23:23">
      <c r="W60900" s="503"/>
    </row>
    <row r="60901" spans="23:23">
      <c r="W60901" s="503"/>
    </row>
    <row r="60902" spans="23:23">
      <c r="W60902" s="503"/>
    </row>
    <row r="60903" spans="23:23">
      <c r="W60903" s="503"/>
    </row>
    <row r="60904" spans="23:23">
      <c r="W60904" s="503"/>
    </row>
    <row r="60905" spans="23:23">
      <c r="W60905" s="503"/>
    </row>
    <row r="60906" spans="23:23">
      <c r="W60906" s="503"/>
    </row>
    <row r="60907" spans="23:23">
      <c r="W60907" s="503"/>
    </row>
    <row r="60908" spans="23:23">
      <c r="W60908" s="503"/>
    </row>
    <row r="60909" spans="23:23">
      <c r="W60909" s="503"/>
    </row>
    <row r="60910" spans="23:23">
      <c r="W60910" s="503"/>
    </row>
    <row r="60911" spans="23:23">
      <c r="W60911" s="503"/>
    </row>
    <row r="60912" spans="23:23">
      <c r="W60912" s="503"/>
    </row>
    <row r="60913" spans="23:23">
      <c r="W60913" s="503"/>
    </row>
    <row r="60914" spans="23:23">
      <c r="W60914" s="503"/>
    </row>
    <row r="60915" spans="23:23">
      <c r="W60915" s="503"/>
    </row>
    <row r="60916" spans="23:23">
      <c r="W60916" s="503"/>
    </row>
    <row r="60917" spans="23:23">
      <c r="W60917" s="503"/>
    </row>
    <row r="60918" spans="23:23">
      <c r="W60918" s="503"/>
    </row>
    <row r="60919" spans="23:23">
      <c r="W60919" s="503"/>
    </row>
    <row r="60920" spans="23:23">
      <c r="W60920" s="503"/>
    </row>
    <row r="60921" spans="23:23">
      <c r="W60921" s="503"/>
    </row>
    <row r="60922" spans="23:23">
      <c r="W60922" s="503"/>
    </row>
    <row r="60923" spans="23:23">
      <c r="W60923" s="503"/>
    </row>
    <row r="60924" spans="23:23">
      <c r="W60924" s="503"/>
    </row>
    <row r="60925" spans="23:23">
      <c r="W60925" s="503"/>
    </row>
    <row r="60926" spans="23:23">
      <c r="W60926" s="503"/>
    </row>
    <row r="60927" spans="23:23">
      <c r="W60927" s="503"/>
    </row>
    <row r="60928" spans="23:23">
      <c r="W60928" s="503"/>
    </row>
    <row r="60929" spans="23:23">
      <c r="W60929" s="503"/>
    </row>
    <row r="60930" spans="23:23">
      <c r="W60930" s="503"/>
    </row>
    <row r="60931" spans="23:23">
      <c r="W60931" s="503"/>
    </row>
    <row r="60932" spans="23:23">
      <c r="W60932" s="503"/>
    </row>
    <row r="60933" spans="23:23">
      <c r="W60933" s="503"/>
    </row>
    <row r="60934" spans="23:23">
      <c r="W60934" s="503"/>
    </row>
    <row r="60935" spans="23:23">
      <c r="W60935" s="503"/>
    </row>
    <row r="60936" spans="23:23">
      <c r="W60936" s="503"/>
    </row>
    <row r="60937" spans="23:23">
      <c r="W60937" s="503"/>
    </row>
    <row r="60938" spans="23:23">
      <c r="W60938" s="503"/>
    </row>
    <row r="60939" spans="23:23">
      <c r="W60939" s="503"/>
    </row>
    <row r="60940" spans="23:23">
      <c r="W60940" s="503"/>
    </row>
    <row r="60941" spans="23:23">
      <c r="W60941" s="503"/>
    </row>
    <row r="60942" spans="23:23">
      <c r="W60942" s="503"/>
    </row>
    <row r="60943" spans="23:23">
      <c r="W60943" s="503"/>
    </row>
    <row r="60944" spans="23:23">
      <c r="W60944" s="503"/>
    </row>
    <row r="60945" spans="23:23">
      <c r="W60945" s="503"/>
    </row>
    <row r="60946" spans="23:23">
      <c r="W60946" s="503"/>
    </row>
    <row r="60947" spans="23:23">
      <c r="W60947" s="503"/>
    </row>
    <row r="60948" spans="23:23">
      <c r="W60948" s="503"/>
    </row>
    <row r="60949" spans="23:23">
      <c r="W60949" s="503"/>
    </row>
    <row r="60950" spans="23:23">
      <c r="W60950" s="503"/>
    </row>
    <row r="60951" spans="23:23">
      <c r="W60951" s="503"/>
    </row>
    <row r="60952" spans="23:23">
      <c r="W60952" s="503"/>
    </row>
    <row r="60953" spans="23:23">
      <c r="W60953" s="503"/>
    </row>
    <row r="60954" spans="23:23">
      <c r="W60954" s="503"/>
    </row>
    <row r="60955" spans="23:23">
      <c r="W60955" s="503"/>
    </row>
    <row r="60956" spans="23:23">
      <c r="W60956" s="503"/>
    </row>
    <row r="60957" spans="23:23">
      <c r="W60957" s="503"/>
    </row>
    <row r="60958" spans="23:23">
      <c r="W60958" s="503"/>
    </row>
    <row r="60959" spans="23:23">
      <c r="W60959" s="503"/>
    </row>
    <row r="60960" spans="23:23">
      <c r="W60960" s="503"/>
    </row>
    <row r="60961" spans="23:23">
      <c r="W60961" s="503"/>
    </row>
    <row r="60962" spans="23:23">
      <c r="W60962" s="503"/>
    </row>
    <row r="60963" spans="23:23">
      <c r="W60963" s="503"/>
    </row>
    <row r="60964" spans="23:23">
      <c r="W60964" s="503"/>
    </row>
    <row r="60965" spans="23:23">
      <c r="W60965" s="503"/>
    </row>
    <row r="60966" spans="23:23">
      <c r="W60966" s="503"/>
    </row>
    <row r="60967" spans="23:23">
      <c r="W60967" s="503"/>
    </row>
    <row r="60968" spans="23:23">
      <c r="W60968" s="503"/>
    </row>
    <row r="60969" spans="23:23">
      <c r="W60969" s="503"/>
    </row>
    <row r="60970" spans="23:23">
      <c r="W60970" s="503"/>
    </row>
    <row r="60971" spans="23:23">
      <c r="W60971" s="503"/>
    </row>
    <row r="60972" spans="23:23">
      <c r="W60972" s="503"/>
    </row>
    <row r="60973" spans="23:23">
      <c r="W60973" s="503"/>
    </row>
    <row r="60974" spans="23:23">
      <c r="W60974" s="503"/>
    </row>
    <row r="60975" spans="23:23">
      <c r="W60975" s="503"/>
    </row>
    <row r="60976" spans="23:23">
      <c r="W60976" s="503"/>
    </row>
    <row r="60977" spans="23:23">
      <c r="W60977" s="503"/>
    </row>
    <row r="60978" spans="23:23">
      <c r="W60978" s="503"/>
    </row>
    <row r="60979" spans="23:23">
      <c r="W60979" s="503"/>
    </row>
    <row r="60980" spans="23:23">
      <c r="W60980" s="503"/>
    </row>
    <row r="60981" spans="23:23">
      <c r="W60981" s="503"/>
    </row>
    <row r="60982" spans="23:23">
      <c r="W60982" s="503"/>
    </row>
    <row r="60983" spans="23:23">
      <c r="W60983" s="503"/>
    </row>
    <row r="60984" spans="23:23">
      <c r="W60984" s="503"/>
    </row>
    <row r="60985" spans="23:23">
      <c r="W60985" s="503"/>
    </row>
    <row r="60986" spans="23:23">
      <c r="W60986" s="503"/>
    </row>
    <row r="60987" spans="23:23">
      <c r="W60987" s="503"/>
    </row>
    <row r="60988" spans="23:23">
      <c r="W60988" s="503"/>
    </row>
    <row r="60989" spans="23:23">
      <c r="W60989" s="503"/>
    </row>
    <row r="60990" spans="23:23">
      <c r="W60990" s="503"/>
    </row>
    <row r="60991" spans="23:23">
      <c r="W60991" s="503"/>
    </row>
    <row r="60992" spans="23:23">
      <c r="W60992" s="503"/>
    </row>
    <row r="60993" spans="23:23">
      <c r="W60993" s="503"/>
    </row>
    <row r="60994" spans="23:23">
      <c r="W60994" s="503"/>
    </row>
    <row r="60995" spans="23:23">
      <c r="W60995" s="503"/>
    </row>
    <row r="60996" spans="23:23">
      <c r="W60996" s="503"/>
    </row>
    <row r="60997" spans="23:23">
      <c r="W60997" s="503"/>
    </row>
    <row r="60998" spans="23:23">
      <c r="W60998" s="503"/>
    </row>
    <row r="60999" spans="23:23">
      <c r="W60999" s="503"/>
    </row>
    <row r="61000" spans="23:23">
      <c r="W61000" s="503"/>
    </row>
    <row r="61001" spans="23:23">
      <c r="W61001" s="503"/>
    </row>
    <row r="61002" spans="23:23">
      <c r="W61002" s="503"/>
    </row>
    <row r="61003" spans="23:23">
      <c r="W61003" s="503"/>
    </row>
    <row r="61004" spans="23:23">
      <c r="W61004" s="503"/>
    </row>
    <row r="61005" spans="23:23">
      <c r="W61005" s="503"/>
    </row>
    <row r="61006" spans="23:23">
      <c r="W61006" s="503"/>
    </row>
    <row r="61007" spans="23:23">
      <c r="W61007" s="503"/>
    </row>
    <row r="61008" spans="23:23">
      <c r="W61008" s="503"/>
    </row>
    <row r="61009" spans="23:23">
      <c r="W61009" s="503"/>
    </row>
    <row r="61010" spans="23:23">
      <c r="W61010" s="503"/>
    </row>
    <row r="61011" spans="23:23">
      <c r="W61011" s="503"/>
    </row>
    <row r="61012" spans="23:23">
      <c r="W61012" s="503"/>
    </row>
    <row r="61013" spans="23:23">
      <c r="W61013" s="503"/>
    </row>
    <row r="61014" spans="23:23">
      <c r="W61014" s="503"/>
    </row>
    <row r="61015" spans="23:23">
      <c r="W61015" s="503"/>
    </row>
    <row r="61016" spans="23:23">
      <c r="W61016" s="503"/>
    </row>
    <row r="61017" spans="23:23">
      <c r="W61017" s="503"/>
    </row>
    <row r="61018" spans="23:23">
      <c r="W61018" s="503"/>
    </row>
    <row r="61019" spans="23:23">
      <c r="W61019" s="503"/>
    </row>
    <row r="61020" spans="23:23">
      <c r="W61020" s="503"/>
    </row>
    <row r="61021" spans="23:23">
      <c r="W61021" s="503"/>
    </row>
    <row r="61022" spans="23:23">
      <c r="W61022" s="503"/>
    </row>
    <row r="61023" spans="23:23">
      <c r="W61023" s="503"/>
    </row>
    <row r="61024" spans="23:23">
      <c r="W61024" s="503"/>
    </row>
    <row r="61025" spans="23:23">
      <c r="W61025" s="503"/>
    </row>
    <row r="61026" spans="23:23">
      <c r="W61026" s="503"/>
    </row>
    <row r="61027" spans="23:23">
      <c r="W61027" s="503"/>
    </row>
    <row r="61028" spans="23:23">
      <c r="W61028" s="503"/>
    </row>
    <row r="61029" spans="23:23">
      <c r="W61029" s="503"/>
    </row>
    <row r="61030" spans="23:23">
      <c r="W61030" s="503"/>
    </row>
    <row r="61031" spans="23:23">
      <c r="W61031" s="503"/>
    </row>
    <row r="61032" spans="23:23">
      <c r="W61032" s="503"/>
    </row>
    <row r="61033" spans="23:23">
      <c r="W61033" s="503"/>
    </row>
    <row r="61034" spans="23:23">
      <c r="W61034" s="503"/>
    </row>
    <row r="61035" spans="23:23">
      <c r="W61035" s="503"/>
    </row>
    <row r="61036" spans="23:23">
      <c r="W61036" s="503"/>
    </row>
    <row r="61037" spans="23:23">
      <c r="W61037" s="503"/>
    </row>
    <row r="61038" spans="23:23">
      <c r="W61038" s="503"/>
    </row>
    <row r="61039" spans="23:23">
      <c r="W61039" s="503"/>
    </row>
    <row r="61040" spans="23:23">
      <c r="W61040" s="503"/>
    </row>
    <row r="61041" spans="23:23">
      <c r="W61041" s="503"/>
    </row>
    <row r="61042" spans="23:23">
      <c r="W61042" s="503"/>
    </row>
    <row r="61043" spans="23:23">
      <c r="W61043" s="503"/>
    </row>
    <row r="61044" spans="23:23">
      <c r="W61044" s="503"/>
    </row>
    <row r="61045" spans="23:23">
      <c r="W61045" s="503"/>
    </row>
    <row r="61046" spans="23:23">
      <c r="W61046" s="503"/>
    </row>
    <row r="61047" spans="23:23">
      <c r="W61047" s="503"/>
    </row>
    <row r="61048" spans="23:23">
      <c r="W61048" s="503"/>
    </row>
    <row r="61049" spans="23:23">
      <c r="W61049" s="503"/>
    </row>
    <row r="61050" spans="23:23">
      <c r="W61050" s="503"/>
    </row>
    <row r="61051" spans="23:23">
      <c r="W61051" s="503"/>
    </row>
    <row r="61052" spans="23:23">
      <c r="W61052" s="503"/>
    </row>
    <row r="61053" spans="23:23">
      <c r="W61053" s="503"/>
    </row>
    <row r="61054" spans="23:23">
      <c r="W61054" s="503"/>
    </row>
    <row r="61055" spans="23:23">
      <c r="W61055" s="503"/>
    </row>
    <row r="61056" spans="23:23">
      <c r="W61056" s="503"/>
    </row>
    <row r="61057" spans="23:23">
      <c r="W61057" s="503"/>
    </row>
    <row r="61058" spans="23:23">
      <c r="W61058" s="503"/>
    </row>
    <row r="61059" spans="23:23">
      <c r="W61059" s="503"/>
    </row>
    <row r="61060" spans="23:23">
      <c r="W61060" s="503"/>
    </row>
    <row r="61061" spans="23:23">
      <c r="W61061" s="503"/>
    </row>
    <row r="61062" spans="23:23">
      <c r="W61062" s="503"/>
    </row>
    <row r="61063" spans="23:23">
      <c r="W61063" s="503"/>
    </row>
    <row r="61064" spans="23:23">
      <c r="W61064" s="503"/>
    </row>
    <row r="61065" spans="23:23">
      <c r="W61065" s="503"/>
    </row>
    <row r="61066" spans="23:23">
      <c r="W61066" s="503"/>
    </row>
    <row r="61067" spans="23:23">
      <c r="W61067" s="503"/>
    </row>
    <row r="61068" spans="23:23">
      <c r="W61068" s="503"/>
    </row>
    <row r="61069" spans="23:23">
      <c r="W61069" s="503"/>
    </row>
    <row r="61070" spans="23:23">
      <c r="W61070" s="503"/>
    </row>
    <row r="61071" spans="23:23">
      <c r="W61071" s="503"/>
    </row>
    <row r="61072" spans="23:23">
      <c r="W61072" s="503"/>
    </row>
    <row r="61073" spans="23:23">
      <c r="W61073" s="503"/>
    </row>
    <row r="61074" spans="23:23">
      <c r="W61074" s="503"/>
    </row>
    <row r="61075" spans="23:23">
      <c r="W61075" s="503"/>
    </row>
    <row r="61076" spans="23:23">
      <c r="W61076" s="503"/>
    </row>
    <row r="61077" spans="23:23">
      <c r="W61077" s="503"/>
    </row>
    <row r="61078" spans="23:23">
      <c r="W61078" s="503"/>
    </row>
    <row r="61079" spans="23:23">
      <c r="W61079" s="503"/>
    </row>
    <row r="61080" spans="23:23">
      <c r="W61080" s="503"/>
    </row>
    <row r="61081" spans="23:23">
      <c r="W61081" s="503"/>
    </row>
    <row r="61082" spans="23:23">
      <c r="W61082" s="503"/>
    </row>
    <row r="61083" spans="23:23">
      <c r="W61083" s="503"/>
    </row>
    <row r="61084" spans="23:23">
      <c r="W61084" s="503"/>
    </row>
    <row r="61085" spans="23:23">
      <c r="W61085" s="503"/>
    </row>
    <row r="61086" spans="23:23">
      <c r="W61086" s="503"/>
    </row>
    <row r="61087" spans="23:23">
      <c r="W61087" s="503"/>
    </row>
    <row r="61088" spans="23:23">
      <c r="W61088" s="503"/>
    </row>
    <row r="61089" spans="23:23">
      <c r="W61089" s="503"/>
    </row>
    <row r="61090" spans="23:23">
      <c r="W61090" s="503"/>
    </row>
    <row r="61091" spans="23:23">
      <c r="W61091" s="503"/>
    </row>
    <row r="61092" spans="23:23">
      <c r="W61092" s="503"/>
    </row>
    <row r="61093" spans="23:23">
      <c r="W61093" s="503"/>
    </row>
    <row r="61094" spans="23:23">
      <c r="W61094" s="503"/>
    </row>
    <row r="61095" spans="23:23">
      <c r="W61095" s="503"/>
    </row>
    <row r="61096" spans="23:23">
      <c r="W61096" s="503"/>
    </row>
    <row r="61097" spans="23:23">
      <c r="W61097" s="503"/>
    </row>
    <row r="61098" spans="23:23">
      <c r="W61098" s="503"/>
    </row>
    <row r="61099" spans="23:23">
      <c r="W61099" s="503"/>
    </row>
    <row r="61100" spans="23:23">
      <c r="W61100" s="503"/>
    </row>
    <row r="61101" spans="23:23">
      <c r="W61101" s="503"/>
    </row>
    <row r="61102" spans="23:23">
      <c r="W61102" s="503"/>
    </row>
    <row r="61103" spans="23:23">
      <c r="W61103" s="503"/>
    </row>
    <row r="61104" spans="23:23">
      <c r="W61104" s="503"/>
    </row>
    <row r="61105" spans="23:23">
      <c r="W61105" s="503"/>
    </row>
    <row r="61106" spans="23:23">
      <c r="W61106" s="503"/>
    </row>
    <row r="61107" spans="23:23">
      <c r="W61107" s="503"/>
    </row>
    <row r="61108" spans="23:23">
      <c r="W61108" s="503"/>
    </row>
    <row r="61109" spans="23:23">
      <c r="W61109" s="503"/>
    </row>
    <row r="61110" spans="23:23">
      <c r="W61110" s="503"/>
    </row>
    <row r="61111" spans="23:23">
      <c r="W61111" s="503"/>
    </row>
    <row r="61112" spans="23:23">
      <c r="W61112" s="503"/>
    </row>
    <row r="61113" spans="23:23">
      <c r="W61113" s="503"/>
    </row>
    <row r="61114" spans="23:23">
      <c r="W61114" s="503"/>
    </row>
    <row r="61115" spans="23:23">
      <c r="W61115" s="503"/>
    </row>
    <row r="61116" spans="23:23">
      <c r="W61116" s="503"/>
    </row>
    <row r="61117" spans="23:23">
      <c r="W61117" s="503"/>
    </row>
    <row r="61118" spans="23:23">
      <c r="W61118" s="503"/>
    </row>
    <row r="61119" spans="23:23">
      <c r="W61119" s="503"/>
    </row>
    <row r="61120" spans="23:23">
      <c r="W61120" s="503"/>
    </row>
    <row r="61121" spans="23:23">
      <c r="W61121" s="503"/>
    </row>
    <row r="61122" spans="23:23">
      <c r="W61122" s="503"/>
    </row>
    <row r="61123" spans="23:23">
      <c r="W61123" s="503"/>
    </row>
    <row r="61124" spans="23:23">
      <c r="W61124" s="503"/>
    </row>
    <row r="61125" spans="23:23">
      <c r="W61125" s="503"/>
    </row>
    <row r="61126" spans="23:23">
      <c r="W61126" s="503"/>
    </row>
    <row r="61127" spans="23:23">
      <c r="W61127" s="503"/>
    </row>
    <row r="61128" spans="23:23">
      <c r="W61128" s="503"/>
    </row>
    <row r="61129" spans="23:23">
      <c r="W61129" s="503"/>
    </row>
    <row r="61130" spans="23:23">
      <c r="W61130" s="503"/>
    </row>
    <row r="61131" spans="23:23">
      <c r="W61131" s="503"/>
    </row>
    <row r="61132" spans="23:23">
      <c r="W61132" s="503"/>
    </row>
    <row r="61133" spans="23:23">
      <c r="W61133" s="503"/>
    </row>
    <row r="61134" spans="23:23">
      <c r="W61134" s="503"/>
    </row>
    <row r="61135" spans="23:23">
      <c r="W61135" s="503"/>
    </row>
    <row r="61136" spans="23:23">
      <c r="W61136" s="503"/>
    </row>
    <row r="61137" spans="23:23">
      <c r="W61137" s="503"/>
    </row>
    <row r="61138" spans="23:23">
      <c r="W61138" s="503"/>
    </row>
    <row r="61139" spans="23:23">
      <c r="W61139" s="503"/>
    </row>
    <row r="61140" spans="23:23">
      <c r="W61140" s="503"/>
    </row>
    <row r="61141" spans="23:23">
      <c r="W61141" s="503"/>
    </row>
    <row r="61142" spans="23:23">
      <c r="W61142" s="503"/>
    </row>
    <row r="61143" spans="23:23">
      <c r="W61143" s="503"/>
    </row>
    <row r="61144" spans="23:23">
      <c r="W61144" s="503"/>
    </row>
    <row r="61145" spans="23:23">
      <c r="W61145" s="503"/>
    </row>
    <row r="61146" spans="23:23">
      <c r="W61146" s="503"/>
    </row>
    <row r="61147" spans="23:23">
      <c r="W61147" s="503"/>
    </row>
    <row r="61148" spans="23:23">
      <c r="W61148" s="503"/>
    </row>
    <row r="61149" spans="23:23">
      <c r="W61149" s="503"/>
    </row>
    <row r="61150" spans="23:23">
      <c r="W61150" s="503"/>
    </row>
    <row r="61151" spans="23:23">
      <c r="W61151" s="503"/>
    </row>
    <row r="61152" spans="23:23">
      <c r="W61152" s="503"/>
    </row>
    <row r="61153" spans="23:23">
      <c r="W61153" s="503"/>
    </row>
    <row r="61154" spans="23:23">
      <c r="W61154" s="503"/>
    </row>
    <row r="61155" spans="23:23">
      <c r="W61155" s="503"/>
    </row>
    <row r="61156" spans="23:23">
      <c r="W61156" s="503"/>
    </row>
    <row r="61157" spans="23:23">
      <c r="W61157" s="503"/>
    </row>
    <row r="61158" spans="23:23">
      <c r="W61158" s="503"/>
    </row>
    <row r="61159" spans="23:23">
      <c r="W61159" s="503"/>
    </row>
    <row r="61160" spans="23:23">
      <c r="W61160" s="503"/>
    </row>
    <row r="61161" spans="23:23">
      <c r="W61161" s="503"/>
    </row>
    <row r="61162" spans="23:23">
      <c r="W61162" s="503"/>
    </row>
    <row r="61163" spans="23:23">
      <c r="W61163" s="503"/>
    </row>
    <row r="61164" spans="23:23">
      <c r="W61164" s="503"/>
    </row>
    <row r="61165" spans="23:23">
      <c r="W61165" s="503"/>
    </row>
    <row r="61166" spans="23:23">
      <c r="W61166" s="503"/>
    </row>
    <row r="61167" spans="23:23">
      <c r="W61167" s="503"/>
    </row>
    <row r="61168" spans="23:23">
      <c r="W61168" s="503"/>
    </row>
    <row r="61169" spans="23:23">
      <c r="W61169" s="503"/>
    </row>
    <row r="61170" spans="23:23">
      <c r="W61170" s="503"/>
    </row>
    <row r="61171" spans="23:23">
      <c r="W61171" s="503"/>
    </row>
    <row r="61172" spans="23:23">
      <c r="W61172" s="503"/>
    </row>
    <row r="61173" spans="23:23">
      <c r="W61173" s="503"/>
    </row>
    <row r="61174" spans="23:23">
      <c r="W61174" s="503"/>
    </row>
    <row r="61175" spans="23:23">
      <c r="W61175" s="503"/>
    </row>
    <row r="61176" spans="23:23">
      <c r="W61176" s="503"/>
    </row>
    <row r="61177" spans="23:23">
      <c r="W61177" s="503"/>
    </row>
    <row r="61178" spans="23:23">
      <c r="W61178" s="503"/>
    </row>
    <row r="61179" spans="23:23">
      <c r="W61179" s="503"/>
    </row>
    <row r="61180" spans="23:23">
      <c r="W61180" s="503"/>
    </row>
    <row r="61181" spans="23:23">
      <c r="W61181" s="503"/>
    </row>
    <row r="61182" spans="23:23">
      <c r="W61182" s="503"/>
    </row>
    <row r="61183" spans="23:23">
      <c r="W61183" s="503"/>
    </row>
    <row r="61184" spans="23:23">
      <c r="W61184" s="503"/>
    </row>
    <row r="61185" spans="23:23">
      <c r="W61185" s="503"/>
    </row>
    <row r="61186" spans="23:23">
      <c r="W61186" s="503"/>
    </row>
    <row r="61187" spans="23:23">
      <c r="W61187" s="503"/>
    </row>
    <row r="61188" spans="23:23">
      <c r="W61188" s="503"/>
    </row>
    <row r="61189" spans="23:23">
      <c r="W61189" s="503"/>
    </row>
    <row r="61190" spans="23:23">
      <c r="W61190" s="503"/>
    </row>
    <row r="61191" spans="23:23">
      <c r="W61191" s="503"/>
    </row>
    <row r="61192" spans="23:23">
      <c r="W61192" s="503"/>
    </row>
    <row r="61193" spans="23:23">
      <c r="W61193" s="503"/>
    </row>
    <row r="61194" spans="23:23">
      <c r="W61194" s="503"/>
    </row>
    <row r="61195" spans="23:23">
      <c r="W61195" s="503"/>
    </row>
    <row r="61196" spans="23:23">
      <c r="W61196" s="503"/>
    </row>
    <row r="61197" spans="23:23">
      <c r="W61197" s="503"/>
    </row>
    <row r="61198" spans="23:23">
      <c r="W61198" s="503"/>
    </row>
    <row r="61199" spans="23:23">
      <c r="W61199" s="503"/>
    </row>
    <row r="61200" spans="23:23">
      <c r="W61200" s="503"/>
    </row>
    <row r="61201" spans="23:23">
      <c r="W61201" s="503"/>
    </row>
    <row r="61202" spans="23:23">
      <c r="W61202" s="503"/>
    </row>
    <row r="61203" spans="23:23">
      <c r="W61203" s="503"/>
    </row>
    <row r="61204" spans="23:23">
      <c r="W61204" s="503"/>
    </row>
    <row r="61205" spans="23:23">
      <c r="W61205" s="503"/>
    </row>
    <row r="61206" spans="23:23">
      <c r="W61206" s="503"/>
    </row>
    <row r="61207" spans="23:23">
      <c r="W61207" s="503"/>
    </row>
    <row r="61208" spans="23:23">
      <c r="W61208" s="503"/>
    </row>
    <row r="61209" spans="23:23">
      <c r="W61209" s="503"/>
    </row>
    <row r="61210" spans="23:23">
      <c r="W61210" s="503"/>
    </row>
    <row r="61211" spans="23:23">
      <c r="W61211" s="503"/>
    </row>
    <row r="61212" spans="23:23">
      <c r="W61212" s="503"/>
    </row>
    <row r="61213" spans="23:23">
      <c r="W61213" s="503"/>
    </row>
    <row r="61214" spans="23:23">
      <c r="W61214" s="503"/>
    </row>
    <row r="61215" spans="23:23">
      <c r="W61215" s="503"/>
    </row>
    <row r="61216" spans="23:23">
      <c r="W61216" s="503"/>
    </row>
    <row r="61217" spans="23:23">
      <c r="W61217" s="503"/>
    </row>
    <row r="61218" spans="23:23">
      <c r="W61218" s="503"/>
    </row>
    <row r="61219" spans="23:23">
      <c r="W61219" s="503"/>
    </row>
    <row r="61220" spans="23:23">
      <c r="W61220" s="503"/>
    </row>
    <row r="61221" spans="23:23">
      <c r="W61221" s="503"/>
    </row>
    <row r="61222" spans="23:23">
      <c r="W61222" s="503"/>
    </row>
    <row r="61223" spans="23:23">
      <c r="W61223" s="503"/>
    </row>
    <row r="61224" spans="23:23">
      <c r="W61224" s="503"/>
    </row>
    <row r="61225" spans="23:23">
      <c r="W61225" s="503"/>
    </row>
    <row r="61226" spans="23:23">
      <c r="W61226" s="503"/>
    </row>
    <row r="61227" spans="23:23">
      <c r="W61227" s="503"/>
    </row>
    <row r="61228" spans="23:23">
      <c r="W61228" s="503"/>
    </row>
    <row r="61229" spans="23:23">
      <c r="W61229" s="503"/>
    </row>
    <row r="61230" spans="23:23">
      <c r="W61230" s="503"/>
    </row>
    <row r="61231" spans="23:23">
      <c r="W61231" s="503"/>
    </row>
    <row r="61232" spans="23:23">
      <c r="W61232" s="503"/>
    </row>
    <row r="61233" spans="23:23">
      <c r="W61233" s="503"/>
    </row>
    <row r="61234" spans="23:23">
      <c r="W61234" s="503"/>
    </row>
    <row r="61235" spans="23:23">
      <c r="W61235" s="503"/>
    </row>
    <row r="61236" spans="23:23">
      <c r="W61236" s="503"/>
    </row>
    <row r="61237" spans="23:23">
      <c r="W61237" s="503"/>
    </row>
    <row r="61238" spans="23:23">
      <c r="W61238" s="503"/>
    </row>
    <row r="61239" spans="23:23">
      <c r="W61239" s="503"/>
    </row>
    <row r="61240" spans="23:23">
      <c r="W61240" s="503"/>
    </row>
    <row r="61241" spans="23:23">
      <c r="W61241" s="503"/>
    </row>
    <row r="61242" spans="23:23">
      <c r="W61242" s="503"/>
    </row>
    <row r="61243" spans="23:23">
      <c r="W61243" s="503"/>
    </row>
    <row r="61244" spans="23:23">
      <c r="W61244" s="503"/>
    </row>
    <row r="61245" spans="23:23">
      <c r="W61245" s="503"/>
    </row>
    <row r="61246" spans="23:23">
      <c r="W61246" s="503"/>
    </row>
    <row r="61247" spans="23:23">
      <c r="W61247" s="503"/>
    </row>
    <row r="61248" spans="23:23">
      <c r="W61248" s="503"/>
    </row>
    <row r="61249" spans="23:23">
      <c r="W61249" s="503"/>
    </row>
    <row r="61250" spans="23:23">
      <c r="W61250" s="503"/>
    </row>
    <row r="61251" spans="23:23">
      <c r="W61251" s="503"/>
    </row>
    <row r="61252" spans="23:23">
      <c r="W61252" s="503"/>
    </row>
    <row r="61253" spans="23:23">
      <c r="W61253" s="503"/>
    </row>
    <row r="61254" spans="23:23">
      <c r="W61254" s="503"/>
    </row>
    <row r="61255" spans="23:23">
      <c r="W61255" s="503"/>
    </row>
    <row r="61256" spans="23:23">
      <c r="W61256" s="503"/>
    </row>
    <row r="61257" spans="23:23">
      <c r="W61257" s="503"/>
    </row>
    <row r="61258" spans="23:23">
      <c r="W61258" s="503"/>
    </row>
    <row r="61259" spans="23:23">
      <c r="W61259" s="503"/>
    </row>
    <row r="61260" spans="23:23">
      <c r="W61260" s="503"/>
    </row>
    <row r="61261" spans="23:23">
      <c r="W61261" s="503"/>
    </row>
    <row r="61262" spans="23:23">
      <c r="W61262" s="503"/>
    </row>
    <row r="61263" spans="23:23">
      <c r="W61263" s="503"/>
    </row>
    <row r="61264" spans="23:23">
      <c r="W61264" s="503"/>
    </row>
    <row r="61265" spans="23:23">
      <c r="W61265" s="503"/>
    </row>
    <row r="61266" spans="23:23">
      <c r="W61266" s="503"/>
    </row>
    <row r="61267" spans="23:23">
      <c r="W61267" s="503"/>
    </row>
    <row r="61268" spans="23:23">
      <c r="W61268" s="503"/>
    </row>
    <row r="61269" spans="23:23">
      <c r="W61269" s="503"/>
    </row>
    <row r="61270" spans="23:23">
      <c r="W61270" s="503"/>
    </row>
    <row r="61271" spans="23:23">
      <c r="W61271" s="503"/>
    </row>
    <row r="61272" spans="23:23">
      <c r="W61272" s="503"/>
    </row>
    <row r="61273" spans="23:23">
      <c r="W61273" s="503"/>
    </row>
    <row r="61274" spans="23:23">
      <c r="W61274" s="503"/>
    </row>
    <row r="61275" spans="23:23">
      <c r="W61275" s="503"/>
    </row>
    <row r="61276" spans="23:23">
      <c r="W61276" s="503"/>
    </row>
    <row r="61277" spans="23:23">
      <c r="W61277" s="503"/>
    </row>
    <row r="61278" spans="23:23">
      <c r="W61278" s="503"/>
    </row>
    <row r="61279" spans="23:23">
      <c r="W61279" s="503"/>
    </row>
    <row r="61280" spans="23:23">
      <c r="W61280" s="503"/>
    </row>
    <row r="61281" spans="23:23">
      <c r="W61281" s="503"/>
    </row>
    <row r="61282" spans="23:23">
      <c r="W61282" s="503"/>
    </row>
    <row r="61283" spans="23:23">
      <c r="W61283" s="503"/>
    </row>
    <row r="61284" spans="23:23">
      <c r="W61284" s="503"/>
    </row>
    <row r="61285" spans="23:23">
      <c r="W61285" s="503"/>
    </row>
    <row r="61286" spans="23:23">
      <c r="W61286" s="503"/>
    </row>
    <row r="61287" spans="23:23">
      <c r="W61287" s="503"/>
    </row>
    <row r="61288" spans="23:23">
      <c r="W61288" s="503"/>
    </row>
    <row r="61289" spans="23:23">
      <c r="W61289" s="503"/>
    </row>
    <row r="61290" spans="23:23">
      <c r="W61290" s="503"/>
    </row>
    <row r="61291" spans="23:23">
      <c r="W61291" s="503"/>
    </row>
    <row r="61292" spans="23:23">
      <c r="W61292" s="503"/>
    </row>
    <row r="61293" spans="23:23">
      <c r="W61293" s="503"/>
    </row>
    <row r="61294" spans="23:23">
      <c r="W61294" s="503"/>
    </row>
    <row r="61295" spans="23:23">
      <c r="W61295" s="503"/>
    </row>
    <row r="61296" spans="23:23">
      <c r="W61296" s="503"/>
    </row>
    <row r="61297" spans="23:23">
      <c r="W61297" s="503"/>
    </row>
    <row r="61298" spans="23:23">
      <c r="W61298" s="503"/>
    </row>
    <row r="61299" spans="23:23">
      <c r="W61299" s="503"/>
    </row>
    <row r="61300" spans="23:23">
      <c r="W61300" s="503"/>
    </row>
    <row r="61301" spans="23:23">
      <c r="W61301" s="503"/>
    </row>
    <row r="61302" spans="23:23">
      <c r="W61302" s="503"/>
    </row>
    <row r="61303" spans="23:23">
      <c r="W61303" s="503"/>
    </row>
    <row r="61304" spans="23:23">
      <c r="W61304" s="503"/>
    </row>
    <row r="61305" spans="23:23">
      <c r="W61305" s="503"/>
    </row>
    <row r="61306" spans="23:23">
      <c r="W61306" s="503"/>
    </row>
    <row r="61307" spans="23:23">
      <c r="W61307" s="503"/>
    </row>
    <row r="61308" spans="23:23">
      <c r="W61308" s="503"/>
    </row>
    <row r="61309" spans="23:23">
      <c r="W61309" s="503"/>
    </row>
    <row r="61310" spans="23:23">
      <c r="W61310" s="503"/>
    </row>
    <row r="61311" spans="23:23">
      <c r="W61311" s="503"/>
    </row>
    <row r="61312" spans="23:23">
      <c r="W61312" s="503"/>
    </row>
    <row r="61313" spans="23:23">
      <c r="W61313" s="503"/>
    </row>
    <row r="61314" spans="23:23">
      <c r="W61314" s="503"/>
    </row>
    <row r="61315" spans="23:23">
      <c r="W61315" s="503"/>
    </row>
    <row r="61316" spans="23:23">
      <c r="W61316" s="503"/>
    </row>
    <row r="61317" spans="23:23">
      <c r="W61317" s="503"/>
    </row>
    <row r="61318" spans="23:23">
      <c r="W61318" s="503"/>
    </row>
    <row r="61319" spans="23:23">
      <c r="W61319" s="503"/>
    </row>
    <row r="61320" spans="23:23">
      <c r="W61320" s="503"/>
    </row>
    <row r="61321" spans="23:23">
      <c r="W61321" s="503"/>
    </row>
    <row r="61322" spans="23:23">
      <c r="W61322" s="503"/>
    </row>
    <row r="61323" spans="23:23">
      <c r="W61323" s="503"/>
    </row>
    <row r="61324" spans="23:23">
      <c r="W61324" s="503"/>
    </row>
    <row r="61325" spans="23:23">
      <c r="W61325" s="503"/>
    </row>
    <row r="61326" spans="23:23">
      <c r="W61326" s="503"/>
    </row>
    <row r="61327" spans="23:23">
      <c r="W61327" s="503"/>
    </row>
    <row r="61328" spans="23:23">
      <c r="W61328" s="503"/>
    </row>
    <row r="61329" spans="23:23">
      <c r="W61329" s="503"/>
    </row>
    <row r="61330" spans="23:23">
      <c r="W61330" s="503"/>
    </row>
    <row r="61331" spans="23:23">
      <c r="W61331" s="503"/>
    </row>
    <row r="61332" spans="23:23">
      <c r="W61332" s="503"/>
    </row>
    <row r="61333" spans="23:23">
      <c r="W61333" s="503"/>
    </row>
    <row r="61334" spans="23:23">
      <c r="W61334" s="503"/>
    </row>
    <row r="61335" spans="23:23">
      <c r="W61335" s="503"/>
    </row>
    <row r="61336" spans="23:23">
      <c r="W61336" s="503"/>
    </row>
    <row r="61337" spans="23:23">
      <c r="W61337" s="503"/>
    </row>
    <row r="61338" spans="23:23">
      <c r="W61338" s="503"/>
    </row>
    <row r="61339" spans="23:23">
      <c r="W61339" s="503"/>
    </row>
    <row r="61340" spans="23:23">
      <c r="W61340" s="503"/>
    </row>
    <row r="61341" spans="23:23">
      <c r="W61341" s="503"/>
    </row>
    <row r="61342" spans="23:23">
      <c r="W61342" s="503"/>
    </row>
    <row r="61343" spans="23:23">
      <c r="W61343" s="503"/>
    </row>
    <row r="61344" spans="23:23">
      <c r="W61344" s="503"/>
    </row>
    <row r="61345" spans="23:23">
      <c r="W61345" s="503"/>
    </row>
    <row r="61346" spans="23:23">
      <c r="W61346" s="503"/>
    </row>
    <row r="61347" spans="23:23">
      <c r="W61347" s="503"/>
    </row>
    <row r="61348" spans="23:23">
      <c r="W61348" s="503"/>
    </row>
    <row r="61349" spans="23:23">
      <c r="W61349" s="503"/>
    </row>
    <row r="61350" spans="23:23">
      <c r="W61350" s="503"/>
    </row>
    <row r="61351" spans="23:23">
      <c r="W61351" s="503"/>
    </row>
    <row r="61352" spans="23:23">
      <c r="W61352" s="503"/>
    </row>
    <row r="61353" spans="23:23">
      <c r="W61353" s="503"/>
    </row>
    <row r="61354" spans="23:23">
      <c r="W61354" s="503"/>
    </row>
    <row r="61355" spans="23:23">
      <c r="W61355" s="503"/>
    </row>
    <row r="61356" spans="23:23">
      <c r="W61356" s="503"/>
    </row>
    <row r="61357" spans="23:23">
      <c r="W61357" s="503"/>
    </row>
    <row r="61358" spans="23:23">
      <c r="W61358" s="503"/>
    </row>
    <row r="61359" spans="23:23">
      <c r="W61359" s="503"/>
    </row>
    <row r="61360" spans="23:23">
      <c r="W61360" s="503"/>
    </row>
    <row r="61361" spans="23:23">
      <c r="W61361" s="503"/>
    </row>
    <row r="61362" spans="23:23">
      <c r="W61362" s="503"/>
    </row>
    <row r="61363" spans="23:23">
      <c r="W61363" s="503"/>
    </row>
    <row r="61364" spans="23:23">
      <c r="W61364" s="503"/>
    </row>
    <row r="61365" spans="23:23">
      <c r="W61365" s="503"/>
    </row>
    <row r="61366" spans="23:23">
      <c r="W61366" s="503"/>
    </row>
    <row r="61367" spans="23:23">
      <c r="W61367" s="503"/>
    </row>
    <row r="61368" spans="23:23">
      <c r="W61368" s="503"/>
    </row>
    <row r="61369" spans="23:23">
      <c r="W61369" s="503"/>
    </row>
    <row r="61370" spans="23:23">
      <c r="W61370" s="503"/>
    </row>
    <row r="61371" spans="23:23">
      <c r="W61371" s="503"/>
    </row>
    <row r="61372" spans="23:23">
      <c r="W61372" s="503"/>
    </row>
    <row r="61373" spans="23:23">
      <c r="W61373" s="503"/>
    </row>
    <row r="61374" spans="23:23">
      <c r="W61374" s="503"/>
    </row>
    <row r="61375" spans="23:23">
      <c r="W61375" s="503"/>
    </row>
    <row r="61376" spans="23:23">
      <c r="W61376" s="503"/>
    </row>
    <row r="61377" spans="23:23">
      <c r="W61377" s="503"/>
    </row>
    <row r="61378" spans="23:23">
      <c r="W61378" s="503"/>
    </row>
    <row r="61379" spans="23:23">
      <c r="W61379" s="503"/>
    </row>
    <row r="61380" spans="23:23">
      <c r="W61380" s="503"/>
    </row>
    <row r="61381" spans="23:23">
      <c r="W61381" s="503"/>
    </row>
    <row r="61382" spans="23:23">
      <c r="W61382" s="503"/>
    </row>
    <row r="61383" spans="23:23">
      <c r="W61383" s="503"/>
    </row>
    <row r="61384" spans="23:23">
      <c r="W61384" s="503"/>
    </row>
    <row r="61385" spans="23:23">
      <c r="W61385" s="503"/>
    </row>
    <row r="61386" spans="23:23">
      <c r="W61386" s="503"/>
    </row>
    <row r="61387" spans="23:23">
      <c r="W61387" s="503"/>
    </row>
    <row r="61388" spans="23:23">
      <c r="W61388" s="503"/>
    </row>
    <row r="61389" spans="23:23">
      <c r="W61389" s="503"/>
    </row>
    <row r="61390" spans="23:23">
      <c r="W61390" s="503"/>
    </row>
    <row r="61391" spans="23:23">
      <c r="W61391" s="503"/>
    </row>
    <row r="61392" spans="23:23">
      <c r="W61392" s="503"/>
    </row>
    <row r="61393" spans="23:23">
      <c r="W61393" s="503"/>
    </row>
    <row r="61394" spans="23:23">
      <c r="W61394" s="503"/>
    </row>
    <row r="61395" spans="23:23">
      <c r="W61395" s="503"/>
    </row>
    <row r="61396" spans="23:23">
      <c r="W61396" s="503"/>
    </row>
    <row r="61397" spans="23:23">
      <c r="W61397" s="503"/>
    </row>
    <row r="61398" spans="23:23">
      <c r="W61398" s="503"/>
    </row>
    <row r="61399" spans="23:23">
      <c r="W61399" s="503"/>
    </row>
    <row r="61400" spans="23:23">
      <c r="W61400" s="503"/>
    </row>
    <row r="61401" spans="23:23">
      <c r="W61401" s="503"/>
    </row>
    <row r="61402" spans="23:23">
      <c r="W61402" s="503"/>
    </row>
    <row r="61403" spans="23:23">
      <c r="W61403" s="503"/>
    </row>
    <row r="61404" spans="23:23">
      <c r="W61404" s="503"/>
    </row>
    <row r="61405" spans="23:23">
      <c r="W61405" s="503"/>
    </row>
    <row r="61406" spans="23:23">
      <c r="W61406" s="503"/>
    </row>
    <row r="61407" spans="23:23">
      <c r="W61407" s="503"/>
    </row>
    <row r="61408" spans="23:23">
      <c r="W61408" s="503"/>
    </row>
    <row r="61409" spans="23:23">
      <c r="W61409" s="503"/>
    </row>
    <row r="61410" spans="23:23">
      <c r="W61410" s="503"/>
    </row>
    <row r="61411" spans="23:23">
      <c r="W61411" s="503"/>
    </row>
    <row r="61412" spans="23:23">
      <c r="W61412" s="503"/>
    </row>
    <row r="61413" spans="23:23">
      <c r="W61413" s="503"/>
    </row>
    <row r="61414" spans="23:23">
      <c r="W61414" s="503"/>
    </row>
    <row r="61415" spans="23:23">
      <c r="W61415" s="503"/>
    </row>
    <row r="61416" spans="23:23">
      <c r="W61416" s="503"/>
    </row>
    <row r="61417" spans="23:23">
      <c r="W61417" s="503"/>
    </row>
    <row r="61418" spans="23:23">
      <c r="W61418" s="503"/>
    </row>
    <row r="61419" spans="23:23">
      <c r="W61419" s="503"/>
    </row>
    <row r="61420" spans="23:23">
      <c r="W61420" s="503"/>
    </row>
    <row r="61421" spans="23:23">
      <c r="W61421" s="503"/>
    </row>
    <row r="61422" spans="23:23">
      <c r="W61422" s="503"/>
    </row>
    <row r="61423" spans="23:23">
      <c r="W61423" s="503"/>
    </row>
    <row r="61424" spans="23:23">
      <c r="W61424" s="503"/>
    </row>
    <row r="61425" spans="23:23">
      <c r="W61425" s="503"/>
    </row>
    <row r="61426" spans="23:23">
      <c r="W61426" s="503"/>
    </row>
    <row r="61427" spans="23:23">
      <c r="W61427" s="503"/>
    </row>
    <row r="61428" spans="23:23">
      <c r="W61428" s="503"/>
    </row>
    <row r="61429" spans="23:23">
      <c r="W61429" s="503"/>
    </row>
    <row r="61430" spans="23:23">
      <c r="W61430" s="503"/>
    </row>
    <row r="61431" spans="23:23">
      <c r="W61431" s="503"/>
    </row>
    <row r="61432" spans="23:23">
      <c r="W61432" s="503"/>
    </row>
    <row r="61433" spans="23:23">
      <c r="W61433" s="503"/>
    </row>
    <row r="61434" spans="23:23">
      <c r="W61434" s="503"/>
    </row>
    <row r="61435" spans="23:23">
      <c r="W61435" s="503"/>
    </row>
    <row r="61436" spans="23:23">
      <c r="W61436" s="503"/>
    </row>
    <row r="61437" spans="23:23">
      <c r="W61437" s="503"/>
    </row>
    <row r="61438" spans="23:23">
      <c r="W61438" s="503"/>
    </row>
    <row r="61439" spans="23:23">
      <c r="W61439" s="503"/>
    </row>
    <row r="61440" spans="23:23">
      <c r="W61440" s="503"/>
    </row>
    <row r="61441" spans="23:23">
      <c r="W61441" s="503"/>
    </row>
    <row r="61442" spans="23:23">
      <c r="W61442" s="503"/>
    </row>
    <row r="61443" spans="23:23">
      <c r="W61443" s="503"/>
    </row>
    <row r="61444" spans="23:23">
      <c r="W61444" s="503"/>
    </row>
    <row r="61445" spans="23:23">
      <c r="W61445" s="503"/>
    </row>
    <row r="61446" spans="23:23">
      <c r="W61446" s="503"/>
    </row>
    <row r="61447" spans="23:23">
      <c r="W61447" s="503"/>
    </row>
    <row r="61448" spans="23:23">
      <c r="W61448" s="503"/>
    </row>
    <row r="61449" spans="23:23">
      <c r="W61449" s="503"/>
    </row>
    <row r="61450" spans="23:23">
      <c r="W61450" s="503"/>
    </row>
    <row r="61451" spans="23:23">
      <c r="W61451" s="503"/>
    </row>
    <row r="61452" spans="23:23">
      <c r="W61452" s="503"/>
    </row>
    <row r="61453" spans="23:23">
      <c r="W61453" s="503"/>
    </row>
    <row r="61454" spans="23:23">
      <c r="W61454" s="503"/>
    </row>
    <row r="61455" spans="23:23">
      <c r="W61455" s="503"/>
    </row>
    <row r="61456" spans="23:23">
      <c r="W61456" s="503"/>
    </row>
    <row r="61457" spans="23:23">
      <c r="W61457" s="503"/>
    </row>
    <row r="61458" spans="23:23">
      <c r="W61458" s="503"/>
    </row>
    <row r="61459" spans="23:23">
      <c r="W61459" s="503"/>
    </row>
    <row r="61460" spans="23:23">
      <c r="W61460" s="503"/>
    </row>
    <row r="61461" spans="23:23">
      <c r="W61461" s="503"/>
    </row>
    <row r="61462" spans="23:23">
      <c r="W61462" s="503"/>
    </row>
    <row r="61463" spans="23:23">
      <c r="W61463" s="503"/>
    </row>
    <row r="61464" spans="23:23">
      <c r="W61464" s="503"/>
    </row>
    <row r="61465" spans="23:23">
      <c r="W61465" s="503"/>
    </row>
    <row r="61466" spans="23:23">
      <c r="W61466" s="503"/>
    </row>
    <row r="61467" spans="23:23">
      <c r="W61467" s="503"/>
    </row>
    <row r="61468" spans="23:23">
      <c r="W61468" s="503"/>
    </row>
    <row r="61469" spans="23:23">
      <c r="W61469" s="503"/>
    </row>
    <row r="61470" spans="23:23">
      <c r="W61470" s="503"/>
    </row>
    <row r="61471" spans="23:23">
      <c r="W61471" s="503"/>
    </row>
    <row r="61472" spans="23:23">
      <c r="W61472" s="503"/>
    </row>
    <row r="61473" spans="23:23">
      <c r="W61473" s="503"/>
    </row>
    <row r="61474" spans="23:23">
      <c r="W61474" s="503"/>
    </row>
    <row r="61475" spans="23:23">
      <c r="W61475" s="503"/>
    </row>
    <row r="61476" spans="23:23">
      <c r="W61476" s="503"/>
    </row>
    <row r="61477" spans="23:23">
      <c r="W61477" s="503"/>
    </row>
    <row r="61478" spans="23:23">
      <c r="W61478" s="503"/>
    </row>
    <row r="61479" spans="23:23">
      <c r="W61479" s="503"/>
    </row>
    <row r="61480" spans="23:23">
      <c r="W61480" s="503"/>
    </row>
    <row r="61481" spans="23:23">
      <c r="W61481" s="503"/>
    </row>
    <row r="61482" spans="23:23">
      <c r="W61482" s="503"/>
    </row>
    <row r="61483" spans="23:23">
      <c r="W61483" s="503"/>
    </row>
    <row r="61484" spans="23:23">
      <c r="W61484" s="503"/>
    </row>
    <row r="61485" spans="23:23">
      <c r="W61485" s="503"/>
    </row>
    <row r="61486" spans="23:23">
      <c r="W61486" s="503"/>
    </row>
    <row r="61487" spans="23:23">
      <c r="W61487" s="503"/>
    </row>
    <row r="61488" spans="23:23">
      <c r="W61488" s="503"/>
    </row>
    <row r="61489" spans="23:23">
      <c r="W61489" s="503"/>
    </row>
    <row r="61490" spans="23:23">
      <c r="W61490" s="503"/>
    </row>
    <row r="61491" spans="23:23">
      <c r="W61491" s="503"/>
    </row>
    <row r="61492" spans="23:23">
      <c r="W61492" s="503"/>
    </row>
    <row r="61493" spans="23:23">
      <c r="W61493" s="503"/>
    </row>
    <row r="61494" spans="23:23">
      <c r="W61494" s="503"/>
    </row>
    <row r="61495" spans="23:23">
      <c r="W61495" s="503"/>
    </row>
    <row r="61496" spans="23:23">
      <c r="W61496" s="503"/>
    </row>
    <row r="61497" spans="23:23">
      <c r="W61497" s="503"/>
    </row>
    <row r="61498" spans="23:23">
      <c r="W61498" s="503"/>
    </row>
    <row r="61499" spans="23:23">
      <c r="W61499" s="503"/>
    </row>
    <row r="61500" spans="23:23">
      <c r="W61500" s="503"/>
    </row>
    <row r="61501" spans="23:23">
      <c r="W61501" s="503"/>
    </row>
    <row r="61502" spans="23:23">
      <c r="W61502" s="503"/>
    </row>
    <row r="61503" spans="23:23">
      <c r="W61503" s="503"/>
    </row>
    <row r="61504" spans="23:23">
      <c r="W61504" s="503"/>
    </row>
    <row r="61505" spans="23:23">
      <c r="W61505" s="503"/>
    </row>
    <row r="61506" spans="23:23">
      <c r="W61506" s="503"/>
    </row>
    <row r="61507" spans="23:23">
      <c r="W61507" s="503"/>
    </row>
    <row r="61508" spans="23:23">
      <c r="W61508" s="503"/>
    </row>
    <row r="61509" spans="23:23">
      <c r="W61509" s="503"/>
    </row>
    <row r="61510" spans="23:23">
      <c r="W61510" s="503"/>
    </row>
    <row r="61511" spans="23:23">
      <c r="W61511" s="503"/>
    </row>
    <row r="61512" spans="23:23">
      <c r="W61512" s="503"/>
    </row>
    <row r="61513" spans="23:23">
      <c r="W61513" s="503"/>
    </row>
    <row r="61514" spans="23:23">
      <c r="W61514" s="503"/>
    </row>
    <row r="61515" spans="23:23">
      <c r="W61515" s="503"/>
    </row>
    <row r="61516" spans="23:23">
      <c r="W61516" s="503"/>
    </row>
    <row r="61517" spans="23:23">
      <c r="W61517" s="503"/>
    </row>
    <row r="61518" spans="23:23">
      <c r="W61518" s="503"/>
    </row>
    <row r="61519" spans="23:23">
      <c r="W61519" s="503"/>
    </row>
    <row r="61520" spans="23:23">
      <c r="W61520" s="503"/>
    </row>
    <row r="61521" spans="23:23">
      <c r="W61521" s="503"/>
    </row>
    <row r="61522" spans="23:23">
      <c r="W61522" s="503"/>
    </row>
    <row r="61523" spans="23:23">
      <c r="W61523" s="503"/>
    </row>
    <row r="61524" spans="23:23">
      <c r="W61524" s="503"/>
    </row>
    <row r="61525" spans="23:23">
      <c r="W61525" s="503"/>
    </row>
    <row r="61526" spans="23:23">
      <c r="W61526" s="503"/>
    </row>
    <row r="61527" spans="23:23">
      <c r="W61527" s="503"/>
    </row>
    <row r="61528" spans="23:23">
      <c r="W61528" s="503"/>
    </row>
    <row r="61529" spans="23:23">
      <c r="W61529" s="503"/>
    </row>
    <row r="61530" spans="23:23">
      <c r="W61530" s="503"/>
    </row>
    <row r="61531" spans="23:23">
      <c r="W61531" s="503"/>
    </row>
    <row r="61532" spans="23:23">
      <c r="W61532" s="503"/>
    </row>
    <row r="61533" spans="23:23">
      <c r="W61533" s="503"/>
    </row>
    <row r="61534" spans="23:23">
      <c r="W61534" s="503"/>
    </row>
    <row r="61535" spans="23:23">
      <c r="W61535" s="503"/>
    </row>
    <row r="61536" spans="23:23">
      <c r="W61536" s="503"/>
    </row>
    <row r="61537" spans="23:23">
      <c r="W61537" s="503"/>
    </row>
    <row r="61538" spans="23:23">
      <c r="W61538" s="503"/>
    </row>
    <row r="61539" spans="23:23">
      <c r="W61539" s="503"/>
    </row>
    <row r="61540" spans="23:23">
      <c r="W61540" s="503"/>
    </row>
    <row r="61541" spans="23:23">
      <c r="W61541" s="503"/>
    </row>
    <row r="61542" spans="23:23">
      <c r="W61542" s="503"/>
    </row>
    <row r="61543" spans="23:23">
      <c r="W61543" s="503"/>
    </row>
    <row r="61544" spans="23:23">
      <c r="W61544" s="503"/>
    </row>
    <row r="61545" spans="23:23">
      <c r="W61545" s="503"/>
    </row>
    <row r="61546" spans="23:23">
      <c r="W61546" s="503"/>
    </row>
    <row r="61547" spans="23:23">
      <c r="W61547" s="503"/>
    </row>
    <row r="61548" spans="23:23">
      <c r="W61548" s="503"/>
    </row>
    <row r="61549" spans="23:23">
      <c r="W61549" s="503"/>
    </row>
    <row r="61550" spans="23:23">
      <c r="W61550" s="503"/>
    </row>
    <row r="61551" spans="23:23">
      <c r="W61551" s="503"/>
    </row>
    <row r="61552" spans="23:23">
      <c r="W61552" s="503"/>
    </row>
    <row r="61553" spans="23:23">
      <c r="W61553" s="503"/>
    </row>
    <row r="61554" spans="23:23">
      <c r="W61554" s="503"/>
    </row>
    <row r="61555" spans="23:23">
      <c r="W61555" s="503"/>
    </row>
    <row r="61556" spans="23:23">
      <c r="W61556" s="503"/>
    </row>
    <row r="61557" spans="23:23">
      <c r="W61557" s="503"/>
    </row>
    <row r="61558" spans="23:23">
      <c r="W61558" s="503"/>
    </row>
    <row r="61559" spans="23:23">
      <c r="W61559" s="503"/>
    </row>
    <row r="61560" spans="23:23">
      <c r="W61560" s="503"/>
    </row>
    <row r="61561" spans="23:23">
      <c r="W61561" s="503"/>
    </row>
    <row r="61562" spans="23:23">
      <c r="W61562" s="503"/>
    </row>
    <row r="61563" spans="23:23">
      <c r="W61563" s="503"/>
    </row>
    <row r="61564" spans="23:23">
      <c r="W61564" s="503"/>
    </row>
    <row r="61565" spans="23:23">
      <c r="W61565" s="503"/>
    </row>
    <row r="61566" spans="23:23">
      <c r="W61566" s="503"/>
    </row>
    <row r="61567" spans="23:23">
      <c r="W61567" s="503"/>
    </row>
    <row r="61568" spans="23:23">
      <c r="W61568" s="503"/>
    </row>
    <row r="61569" spans="23:23">
      <c r="W61569" s="503"/>
    </row>
    <row r="61570" spans="23:23">
      <c r="W61570" s="503"/>
    </row>
    <row r="61571" spans="23:23">
      <c r="W61571" s="503"/>
    </row>
    <row r="61572" spans="23:23">
      <c r="W61572" s="503"/>
    </row>
    <row r="61573" spans="23:23">
      <c r="W61573" s="503"/>
    </row>
    <row r="61574" spans="23:23">
      <c r="W61574" s="503"/>
    </row>
    <row r="61575" spans="23:23">
      <c r="W61575" s="503"/>
    </row>
    <row r="61576" spans="23:23">
      <c r="W61576" s="503"/>
    </row>
    <row r="61577" spans="23:23">
      <c r="W61577" s="503"/>
    </row>
    <row r="61578" spans="23:23">
      <c r="W61578" s="503"/>
    </row>
    <row r="61579" spans="23:23">
      <c r="W61579" s="503"/>
    </row>
    <row r="61580" spans="23:23">
      <c r="W61580" s="503"/>
    </row>
    <row r="61581" spans="23:23">
      <c r="W61581" s="503"/>
    </row>
    <row r="61582" spans="23:23">
      <c r="W61582" s="503"/>
    </row>
    <row r="61583" spans="23:23">
      <c r="W61583" s="503"/>
    </row>
    <row r="61584" spans="23:23">
      <c r="W61584" s="503"/>
    </row>
    <row r="61585" spans="23:23">
      <c r="W61585" s="503"/>
    </row>
    <row r="61586" spans="23:23">
      <c r="W61586" s="503"/>
    </row>
    <row r="61587" spans="23:23">
      <c r="W61587" s="503"/>
    </row>
    <row r="61588" spans="23:23">
      <c r="W61588" s="503"/>
    </row>
    <row r="61589" spans="23:23">
      <c r="W61589" s="503"/>
    </row>
    <row r="61590" spans="23:23">
      <c r="W61590" s="503"/>
    </row>
    <row r="61591" spans="23:23">
      <c r="W61591" s="503"/>
    </row>
    <row r="61592" spans="23:23">
      <c r="W61592" s="503"/>
    </row>
    <row r="61593" spans="23:23">
      <c r="W61593" s="503"/>
    </row>
    <row r="61594" spans="23:23">
      <c r="W61594" s="503"/>
    </row>
    <row r="61595" spans="23:23">
      <c r="W61595" s="503"/>
    </row>
    <row r="61596" spans="23:23">
      <c r="W61596" s="503"/>
    </row>
    <row r="61597" spans="23:23">
      <c r="W61597" s="503"/>
    </row>
    <row r="61598" spans="23:23">
      <c r="W61598" s="503"/>
    </row>
    <row r="61599" spans="23:23">
      <c r="W61599" s="503"/>
    </row>
    <row r="61600" spans="23:23">
      <c r="W61600" s="503"/>
    </row>
    <row r="61601" spans="23:23">
      <c r="W61601" s="503"/>
    </row>
    <row r="61602" spans="23:23">
      <c r="W61602" s="503"/>
    </row>
    <row r="61603" spans="23:23">
      <c r="W61603" s="503"/>
    </row>
    <row r="61604" spans="23:23">
      <c r="W61604" s="503"/>
    </row>
    <row r="61605" spans="23:23">
      <c r="W61605" s="503"/>
    </row>
    <row r="61606" spans="23:23">
      <c r="W61606" s="503"/>
    </row>
    <row r="61607" spans="23:23">
      <c r="W61607" s="503"/>
    </row>
    <row r="61608" spans="23:23">
      <c r="W61608" s="503"/>
    </row>
    <row r="61609" spans="23:23">
      <c r="W61609" s="503"/>
    </row>
    <row r="61610" spans="23:23">
      <c r="W61610" s="503"/>
    </row>
    <row r="61611" spans="23:23">
      <c r="W61611" s="503"/>
    </row>
    <row r="61612" spans="23:23">
      <c r="W61612" s="503"/>
    </row>
    <row r="61613" spans="23:23">
      <c r="W61613" s="503"/>
    </row>
    <row r="61614" spans="23:23">
      <c r="W61614" s="503"/>
    </row>
    <row r="61615" spans="23:23">
      <c r="W61615" s="503"/>
    </row>
    <row r="61616" spans="23:23">
      <c r="W61616" s="503"/>
    </row>
    <row r="61617" spans="23:23">
      <c r="W61617" s="503"/>
    </row>
    <row r="61618" spans="23:23">
      <c r="W61618" s="503"/>
    </row>
    <row r="61619" spans="23:23">
      <c r="W61619" s="503"/>
    </row>
    <row r="61620" spans="23:23">
      <c r="W61620" s="503"/>
    </row>
    <row r="61621" spans="23:23">
      <c r="W61621" s="503"/>
    </row>
    <row r="61622" spans="23:23">
      <c r="W61622" s="503"/>
    </row>
    <row r="61623" spans="23:23">
      <c r="W61623" s="503"/>
    </row>
    <row r="61624" spans="23:23">
      <c r="W61624" s="503"/>
    </row>
    <row r="61625" spans="23:23">
      <c r="W61625" s="503"/>
    </row>
    <row r="61626" spans="23:23">
      <c r="W61626" s="503"/>
    </row>
    <row r="61627" spans="23:23">
      <c r="W61627" s="503"/>
    </row>
    <row r="61628" spans="23:23">
      <c r="W61628" s="503"/>
    </row>
    <row r="61629" spans="23:23">
      <c r="W61629" s="503"/>
    </row>
    <row r="61630" spans="23:23">
      <c r="W61630" s="503"/>
    </row>
    <row r="61631" spans="23:23">
      <c r="W61631" s="503"/>
    </row>
    <row r="61632" spans="23:23">
      <c r="W61632" s="503"/>
    </row>
    <row r="61633" spans="23:23">
      <c r="W61633" s="503"/>
    </row>
    <row r="61634" spans="23:23">
      <c r="W61634" s="503"/>
    </row>
    <row r="61635" spans="23:23">
      <c r="W61635" s="503"/>
    </row>
    <row r="61636" spans="23:23">
      <c r="W61636" s="503"/>
    </row>
    <row r="61637" spans="23:23">
      <c r="W61637" s="503"/>
    </row>
    <row r="61638" spans="23:23">
      <c r="W61638" s="503"/>
    </row>
    <row r="61639" spans="23:23">
      <c r="W61639" s="503"/>
    </row>
    <row r="61640" spans="23:23">
      <c r="W61640" s="503"/>
    </row>
    <row r="61641" spans="23:23">
      <c r="W61641" s="503"/>
    </row>
    <row r="61642" spans="23:23">
      <c r="W61642" s="503"/>
    </row>
    <row r="61643" spans="23:23">
      <c r="W61643" s="503"/>
    </row>
    <row r="61644" spans="23:23">
      <c r="W61644" s="503"/>
    </row>
    <row r="61645" spans="23:23">
      <c r="W61645" s="503"/>
    </row>
    <row r="61646" spans="23:23">
      <c r="W61646" s="503"/>
    </row>
    <row r="61647" spans="23:23">
      <c r="W61647" s="503"/>
    </row>
    <row r="61648" spans="23:23">
      <c r="W61648" s="503"/>
    </row>
    <row r="61649" spans="23:23">
      <c r="W61649" s="503"/>
    </row>
    <row r="61650" spans="23:23">
      <c r="W61650" s="503"/>
    </row>
    <row r="61651" spans="23:23">
      <c r="W61651" s="503"/>
    </row>
    <row r="61652" spans="23:23">
      <c r="W61652" s="503"/>
    </row>
    <row r="61653" spans="23:23">
      <c r="W61653" s="503"/>
    </row>
    <row r="61654" spans="23:23">
      <c r="W61654" s="503"/>
    </row>
    <row r="61655" spans="23:23">
      <c r="W61655" s="503"/>
    </row>
    <row r="61656" spans="23:23">
      <c r="W61656" s="503"/>
    </row>
    <row r="61657" spans="23:23">
      <c r="W61657" s="503"/>
    </row>
    <row r="61658" spans="23:23">
      <c r="W61658" s="503"/>
    </row>
    <row r="61659" spans="23:23">
      <c r="W61659" s="503"/>
    </row>
    <row r="61660" spans="23:23">
      <c r="W61660" s="503"/>
    </row>
    <row r="61661" spans="23:23">
      <c r="W61661" s="503"/>
    </row>
    <row r="61662" spans="23:23">
      <c r="W61662" s="503"/>
    </row>
    <row r="61663" spans="23:23">
      <c r="W61663" s="503"/>
    </row>
    <row r="61664" spans="23:23">
      <c r="W61664" s="503"/>
    </row>
    <row r="61665" spans="23:23">
      <c r="W61665" s="503"/>
    </row>
    <row r="61666" spans="23:23">
      <c r="W61666" s="503"/>
    </row>
    <row r="61667" spans="23:23">
      <c r="W61667" s="503"/>
    </row>
    <row r="61668" spans="23:23">
      <c r="W61668" s="503"/>
    </row>
    <row r="61669" spans="23:23">
      <c r="W61669" s="503"/>
    </row>
    <row r="61670" spans="23:23">
      <c r="W61670" s="503"/>
    </row>
    <row r="61671" spans="23:23">
      <c r="W61671" s="503"/>
    </row>
    <row r="61672" spans="23:23">
      <c r="W61672" s="503"/>
    </row>
    <row r="61673" spans="23:23">
      <c r="W61673" s="503"/>
    </row>
    <row r="61674" spans="23:23">
      <c r="W61674" s="503"/>
    </row>
    <row r="61675" spans="23:23">
      <c r="W61675" s="503"/>
    </row>
    <row r="61676" spans="23:23">
      <c r="W61676" s="503"/>
    </row>
    <row r="61677" spans="23:23">
      <c r="W61677" s="503"/>
    </row>
    <row r="61678" spans="23:23">
      <c r="W61678" s="503"/>
    </row>
    <row r="61679" spans="23:23">
      <c r="W61679" s="503"/>
    </row>
    <row r="61680" spans="23:23">
      <c r="W61680" s="503"/>
    </row>
    <row r="61681" spans="23:23">
      <c r="W61681" s="503"/>
    </row>
    <row r="61682" spans="23:23">
      <c r="W61682" s="503"/>
    </row>
    <row r="61683" spans="23:23">
      <c r="W61683" s="503"/>
    </row>
    <row r="61684" spans="23:23">
      <c r="W61684" s="503"/>
    </row>
    <row r="61685" spans="23:23">
      <c r="W61685" s="503"/>
    </row>
    <row r="61686" spans="23:23">
      <c r="W61686" s="503"/>
    </row>
    <row r="61687" spans="23:23">
      <c r="W61687" s="503"/>
    </row>
    <row r="61688" spans="23:23">
      <c r="W61688" s="503"/>
    </row>
    <row r="61689" spans="23:23">
      <c r="W61689" s="503"/>
    </row>
    <row r="61690" spans="23:23">
      <c r="W61690" s="503"/>
    </row>
    <row r="61691" spans="23:23">
      <c r="W61691" s="503"/>
    </row>
    <row r="61692" spans="23:23">
      <c r="W61692" s="503"/>
    </row>
    <row r="61693" spans="23:23">
      <c r="W61693" s="503"/>
    </row>
    <row r="61694" spans="23:23">
      <c r="W61694" s="503"/>
    </row>
    <row r="61695" spans="23:23">
      <c r="W61695" s="503"/>
    </row>
    <row r="61696" spans="23:23">
      <c r="W61696" s="503"/>
    </row>
    <row r="61697" spans="23:23">
      <c r="W61697" s="503"/>
    </row>
    <row r="61698" spans="23:23">
      <c r="W61698" s="503"/>
    </row>
    <row r="61699" spans="23:23">
      <c r="W61699" s="503"/>
    </row>
    <row r="61700" spans="23:23">
      <c r="W61700" s="503"/>
    </row>
    <row r="61701" spans="23:23">
      <c r="W61701" s="503"/>
    </row>
    <row r="61702" spans="23:23">
      <c r="W61702" s="503"/>
    </row>
    <row r="61703" spans="23:23">
      <c r="W61703" s="503"/>
    </row>
    <row r="61704" spans="23:23">
      <c r="W61704" s="503"/>
    </row>
    <row r="61705" spans="23:23">
      <c r="W61705" s="503"/>
    </row>
    <row r="61706" spans="23:23">
      <c r="W61706" s="503"/>
    </row>
    <row r="61707" spans="23:23">
      <c r="W61707" s="503"/>
    </row>
    <row r="61708" spans="23:23">
      <c r="W61708" s="503"/>
    </row>
    <row r="61709" spans="23:23">
      <c r="W61709" s="503"/>
    </row>
    <row r="61710" spans="23:23">
      <c r="W61710" s="503"/>
    </row>
    <row r="61711" spans="23:23">
      <c r="W61711" s="503"/>
    </row>
    <row r="61712" spans="23:23">
      <c r="W61712" s="503"/>
    </row>
    <row r="61713" spans="23:23">
      <c r="W61713" s="503"/>
    </row>
    <row r="61714" spans="23:23">
      <c r="W61714" s="503"/>
    </row>
    <row r="61715" spans="23:23">
      <c r="W61715" s="503"/>
    </row>
    <row r="61716" spans="23:23">
      <c r="W61716" s="503"/>
    </row>
    <row r="61717" spans="23:23">
      <c r="W61717" s="503"/>
    </row>
    <row r="61718" spans="23:23">
      <c r="W61718" s="503"/>
    </row>
    <row r="61719" spans="23:23">
      <c r="W61719" s="503"/>
    </row>
    <row r="61720" spans="23:23">
      <c r="W61720" s="503"/>
    </row>
    <row r="61721" spans="23:23">
      <c r="W61721" s="503"/>
    </row>
    <row r="61722" spans="23:23">
      <c r="W61722" s="503"/>
    </row>
    <row r="61723" spans="23:23">
      <c r="W61723" s="503"/>
    </row>
    <row r="61724" spans="23:23">
      <c r="W61724" s="503"/>
    </row>
    <row r="61725" spans="23:23">
      <c r="W61725" s="503"/>
    </row>
    <row r="61726" spans="23:23">
      <c r="W61726" s="503"/>
    </row>
    <row r="61727" spans="23:23">
      <c r="W61727" s="503"/>
    </row>
    <row r="61728" spans="23:23">
      <c r="W61728" s="503"/>
    </row>
    <row r="61729" spans="23:23">
      <c r="W61729" s="503"/>
    </row>
    <row r="61730" spans="23:23">
      <c r="W61730" s="503"/>
    </row>
    <row r="61731" spans="23:23">
      <c r="W61731" s="503"/>
    </row>
    <row r="61732" spans="23:23">
      <c r="W61732" s="503"/>
    </row>
    <row r="61733" spans="23:23">
      <c r="W61733" s="503"/>
    </row>
    <row r="61734" spans="23:23">
      <c r="W61734" s="503"/>
    </row>
    <row r="61735" spans="23:23">
      <c r="W61735" s="503"/>
    </row>
    <row r="61736" spans="23:23">
      <c r="W61736" s="503"/>
    </row>
    <row r="61737" spans="23:23">
      <c r="W61737" s="503"/>
    </row>
    <row r="61738" spans="23:23">
      <c r="W61738" s="503"/>
    </row>
    <row r="61739" spans="23:23">
      <c r="W61739" s="503"/>
    </row>
    <row r="61740" spans="23:23">
      <c r="W61740" s="503"/>
    </row>
    <row r="61741" spans="23:23">
      <c r="W61741" s="503"/>
    </row>
    <row r="61742" spans="23:23">
      <c r="W61742" s="503"/>
    </row>
    <row r="61743" spans="23:23">
      <c r="W61743" s="503"/>
    </row>
    <row r="61744" spans="23:23">
      <c r="W61744" s="503"/>
    </row>
    <row r="61745" spans="23:23">
      <c r="W61745" s="503"/>
    </row>
    <row r="61746" spans="23:23">
      <c r="W61746" s="503"/>
    </row>
    <row r="61747" spans="23:23">
      <c r="W61747" s="503"/>
    </row>
    <row r="61748" spans="23:23">
      <c r="W61748" s="503"/>
    </row>
    <row r="61749" spans="23:23">
      <c r="W61749" s="503"/>
    </row>
    <row r="61750" spans="23:23">
      <c r="W61750" s="503"/>
    </row>
    <row r="61751" spans="23:23">
      <c r="W61751" s="503"/>
    </row>
    <row r="61752" spans="23:23">
      <c r="W61752" s="503"/>
    </row>
    <row r="61753" spans="23:23">
      <c r="W61753" s="503"/>
    </row>
    <row r="61754" spans="23:23">
      <c r="W61754" s="503"/>
    </row>
    <row r="61755" spans="23:23">
      <c r="W61755" s="503"/>
    </row>
    <row r="61756" spans="23:23">
      <c r="W61756" s="503"/>
    </row>
    <row r="61757" spans="23:23">
      <c r="W61757" s="503"/>
    </row>
    <row r="61758" spans="23:23">
      <c r="W61758" s="503"/>
    </row>
    <row r="61759" spans="23:23">
      <c r="W61759" s="503"/>
    </row>
    <row r="61760" spans="23:23">
      <c r="W61760" s="503"/>
    </row>
    <row r="61761" spans="23:23">
      <c r="W61761" s="503"/>
    </row>
    <row r="61762" spans="23:23">
      <c r="W61762" s="503"/>
    </row>
    <row r="61763" spans="23:23">
      <c r="W61763" s="503"/>
    </row>
    <row r="61764" spans="23:23">
      <c r="W61764" s="503"/>
    </row>
    <row r="61765" spans="23:23">
      <c r="W61765" s="503"/>
    </row>
    <row r="61766" spans="23:23">
      <c r="W61766" s="503"/>
    </row>
    <row r="61767" spans="23:23">
      <c r="W61767" s="503"/>
    </row>
    <row r="61768" spans="23:23">
      <c r="W61768" s="503"/>
    </row>
    <row r="61769" spans="23:23">
      <c r="W61769" s="503"/>
    </row>
    <row r="61770" spans="23:23">
      <c r="W61770" s="503"/>
    </row>
    <row r="61771" spans="23:23">
      <c r="W61771" s="503"/>
    </row>
    <row r="61772" spans="23:23">
      <c r="W61772" s="503"/>
    </row>
    <row r="61773" spans="23:23">
      <c r="W61773" s="503"/>
    </row>
    <row r="61774" spans="23:23">
      <c r="W61774" s="503"/>
    </row>
    <row r="61775" spans="23:23">
      <c r="W61775" s="503"/>
    </row>
    <row r="61776" spans="23:23">
      <c r="W61776" s="503"/>
    </row>
    <row r="61777" spans="23:23">
      <c r="W61777" s="503"/>
    </row>
    <row r="61778" spans="23:23">
      <c r="W61778" s="503"/>
    </row>
    <row r="61779" spans="23:23">
      <c r="W61779" s="503"/>
    </row>
    <row r="61780" spans="23:23">
      <c r="W61780" s="503"/>
    </row>
    <row r="61781" spans="23:23">
      <c r="W61781" s="503"/>
    </row>
    <row r="61782" spans="23:23">
      <c r="W61782" s="503"/>
    </row>
    <row r="61783" spans="23:23">
      <c r="W61783" s="503"/>
    </row>
    <row r="61784" spans="23:23">
      <c r="W61784" s="503"/>
    </row>
    <row r="61785" spans="23:23">
      <c r="W61785" s="503"/>
    </row>
    <row r="61786" spans="23:23">
      <c r="W61786" s="503"/>
    </row>
    <row r="61787" spans="23:23">
      <c r="W61787" s="503"/>
    </row>
    <row r="61788" spans="23:23">
      <c r="W61788" s="503"/>
    </row>
    <row r="61789" spans="23:23">
      <c r="W61789" s="503"/>
    </row>
    <row r="61790" spans="23:23">
      <c r="W61790" s="503"/>
    </row>
    <row r="61791" spans="23:23">
      <c r="W61791" s="503"/>
    </row>
    <row r="61792" spans="23:23">
      <c r="W61792" s="503"/>
    </row>
    <row r="61793" spans="23:23">
      <c r="W61793" s="503"/>
    </row>
    <row r="61794" spans="23:23">
      <c r="W61794" s="503"/>
    </row>
    <row r="61795" spans="23:23">
      <c r="W61795" s="503"/>
    </row>
    <row r="61796" spans="23:23">
      <c r="W61796" s="503"/>
    </row>
    <row r="61797" spans="23:23">
      <c r="W61797" s="503"/>
    </row>
    <row r="61798" spans="23:23">
      <c r="W61798" s="503"/>
    </row>
    <row r="61799" spans="23:23">
      <c r="W61799" s="503"/>
    </row>
    <row r="61800" spans="23:23">
      <c r="W61800" s="503"/>
    </row>
    <row r="61801" spans="23:23">
      <c r="W61801" s="503"/>
    </row>
    <row r="61802" spans="23:23">
      <c r="W61802" s="503"/>
    </row>
    <row r="61803" spans="23:23">
      <c r="W61803" s="503"/>
    </row>
    <row r="61804" spans="23:23">
      <c r="W61804" s="503"/>
    </row>
    <row r="61805" spans="23:23">
      <c r="W61805" s="503"/>
    </row>
    <row r="61806" spans="23:23">
      <c r="W61806" s="503"/>
    </row>
    <row r="61807" spans="23:23">
      <c r="W61807" s="503"/>
    </row>
    <row r="61808" spans="23:23">
      <c r="W61808" s="503"/>
    </row>
    <row r="61809" spans="23:23">
      <c r="W61809" s="503"/>
    </row>
    <row r="61810" spans="23:23">
      <c r="W61810" s="503"/>
    </row>
    <row r="61811" spans="23:23">
      <c r="W61811" s="503"/>
    </row>
    <row r="61812" spans="23:23">
      <c r="W61812" s="503"/>
    </row>
    <row r="61813" spans="23:23">
      <c r="W61813" s="503"/>
    </row>
    <row r="61814" spans="23:23">
      <c r="W61814" s="503"/>
    </row>
    <row r="61815" spans="23:23">
      <c r="W61815" s="503"/>
    </row>
    <row r="61816" spans="23:23">
      <c r="W61816" s="503"/>
    </row>
    <row r="61817" spans="23:23">
      <c r="W61817" s="503"/>
    </row>
    <row r="61818" spans="23:23">
      <c r="W61818" s="503"/>
    </row>
    <row r="61819" spans="23:23">
      <c r="W61819" s="503"/>
    </row>
    <row r="61820" spans="23:23">
      <c r="W61820" s="503"/>
    </row>
    <row r="61821" spans="23:23">
      <c r="W61821" s="503"/>
    </row>
    <row r="61822" spans="23:23">
      <c r="W61822" s="503"/>
    </row>
    <row r="61823" spans="23:23">
      <c r="W61823" s="503"/>
    </row>
    <row r="61824" spans="23:23">
      <c r="W61824" s="503"/>
    </row>
    <row r="61825" spans="23:23">
      <c r="W61825" s="503"/>
    </row>
    <row r="61826" spans="23:23">
      <c r="W61826" s="503"/>
    </row>
    <row r="61827" spans="23:23">
      <c r="W61827" s="503"/>
    </row>
    <row r="61828" spans="23:23">
      <c r="W61828" s="503"/>
    </row>
    <row r="61829" spans="23:23">
      <c r="W61829" s="503"/>
    </row>
    <row r="61830" spans="23:23">
      <c r="W61830" s="503"/>
    </row>
    <row r="61831" spans="23:23">
      <c r="W61831" s="503"/>
    </row>
    <row r="61832" spans="23:23">
      <c r="W61832" s="503"/>
    </row>
    <row r="61833" spans="23:23">
      <c r="W61833" s="503"/>
    </row>
    <row r="61834" spans="23:23">
      <c r="W61834" s="503"/>
    </row>
    <row r="61835" spans="23:23">
      <c r="W61835" s="503"/>
    </row>
    <row r="61836" spans="23:23">
      <c r="W61836" s="503"/>
    </row>
    <row r="61837" spans="23:23">
      <c r="W61837" s="503"/>
    </row>
    <row r="61838" spans="23:23">
      <c r="W61838" s="503"/>
    </row>
    <row r="61839" spans="23:23">
      <c r="W61839" s="503"/>
    </row>
    <row r="61840" spans="23:23">
      <c r="W61840" s="503"/>
    </row>
    <row r="61841" spans="23:23">
      <c r="W61841" s="503"/>
    </row>
    <row r="61842" spans="23:23">
      <c r="W61842" s="503"/>
    </row>
    <row r="61843" spans="23:23">
      <c r="W61843" s="503"/>
    </row>
    <row r="61844" spans="23:23">
      <c r="W61844" s="503"/>
    </row>
    <row r="61845" spans="23:23">
      <c r="W61845" s="503"/>
    </row>
    <row r="61846" spans="23:23">
      <c r="W61846" s="503"/>
    </row>
    <row r="61847" spans="23:23">
      <c r="W61847" s="503"/>
    </row>
    <row r="61848" spans="23:23">
      <c r="W61848" s="503"/>
    </row>
    <row r="61849" spans="23:23">
      <c r="W61849" s="503"/>
    </row>
    <row r="61850" spans="23:23">
      <c r="W61850" s="503"/>
    </row>
    <row r="61851" spans="23:23">
      <c r="W61851" s="503"/>
    </row>
    <row r="61852" spans="23:23">
      <c r="W61852" s="503"/>
    </row>
    <row r="61853" spans="23:23">
      <c r="W61853" s="503"/>
    </row>
    <row r="61854" spans="23:23">
      <c r="W61854" s="503"/>
    </row>
    <row r="61855" spans="23:23">
      <c r="W61855" s="503"/>
    </row>
    <row r="61856" spans="23:23">
      <c r="W61856" s="503"/>
    </row>
    <row r="61857" spans="23:23">
      <c r="W61857" s="503"/>
    </row>
    <row r="61858" spans="23:23">
      <c r="W61858" s="503"/>
    </row>
    <row r="61859" spans="23:23">
      <c r="W61859" s="503"/>
    </row>
    <row r="61860" spans="23:23">
      <c r="W61860" s="503"/>
    </row>
    <row r="61861" spans="23:23">
      <c r="W61861" s="503"/>
    </row>
    <row r="61862" spans="23:23">
      <c r="W61862" s="503"/>
    </row>
    <row r="61863" spans="23:23">
      <c r="W61863" s="503"/>
    </row>
    <row r="61864" spans="23:23">
      <c r="W61864" s="503"/>
    </row>
    <row r="61865" spans="23:23">
      <c r="W61865" s="503"/>
    </row>
    <row r="61866" spans="23:23">
      <c r="W61866" s="503"/>
    </row>
    <row r="61867" spans="23:23">
      <c r="W61867" s="503"/>
    </row>
    <row r="61868" spans="23:23">
      <c r="W61868" s="503"/>
    </row>
    <row r="61869" spans="23:23">
      <c r="W61869" s="503"/>
    </row>
    <row r="61870" spans="23:23">
      <c r="W61870" s="503"/>
    </row>
    <row r="61871" spans="23:23">
      <c r="W61871" s="503"/>
    </row>
    <row r="61872" spans="23:23">
      <c r="W61872" s="503"/>
    </row>
    <row r="61873" spans="23:23">
      <c r="W61873" s="503"/>
    </row>
    <row r="61874" spans="23:23">
      <c r="W61874" s="503"/>
    </row>
    <row r="61875" spans="23:23">
      <c r="W61875" s="503"/>
    </row>
    <row r="61876" spans="23:23">
      <c r="W61876" s="503"/>
    </row>
    <row r="61877" spans="23:23">
      <c r="W61877" s="503"/>
    </row>
    <row r="61878" spans="23:23">
      <c r="W61878" s="503"/>
    </row>
    <row r="61879" spans="23:23">
      <c r="W61879" s="503"/>
    </row>
    <row r="61880" spans="23:23">
      <c r="W61880" s="503"/>
    </row>
    <row r="61881" spans="23:23">
      <c r="W61881" s="503"/>
    </row>
    <row r="61882" spans="23:23">
      <c r="W61882" s="503"/>
    </row>
    <row r="61883" spans="23:23">
      <c r="W61883" s="503"/>
    </row>
    <row r="61884" spans="23:23">
      <c r="W61884" s="503"/>
    </row>
    <row r="61885" spans="23:23">
      <c r="W61885" s="503"/>
    </row>
    <row r="61886" spans="23:23">
      <c r="W61886" s="503"/>
    </row>
    <row r="61887" spans="23:23">
      <c r="W61887" s="503"/>
    </row>
    <row r="61888" spans="23:23">
      <c r="W61888" s="503"/>
    </row>
    <row r="61889" spans="23:23">
      <c r="W61889" s="503"/>
    </row>
    <row r="61890" spans="23:23">
      <c r="W61890" s="503"/>
    </row>
    <row r="61891" spans="23:23">
      <c r="W61891" s="503"/>
    </row>
    <row r="61892" spans="23:23">
      <c r="W61892" s="503"/>
    </row>
    <row r="61893" spans="23:23">
      <c r="W61893" s="503"/>
    </row>
    <row r="61894" spans="23:23">
      <c r="W61894" s="503"/>
    </row>
    <row r="61895" spans="23:23">
      <c r="W61895" s="503"/>
    </row>
    <row r="61896" spans="23:23">
      <c r="W61896" s="503"/>
    </row>
    <row r="61897" spans="23:23">
      <c r="W61897" s="503"/>
    </row>
    <row r="61898" spans="23:23">
      <c r="W61898" s="503"/>
    </row>
    <row r="61899" spans="23:23">
      <c r="W61899" s="503"/>
    </row>
    <row r="61900" spans="23:23">
      <c r="W61900" s="503"/>
    </row>
    <row r="61901" spans="23:23">
      <c r="W61901" s="503"/>
    </row>
    <row r="61902" spans="23:23">
      <c r="W61902" s="503"/>
    </row>
    <row r="61903" spans="23:23">
      <c r="W61903" s="503"/>
    </row>
    <row r="61904" spans="23:23">
      <c r="W61904" s="503"/>
    </row>
    <row r="61905" spans="23:23">
      <c r="W61905" s="503"/>
    </row>
    <row r="61906" spans="23:23">
      <c r="W61906" s="503"/>
    </row>
    <row r="61907" spans="23:23">
      <c r="W61907" s="503"/>
    </row>
    <row r="61908" spans="23:23">
      <c r="W61908" s="503"/>
    </row>
    <row r="61909" spans="23:23">
      <c r="W61909" s="503"/>
    </row>
    <row r="61910" spans="23:23">
      <c r="W61910" s="503"/>
    </row>
    <row r="61911" spans="23:23">
      <c r="W61911" s="503"/>
    </row>
    <row r="61912" spans="23:23">
      <c r="W61912" s="503"/>
    </row>
    <row r="61913" spans="23:23">
      <c r="W61913" s="503"/>
    </row>
    <row r="61914" spans="23:23">
      <c r="W61914" s="503"/>
    </row>
    <row r="61915" spans="23:23">
      <c r="W61915" s="503"/>
    </row>
    <row r="61916" spans="23:23">
      <c r="W61916" s="503"/>
    </row>
    <row r="61917" spans="23:23">
      <c r="W61917" s="503"/>
    </row>
    <row r="61918" spans="23:23">
      <c r="W61918" s="503"/>
    </row>
    <row r="61919" spans="23:23">
      <c r="W61919" s="503"/>
    </row>
    <row r="61920" spans="23:23">
      <c r="W61920" s="503"/>
    </row>
    <row r="61921" spans="23:23">
      <c r="W61921" s="503"/>
    </row>
    <row r="61922" spans="23:23">
      <c r="W61922" s="503"/>
    </row>
    <row r="61923" spans="23:23">
      <c r="W61923" s="503"/>
    </row>
    <row r="61924" spans="23:23">
      <c r="W61924" s="503"/>
    </row>
    <row r="61925" spans="23:23">
      <c r="W61925" s="503"/>
    </row>
    <row r="61926" spans="23:23">
      <c r="W61926" s="503"/>
    </row>
    <row r="61927" spans="23:23">
      <c r="W61927" s="503"/>
    </row>
    <row r="61928" spans="23:23">
      <c r="W61928" s="503"/>
    </row>
    <row r="61929" spans="23:23">
      <c r="W61929" s="503"/>
    </row>
    <row r="61930" spans="23:23">
      <c r="W61930" s="503"/>
    </row>
    <row r="61931" spans="23:23">
      <c r="W61931" s="503"/>
    </row>
    <row r="61932" spans="23:23">
      <c r="W61932" s="503"/>
    </row>
    <row r="61933" spans="23:23">
      <c r="W61933" s="503"/>
    </row>
    <row r="61934" spans="23:23">
      <c r="W61934" s="503"/>
    </row>
    <row r="61935" spans="23:23">
      <c r="W61935" s="503"/>
    </row>
    <row r="61936" spans="23:23">
      <c r="W61936" s="503"/>
    </row>
    <row r="61937" spans="23:23">
      <c r="W61937" s="503"/>
    </row>
    <row r="61938" spans="23:23">
      <c r="W61938" s="503"/>
    </row>
    <row r="61939" spans="23:23">
      <c r="W61939" s="503"/>
    </row>
    <row r="61940" spans="23:23">
      <c r="W61940" s="503"/>
    </row>
    <row r="61941" spans="23:23">
      <c r="W61941" s="503"/>
    </row>
    <row r="61942" spans="23:23">
      <c r="W61942" s="503"/>
    </row>
    <row r="61943" spans="23:23">
      <c r="W61943" s="503"/>
    </row>
    <row r="61944" spans="23:23">
      <c r="W61944" s="503"/>
    </row>
    <row r="61945" spans="23:23">
      <c r="W61945" s="503"/>
    </row>
    <row r="61946" spans="23:23">
      <c r="W61946" s="503"/>
    </row>
    <row r="61947" spans="23:23">
      <c r="W61947" s="503"/>
    </row>
    <row r="61948" spans="23:23">
      <c r="W61948" s="503"/>
    </row>
    <row r="61949" spans="23:23">
      <c r="W61949" s="503"/>
    </row>
    <row r="61950" spans="23:23">
      <c r="W61950" s="503"/>
    </row>
    <row r="61951" spans="23:23">
      <c r="W61951" s="503"/>
    </row>
    <row r="61952" spans="23:23">
      <c r="W61952" s="503"/>
    </row>
    <row r="61953" spans="23:23">
      <c r="W61953" s="503"/>
    </row>
    <row r="61954" spans="23:23">
      <c r="W61954" s="503"/>
    </row>
    <row r="61955" spans="23:23">
      <c r="W61955" s="503"/>
    </row>
    <row r="61956" spans="23:23">
      <c r="W61956" s="503"/>
    </row>
    <row r="61957" spans="23:23">
      <c r="W61957" s="503"/>
    </row>
    <row r="61958" spans="23:23">
      <c r="W61958" s="503"/>
    </row>
    <row r="61959" spans="23:23">
      <c r="W61959" s="503"/>
    </row>
    <row r="61960" spans="23:23">
      <c r="W61960" s="503"/>
    </row>
    <row r="61961" spans="23:23">
      <c r="W61961" s="503"/>
    </row>
    <row r="61962" spans="23:23">
      <c r="W61962" s="503"/>
    </row>
    <row r="61963" spans="23:23">
      <c r="W61963" s="503"/>
    </row>
    <row r="61964" spans="23:23">
      <c r="W61964" s="503"/>
    </row>
    <row r="61965" spans="23:23">
      <c r="W61965" s="503"/>
    </row>
    <row r="61966" spans="23:23">
      <c r="W61966" s="503"/>
    </row>
    <row r="61967" spans="23:23">
      <c r="W61967" s="503"/>
    </row>
    <row r="61968" spans="23:23">
      <c r="W61968" s="503"/>
    </row>
    <row r="61969" spans="23:23">
      <c r="W61969" s="503"/>
    </row>
    <row r="61970" spans="23:23">
      <c r="W61970" s="503"/>
    </row>
    <row r="61971" spans="23:23">
      <c r="W61971" s="503"/>
    </row>
    <row r="61972" spans="23:23">
      <c r="W61972" s="503"/>
    </row>
    <row r="61973" spans="23:23">
      <c r="W61973" s="503"/>
    </row>
    <row r="61974" spans="23:23">
      <c r="W61974" s="503"/>
    </row>
    <row r="61975" spans="23:23">
      <c r="W61975" s="503"/>
    </row>
    <row r="61976" spans="23:23">
      <c r="W61976" s="503"/>
    </row>
    <row r="61977" spans="23:23">
      <c r="W61977" s="503"/>
    </row>
    <row r="61978" spans="23:23">
      <c r="W61978" s="503"/>
    </row>
    <row r="61979" spans="23:23">
      <c r="W61979" s="503"/>
    </row>
    <row r="61980" spans="23:23">
      <c r="W61980" s="503"/>
    </row>
    <row r="61981" spans="23:23">
      <c r="W61981" s="503"/>
    </row>
    <row r="61982" spans="23:23">
      <c r="W61982" s="503"/>
    </row>
    <row r="61983" spans="23:23">
      <c r="W61983" s="503"/>
    </row>
    <row r="61984" spans="23:23">
      <c r="W61984" s="503"/>
    </row>
    <row r="61985" spans="23:23">
      <c r="W61985" s="503"/>
    </row>
    <row r="61986" spans="23:23">
      <c r="W61986" s="503"/>
    </row>
    <row r="61987" spans="23:23">
      <c r="W61987" s="503"/>
    </row>
    <row r="61988" spans="23:23">
      <c r="W61988" s="503"/>
    </row>
    <row r="61989" spans="23:23">
      <c r="W61989" s="503"/>
    </row>
    <row r="61990" spans="23:23">
      <c r="W61990" s="503"/>
    </row>
    <row r="61991" spans="23:23">
      <c r="W61991" s="503"/>
    </row>
    <row r="61992" spans="23:23">
      <c r="W61992" s="503"/>
    </row>
    <row r="61993" spans="23:23">
      <c r="W61993" s="503"/>
    </row>
    <row r="61994" spans="23:23">
      <c r="W61994" s="503"/>
    </row>
    <row r="61995" spans="23:23">
      <c r="W61995" s="503"/>
    </row>
    <row r="61996" spans="23:23">
      <c r="W61996" s="503"/>
    </row>
    <row r="61997" spans="23:23">
      <c r="W61997" s="503"/>
    </row>
    <row r="61998" spans="23:23">
      <c r="W61998" s="503"/>
    </row>
    <row r="61999" spans="23:23">
      <c r="W61999" s="503"/>
    </row>
    <row r="62000" spans="23:23">
      <c r="W62000" s="503"/>
    </row>
    <row r="62001" spans="23:23">
      <c r="W62001" s="503"/>
    </row>
    <row r="62002" spans="23:23">
      <c r="W62002" s="503"/>
    </row>
    <row r="62003" spans="23:23">
      <c r="W62003" s="503"/>
    </row>
    <row r="62004" spans="23:23">
      <c r="W62004" s="503"/>
    </row>
    <row r="62005" spans="23:23">
      <c r="W62005" s="503"/>
    </row>
    <row r="62006" spans="23:23">
      <c r="W62006" s="503"/>
    </row>
    <row r="62007" spans="23:23">
      <c r="W62007" s="503"/>
    </row>
    <row r="62008" spans="23:23">
      <c r="W62008" s="503"/>
    </row>
    <row r="62009" spans="23:23">
      <c r="W62009" s="503"/>
    </row>
    <row r="62010" spans="23:23">
      <c r="W62010" s="503"/>
    </row>
    <row r="62011" spans="23:23">
      <c r="W62011" s="503"/>
    </row>
    <row r="62012" spans="23:23">
      <c r="W62012" s="503"/>
    </row>
    <row r="62013" spans="23:23">
      <c r="W62013" s="503"/>
    </row>
    <row r="62014" spans="23:23">
      <c r="W62014" s="503"/>
    </row>
    <row r="62015" spans="23:23">
      <c r="W62015" s="503"/>
    </row>
    <row r="62016" spans="23:23">
      <c r="W62016" s="503"/>
    </row>
    <row r="62017" spans="23:23">
      <c r="W62017" s="503"/>
    </row>
    <row r="62018" spans="23:23">
      <c r="W62018" s="503"/>
    </row>
    <row r="62019" spans="23:23">
      <c r="W62019" s="503"/>
    </row>
    <row r="62020" spans="23:23">
      <c r="W62020" s="503"/>
    </row>
    <row r="62021" spans="23:23">
      <c r="W62021" s="503"/>
    </row>
    <row r="62022" spans="23:23">
      <c r="W62022" s="503"/>
    </row>
    <row r="62023" spans="23:23">
      <c r="W62023" s="503"/>
    </row>
    <row r="62024" spans="23:23">
      <c r="W62024" s="503"/>
    </row>
    <row r="62025" spans="23:23">
      <c r="W62025" s="503"/>
    </row>
    <row r="62026" spans="23:23">
      <c r="W62026" s="503"/>
    </row>
    <row r="62027" spans="23:23">
      <c r="W62027" s="503"/>
    </row>
    <row r="62028" spans="23:23">
      <c r="W62028" s="503"/>
    </row>
    <row r="62029" spans="23:23">
      <c r="W62029" s="503"/>
    </row>
    <row r="62030" spans="23:23">
      <c r="W62030" s="503"/>
    </row>
    <row r="62031" spans="23:23">
      <c r="W62031" s="503"/>
    </row>
    <row r="62032" spans="23:23">
      <c r="W62032" s="503"/>
    </row>
    <row r="62033" spans="23:23">
      <c r="W62033" s="503"/>
    </row>
    <row r="62034" spans="23:23">
      <c r="W62034" s="503"/>
    </row>
    <row r="62035" spans="23:23">
      <c r="W62035" s="503"/>
    </row>
    <row r="62036" spans="23:23">
      <c r="W62036" s="503"/>
    </row>
    <row r="62037" spans="23:23">
      <c r="W62037" s="503"/>
    </row>
    <row r="62038" spans="23:23">
      <c r="W62038" s="503"/>
    </row>
    <row r="62039" spans="23:23">
      <c r="W62039" s="503"/>
    </row>
    <row r="62040" spans="23:23">
      <c r="W62040" s="503"/>
    </row>
    <row r="62041" spans="23:23">
      <c r="W62041" s="503"/>
    </row>
    <row r="62042" spans="23:23">
      <c r="W62042" s="503"/>
    </row>
    <row r="62043" spans="23:23">
      <c r="W62043" s="503"/>
    </row>
    <row r="62044" spans="23:23">
      <c r="W62044" s="503"/>
    </row>
    <row r="62045" spans="23:23">
      <c r="W62045" s="503"/>
    </row>
    <row r="62046" spans="23:23">
      <c r="W62046" s="503"/>
    </row>
    <row r="62047" spans="23:23">
      <c r="W62047" s="503"/>
    </row>
    <row r="62048" spans="23:23">
      <c r="W62048" s="503"/>
    </row>
    <row r="62049" spans="23:23">
      <c r="W62049" s="503"/>
    </row>
    <row r="62050" spans="23:23">
      <c r="W62050" s="503"/>
    </row>
    <row r="62051" spans="23:23">
      <c r="W62051" s="503"/>
    </row>
    <row r="62052" spans="23:23">
      <c r="W62052" s="503"/>
    </row>
    <row r="62053" spans="23:23">
      <c r="W62053" s="503"/>
    </row>
    <row r="62054" spans="23:23">
      <c r="W62054" s="503"/>
    </row>
    <row r="62055" spans="23:23">
      <c r="W62055" s="503"/>
    </row>
    <row r="62056" spans="23:23">
      <c r="W62056" s="503"/>
    </row>
    <row r="62057" spans="23:23">
      <c r="W62057" s="503"/>
    </row>
    <row r="62058" spans="23:23">
      <c r="W62058" s="503"/>
    </row>
    <row r="62059" spans="23:23">
      <c r="W62059" s="503"/>
    </row>
    <row r="62060" spans="23:23">
      <c r="W62060" s="503"/>
    </row>
    <row r="62061" spans="23:23">
      <c r="W62061" s="503"/>
    </row>
    <row r="62062" spans="23:23">
      <c r="W62062" s="503"/>
    </row>
    <row r="62063" spans="23:23">
      <c r="W62063" s="503"/>
    </row>
    <row r="62064" spans="23:23">
      <c r="W62064" s="503"/>
    </row>
    <row r="62065" spans="23:23">
      <c r="W62065" s="503"/>
    </row>
    <row r="62066" spans="23:23">
      <c r="W62066" s="503"/>
    </row>
    <row r="62067" spans="23:23">
      <c r="W62067" s="503"/>
    </row>
    <row r="62068" spans="23:23">
      <c r="W62068" s="503"/>
    </row>
    <row r="62069" spans="23:23">
      <c r="W62069" s="503"/>
    </row>
    <row r="62070" spans="23:23">
      <c r="W62070" s="503"/>
    </row>
    <row r="62071" spans="23:23">
      <c r="W62071" s="503"/>
    </row>
    <row r="62072" spans="23:23">
      <c r="W62072" s="503"/>
    </row>
    <row r="62073" spans="23:23">
      <c r="W62073" s="503"/>
    </row>
    <row r="62074" spans="23:23">
      <c r="W62074" s="503"/>
    </row>
    <row r="62075" spans="23:23">
      <c r="W62075" s="503"/>
    </row>
    <row r="62076" spans="23:23">
      <c r="W62076" s="503"/>
    </row>
    <row r="62077" spans="23:23">
      <c r="W62077" s="503"/>
    </row>
    <row r="62078" spans="23:23">
      <c r="W62078" s="503"/>
    </row>
    <row r="62079" spans="23:23">
      <c r="W62079" s="503"/>
    </row>
    <row r="62080" spans="23:23">
      <c r="W62080" s="503"/>
    </row>
    <row r="62081" spans="23:23">
      <c r="W62081" s="503"/>
    </row>
    <row r="62082" spans="23:23">
      <c r="W62082" s="503"/>
    </row>
    <row r="62083" spans="23:23">
      <c r="W62083" s="503"/>
    </row>
    <row r="62084" spans="23:23">
      <c r="W62084" s="503"/>
    </row>
    <row r="62085" spans="23:23">
      <c r="W62085" s="503"/>
    </row>
    <row r="62086" spans="23:23">
      <c r="W62086" s="503"/>
    </row>
    <row r="62087" spans="23:23">
      <c r="W62087" s="503"/>
    </row>
    <row r="62088" spans="23:23">
      <c r="W62088" s="503"/>
    </row>
    <row r="62089" spans="23:23">
      <c r="W62089" s="503"/>
    </row>
    <row r="62090" spans="23:23">
      <c r="W62090" s="503"/>
    </row>
    <row r="62091" spans="23:23">
      <c r="W62091" s="503"/>
    </row>
    <row r="62092" spans="23:23">
      <c r="W62092" s="503"/>
    </row>
    <row r="62093" spans="23:23">
      <c r="W62093" s="503"/>
    </row>
    <row r="62094" spans="23:23">
      <c r="W62094" s="503"/>
    </row>
    <row r="62095" spans="23:23">
      <c r="W62095" s="503"/>
    </row>
    <row r="62096" spans="23:23">
      <c r="W62096" s="503"/>
    </row>
    <row r="62097" spans="23:23">
      <c r="W62097" s="503"/>
    </row>
    <row r="62098" spans="23:23">
      <c r="W62098" s="503"/>
    </row>
    <row r="62099" spans="23:23">
      <c r="W62099" s="503"/>
    </row>
    <row r="62100" spans="23:23">
      <c r="W62100" s="503"/>
    </row>
    <row r="62101" spans="23:23">
      <c r="W62101" s="503"/>
    </row>
    <row r="62102" spans="23:23">
      <c r="W62102" s="503"/>
    </row>
    <row r="62103" spans="23:23">
      <c r="W62103" s="503"/>
    </row>
    <row r="62104" spans="23:23">
      <c r="W62104" s="503"/>
    </row>
    <row r="62105" spans="23:23">
      <c r="W62105" s="503"/>
    </row>
    <row r="62106" spans="23:23">
      <c r="W62106" s="503"/>
    </row>
    <row r="62107" spans="23:23">
      <c r="W62107" s="503"/>
    </row>
    <row r="62108" spans="23:23">
      <c r="W62108" s="503"/>
    </row>
    <row r="62109" spans="23:23">
      <c r="W62109" s="503"/>
    </row>
    <row r="62110" spans="23:23">
      <c r="W62110" s="503"/>
    </row>
    <row r="62111" spans="23:23">
      <c r="W62111" s="503"/>
    </row>
    <row r="62112" spans="23:23">
      <c r="W62112" s="503"/>
    </row>
    <row r="62113" spans="23:23">
      <c r="W62113" s="503"/>
    </row>
    <row r="62114" spans="23:23">
      <c r="W62114" s="503"/>
    </row>
    <row r="62115" spans="23:23">
      <c r="W62115" s="503"/>
    </row>
    <row r="62116" spans="23:23">
      <c r="W62116" s="503"/>
    </row>
    <row r="62117" spans="23:23">
      <c r="W62117" s="503"/>
    </row>
    <row r="62118" spans="23:23">
      <c r="W62118" s="503"/>
    </row>
    <row r="62119" spans="23:23">
      <c r="W62119" s="503"/>
    </row>
    <row r="62120" spans="23:23">
      <c r="W62120" s="503"/>
    </row>
    <row r="62121" spans="23:23">
      <c r="W62121" s="503"/>
    </row>
    <row r="62122" spans="23:23">
      <c r="W62122" s="503"/>
    </row>
    <row r="62123" spans="23:23">
      <c r="W62123" s="503"/>
    </row>
    <row r="62124" spans="23:23">
      <c r="W62124" s="503"/>
    </row>
    <row r="62125" spans="23:23">
      <c r="W62125" s="503"/>
    </row>
    <row r="62126" spans="23:23">
      <c r="W62126" s="503"/>
    </row>
    <row r="62127" spans="23:23">
      <c r="W62127" s="503"/>
    </row>
    <row r="62128" spans="23:23">
      <c r="W62128" s="503"/>
    </row>
    <row r="62129" spans="23:23">
      <c r="W62129" s="503"/>
    </row>
    <row r="62130" spans="23:23">
      <c r="W62130" s="503"/>
    </row>
    <row r="62131" spans="23:23">
      <c r="W62131" s="503"/>
    </row>
    <row r="62132" spans="23:23">
      <c r="W62132" s="503"/>
    </row>
    <row r="62133" spans="23:23">
      <c r="W62133" s="503"/>
    </row>
    <row r="62134" spans="23:23">
      <c r="W62134" s="503"/>
    </row>
    <row r="62135" spans="23:23">
      <c r="W62135" s="503"/>
    </row>
    <row r="62136" spans="23:23">
      <c r="W62136" s="503"/>
    </row>
    <row r="62137" spans="23:23">
      <c r="W62137" s="503"/>
    </row>
    <row r="62138" spans="23:23">
      <c r="W62138" s="503"/>
    </row>
    <row r="62139" spans="23:23">
      <c r="W62139" s="503"/>
    </row>
    <row r="62140" spans="23:23">
      <c r="W62140" s="503"/>
    </row>
    <row r="62141" spans="23:23">
      <c r="W62141" s="503"/>
    </row>
    <row r="62142" spans="23:23">
      <c r="W62142" s="503"/>
    </row>
    <row r="62143" spans="23:23">
      <c r="W62143" s="503"/>
    </row>
    <row r="62144" spans="23:23">
      <c r="W62144" s="503"/>
    </row>
    <row r="62145" spans="23:23">
      <c r="W62145" s="503"/>
    </row>
    <row r="62146" spans="23:23">
      <c r="W62146" s="503"/>
    </row>
    <row r="62147" spans="23:23">
      <c r="W62147" s="503"/>
    </row>
    <row r="62148" spans="23:23">
      <c r="W62148" s="503"/>
    </row>
    <row r="62149" spans="23:23">
      <c r="W62149" s="503"/>
    </row>
    <row r="62150" spans="23:23">
      <c r="W62150" s="503"/>
    </row>
    <row r="62151" spans="23:23">
      <c r="W62151" s="503"/>
    </row>
    <row r="62152" spans="23:23">
      <c r="W62152" s="503"/>
    </row>
    <row r="62153" spans="23:23">
      <c r="W62153" s="503"/>
    </row>
    <row r="62154" spans="23:23">
      <c r="W62154" s="503"/>
    </row>
    <row r="62155" spans="23:23">
      <c r="W62155" s="503"/>
    </row>
    <row r="62156" spans="23:23">
      <c r="W62156" s="503"/>
    </row>
    <row r="62157" spans="23:23">
      <c r="W62157" s="503"/>
    </row>
    <row r="62158" spans="23:23">
      <c r="W62158" s="503"/>
    </row>
    <row r="62159" spans="23:23">
      <c r="W62159" s="503"/>
    </row>
    <row r="62160" spans="23:23">
      <c r="W62160" s="503"/>
    </row>
    <row r="62161" spans="23:23">
      <c r="W62161" s="503"/>
    </row>
    <row r="62162" spans="23:23">
      <c r="W62162" s="503"/>
    </row>
    <row r="62163" spans="23:23">
      <c r="W62163" s="503"/>
    </row>
    <row r="62164" spans="23:23">
      <c r="W62164" s="503"/>
    </row>
    <row r="62165" spans="23:23">
      <c r="W62165" s="503"/>
    </row>
    <row r="62166" spans="23:23">
      <c r="W62166" s="503"/>
    </row>
    <row r="62167" spans="23:23">
      <c r="W62167" s="503"/>
    </row>
    <row r="62168" spans="23:23">
      <c r="W62168" s="503"/>
    </row>
    <row r="62169" spans="23:23">
      <c r="W62169" s="503"/>
    </row>
    <row r="62170" spans="23:23">
      <c r="W62170" s="503"/>
    </row>
    <row r="62171" spans="23:23">
      <c r="W62171" s="503"/>
    </row>
    <row r="62172" spans="23:23">
      <c r="W62172" s="503"/>
    </row>
    <row r="62173" spans="23:23">
      <c r="W62173" s="503"/>
    </row>
    <row r="62174" spans="23:23">
      <c r="W62174" s="503"/>
    </row>
    <row r="62175" spans="23:23">
      <c r="W62175" s="503"/>
    </row>
    <row r="62176" spans="23:23">
      <c r="W62176" s="503"/>
    </row>
    <row r="62177" spans="23:23">
      <c r="W62177" s="503"/>
    </row>
    <row r="62178" spans="23:23">
      <c r="W62178" s="503"/>
    </row>
    <row r="62179" spans="23:23">
      <c r="W62179" s="503"/>
    </row>
    <row r="62180" spans="23:23">
      <c r="W62180" s="503"/>
    </row>
    <row r="62181" spans="23:23">
      <c r="W62181" s="503"/>
    </row>
    <row r="62182" spans="23:23">
      <c r="W62182" s="503"/>
    </row>
    <row r="62183" spans="23:23">
      <c r="W62183" s="503"/>
    </row>
    <row r="62184" spans="23:23">
      <c r="W62184" s="503"/>
    </row>
    <row r="62185" spans="23:23">
      <c r="W62185" s="503"/>
    </row>
    <row r="62186" spans="23:23">
      <c r="W62186" s="503"/>
    </row>
    <row r="62187" spans="23:23">
      <c r="W62187" s="503"/>
    </row>
    <row r="62188" spans="23:23">
      <c r="W62188" s="503"/>
    </row>
    <row r="62189" spans="23:23">
      <c r="W62189" s="503"/>
    </row>
    <row r="62190" spans="23:23">
      <c r="W62190" s="503"/>
    </row>
    <row r="62191" spans="23:23">
      <c r="W62191" s="503"/>
    </row>
    <row r="62192" spans="23:23">
      <c r="W62192" s="503"/>
    </row>
    <row r="62193" spans="23:23">
      <c r="W62193" s="503"/>
    </row>
    <row r="62194" spans="23:23">
      <c r="W62194" s="503"/>
    </row>
    <row r="62195" spans="23:23">
      <c r="W62195" s="503"/>
    </row>
    <row r="62196" spans="23:23">
      <c r="W62196" s="503"/>
    </row>
    <row r="62197" spans="23:23">
      <c r="W62197" s="503"/>
    </row>
    <row r="62198" spans="23:23">
      <c r="W62198" s="503"/>
    </row>
    <row r="62199" spans="23:23">
      <c r="W62199" s="503"/>
    </row>
    <row r="62200" spans="23:23">
      <c r="W62200" s="503"/>
    </row>
    <row r="62201" spans="23:23">
      <c r="W62201" s="503"/>
    </row>
    <row r="62202" spans="23:23">
      <c r="W62202" s="503"/>
    </row>
    <row r="62203" spans="23:23">
      <c r="W62203" s="503"/>
    </row>
    <row r="62204" spans="23:23">
      <c r="W62204" s="503"/>
    </row>
    <row r="62205" spans="23:23">
      <c r="W62205" s="503"/>
    </row>
    <row r="62206" spans="23:23">
      <c r="W62206" s="503"/>
    </row>
    <row r="62207" spans="23:23">
      <c r="W62207" s="503"/>
    </row>
    <row r="62208" spans="23:23">
      <c r="W62208" s="503"/>
    </row>
    <row r="62209" spans="23:23">
      <c r="W62209" s="503"/>
    </row>
    <row r="62210" spans="23:23">
      <c r="W62210" s="503"/>
    </row>
    <row r="62211" spans="23:23">
      <c r="W62211" s="503"/>
    </row>
    <row r="62212" spans="23:23">
      <c r="W62212" s="503"/>
    </row>
    <row r="62213" spans="23:23">
      <c r="W62213" s="503"/>
    </row>
    <row r="62214" spans="23:23">
      <c r="W62214" s="503"/>
    </row>
    <row r="62215" spans="23:23">
      <c r="W62215" s="503"/>
    </row>
    <row r="62216" spans="23:23">
      <c r="W62216" s="503"/>
    </row>
    <row r="62217" spans="23:23">
      <c r="W62217" s="503"/>
    </row>
    <row r="62218" spans="23:23">
      <c r="W62218" s="503"/>
    </row>
    <row r="62219" spans="23:23">
      <c r="W62219" s="503"/>
    </row>
    <row r="62220" spans="23:23">
      <c r="W62220" s="503"/>
    </row>
    <row r="62221" spans="23:23">
      <c r="W62221" s="503"/>
    </row>
    <row r="62222" spans="23:23">
      <c r="W62222" s="503"/>
    </row>
    <row r="62223" spans="23:23">
      <c r="W62223" s="503"/>
    </row>
    <row r="62224" spans="23:23">
      <c r="W62224" s="503"/>
    </row>
    <row r="62225" spans="23:23">
      <c r="W62225" s="503"/>
    </row>
    <row r="62226" spans="23:23">
      <c r="W62226" s="503"/>
    </row>
    <row r="62227" spans="23:23">
      <c r="W62227" s="503"/>
    </row>
    <row r="62228" spans="23:23">
      <c r="W62228" s="503"/>
    </row>
    <row r="62229" spans="23:23">
      <c r="W62229" s="503"/>
    </row>
    <row r="62230" spans="23:23">
      <c r="W62230" s="503"/>
    </row>
    <row r="62231" spans="23:23">
      <c r="W62231" s="503"/>
    </row>
    <row r="62232" spans="23:23">
      <c r="W62232" s="503"/>
    </row>
    <row r="62233" spans="23:23">
      <c r="W62233" s="503"/>
    </row>
    <row r="62234" spans="23:23">
      <c r="W62234" s="503"/>
    </row>
    <row r="62235" spans="23:23">
      <c r="W62235" s="503"/>
    </row>
    <row r="62236" spans="23:23">
      <c r="W62236" s="503"/>
    </row>
    <row r="62237" spans="23:23">
      <c r="W62237" s="503"/>
    </row>
    <row r="62238" spans="23:23">
      <c r="W62238" s="503"/>
    </row>
    <row r="62239" spans="23:23">
      <c r="W62239" s="503"/>
    </row>
    <row r="62240" spans="23:23">
      <c r="W62240" s="503"/>
    </row>
    <row r="62241" spans="23:23">
      <c r="W62241" s="503"/>
    </row>
    <row r="62242" spans="23:23">
      <c r="W62242" s="503"/>
    </row>
    <row r="62243" spans="23:23">
      <c r="W62243" s="503"/>
    </row>
    <row r="62244" spans="23:23">
      <c r="W62244" s="503"/>
    </row>
    <row r="62245" spans="23:23">
      <c r="W62245" s="503"/>
    </row>
    <row r="62246" spans="23:23">
      <c r="W62246" s="503"/>
    </row>
    <row r="62247" spans="23:23">
      <c r="W62247" s="503"/>
    </row>
    <row r="62248" spans="23:23">
      <c r="W62248" s="503"/>
    </row>
    <row r="62249" spans="23:23">
      <c r="W62249" s="503"/>
    </row>
    <row r="62250" spans="23:23">
      <c r="W62250" s="503"/>
    </row>
    <row r="62251" spans="23:23">
      <c r="W62251" s="503"/>
    </row>
    <row r="62252" spans="23:23">
      <c r="W62252" s="503"/>
    </row>
    <row r="62253" spans="23:23">
      <c r="W62253" s="503"/>
    </row>
    <row r="62254" spans="23:23">
      <c r="W62254" s="503"/>
    </row>
    <row r="62255" spans="23:23">
      <c r="W62255" s="503"/>
    </row>
    <row r="62256" spans="23:23">
      <c r="W62256" s="503"/>
    </row>
    <row r="62257" spans="23:23">
      <c r="W62257" s="503"/>
    </row>
    <row r="62258" spans="23:23">
      <c r="W62258" s="503"/>
    </row>
    <row r="62259" spans="23:23">
      <c r="W62259" s="503"/>
    </row>
    <row r="62260" spans="23:23">
      <c r="W62260" s="503"/>
    </row>
    <row r="62261" spans="23:23">
      <c r="W62261" s="503"/>
    </row>
    <row r="62262" spans="23:23">
      <c r="W62262" s="503"/>
    </row>
    <row r="62263" spans="23:23">
      <c r="W62263" s="503"/>
    </row>
    <row r="62264" spans="23:23">
      <c r="W62264" s="503"/>
    </row>
    <row r="62265" spans="23:23">
      <c r="W62265" s="503"/>
    </row>
    <row r="62266" spans="23:23">
      <c r="W62266" s="503"/>
    </row>
    <row r="62267" spans="23:23">
      <c r="W62267" s="503"/>
    </row>
    <row r="62268" spans="23:23">
      <c r="W62268" s="503"/>
    </row>
    <row r="62269" spans="23:23">
      <c r="W62269" s="503"/>
    </row>
    <row r="62270" spans="23:23">
      <c r="W62270" s="503"/>
    </row>
    <row r="62271" spans="23:23">
      <c r="W62271" s="503"/>
    </row>
    <row r="62272" spans="23:23">
      <c r="W62272" s="503"/>
    </row>
    <row r="62273" spans="23:23">
      <c r="W62273" s="503"/>
    </row>
    <row r="62274" spans="23:23">
      <c r="W62274" s="503"/>
    </row>
    <row r="62275" spans="23:23">
      <c r="W62275" s="503"/>
    </row>
    <row r="62276" spans="23:23">
      <c r="W62276" s="503"/>
    </row>
    <row r="62277" spans="23:23">
      <c r="W62277" s="503"/>
    </row>
    <row r="62278" spans="23:23">
      <c r="W62278" s="503"/>
    </row>
    <row r="62279" spans="23:23">
      <c r="W62279" s="503"/>
    </row>
    <row r="62280" spans="23:23">
      <c r="W62280" s="503"/>
    </row>
    <row r="62281" spans="23:23">
      <c r="W62281" s="503"/>
    </row>
    <row r="62282" spans="23:23">
      <c r="W62282" s="503"/>
    </row>
    <row r="62283" spans="23:23">
      <c r="W62283" s="503"/>
    </row>
    <row r="62284" spans="23:23">
      <c r="W62284" s="503"/>
    </row>
    <row r="62285" spans="23:23">
      <c r="W62285" s="503"/>
    </row>
    <row r="62286" spans="23:23">
      <c r="W62286" s="503"/>
    </row>
    <row r="62287" spans="23:23">
      <c r="W62287" s="503"/>
    </row>
    <row r="62288" spans="23:23">
      <c r="W62288" s="503"/>
    </row>
    <row r="62289" spans="23:23">
      <c r="W62289" s="503"/>
    </row>
    <row r="62290" spans="23:23">
      <c r="W62290" s="503"/>
    </row>
    <row r="62291" spans="23:23">
      <c r="W62291" s="503"/>
    </row>
    <row r="62292" spans="23:23">
      <c r="W62292" s="503"/>
    </row>
    <row r="62293" spans="23:23">
      <c r="W62293" s="503"/>
    </row>
    <row r="62294" spans="23:23">
      <c r="W62294" s="503"/>
    </row>
    <row r="62295" spans="23:23">
      <c r="W62295" s="503"/>
    </row>
    <row r="62296" spans="23:23">
      <c r="W62296" s="503"/>
    </row>
    <row r="62297" spans="23:23">
      <c r="W62297" s="503"/>
    </row>
    <row r="62298" spans="23:23">
      <c r="W62298" s="503"/>
    </row>
    <row r="62299" spans="23:23">
      <c r="W62299" s="503"/>
    </row>
    <row r="62300" spans="23:23">
      <c r="W62300" s="503"/>
    </row>
    <row r="62301" spans="23:23">
      <c r="W62301" s="503"/>
    </row>
    <row r="62302" spans="23:23">
      <c r="W62302" s="503"/>
    </row>
    <row r="62303" spans="23:23">
      <c r="W62303" s="503"/>
    </row>
    <row r="62304" spans="23:23">
      <c r="W62304" s="503"/>
    </row>
    <row r="62305" spans="23:23">
      <c r="W62305" s="503"/>
    </row>
    <row r="62306" spans="23:23">
      <c r="W62306" s="503"/>
    </row>
    <row r="62307" spans="23:23">
      <c r="W62307" s="503"/>
    </row>
    <row r="62308" spans="23:23">
      <c r="W62308" s="503"/>
    </row>
    <row r="62309" spans="23:23">
      <c r="W62309" s="503"/>
    </row>
    <row r="62310" spans="23:23">
      <c r="W62310" s="503"/>
    </row>
    <row r="62311" spans="23:23">
      <c r="W62311" s="503"/>
    </row>
    <row r="62312" spans="23:23">
      <c r="W62312" s="503"/>
    </row>
    <row r="62313" spans="23:23">
      <c r="W62313" s="503"/>
    </row>
    <row r="62314" spans="23:23">
      <c r="W62314" s="503"/>
    </row>
    <row r="62315" spans="23:23">
      <c r="W62315" s="503"/>
    </row>
    <row r="62316" spans="23:23">
      <c r="W62316" s="503"/>
    </row>
    <row r="62317" spans="23:23">
      <c r="W62317" s="503"/>
    </row>
    <row r="62318" spans="23:23">
      <c r="W62318" s="503"/>
    </row>
    <row r="62319" spans="23:23">
      <c r="W62319" s="503"/>
    </row>
    <row r="62320" spans="23:23">
      <c r="W62320" s="503"/>
    </row>
    <row r="62321" spans="23:23">
      <c r="W62321" s="503"/>
    </row>
    <row r="62322" spans="23:23">
      <c r="W62322" s="503"/>
    </row>
    <row r="62323" spans="23:23">
      <c r="W62323" s="503"/>
    </row>
    <row r="62324" spans="23:23">
      <c r="W62324" s="503"/>
    </row>
    <row r="62325" spans="23:23">
      <c r="W62325" s="503"/>
    </row>
    <row r="62326" spans="23:23">
      <c r="W62326" s="503"/>
    </row>
    <row r="62327" spans="23:23">
      <c r="W62327" s="503"/>
    </row>
    <row r="62328" spans="23:23">
      <c r="W62328" s="503"/>
    </row>
    <row r="62329" spans="23:23">
      <c r="W62329" s="503"/>
    </row>
    <row r="62330" spans="23:23">
      <c r="W62330" s="503"/>
    </row>
    <row r="62331" spans="23:23">
      <c r="W62331" s="503"/>
    </row>
    <row r="62332" spans="23:23">
      <c r="W62332" s="503"/>
    </row>
    <row r="62333" spans="23:23">
      <c r="W62333" s="503"/>
    </row>
    <row r="62334" spans="23:23">
      <c r="W62334" s="503"/>
    </row>
    <row r="62335" spans="23:23">
      <c r="W62335" s="503"/>
    </row>
    <row r="62336" spans="23:23">
      <c r="W62336" s="503"/>
    </row>
    <row r="62337" spans="23:23">
      <c r="W62337" s="503"/>
    </row>
    <row r="62338" spans="23:23">
      <c r="W62338" s="503"/>
    </row>
    <row r="62339" spans="23:23">
      <c r="W62339" s="503"/>
    </row>
    <row r="62340" spans="23:23">
      <c r="W62340" s="503"/>
    </row>
    <row r="62341" spans="23:23">
      <c r="W62341" s="503"/>
    </row>
    <row r="62342" spans="23:23">
      <c r="W62342" s="503"/>
    </row>
    <row r="62343" spans="23:23">
      <c r="W62343" s="503"/>
    </row>
    <row r="62344" spans="23:23">
      <c r="W62344" s="503"/>
    </row>
    <row r="62345" spans="23:23">
      <c r="W62345" s="503"/>
    </row>
    <row r="62346" spans="23:23">
      <c r="W62346" s="503"/>
    </row>
    <row r="62347" spans="23:23">
      <c r="W62347" s="503"/>
    </row>
    <row r="62348" spans="23:23">
      <c r="W62348" s="503"/>
    </row>
    <row r="62349" spans="23:23">
      <c r="W62349" s="503"/>
    </row>
    <row r="62350" spans="23:23">
      <c r="W62350" s="503"/>
    </row>
    <row r="62351" spans="23:23">
      <c r="W62351" s="503"/>
    </row>
    <row r="62352" spans="23:23">
      <c r="W62352" s="503"/>
    </row>
    <row r="62353" spans="23:23">
      <c r="W62353" s="503"/>
    </row>
    <row r="62354" spans="23:23">
      <c r="W62354" s="503"/>
    </row>
    <row r="62355" spans="23:23">
      <c r="W62355" s="503"/>
    </row>
    <row r="62356" spans="23:23">
      <c r="W62356" s="503"/>
    </row>
    <row r="62357" spans="23:23">
      <c r="W62357" s="503"/>
    </row>
    <row r="62358" spans="23:23">
      <c r="W62358" s="503"/>
    </row>
    <row r="62359" spans="23:23">
      <c r="W62359" s="503"/>
    </row>
    <row r="62360" spans="23:23">
      <c r="W62360" s="503"/>
    </row>
    <row r="62361" spans="23:23">
      <c r="W62361" s="503"/>
    </row>
    <row r="62362" spans="23:23">
      <c r="W62362" s="503"/>
    </row>
    <row r="62363" spans="23:23">
      <c r="W62363" s="503"/>
    </row>
    <row r="62364" spans="23:23">
      <c r="W62364" s="503"/>
    </row>
    <row r="62365" spans="23:23">
      <c r="W62365" s="503"/>
    </row>
    <row r="62366" spans="23:23">
      <c r="W62366" s="503"/>
    </row>
    <row r="62367" spans="23:23">
      <c r="W62367" s="503"/>
    </row>
    <row r="62368" spans="23:23">
      <c r="W62368" s="503"/>
    </row>
    <row r="62369" spans="23:23">
      <c r="W62369" s="503"/>
    </row>
    <row r="62370" spans="23:23">
      <c r="W62370" s="503"/>
    </row>
    <row r="62371" spans="23:23">
      <c r="W62371" s="503"/>
    </row>
    <row r="62372" spans="23:23">
      <c r="W62372" s="503"/>
    </row>
    <row r="62373" spans="23:23">
      <c r="W62373" s="503"/>
    </row>
    <row r="62374" spans="23:23">
      <c r="W62374" s="503"/>
    </row>
    <row r="62375" spans="23:23">
      <c r="W62375" s="503"/>
    </row>
    <row r="62376" spans="23:23">
      <c r="W62376" s="503"/>
    </row>
    <row r="62377" spans="23:23">
      <c r="W62377" s="503"/>
    </row>
    <row r="62378" spans="23:23">
      <c r="W62378" s="503"/>
    </row>
    <row r="62379" spans="23:23">
      <c r="W62379" s="503"/>
    </row>
    <row r="62380" spans="23:23">
      <c r="W62380" s="503"/>
    </row>
    <row r="62381" spans="23:23">
      <c r="W62381" s="503"/>
    </row>
    <row r="62382" spans="23:23">
      <c r="W62382" s="503"/>
    </row>
    <row r="62383" spans="23:23">
      <c r="W62383" s="503"/>
    </row>
    <row r="62384" spans="23:23">
      <c r="W62384" s="503"/>
    </row>
    <row r="62385" spans="23:23">
      <c r="W62385" s="503"/>
    </row>
    <row r="62386" spans="23:23">
      <c r="W62386" s="503"/>
    </row>
    <row r="62387" spans="23:23">
      <c r="W62387" s="503"/>
    </row>
    <row r="62388" spans="23:23">
      <c r="W62388" s="503"/>
    </row>
    <row r="62389" spans="23:23">
      <c r="W62389" s="503"/>
    </row>
    <row r="62390" spans="23:23">
      <c r="W62390" s="503"/>
    </row>
    <row r="62391" spans="23:23">
      <c r="W62391" s="503"/>
    </row>
    <row r="62392" spans="23:23">
      <c r="W62392" s="503"/>
    </row>
    <row r="62393" spans="23:23">
      <c r="W62393" s="503"/>
    </row>
    <row r="62394" spans="23:23">
      <c r="W62394" s="503"/>
    </row>
    <row r="62395" spans="23:23">
      <c r="W62395" s="503"/>
    </row>
    <row r="62396" spans="23:23">
      <c r="W62396" s="503"/>
    </row>
    <row r="62397" spans="23:23">
      <c r="W62397" s="503"/>
    </row>
    <row r="62398" spans="23:23">
      <c r="W62398" s="503"/>
    </row>
    <row r="62399" spans="23:23">
      <c r="W62399" s="503"/>
    </row>
    <row r="62400" spans="23:23">
      <c r="W62400" s="503"/>
    </row>
    <row r="62401" spans="23:23">
      <c r="W62401" s="503"/>
    </row>
    <row r="62402" spans="23:23">
      <c r="W62402" s="503"/>
    </row>
    <row r="62403" spans="23:23">
      <c r="W62403" s="503"/>
    </row>
    <row r="62404" spans="23:23">
      <c r="W62404" s="503"/>
    </row>
    <row r="62405" spans="23:23">
      <c r="W62405" s="503"/>
    </row>
    <row r="62406" spans="23:23">
      <c r="W62406" s="503"/>
    </row>
    <row r="62407" spans="23:23">
      <c r="W62407" s="503"/>
    </row>
    <row r="62408" spans="23:23">
      <c r="W62408" s="503"/>
    </row>
    <row r="62409" spans="23:23">
      <c r="W62409" s="503"/>
    </row>
    <row r="62410" spans="23:23">
      <c r="W62410" s="503"/>
    </row>
    <row r="62411" spans="23:23">
      <c r="W62411" s="503"/>
    </row>
    <row r="62412" spans="23:23">
      <c r="W62412" s="503"/>
    </row>
    <row r="62413" spans="23:23">
      <c r="W62413" s="503"/>
    </row>
    <row r="62414" spans="23:23">
      <c r="W62414" s="503"/>
    </row>
    <row r="62415" spans="23:23">
      <c r="W62415" s="503"/>
    </row>
    <row r="62416" spans="23:23">
      <c r="W62416" s="503"/>
    </row>
    <row r="62417" spans="23:23">
      <c r="W62417" s="503"/>
    </row>
    <row r="62418" spans="23:23">
      <c r="W62418" s="503"/>
    </row>
    <row r="62419" spans="23:23">
      <c r="W62419" s="503"/>
    </row>
    <row r="62420" spans="23:23">
      <c r="W62420" s="503"/>
    </row>
    <row r="62421" spans="23:23">
      <c r="W62421" s="503"/>
    </row>
    <row r="62422" spans="23:23">
      <c r="W62422" s="503"/>
    </row>
    <row r="62423" spans="23:23">
      <c r="W62423" s="503"/>
    </row>
    <row r="62424" spans="23:23">
      <c r="W62424" s="503"/>
    </row>
    <row r="62425" spans="23:23">
      <c r="W62425" s="503"/>
    </row>
    <row r="62426" spans="23:23">
      <c r="W62426" s="503"/>
    </row>
    <row r="62427" spans="23:23">
      <c r="W62427" s="503"/>
    </row>
    <row r="62428" spans="23:23">
      <c r="W62428" s="503"/>
    </row>
    <row r="62429" spans="23:23">
      <c r="W62429" s="503"/>
    </row>
    <row r="62430" spans="23:23">
      <c r="W62430" s="503"/>
    </row>
    <row r="62431" spans="23:23">
      <c r="W62431" s="503"/>
    </row>
    <row r="62432" spans="23:23">
      <c r="W62432" s="503"/>
    </row>
    <row r="62433" spans="23:23">
      <c r="W62433" s="503"/>
    </row>
    <row r="62434" spans="23:23">
      <c r="W62434" s="503"/>
    </row>
    <row r="62435" spans="23:23">
      <c r="W62435" s="503"/>
    </row>
    <row r="62436" spans="23:23">
      <c r="W62436" s="503"/>
    </row>
    <row r="62437" spans="23:23">
      <c r="W62437" s="503"/>
    </row>
    <row r="62438" spans="23:23">
      <c r="W62438" s="503"/>
    </row>
    <row r="62439" spans="23:23">
      <c r="W62439" s="503"/>
    </row>
    <row r="62440" spans="23:23">
      <c r="W62440" s="503"/>
    </row>
    <row r="62441" spans="23:23">
      <c r="W62441" s="503"/>
    </row>
    <row r="62442" spans="23:23">
      <c r="W62442" s="503"/>
    </row>
    <row r="62443" spans="23:23">
      <c r="W62443" s="503"/>
    </row>
    <row r="62444" spans="23:23">
      <c r="W62444" s="503"/>
    </row>
    <row r="62445" spans="23:23">
      <c r="W62445" s="503"/>
    </row>
    <row r="62446" spans="23:23">
      <c r="W62446" s="503"/>
    </row>
    <row r="62447" spans="23:23">
      <c r="W62447" s="503"/>
    </row>
    <row r="62448" spans="23:23">
      <c r="W62448" s="503"/>
    </row>
    <row r="62449" spans="23:23">
      <c r="W62449" s="503"/>
    </row>
    <row r="62450" spans="23:23">
      <c r="W62450" s="503"/>
    </row>
    <row r="62451" spans="23:23">
      <c r="W62451" s="503"/>
    </row>
    <row r="62452" spans="23:23">
      <c r="W62452" s="503"/>
    </row>
    <row r="62453" spans="23:23">
      <c r="W62453" s="503"/>
    </row>
    <row r="62454" spans="23:23">
      <c r="W62454" s="503"/>
    </row>
    <row r="62455" spans="23:23">
      <c r="W62455" s="503"/>
    </row>
    <row r="62456" spans="23:23">
      <c r="W62456" s="503"/>
    </row>
    <row r="62457" spans="23:23">
      <c r="W62457" s="503"/>
    </row>
    <row r="62458" spans="23:23">
      <c r="W62458" s="503"/>
    </row>
    <row r="62459" spans="23:23">
      <c r="W62459" s="503"/>
    </row>
    <row r="62460" spans="23:23">
      <c r="W62460" s="503"/>
    </row>
    <row r="62461" spans="23:23">
      <c r="W62461" s="503"/>
    </row>
    <row r="62462" spans="23:23">
      <c r="W62462" s="503"/>
    </row>
    <row r="62463" spans="23:23">
      <c r="W62463" s="503"/>
    </row>
    <row r="62464" spans="23:23">
      <c r="W62464" s="503"/>
    </row>
    <row r="62465" spans="23:23">
      <c r="W62465" s="503"/>
    </row>
    <row r="62466" spans="23:23">
      <c r="W62466" s="503"/>
    </row>
    <row r="62467" spans="23:23">
      <c r="W62467" s="503"/>
    </row>
    <row r="62468" spans="23:23">
      <c r="W62468" s="503"/>
    </row>
    <row r="62469" spans="23:23">
      <c r="W62469" s="503"/>
    </row>
    <row r="62470" spans="23:23">
      <c r="W62470" s="503"/>
    </row>
    <row r="62471" spans="23:23">
      <c r="W62471" s="503"/>
    </row>
    <row r="62472" spans="23:23">
      <c r="W62472" s="503"/>
    </row>
    <row r="62473" spans="23:23">
      <c r="W62473" s="503"/>
    </row>
    <row r="62474" spans="23:23">
      <c r="W62474" s="503"/>
    </row>
    <row r="62475" spans="23:23">
      <c r="W62475" s="503"/>
    </row>
    <row r="62476" spans="23:23">
      <c r="W62476" s="503"/>
    </row>
    <row r="62477" spans="23:23">
      <c r="W62477" s="503"/>
    </row>
    <row r="62478" spans="23:23">
      <c r="W62478" s="503"/>
    </row>
    <row r="62479" spans="23:23">
      <c r="W62479" s="503"/>
    </row>
    <row r="62480" spans="23:23">
      <c r="W62480" s="503"/>
    </row>
    <row r="62481" spans="23:23">
      <c r="W62481" s="503"/>
    </row>
    <row r="62482" spans="23:23">
      <c r="W62482" s="503"/>
    </row>
    <row r="62483" spans="23:23">
      <c r="W62483" s="503"/>
    </row>
    <row r="62484" spans="23:23">
      <c r="W62484" s="503"/>
    </row>
    <row r="62485" spans="23:23">
      <c r="W62485" s="503"/>
    </row>
    <row r="62486" spans="23:23">
      <c r="W62486" s="503"/>
    </row>
    <row r="62487" spans="23:23">
      <c r="W62487" s="503"/>
    </row>
    <row r="62488" spans="23:23">
      <c r="W62488" s="503"/>
    </row>
    <row r="62489" spans="23:23">
      <c r="W62489" s="503"/>
    </row>
    <row r="62490" spans="23:23">
      <c r="W62490" s="503"/>
    </row>
    <row r="62491" spans="23:23">
      <c r="W62491" s="503"/>
    </row>
    <row r="62492" spans="23:23">
      <c r="W62492" s="503"/>
    </row>
    <row r="62493" spans="23:23">
      <c r="W62493" s="503"/>
    </row>
    <row r="62494" spans="23:23">
      <c r="W62494" s="503"/>
    </row>
    <row r="62495" spans="23:23">
      <c r="W62495" s="503"/>
    </row>
    <row r="62496" spans="23:23">
      <c r="W62496" s="503"/>
    </row>
    <row r="62497" spans="23:23">
      <c r="W62497" s="503"/>
    </row>
    <row r="62498" spans="23:23">
      <c r="W62498" s="503"/>
    </row>
    <row r="62499" spans="23:23">
      <c r="W62499" s="503"/>
    </row>
    <row r="62500" spans="23:23">
      <c r="W62500" s="503"/>
    </row>
    <row r="62501" spans="23:23">
      <c r="W62501" s="503"/>
    </row>
    <row r="62502" spans="23:23">
      <c r="W62502" s="503"/>
    </row>
    <row r="62503" spans="23:23">
      <c r="W62503" s="503"/>
    </row>
    <row r="62504" spans="23:23">
      <c r="W62504" s="503"/>
    </row>
    <row r="62505" spans="23:23">
      <c r="W62505" s="503"/>
    </row>
    <row r="62506" spans="23:23">
      <c r="W62506" s="503"/>
    </row>
    <row r="62507" spans="23:23">
      <c r="W62507" s="503"/>
    </row>
    <row r="62508" spans="23:23">
      <c r="W62508" s="503"/>
    </row>
    <row r="62509" spans="23:23">
      <c r="W62509" s="503"/>
    </row>
    <row r="62510" spans="23:23">
      <c r="W62510" s="503"/>
    </row>
    <row r="62511" spans="23:23">
      <c r="W62511" s="503"/>
    </row>
    <row r="62512" spans="23:23">
      <c r="W62512" s="503"/>
    </row>
    <row r="62513" spans="23:23">
      <c r="W62513" s="503"/>
    </row>
    <row r="62514" spans="23:23">
      <c r="W62514" s="503"/>
    </row>
    <row r="62515" spans="23:23">
      <c r="W62515" s="503"/>
    </row>
    <row r="62516" spans="23:23">
      <c r="W62516" s="503"/>
    </row>
    <row r="62517" spans="23:23">
      <c r="W62517" s="503"/>
    </row>
    <row r="62518" spans="23:23">
      <c r="W62518" s="503"/>
    </row>
    <row r="62519" spans="23:23">
      <c r="W62519" s="503"/>
    </row>
    <row r="62520" spans="23:23">
      <c r="W62520" s="503"/>
    </row>
    <row r="62521" spans="23:23">
      <c r="W62521" s="503"/>
    </row>
    <row r="62522" spans="23:23">
      <c r="W62522" s="503"/>
    </row>
    <row r="62523" spans="23:23">
      <c r="W62523" s="503"/>
    </row>
    <row r="62524" spans="23:23">
      <c r="W62524" s="503"/>
    </row>
    <row r="62525" spans="23:23">
      <c r="W62525" s="503"/>
    </row>
    <row r="62526" spans="23:23">
      <c r="W62526" s="503"/>
    </row>
    <row r="62527" spans="23:23">
      <c r="W62527" s="503"/>
    </row>
    <row r="62528" spans="23:23">
      <c r="W62528" s="503"/>
    </row>
    <row r="62529" spans="23:23">
      <c r="W62529" s="503"/>
    </row>
    <row r="62530" spans="23:23">
      <c r="W62530" s="503"/>
    </row>
    <row r="62531" spans="23:23">
      <c r="W62531" s="503"/>
    </row>
    <row r="62532" spans="23:23">
      <c r="W62532" s="503"/>
    </row>
    <row r="62533" spans="23:23">
      <c r="W62533" s="503"/>
    </row>
    <row r="62534" spans="23:23">
      <c r="W62534" s="503"/>
    </row>
    <row r="62535" spans="23:23">
      <c r="W62535" s="503"/>
    </row>
    <row r="62536" spans="23:23">
      <c r="W62536" s="503"/>
    </row>
    <row r="62537" spans="23:23">
      <c r="W62537" s="503"/>
    </row>
    <row r="62538" spans="23:23">
      <c r="W62538" s="503"/>
    </row>
    <row r="62539" spans="23:23">
      <c r="W62539" s="503"/>
    </row>
    <row r="62540" spans="23:23">
      <c r="W62540" s="503"/>
    </row>
    <row r="62541" spans="23:23">
      <c r="W62541" s="503"/>
    </row>
    <row r="62542" spans="23:23">
      <c r="W62542" s="503"/>
    </row>
    <row r="62543" spans="23:23">
      <c r="W62543" s="503"/>
    </row>
    <row r="62544" spans="23:23">
      <c r="W62544" s="503"/>
    </row>
    <row r="62545" spans="23:23">
      <c r="W62545" s="503"/>
    </row>
    <row r="62546" spans="23:23">
      <c r="W62546" s="503"/>
    </row>
    <row r="62547" spans="23:23">
      <c r="W62547" s="503"/>
    </row>
    <row r="62548" spans="23:23">
      <c r="W62548" s="503"/>
    </row>
    <row r="62549" spans="23:23">
      <c r="W62549" s="503"/>
    </row>
    <row r="62550" spans="23:23">
      <c r="W62550" s="503"/>
    </row>
    <row r="62551" spans="23:23">
      <c r="W62551" s="503"/>
    </row>
    <row r="62552" spans="23:23">
      <c r="W62552" s="503"/>
    </row>
    <row r="62553" spans="23:23">
      <c r="W62553" s="503"/>
    </row>
    <row r="62554" spans="23:23">
      <c r="W62554" s="503"/>
    </row>
    <row r="62555" spans="23:23">
      <c r="W62555" s="503"/>
    </row>
    <row r="62556" spans="23:23">
      <c r="W62556" s="503"/>
    </row>
    <row r="62557" spans="23:23">
      <c r="W62557" s="503"/>
    </row>
    <row r="62558" spans="23:23">
      <c r="W62558" s="503"/>
    </row>
    <row r="62559" spans="23:23">
      <c r="W62559" s="503"/>
    </row>
    <row r="62560" spans="23:23">
      <c r="W62560" s="503"/>
    </row>
    <row r="62561" spans="23:23">
      <c r="W62561" s="503"/>
    </row>
    <row r="62562" spans="23:23">
      <c r="W62562" s="503"/>
    </row>
    <row r="62563" spans="23:23">
      <c r="W62563" s="503"/>
    </row>
    <row r="62564" spans="23:23">
      <c r="W62564" s="503"/>
    </row>
    <row r="62565" spans="23:23">
      <c r="W62565" s="503"/>
    </row>
    <row r="62566" spans="23:23">
      <c r="W62566" s="503"/>
    </row>
    <row r="62567" spans="23:23">
      <c r="W62567" s="503"/>
    </row>
    <row r="62568" spans="23:23">
      <c r="W62568" s="503"/>
    </row>
    <row r="62569" spans="23:23">
      <c r="W62569" s="503"/>
    </row>
    <row r="62570" spans="23:23">
      <c r="W62570" s="503"/>
    </row>
    <row r="62571" spans="23:23">
      <c r="W62571" s="503"/>
    </row>
    <row r="62572" spans="23:23">
      <c r="W62572" s="503"/>
    </row>
    <row r="62573" spans="23:23">
      <c r="W62573" s="503"/>
    </row>
    <row r="62574" spans="23:23">
      <c r="W62574" s="503"/>
    </row>
    <row r="62575" spans="23:23">
      <c r="W62575" s="503"/>
    </row>
    <row r="62576" spans="23:23">
      <c r="W62576" s="503"/>
    </row>
    <row r="62577" spans="23:23">
      <c r="W62577" s="503"/>
    </row>
    <row r="62578" spans="23:23">
      <c r="W62578" s="503"/>
    </row>
    <row r="62579" spans="23:23">
      <c r="W62579" s="503"/>
    </row>
    <row r="62580" spans="23:23">
      <c r="W62580" s="503"/>
    </row>
    <row r="62581" spans="23:23">
      <c r="W62581" s="503"/>
    </row>
    <row r="62582" spans="23:23">
      <c r="W62582" s="503"/>
    </row>
    <row r="62583" spans="23:23">
      <c r="W62583" s="503"/>
    </row>
    <row r="62584" spans="23:23">
      <c r="W62584" s="503"/>
    </row>
    <row r="62585" spans="23:23">
      <c r="W62585" s="503"/>
    </row>
    <row r="62586" spans="23:23">
      <c r="W62586" s="503"/>
    </row>
    <row r="62587" spans="23:23">
      <c r="W62587" s="503"/>
    </row>
    <row r="62588" spans="23:23">
      <c r="W62588" s="503"/>
    </row>
    <row r="62589" spans="23:23">
      <c r="W62589" s="503"/>
    </row>
    <row r="62590" spans="23:23">
      <c r="W62590" s="503"/>
    </row>
    <row r="62591" spans="23:23">
      <c r="W62591" s="503"/>
    </row>
    <row r="62592" spans="23:23">
      <c r="W62592" s="503"/>
    </row>
    <row r="62593" spans="23:23">
      <c r="W62593" s="503"/>
    </row>
    <row r="62594" spans="23:23">
      <c r="W62594" s="503"/>
    </row>
    <row r="62595" spans="23:23">
      <c r="W62595" s="503"/>
    </row>
    <row r="62596" spans="23:23">
      <c r="W62596" s="503"/>
    </row>
    <row r="62597" spans="23:23">
      <c r="W62597" s="503"/>
    </row>
    <row r="62598" spans="23:23">
      <c r="W62598" s="503"/>
    </row>
    <row r="62599" spans="23:23">
      <c r="W62599" s="503"/>
    </row>
    <row r="62600" spans="23:23">
      <c r="W62600" s="503"/>
    </row>
    <row r="62601" spans="23:23">
      <c r="W62601" s="503"/>
    </row>
    <row r="62602" spans="23:23">
      <c r="W62602" s="503"/>
    </row>
    <row r="62603" spans="23:23">
      <c r="W62603" s="503"/>
    </row>
    <row r="62604" spans="23:23">
      <c r="W62604" s="503"/>
    </row>
    <row r="62605" spans="23:23">
      <c r="W62605" s="503"/>
    </row>
    <row r="62606" spans="23:23">
      <c r="W62606" s="503"/>
    </row>
    <row r="62607" spans="23:23">
      <c r="W62607" s="503"/>
    </row>
    <row r="62608" spans="23:23">
      <c r="W62608" s="503"/>
    </row>
    <row r="62609" spans="23:23">
      <c r="W62609" s="503"/>
    </row>
    <row r="62610" spans="23:23">
      <c r="W62610" s="503"/>
    </row>
    <row r="62611" spans="23:23">
      <c r="W62611" s="503"/>
    </row>
    <row r="62612" spans="23:23">
      <c r="W62612" s="503"/>
    </row>
    <row r="62613" spans="23:23">
      <c r="W62613" s="503"/>
    </row>
    <row r="62614" spans="23:23">
      <c r="W62614" s="503"/>
    </row>
    <row r="62615" spans="23:23">
      <c r="W62615" s="503"/>
    </row>
    <row r="62616" spans="23:23">
      <c r="W62616" s="503"/>
    </row>
    <row r="62617" spans="23:23">
      <c r="W62617" s="503"/>
    </row>
    <row r="62618" spans="23:23">
      <c r="W62618" s="503"/>
    </row>
    <row r="62619" spans="23:23">
      <c r="W62619" s="503"/>
    </row>
    <row r="62620" spans="23:23">
      <c r="W62620" s="503"/>
    </row>
    <row r="62621" spans="23:23">
      <c r="W62621" s="503"/>
    </row>
    <row r="62622" spans="23:23">
      <c r="W62622" s="503"/>
    </row>
    <row r="62623" spans="23:23">
      <c r="W62623" s="503"/>
    </row>
    <row r="62624" spans="23:23">
      <c r="W62624" s="503"/>
    </row>
    <row r="62625" spans="23:23">
      <c r="W62625" s="503"/>
    </row>
    <row r="62626" spans="23:23">
      <c r="W62626" s="503"/>
    </row>
    <row r="62627" spans="23:23">
      <c r="W62627" s="503"/>
    </row>
    <row r="62628" spans="23:23">
      <c r="W62628" s="503"/>
    </row>
    <row r="62629" spans="23:23">
      <c r="W62629" s="503"/>
    </row>
    <row r="62630" spans="23:23">
      <c r="W62630" s="503"/>
    </row>
    <row r="62631" spans="23:23">
      <c r="W62631" s="503"/>
    </row>
    <row r="62632" spans="23:23">
      <c r="W62632" s="503"/>
    </row>
    <row r="62633" spans="23:23">
      <c r="W62633" s="503"/>
    </row>
    <row r="62634" spans="23:23">
      <c r="W62634" s="503"/>
    </row>
    <row r="62635" spans="23:23">
      <c r="W62635" s="503"/>
    </row>
    <row r="62636" spans="23:23">
      <c r="W62636" s="503"/>
    </row>
    <row r="62637" spans="23:23">
      <c r="W62637" s="503"/>
    </row>
    <row r="62638" spans="23:23">
      <c r="W62638" s="503"/>
    </row>
    <row r="62639" spans="23:23">
      <c r="W62639" s="503"/>
    </row>
    <row r="62640" spans="23:23">
      <c r="W62640" s="503"/>
    </row>
    <row r="62641" spans="23:23">
      <c r="W62641" s="503"/>
    </row>
    <row r="62642" spans="23:23">
      <c r="W62642" s="503"/>
    </row>
    <row r="62643" spans="23:23">
      <c r="W62643" s="503"/>
    </row>
    <row r="62644" spans="23:23">
      <c r="W62644" s="503"/>
    </row>
    <row r="62645" spans="23:23">
      <c r="W62645" s="503"/>
    </row>
    <row r="62646" spans="23:23">
      <c r="W62646" s="503"/>
    </row>
    <row r="62647" spans="23:23">
      <c r="W62647" s="503"/>
    </row>
    <row r="62648" spans="23:23">
      <c r="W62648" s="503"/>
    </row>
    <row r="62649" spans="23:23">
      <c r="W62649" s="503"/>
    </row>
    <row r="62650" spans="23:23">
      <c r="W62650" s="503"/>
    </row>
    <row r="62651" spans="23:23">
      <c r="W62651" s="503"/>
    </row>
    <row r="62652" spans="23:23">
      <c r="W62652" s="503"/>
    </row>
    <row r="62653" spans="23:23">
      <c r="W62653" s="503"/>
    </row>
    <row r="62654" spans="23:23">
      <c r="W62654" s="503"/>
    </row>
    <row r="62655" spans="23:23">
      <c r="W62655" s="503"/>
    </row>
    <row r="62656" spans="23:23">
      <c r="W62656" s="503"/>
    </row>
    <row r="62657" spans="23:23">
      <c r="W62657" s="503"/>
    </row>
    <row r="62658" spans="23:23">
      <c r="W62658" s="503"/>
    </row>
    <row r="62659" spans="23:23">
      <c r="W62659" s="503"/>
    </row>
    <row r="62660" spans="23:23">
      <c r="W62660" s="503"/>
    </row>
    <row r="62661" spans="23:23">
      <c r="W62661" s="503"/>
    </row>
    <row r="62662" spans="23:23">
      <c r="W62662" s="503"/>
    </row>
    <row r="62663" spans="23:23">
      <c r="W62663" s="503"/>
    </row>
    <row r="62664" spans="23:23">
      <c r="W62664" s="503"/>
    </row>
    <row r="62665" spans="23:23">
      <c r="W62665" s="503"/>
    </row>
    <row r="62666" spans="23:23">
      <c r="W62666" s="503"/>
    </row>
    <row r="62667" spans="23:23">
      <c r="W62667" s="503"/>
    </row>
    <row r="62668" spans="23:23">
      <c r="W62668" s="503"/>
    </row>
    <row r="62669" spans="23:23">
      <c r="W62669" s="503"/>
    </row>
    <row r="62670" spans="23:23">
      <c r="W62670" s="503"/>
    </row>
    <row r="62671" spans="23:23">
      <c r="W62671" s="503"/>
    </row>
    <row r="62672" spans="23:23">
      <c r="W62672" s="503"/>
    </row>
    <row r="62673" spans="23:23">
      <c r="W62673" s="503"/>
    </row>
    <row r="62674" spans="23:23">
      <c r="W62674" s="503"/>
    </row>
    <row r="62675" spans="23:23">
      <c r="W62675" s="503"/>
    </row>
    <row r="62676" spans="23:23">
      <c r="W62676" s="503"/>
    </row>
    <row r="62677" spans="23:23">
      <c r="W62677" s="503"/>
    </row>
    <row r="62678" spans="23:23">
      <c r="W62678" s="503"/>
    </row>
    <row r="62679" spans="23:23">
      <c r="W62679" s="503"/>
    </row>
    <row r="62680" spans="23:23">
      <c r="W62680" s="503"/>
    </row>
    <row r="62681" spans="23:23">
      <c r="W62681" s="503"/>
    </row>
    <row r="62682" spans="23:23">
      <c r="W62682" s="503"/>
    </row>
    <row r="62683" spans="23:23">
      <c r="W62683" s="503"/>
    </row>
    <row r="62684" spans="23:23">
      <c r="W62684" s="503"/>
    </row>
    <row r="62685" spans="23:23">
      <c r="W62685" s="503"/>
    </row>
    <row r="62686" spans="23:23">
      <c r="W62686" s="503"/>
    </row>
    <row r="62687" spans="23:23">
      <c r="W62687" s="503"/>
    </row>
    <row r="62688" spans="23:23">
      <c r="W62688" s="503"/>
    </row>
    <row r="62689" spans="23:23">
      <c r="W62689" s="503"/>
    </row>
    <row r="62690" spans="23:23">
      <c r="W62690" s="503"/>
    </row>
    <row r="62691" spans="23:23">
      <c r="W62691" s="503"/>
    </row>
    <row r="62692" spans="23:23">
      <c r="W62692" s="503"/>
    </row>
    <row r="62693" spans="23:23">
      <c r="W62693" s="503"/>
    </row>
    <row r="62694" spans="23:23">
      <c r="W62694" s="503"/>
    </row>
    <row r="62695" spans="23:23">
      <c r="W62695" s="503"/>
    </row>
    <row r="62696" spans="23:23">
      <c r="W62696" s="503"/>
    </row>
    <row r="62697" spans="23:23">
      <c r="W62697" s="503"/>
    </row>
    <row r="62698" spans="23:23">
      <c r="W62698" s="503"/>
    </row>
    <row r="62699" spans="23:23">
      <c r="W62699" s="503"/>
    </row>
    <row r="62700" spans="23:23">
      <c r="W62700" s="503"/>
    </row>
    <row r="62701" spans="23:23">
      <c r="W62701" s="503"/>
    </row>
    <row r="62702" spans="23:23">
      <c r="W62702" s="503"/>
    </row>
    <row r="62703" spans="23:23">
      <c r="W62703" s="503"/>
    </row>
    <row r="62704" spans="23:23">
      <c r="W62704" s="503"/>
    </row>
    <row r="62705" spans="23:23">
      <c r="W62705" s="503"/>
    </row>
    <row r="62706" spans="23:23">
      <c r="W62706" s="503"/>
    </row>
    <row r="62707" spans="23:23">
      <c r="W62707" s="503"/>
    </row>
    <row r="62708" spans="23:23">
      <c r="W62708" s="503"/>
    </row>
    <row r="62709" spans="23:23">
      <c r="W62709" s="503"/>
    </row>
    <row r="62710" spans="23:23">
      <c r="W62710" s="503"/>
    </row>
    <row r="62711" spans="23:23">
      <c r="W62711" s="503"/>
    </row>
    <row r="62712" spans="23:23">
      <c r="W62712" s="503"/>
    </row>
    <row r="62713" spans="23:23">
      <c r="W62713" s="503"/>
    </row>
    <row r="62714" spans="23:23">
      <c r="W62714" s="503"/>
    </row>
    <row r="62715" spans="23:23">
      <c r="W62715" s="503"/>
    </row>
    <row r="62716" spans="23:23">
      <c r="W62716" s="503"/>
    </row>
    <row r="62717" spans="23:23">
      <c r="W62717" s="503"/>
    </row>
    <row r="62718" spans="23:23">
      <c r="W62718" s="503"/>
    </row>
    <row r="62719" spans="23:23">
      <c r="W62719" s="503"/>
    </row>
    <row r="62720" spans="23:23">
      <c r="W62720" s="503"/>
    </row>
    <row r="62721" spans="23:23">
      <c r="W62721" s="503"/>
    </row>
    <row r="62722" spans="23:23">
      <c r="W62722" s="503"/>
    </row>
    <row r="62723" spans="23:23">
      <c r="W62723" s="503"/>
    </row>
    <row r="62724" spans="23:23">
      <c r="W62724" s="503"/>
    </row>
    <row r="62725" spans="23:23">
      <c r="W62725" s="503"/>
    </row>
    <row r="62726" spans="23:23">
      <c r="W62726" s="503"/>
    </row>
    <row r="62727" spans="23:23">
      <c r="W62727" s="503"/>
    </row>
    <row r="62728" spans="23:23">
      <c r="W62728" s="503"/>
    </row>
    <row r="62729" spans="23:23">
      <c r="W62729" s="503"/>
    </row>
    <row r="62730" spans="23:23">
      <c r="W62730" s="503"/>
    </row>
    <row r="62731" spans="23:23">
      <c r="W62731" s="503"/>
    </row>
    <row r="62732" spans="23:23">
      <c r="W62732" s="503"/>
    </row>
    <row r="62733" spans="23:23">
      <c r="W62733" s="503"/>
    </row>
    <row r="62734" spans="23:23">
      <c r="W62734" s="503"/>
    </row>
    <row r="62735" spans="23:23">
      <c r="W62735" s="503"/>
    </row>
    <row r="62736" spans="23:23">
      <c r="W62736" s="503"/>
    </row>
    <row r="62737" spans="23:23">
      <c r="W62737" s="503"/>
    </row>
    <row r="62738" spans="23:23">
      <c r="W62738" s="503"/>
    </row>
    <row r="62739" spans="23:23">
      <c r="W62739" s="503"/>
    </row>
    <row r="62740" spans="23:23">
      <c r="W62740" s="503"/>
    </row>
    <row r="62741" spans="23:23">
      <c r="W62741" s="503"/>
    </row>
    <row r="62742" spans="23:23">
      <c r="W62742" s="503"/>
    </row>
    <row r="62743" spans="23:23">
      <c r="W62743" s="503"/>
    </row>
    <row r="62744" spans="23:23">
      <c r="W62744" s="503"/>
    </row>
    <row r="62745" spans="23:23">
      <c r="W62745" s="503"/>
    </row>
    <row r="62746" spans="23:23">
      <c r="W62746" s="503"/>
    </row>
    <row r="62747" spans="23:23">
      <c r="W62747" s="503"/>
    </row>
    <row r="62748" spans="23:23">
      <c r="W62748" s="503"/>
    </row>
    <row r="62749" spans="23:23">
      <c r="W62749" s="503"/>
    </row>
    <row r="62750" spans="23:23">
      <c r="W62750" s="503"/>
    </row>
    <row r="62751" spans="23:23">
      <c r="W62751" s="503"/>
    </row>
    <row r="62752" spans="23:23">
      <c r="W62752" s="503"/>
    </row>
    <row r="62753" spans="23:23">
      <c r="W62753" s="503"/>
    </row>
    <row r="62754" spans="23:23">
      <c r="W62754" s="503"/>
    </row>
    <row r="62755" spans="23:23">
      <c r="W62755" s="503"/>
    </row>
    <row r="62756" spans="23:23">
      <c r="W62756" s="503"/>
    </row>
    <row r="62757" spans="23:23">
      <c r="W62757" s="503"/>
    </row>
    <row r="62758" spans="23:23">
      <c r="W62758" s="503"/>
    </row>
    <row r="62759" spans="23:23">
      <c r="W62759" s="503"/>
    </row>
    <row r="62760" spans="23:23">
      <c r="W62760" s="503"/>
    </row>
    <row r="62761" spans="23:23">
      <c r="W62761" s="503"/>
    </row>
    <row r="62762" spans="23:23">
      <c r="W62762" s="503"/>
    </row>
    <row r="62763" spans="23:23">
      <c r="W62763" s="503"/>
    </row>
    <row r="62764" spans="23:23">
      <c r="W62764" s="503"/>
    </row>
    <row r="62765" spans="23:23">
      <c r="W62765" s="503"/>
    </row>
    <row r="62766" spans="23:23">
      <c r="W62766" s="503"/>
    </row>
    <row r="62767" spans="23:23">
      <c r="W62767" s="503"/>
    </row>
    <row r="62768" spans="23:23">
      <c r="W62768" s="503"/>
    </row>
    <row r="62769" spans="23:23">
      <c r="W62769" s="503"/>
    </row>
    <row r="62770" spans="23:23">
      <c r="W62770" s="503"/>
    </row>
    <row r="62771" spans="23:23">
      <c r="W62771" s="503"/>
    </row>
    <row r="62772" spans="23:23">
      <c r="W62772" s="503"/>
    </row>
    <row r="62773" spans="23:23">
      <c r="W62773" s="503"/>
    </row>
    <row r="62774" spans="23:23">
      <c r="W62774" s="503"/>
    </row>
    <row r="62775" spans="23:23">
      <c r="W62775" s="503"/>
    </row>
    <row r="62776" spans="23:23">
      <c r="W62776" s="503"/>
    </row>
    <row r="62777" spans="23:23">
      <c r="W62777" s="503"/>
    </row>
    <row r="62778" spans="23:23">
      <c r="W62778" s="503"/>
    </row>
    <row r="62779" spans="23:23">
      <c r="W62779" s="503"/>
    </row>
    <row r="62780" spans="23:23">
      <c r="W62780" s="503"/>
    </row>
    <row r="62781" spans="23:23">
      <c r="W62781" s="503"/>
    </row>
    <row r="62782" spans="23:23">
      <c r="W62782" s="503"/>
    </row>
    <row r="62783" spans="23:23">
      <c r="W62783" s="503"/>
    </row>
    <row r="62784" spans="23:23">
      <c r="W62784" s="503"/>
    </row>
    <row r="62785" spans="23:23">
      <c r="W62785" s="503"/>
    </row>
    <row r="62786" spans="23:23">
      <c r="W62786" s="503"/>
    </row>
    <row r="62787" spans="23:23">
      <c r="W62787" s="503"/>
    </row>
    <row r="62788" spans="23:23">
      <c r="W62788" s="503"/>
    </row>
    <row r="62789" spans="23:23">
      <c r="W62789" s="503"/>
    </row>
    <row r="62790" spans="23:23">
      <c r="W62790" s="503"/>
    </row>
    <row r="62791" spans="23:23">
      <c r="W62791" s="503"/>
    </row>
    <row r="62792" spans="23:23">
      <c r="W62792" s="503"/>
    </row>
    <row r="62793" spans="23:23">
      <c r="W62793" s="503"/>
    </row>
    <row r="62794" spans="23:23">
      <c r="W62794" s="503"/>
    </row>
    <row r="62795" spans="23:23">
      <c r="W62795" s="503"/>
    </row>
    <row r="62796" spans="23:23">
      <c r="W62796" s="503"/>
    </row>
    <row r="62797" spans="23:23">
      <c r="W62797" s="503"/>
    </row>
    <row r="62798" spans="23:23">
      <c r="W62798" s="503"/>
    </row>
    <row r="62799" spans="23:23">
      <c r="W62799" s="503"/>
    </row>
    <row r="62800" spans="23:23">
      <c r="W62800" s="503"/>
    </row>
    <row r="62801" spans="23:23">
      <c r="W62801" s="503"/>
    </row>
    <row r="62802" spans="23:23">
      <c r="W62802" s="503"/>
    </row>
    <row r="62803" spans="23:23">
      <c r="W62803" s="503"/>
    </row>
    <row r="62804" spans="23:23">
      <c r="W62804" s="503"/>
    </row>
    <row r="62805" spans="23:23">
      <c r="W62805" s="503"/>
    </row>
    <row r="62806" spans="23:23">
      <c r="W62806" s="503"/>
    </row>
    <row r="62807" spans="23:23">
      <c r="W62807" s="503"/>
    </row>
    <row r="62808" spans="23:23">
      <c r="W62808" s="503"/>
    </row>
    <row r="62809" spans="23:23">
      <c r="W62809" s="503"/>
    </row>
    <row r="62810" spans="23:23">
      <c r="W62810" s="503"/>
    </row>
    <row r="62811" spans="23:23">
      <c r="W62811" s="503"/>
    </row>
    <row r="62812" spans="23:23">
      <c r="W62812" s="503"/>
    </row>
    <row r="62813" spans="23:23">
      <c r="W62813" s="503"/>
    </row>
    <row r="62814" spans="23:23">
      <c r="W62814" s="503"/>
    </row>
    <row r="62815" spans="23:23">
      <c r="W62815" s="503"/>
    </row>
    <row r="62816" spans="23:23">
      <c r="W62816" s="503"/>
    </row>
    <row r="62817" spans="23:23">
      <c r="W62817" s="503"/>
    </row>
    <row r="62818" spans="23:23">
      <c r="W62818" s="503"/>
    </row>
    <row r="62819" spans="23:23">
      <c r="W62819" s="503"/>
    </row>
    <row r="62820" spans="23:23">
      <c r="W62820" s="503"/>
    </row>
    <row r="62821" spans="23:23">
      <c r="W62821" s="503"/>
    </row>
    <row r="62822" spans="23:23">
      <c r="W62822" s="503"/>
    </row>
    <row r="62823" spans="23:23">
      <c r="W62823" s="503"/>
    </row>
    <row r="62824" spans="23:23">
      <c r="W62824" s="503"/>
    </row>
    <row r="62825" spans="23:23">
      <c r="W62825" s="503"/>
    </row>
    <row r="62826" spans="23:23">
      <c r="W62826" s="503"/>
    </row>
    <row r="62827" spans="23:23">
      <c r="W62827" s="503"/>
    </row>
    <row r="62828" spans="23:23">
      <c r="W62828" s="503"/>
    </row>
    <row r="62829" spans="23:23">
      <c r="W62829" s="503"/>
    </row>
    <row r="62830" spans="23:23">
      <c r="W62830" s="503"/>
    </row>
    <row r="62831" spans="23:23">
      <c r="W62831" s="503"/>
    </row>
    <row r="62832" spans="23:23">
      <c r="W62832" s="503"/>
    </row>
    <row r="62833" spans="23:23">
      <c r="W62833" s="503"/>
    </row>
    <row r="62834" spans="23:23">
      <c r="W62834" s="503"/>
    </row>
    <row r="62835" spans="23:23">
      <c r="W62835" s="503"/>
    </row>
    <row r="62836" spans="23:23">
      <c r="W62836" s="503"/>
    </row>
    <row r="62837" spans="23:23">
      <c r="W62837" s="503"/>
    </row>
    <row r="62838" spans="23:23">
      <c r="W62838" s="503"/>
    </row>
    <row r="62839" spans="23:23">
      <c r="W62839" s="503"/>
    </row>
    <row r="62840" spans="23:23">
      <c r="W62840" s="503"/>
    </row>
    <row r="62841" spans="23:23">
      <c r="W62841" s="503"/>
    </row>
    <row r="62842" spans="23:23">
      <c r="W62842" s="503"/>
    </row>
    <row r="62843" spans="23:23">
      <c r="W62843" s="503"/>
    </row>
    <row r="62844" spans="23:23">
      <c r="W62844" s="503"/>
    </row>
    <row r="62845" spans="23:23">
      <c r="W62845" s="503"/>
    </row>
    <row r="62846" spans="23:23">
      <c r="W62846" s="503"/>
    </row>
    <row r="62847" spans="23:23">
      <c r="W62847" s="503"/>
    </row>
    <row r="62848" spans="23:23">
      <c r="W62848" s="503"/>
    </row>
    <row r="62849" spans="23:23">
      <c r="W62849" s="503"/>
    </row>
    <row r="62850" spans="23:23">
      <c r="W62850" s="503"/>
    </row>
    <row r="62851" spans="23:23">
      <c r="W62851" s="503"/>
    </row>
    <row r="62852" spans="23:23">
      <c r="W62852" s="503"/>
    </row>
    <row r="62853" spans="23:23">
      <c r="W62853" s="503"/>
    </row>
    <row r="62854" spans="23:23">
      <c r="W62854" s="503"/>
    </row>
    <row r="62855" spans="23:23">
      <c r="W62855" s="503"/>
    </row>
    <row r="62856" spans="23:23">
      <c r="W62856" s="503"/>
    </row>
    <row r="62857" spans="23:23">
      <c r="W62857" s="503"/>
    </row>
    <row r="62858" spans="23:23">
      <c r="W62858" s="503"/>
    </row>
    <row r="62859" spans="23:23">
      <c r="W62859" s="503"/>
    </row>
    <row r="62860" spans="23:23">
      <c r="W62860" s="503"/>
    </row>
    <row r="62861" spans="23:23">
      <c r="W62861" s="503"/>
    </row>
    <row r="62862" spans="23:23">
      <c r="W62862" s="503"/>
    </row>
    <row r="62863" spans="23:23">
      <c r="W62863" s="503"/>
    </row>
    <row r="62864" spans="23:23">
      <c r="W62864" s="503"/>
    </row>
    <row r="62865" spans="23:23">
      <c r="W62865" s="503"/>
    </row>
    <row r="62866" spans="23:23">
      <c r="W62866" s="503"/>
    </row>
    <row r="62867" spans="23:23">
      <c r="W62867" s="503"/>
    </row>
    <row r="62868" spans="23:23">
      <c r="W62868" s="503"/>
    </row>
    <row r="62869" spans="23:23">
      <c r="W62869" s="503"/>
    </row>
    <row r="62870" spans="23:23">
      <c r="W62870" s="503"/>
    </row>
    <row r="62871" spans="23:23">
      <c r="W62871" s="503"/>
    </row>
    <row r="62872" spans="23:23">
      <c r="W62872" s="503"/>
    </row>
    <row r="62873" spans="23:23">
      <c r="W62873" s="503"/>
    </row>
    <row r="62874" spans="23:23">
      <c r="W62874" s="503"/>
    </row>
    <row r="62875" spans="23:23">
      <c r="W62875" s="503"/>
    </row>
    <row r="62876" spans="23:23">
      <c r="W62876" s="503"/>
    </row>
    <row r="62877" spans="23:23">
      <c r="W62877" s="503"/>
    </row>
    <row r="62878" spans="23:23">
      <c r="W62878" s="503"/>
    </row>
    <row r="62879" spans="23:23">
      <c r="W62879" s="503"/>
    </row>
    <row r="62880" spans="23:23">
      <c r="W62880" s="503"/>
    </row>
    <row r="62881" spans="23:23">
      <c r="W62881" s="503"/>
    </row>
    <row r="62882" spans="23:23">
      <c r="W62882" s="503"/>
    </row>
    <row r="62883" spans="23:23">
      <c r="W62883" s="503"/>
    </row>
    <row r="62884" spans="23:23">
      <c r="W62884" s="503"/>
    </row>
    <row r="62885" spans="23:23">
      <c r="W62885" s="503"/>
    </row>
    <row r="62886" spans="23:23">
      <c r="W62886" s="503"/>
    </row>
    <row r="62887" spans="23:23">
      <c r="W62887" s="503"/>
    </row>
    <row r="62888" spans="23:23">
      <c r="W62888" s="503"/>
    </row>
    <row r="62889" spans="23:23">
      <c r="W62889" s="503"/>
    </row>
    <row r="62890" spans="23:23">
      <c r="W62890" s="503"/>
    </row>
    <row r="62891" spans="23:23">
      <c r="W62891" s="503"/>
    </row>
    <row r="62892" spans="23:23">
      <c r="W62892" s="503"/>
    </row>
    <row r="62893" spans="23:23">
      <c r="W62893" s="503"/>
    </row>
    <row r="62894" spans="23:23">
      <c r="W62894" s="503"/>
    </row>
    <row r="62895" spans="23:23">
      <c r="W62895" s="503"/>
    </row>
    <row r="62896" spans="23:23">
      <c r="W62896" s="503"/>
    </row>
    <row r="62897" spans="23:23">
      <c r="W62897" s="503"/>
    </row>
    <row r="62898" spans="23:23">
      <c r="W62898" s="503"/>
    </row>
    <row r="62899" spans="23:23">
      <c r="W62899" s="503"/>
    </row>
    <row r="62900" spans="23:23">
      <c r="W62900" s="503"/>
    </row>
    <row r="62901" spans="23:23">
      <c r="W62901" s="503"/>
    </row>
    <row r="62902" spans="23:23">
      <c r="W62902" s="503"/>
    </row>
    <row r="62903" spans="23:23">
      <c r="W62903" s="503"/>
    </row>
    <row r="62904" spans="23:23">
      <c r="W62904" s="503"/>
    </row>
    <row r="62905" spans="23:23">
      <c r="W62905" s="503"/>
    </row>
    <row r="62906" spans="23:23">
      <c r="W62906" s="503"/>
    </row>
    <row r="62907" spans="23:23">
      <c r="W62907" s="503"/>
    </row>
    <row r="62908" spans="23:23">
      <c r="W62908" s="503"/>
    </row>
    <row r="62909" spans="23:23">
      <c r="W62909" s="503"/>
    </row>
    <row r="62910" spans="23:23">
      <c r="W62910" s="503"/>
    </row>
    <row r="62911" spans="23:23">
      <c r="W62911" s="503"/>
    </row>
    <row r="62912" spans="23:23">
      <c r="W62912" s="503"/>
    </row>
    <row r="62913" spans="23:23">
      <c r="W62913" s="503"/>
    </row>
    <row r="62914" spans="23:23">
      <c r="W62914" s="503"/>
    </row>
    <row r="62915" spans="23:23">
      <c r="W62915" s="503"/>
    </row>
    <row r="62916" spans="23:23">
      <c r="W62916" s="503"/>
    </row>
    <row r="62917" spans="23:23">
      <c r="W62917" s="503"/>
    </row>
    <row r="62918" spans="23:23">
      <c r="W62918" s="503"/>
    </row>
    <row r="62919" spans="23:23">
      <c r="W62919" s="503"/>
    </row>
    <row r="62920" spans="23:23">
      <c r="W62920" s="503"/>
    </row>
    <row r="62921" spans="23:23">
      <c r="W62921" s="503"/>
    </row>
    <row r="62922" spans="23:23">
      <c r="W62922" s="503"/>
    </row>
    <row r="62923" spans="23:23">
      <c r="W62923" s="503"/>
    </row>
    <row r="62924" spans="23:23">
      <c r="W62924" s="503"/>
    </row>
    <row r="62925" spans="23:23">
      <c r="W62925" s="503"/>
    </row>
    <row r="62926" spans="23:23">
      <c r="W62926" s="503"/>
    </row>
    <row r="62927" spans="23:23">
      <c r="W62927" s="503"/>
    </row>
    <row r="62928" spans="23:23">
      <c r="W62928" s="503"/>
    </row>
    <row r="62929" spans="23:23">
      <c r="W62929" s="503"/>
    </row>
    <row r="62930" spans="23:23">
      <c r="W62930" s="503"/>
    </row>
    <row r="62931" spans="23:23">
      <c r="W62931" s="503"/>
    </row>
    <row r="62932" spans="23:23">
      <c r="W62932" s="503"/>
    </row>
    <row r="62933" spans="23:23">
      <c r="W62933" s="503"/>
    </row>
    <row r="62934" spans="23:23">
      <c r="W62934" s="503"/>
    </row>
    <row r="62935" spans="23:23">
      <c r="W62935" s="503"/>
    </row>
    <row r="62936" spans="23:23">
      <c r="W62936" s="503"/>
    </row>
    <row r="62937" spans="23:23">
      <c r="W62937" s="503"/>
    </row>
    <row r="62938" spans="23:23">
      <c r="W62938" s="503"/>
    </row>
    <row r="62939" spans="23:23">
      <c r="W62939" s="503"/>
    </row>
    <row r="62940" spans="23:23">
      <c r="W62940" s="503"/>
    </row>
    <row r="62941" spans="23:23">
      <c r="W62941" s="503"/>
    </row>
    <row r="62942" spans="23:23">
      <c r="W62942" s="503"/>
    </row>
    <row r="62943" spans="23:23">
      <c r="W62943" s="503"/>
    </row>
    <row r="62944" spans="23:23">
      <c r="W62944" s="503"/>
    </row>
    <row r="62945" spans="23:23">
      <c r="W62945" s="503"/>
    </row>
    <row r="62946" spans="23:23">
      <c r="W62946" s="503"/>
    </row>
    <row r="62947" spans="23:23">
      <c r="W62947" s="503"/>
    </row>
    <row r="62948" spans="23:23">
      <c r="W62948" s="503"/>
    </row>
    <row r="62949" spans="23:23">
      <c r="W62949" s="503"/>
    </row>
    <row r="62950" spans="23:23">
      <c r="W62950" s="503"/>
    </row>
    <row r="62951" spans="23:23">
      <c r="W62951" s="503"/>
    </row>
    <row r="62952" spans="23:23">
      <c r="W62952" s="503"/>
    </row>
    <row r="62953" spans="23:23">
      <c r="W62953" s="503"/>
    </row>
    <row r="62954" spans="23:23">
      <c r="W62954" s="503"/>
    </row>
    <row r="62955" spans="23:23">
      <c r="W62955" s="503"/>
    </row>
    <row r="62956" spans="23:23">
      <c r="W62956" s="503"/>
    </row>
    <row r="62957" spans="23:23">
      <c r="W62957" s="503"/>
    </row>
    <row r="62958" spans="23:23">
      <c r="W62958" s="503"/>
    </row>
    <row r="62959" spans="23:23">
      <c r="W62959" s="503"/>
    </row>
    <row r="62960" spans="23:23">
      <c r="W62960" s="503"/>
    </row>
    <row r="62961" spans="23:23">
      <c r="W62961" s="503"/>
    </row>
    <row r="62962" spans="23:23">
      <c r="W62962" s="503"/>
    </row>
    <row r="62963" spans="23:23">
      <c r="W62963" s="503"/>
    </row>
    <row r="62964" spans="23:23">
      <c r="W62964" s="503"/>
    </row>
    <row r="62965" spans="23:23">
      <c r="W62965" s="503"/>
    </row>
    <row r="62966" spans="23:23">
      <c r="W62966" s="503"/>
    </row>
    <row r="62967" spans="23:23">
      <c r="W62967" s="503"/>
    </row>
    <row r="62968" spans="23:23">
      <c r="W62968" s="503"/>
    </row>
    <row r="62969" spans="23:23">
      <c r="W62969" s="503"/>
    </row>
    <row r="62970" spans="23:23">
      <c r="W62970" s="503"/>
    </row>
    <row r="62971" spans="23:23">
      <c r="W62971" s="503"/>
    </row>
    <row r="62972" spans="23:23">
      <c r="W62972" s="503"/>
    </row>
    <row r="62973" spans="23:23">
      <c r="W62973" s="503"/>
    </row>
    <row r="62974" spans="23:23">
      <c r="W62974" s="503"/>
    </row>
    <row r="62975" spans="23:23">
      <c r="W62975" s="503"/>
    </row>
    <row r="62976" spans="23:23">
      <c r="W62976" s="503"/>
    </row>
    <row r="62977" spans="23:23">
      <c r="W62977" s="503"/>
    </row>
    <row r="62978" spans="23:23">
      <c r="W62978" s="503"/>
    </row>
    <row r="62979" spans="23:23">
      <c r="W62979" s="503"/>
    </row>
    <row r="62980" spans="23:23">
      <c r="W62980" s="503"/>
    </row>
    <row r="62981" spans="23:23">
      <c r="W62981" s="503"/>
    </row>
    <row r="62982" spans="23:23">
      <c r="W62982" s="503"/>
    </row>
    <row r="62983" spans="23:23">
      <c r="W62983" s="503"/>
    </row>
    <row r="62984" spans="23:23">
      <c r="W62984" s="503"/>
    </row>
    <row r="62985" spans="23:23">
      <c r="W62985" s="503"/>
    </row>
    <row r="62986" spans="23:23">
      <c r="W62986" s="503"/>
    </row>
    <row r="62987" spans="23:23">
      <c r="W62987" s="503"/>
    </row>
    <row r="62988" spans="23:23">
      <c r="W62988" s="503"/>
    </row>
    <row r="62989" spans="23:23">
      <c r="W62989" s="503"/>
    </row>
    <row r="62990" spans="23:23">
      <c r="W62990" s="503"/>
    </row>
    <row r="62991" spans="23:23">
      <c r="W62991" s="503"/>
    </row>
    <row r="62992" spans="23:23">
      <c r="W62992" s="503"/>
    </row>
    <row r="62993" spans="23:23">
      <c r="W62993" s="503"/>
    </row>
    <row r="62994" spans="23:23">
      <c r="W62994" s="503"/>
    </row>
    <row r="62995" spans="23:23">
      <c r="W62995" s="503"/>
    </row>
    <row r="62996" spans="23:23">
      <c r="W62996" s="503"/>
    </row>
    <row r="62997" spans="23:23">
      <c r="W62997" s="503"/>
    </row>
    <row r="62998" spans="23:23">
      <c r="W62998" s="503"/>
    </row>
    <row r="62999" spans="23:23">
      <c r="W62999" s="503"/>
    </row>
    <row r="63000" spans="23:23">
      <c r="W63000" s="503"/>
    </row>
    <row r="63001" spans="23:23">
      <c r="W63001" s="503"/>
    </row>
    <row r="63002" spans="23:23">
      <c r="W63002" s="503"/>
    </row>
    <row r="63003" spans="23:23">
      <c r="W63003" s="503"/>
    </row>
    <row r="63004" spans="23:23">
      <c r="W63004" s="503"/>
    </row>
    <row r="63005" spans="23:23">
      <c r="W63005" s="503"/>
    </row>
    <row r="63006" spans="23:23">
      <c r="W63006" s="503"/>
    </row>
    <row r="63007" spans="23:23">
      <c r="W63007" s="503"/>
    </row>
    <row r="63008" spans="23:23">
      <c r="W63008" s="503"/>
    </row>
    <row r="63009" spans="23:23">
      <c r="W63009" s="503"/>
    </row>
    <row r="63010" spans="23:23">
      <c r="W63010" s="503"/>
    </row>
    <row r="63011" spans="23:23">
      <c r="W63011" s="503"/>
    </row>
    <row r="63012" spans="23:23">
      <c r="W63012" s="503"/>
    </row>
    <row r="63013" spans="23:23">
      <c r="W63013" s="503"/>
    </row>
    <row r="63014" spans="23:23">
      <c r="W63014" s="503"/>
    </row>
    <row r="63015" spans="23:23">
      <c r="W63015" s="503"/>
    </row>
    <row r="63016" spans="23:23">
      <c r="W63016" s="503"/>
    </row>
    <row r="63017" spans="23:23">
      <c r="W63017" s="503"/>
    </row>
    <row r="63018" spans="23:23">
      <c r="W63018" s="503"/>
    </row>
    <row r="63019" spans="23:23">
      <c r="W63019" s="503"/>
    </row>
    <row r="63020" spans="23:23">
      <c r="W63020" s="503"/>
    </row>
    <row r="63021" spans="23:23">
      <c r="W63021" s="503"/>
    </row>
    <row r="63022" spans="23:23">
      <c r="W63022" s="503"/>
    </row>
    <row r="63023" spans="23:23">
      <c r="W63023" s="503"/>
    </row>
    <row r="63024" spans="23:23">
      <c r="W63024" s="503"/>
    </row>
    <row r="63025" spans="23:23">
      <c r="W63025" s="503"/>
    </row>
    <row r="63026" spans="23:23">
      <c r="W63026" s="503"/>
    </row>
    <row r="63027" spans="23:23">
      <c r="W63027" s="503"/>
    </row>
    <row r="63028" spans="23:23">
      <c r="W63028" s="503"/>
    </row>
    <row r="63029" spans="23:23">
      <c r="W63029" s="503"/>
    </row>
    <row r="63030" spans="23:23">
      <c r="W63030" s="503"/>
    </row>
    <row r="63031" spans="23:23">
      <c r="W63031" s="503"/>
    </row>
    <row r="63032" spans="23:23">
      <c r="W63032" s="503"/>
    </row>
    <row r="63033" spans="23:23">
      <c r="W63033" s="503"/>
    </row>
    <row r="63034" spans="23:23">
      <c r="W63034" s="503"/>
    </row>
    <row r="63035" spans="23:23">
      <c r="W63035" s="503"/>
    </row>
    <row r="63036" spans="23:23">
      <c r="W63036" s="503"/>
    </row>
    <row r="63037" spans="23:23">
      <c r="W63037" s="503"/>
    </row>
    <row r="63038" spans="23:23">
      <c r="W63038" s="503"/>
    </row>
    <row r="63039" spans="23:23">
      <c r="W63039" s="503"/>
    </row>
    <row r="63040" spans="23:23">
      <c r="W63040" s="503"/>
    </row>
    <row r="63041" spans="23:23">
      <c r="W63041" s="503"/>
    </row>
    <row r="63042" spans="23:23">
      <c r="W63042" s="503"/>
    </row>
    <row r="63043" spans="23:23">
      <c r="W63043" s="503"/>
    </row>
    <row r="63044" spans="23:23">
      <c r="W63044" s="503"/>
    </row>
    <row r="63045" spans="23:23">
      <c r="W63045" s="503"/>
    </row>
    <row r="63046" spans="23:23">
      <c r="W63046" s="503"/>
    </row>
    <row r="63047" spans="23:23">
      <c r="W63047" s="503"/>
    </row>
    <row r="63048" spans="23:23">
      <c r="W63048" s="503"/>
    </row>
    <row r="63049" spans="23:23">
      <c r="W63049" s="503"/>
    </row>
    <row r="63050" spans="23:23">
      <c r="W63050" s="503"/>
    </row>
    <row r="63051" spans="23:23">
      <c r="W63051" s="503"/>
    </row>
    <row r="63052" spans="23:23">
      <c r="W63052" s="503"/>
    </row>
    <row r="63053" spans="23:23">
      <c r="W63053" s="503"/>
    </row>
    <row r="63054" spans="23:23">
      <c r="W63054" s="503"/>
    </row>
    <row r="63055" spans="23:23">
      <c r="W63055" s="503"/>
    </row>
    <row r="63056" spans="23:23">
      <c r="W63056" s="503"/>
    </row>
    <row r="63057" spans="23:23">
      <c r="W63057" s="503"/>
    </row>
    <row r="63058" spans="23:23">
      <c r="W63058" s="503"/>
    </row>
    <row r="63059" spans="23:23">
      <c r="W63059" s="503"/>
    </row>
    <row r="63060" spans="23:23">
      <c r="W63060" s="503"/>
    </row>
    <row r="63061" spans="23:23">
      <c r="W63061" s="503"/>
    </row>
    <row r="63062" spans="23:23">
      <c r="W63062" s="503"/>
    </row>
    <row r="63063" spans="23:23">
      <c r="W63063" s="503"/>
    </row>
    <row r="63064" spans="23:23">
      <c r="W63064" s="503"/>
    </row>
    <row r="63065" spans="23:23">
      <c r="W63065" s="503"/>
    </row>
    <row r="63066" spans="23:23">
      <c r="W63066" s="503"/>
    </row>
    <row r="63067" spans="23:23">
      <c r="W63067" s="503"/>
    </row>
    <row r="63068" spans="23:23">
      <c r="W63068" s="503"/>
    </row>
    <row r="63069" spans="23:23">
      <c r="W63069" s="503"/>
    </row>
    <row r="63070" spans="23:23">
      <c r="W63070" s="503"/>
    </row>
    <row r="63071" spans="23:23">
      <c r="W63071" s="503"/>
    </row>
    <row r="63072" spans="23:23">
      <c r="W63072" s="503"/>
    </row>
    <row r="63073" spans="23:23">
      <c r="W63073" s="503"/>
    </row>
    <row r="63074" spans="23:23">
      <c r="W63074" s="503"/>
    </row>
    <row r="63075" spans="23:23">
      <c r="W63075" s="503"/>
    </row>
    <row r="63076" spans="23:23">
      <c r="W63076" s="503"/>
    </row>
    <row r="63077" spans="23:23">
      <c r="W63077" s="503"/>
    </row>
    <row r="63078" spans="23:23">
      <c r="W63078" s="503"/>
    </row>
    <row r="63079" spans="23:23">
      <c r="W63079" s="503"/>
    </row>
    <row r="63080" spans="23:23">
      <c r="W63080" s="503"/>
    </row>
    <row r="63081" spans="23:23">
      <c r="W63081" s="503"/>
    </row>
    <row r="63082" spans="23:23">
      <c r="W63082" s="503"/>
    </row>
    <row r="63083" spans="23:23">
      <c r="W63083" s="503"/>
    </row>
    <row r="63084" spans="23:23">
      <c r="W63084" s="503"/>
    </row>
    <row r="63085" spans="23:23">
      <c r="W63085" s="503"/>
    </row>
    <row r="63086" spans="23:23">
      <c r="W63086" s="503"/>
    </row>
    <row r="63087" spans="23:23">
      <c r="W63087" s="503"/>
    </row>
    <row r="63088" spans="23:23">
      <c r="W63088" s="503"/>
    </row>
    <row r="63089" spans="23:23">
      <c r="W63089" s="503"/>
    </row>
    <row r="63090" spans="23:23">
      <c r="W63090" s="503"/>
    </row>
    <row r="63091" spans="23:23">
      <c r="W63091" s="503"/>
    </row>
    <row r="63092" spans="23:23">
      <c r="W63092" s="503"/>
    </row>
    <row r="63093" spans="23:23">
      <c r="W63093" s="503"/>
    </row>
    <row r="63094" spans="23:23">
      <c r="W63094" s="503"/>
    </row>
    <row r="63095" spans="23:23">
      <c r="W63095" s="503"/>
    </row>
    <row r="63096" spans="23:23">
      <c r="W63096" s="503"/>
    </row>
    <row r="63097" spans="23:23">
      <c r="W63097" s="503"/>
    </row>
    <row r="63098" spans="23:23">
      <c r="W63098" s="503"/>
    </row>
    <row r="63099" spans="23:23">
      <c r="W63099" s="503"/>
    </row>
    <row r="63100" spans="23:23">
      <c r="W63100" s="503"/>
    </row>
    <row r="63101" spans="23:23">
      <c r="W63101" s="503"/>
    </row>
    <row r="63102" spans="23:23">
      <c r="W63102" s="503"/>
    </row>
    <row r="63103" spans="23:23">
      <c r="W63103" s="503"/>
    </row>
    <row r="63104" spans="23:23">
      <c r="W63104" s="503"/>
    </row>
    <row r="63105" spans="23:23">
      <c r="W63105" s="503"/>
    </row>
    <row r="63106" spans="23:23">
      <c r="W63106" s="503"/>
    </row>
    <row r="63107" spans="23:23">
      <c r="W63107" s="503"/>
    </row>
    <row r="63108" spans="23:23">
      <c r="W63108" s="503"/>
    </row>
    <row r="63109" spans="23:23">
      <c r="W63109" s="503"/>
    </row>
    <row r="63110" spans="23:23">
      <c r="W63110" s="503"/>
    </row>
    <row r="63111" spans="23:23">
      <c r="W63111" s="503"/>
    </row>
    <row r="63112" spans="23:23">
      <c r="W63112" s="503"/>
    </row>
    <row r="63113" spans="23:23">
      <c r="W63113" s="503"/>
    </row>
    <row r="63114" spans="23:23">
      <c r="W63114" s="503"/>
    </row>
    <row r="63115" spans="23:23">
      <c r="W63115" s="503"/>
    </row>
    <row r="63116" spans="23:23">
      <c r="W63116" s="503"/>
    </row>
    <row r="63117" spans="23:23">
      <c r="W63117" s="503"/>
    </row>
    <row r="63118" spans="23:23">
      <c r="W63118" s="503"/>
    </row>
    <row r="63119" spans="23:23">
      <c r="W63119" s="503"/>
    </row>
    <row r="63120" spans="23:23">
      <c r="W63120" s="503"/>
    </row>
    <row r="63121" spans="23:23">
      <c r="W63121" s="503"/>
    </row>
    <row r="63122" spans="23:23">
      <c r="W63122" s="503"/>
    </row>
    <row r="63123" spans="23:23">
      <c r="W63123" s="503"/>
    </row>
    <row r="63124" spans="23:23">
      <c r="W63124" s="503"/>
    </row>
    <row r="63125" spans="23:23">
      <c r="W63125" s="503"/>
    </row>
    <row r="63126" spans="23:23">
      <c r="W63126" s="503"/>
    </row>
    <row r="63127" spans="23:23">
      <c r="W63127" s="503"/>
    </row>
    <row r="63128" spans="23:23">
      <c r="W63128" s="503"/>
    </row>
    <row r="63129" spans="23:23">
      <c r="W63129" s="503"/>
    </row>
    <row r="63130" spans="23:23">
      <c r="W63130" s="503"/>
    </row>
    <row r="63131" spans="23:23">
      <c r="W63131" s="503"/>
    </row>
    <row r="63132" spans="23:23">
      <c r="W63132" s="503"/>
    </row>
    <row r="63133" spans="23:23">
      <c r="W63133" s="503"/>
    </row>
    <row r="63134" spans="23:23">
      <c r="W63134" s="503"/>
    </row>
    <row r="63135" spans="23:23">
      <c r="W63135" s="503"/>
    </row>
    <row r="63136" spans="23:23">
      <c r="W63136" s="503"/>
    </row>
    <row r="63137" spans="23:23">
      <c r="W63137" s="503"/>
    </row>
    <row r="63138" spans="23:23">
      <c r="W63138" s="503"/>
    </row>
    <row r="63139" spans="23:23">
      <c r="W63139" s="503"/>
    </row>
    <row r="63140" spans="23:23">
      <c r="W63140" s="503"/>
    </row>
    <row r="63141" spans="23:23">
      <c r="W63141" s="503"/>
    </row>
    <row r="63142" spans="23:23">
      <c r="W63142" s="503"/>
    </row>
    <row r="63143" spans="23:23">
      <c r="W63143" s="503"/>
    </row>
    <row r="63144" spans="23:23">
      <c r="W63144" s="503"/>
    </row>
    <row r="63145" spans="23:23">
      <c r="W63145" s="503"/>
    </row>
    <row r="63146" spans="23:23">
      <c r="W63146" s="503"/>
    </row>
    <row r="63147" spans="23:23">
      <c r="W63147" s="503"/>
    </row>
    <row r="63148" spans="23:23">
      <c r="W63148" s="503"/>
    </row>
    <row r="63149" spans="23:23">
      <c r="W63149" s="503"/>
    </row>
    <row r="63150" spans="23:23">
      <c r="W63150" s="503"/>
    </row>
    <row r="63151" spans="23:23">
      <c r="W63151" s="503"/>
    </row>
    <row r="63152" spans="23:23">
      <c r="W63152" s="503"/>
    </row>
    <row r="63153" spans="23:23">
      <c r="W63153" s="503"/>
    </row>
    <row r="63154" spans="23:23">
      <c r="W63154" s="503"/>
    </row>
    <row r="63155" spans="23:23">
      <c r="W63155" s="503"/>
    </row>
    <row r="63156" spans="23:23">
      <c r="W63156" s="503"/>
    </row>
    <row r="63157" spans="23:23">
      <c r="W63157" s="503"/>
    </row>
    <row r="63158" spans="23:23">
      <c r="W63158" s="503"/>
    </row>
    <row r="63159" spans="23:23">
      <c r="W63159" s="503"/>
    </row>
    <row r="63160" spans="23:23">
      <c r="W63160" s="503"/>
    </row>
    <row r="63161" spans="23:23">
      <c r="W63161" s="503"/>
    </row>
    <row r="63162" spans="23:23">
      <c r="W63162" s="503"/>
    </row>
    <row r="63163" spans="23:23">
      <c r="W63163" s="503"/>
    </row>
    <row r="63164" spans="23:23">
      <c r="W63164" s="503"/>
    </row>
    <row r="63165" spans="23:23">
      <c r="W63165" s="503"/>
    </row>
    <row r="63166" spans="23:23">
      <c r="W63166" s="503"/>
    </row>
    <row r="63167" spans="23:23">
      <c r="W63167" s="503"/>
    </row>
    <row r="63168" spans="23:23">
      <c r="W63168" s="503"/>
    </row>
    <row r="63169" spans="23:23">
      <c r="W63169" s="503"/>
    </row>
    <row r="63170" spans="23:23">
      <c r="W63170" s="503"/>
    </row>
    <row r="63171" spans="23:23">
      <c r="W63171" s="503"/>
    </row>
    <row r="63172" spans="23:23">
      <c r="W63172" s="503"/>
    </row>
    <row r="63173" spans="23:23">
      <c r="W63173" s="503"/>
    </row>
    <row r="63174" spans="23:23">
      <c r="W63174" s="503"/>
    </row>
    <row r="63175" spans="23:23">
      <c r="W63175" s="503"/>
    </row>
    <row r="63176" spans="23:23">
      <c r="W63176" s="503"/>
    </row>
    <row r="63177" spans="23:23">
      <c r="W63177" s="503"/>
    </row>
    <row r="63178" spans="23:23">
      <c r="W63178" s="503"/>
    </row>
    <row r="63179" spans="23:23">
      <c r="W63179" s="503"/>
    </row>
    <row r="63180" spans="23:23">
      <c r="W63180" s="503"/>
    </row>
    <row r="63181" spans="23:23">
      <c r="W63181" s="503"/>
    </row>
    <row r="63182" spans="23:23">
      <c r="W63182" s="503"/>
    </row>
    <row r="63183" spans="23:23">
      <c r="W63183" s="503"/>
    </row>
    <row r="63184" spans="23:23">
      <c r="W63184" s="503"/>
    </row>
    <row r="63185" spans="23:23">
      <c r="W63185" s="503"/>
    </row>
    <row r="63186" spans="23:23">
      <c r="W63186" s="503"/>
    </row>
    <row r="63187" spans="23:23">
      <c r="W63187" s="503"/>
    </row>
    <row r="63188" spans="23:23">
      <c r="W63188" s="503"/>
    </row>
    <row r="63189" spans="23:23">
      <c r="W63189" s="503"/>
    </row>
    <row r="63190" spans="23:23">
      <c r="W63190" s="503"/>
    </row>
    <row r="63191" spans="23:23">
      <c r="W63191" s="503"/>
    </row>
    <row r="63192" spans="23:23">
      <c r="W63192" s="503"/>
    </row>
    <row r="63193" spans="23:23">
      <c r="W63193" s="503"/>
    </row>
    <row r="63194" spans="23:23">
      <c r="W63194" s="503"/>
    </row>
    <row r="63195" spans="23:23">
      <c r="W63195" s="503"/>
    </row>
    <row r="63196" spans="23:23">
      <c r="W63196" s="503"/>
    </row>
    <row r="63197" spans="23:23">
      <c r="W63197" s="503"/>
    </row>
    <row r="63198" spans="23:23">
      <c r="W63198" s="503"/>
    </row>
    <row r="63199" spans="23:23">
      <c r="W63199" s="503"/>
    </row>
    <row r="63200" spans="23:23">
      <c r="W63200" s="503"/>
    </row>
    <row r="63201" spans="23:23">
      <c r="W63201" s="503"/>
    </row>
    <row r="63202" spans="23:23">
      <c r="W63202" s="503"/>
    </row>
    <row r="63203" spans="23:23">
      <c r="W63203" s="503"/>
    </row>
    <row r="63204" spans="23:23">
      <c r="W63204" s="503"/>
    </row>
    <row r="63205" spans="23:23">
      <c r="W63205" s="503"/>
    </row>
    <row r="63206" spans="23:23">
      <c r="W63206" s="503"/>
    </row>
    <row r="63207" spans="23:23">
      <c r="W63207" s="503"/>
    </row>
    <row r="63208" spans="23:23">
      <c r="W63208" s="503"/>
    </row>
    <row r="63209" spans="23:23">
      <c r="W63209" s="503"/>
    </row>
    <row r="63210" spans="23:23">
      <c r="W63210" s="503"/>
    </row>
    <row r="63211" spans="23:23">
      <c r="W63211" s="503"/>
    </row>
    <row r="63212" spans="23:23">
      <c r="W63212" s="503"/>
    </row>
    <row r="63213" spans="23:23">
      <c r="W63213" s="503"/>
    </row>
    <row r="63214" spans="23:23">
      <c r="W63214" s="503"/>
    </row>
    <row r="63215" spans="23:23">
      <c r="W63215" s="503"/>
    </row>
    <row r="63216" spans="23:23">
      <c r="W63216" s="503"/>
    </row>
    <row r="63217" spans="23:23">
      <c r="W63217" s="503"/>
    </row>
    <row r="63218" spans="23:23">
      <c r="W63218" s="503"/>
    </row>
    <row r="63219" spans="23:23">
      <c r="W63219" s="503"/>
    </row>
    <row r="63220" spans="23:23">
      <c r="W63220" s="503"/>
    </row>
    <row r="63221" spans="23:23">
      <c r="W63221" s="503"/>
    </row>
    <row r="63222" spans="23:23">
      <c r="W63222" s="503"/>
    </row>
    <row r="63223" spans="23:23">
      <c r="W63223" s="503"/>
    </row>
    <row r="63224" spans="23:23">
      <c r="W63224" s="503"/>
    </row>
    <row r="63225" spans="23:23">
      <c r="W63225" s="503"/>
    </row>
    <row r="63226" spans="23:23">
      <c r="W63226" s="503"/>
    </row>
    <row r="63227" spans="23:23">
      <c r="W63227" s="503"/>
    </row>
    <row r="63228" spans="23:23">
      <c r="W63228" s="503"/>
    </row>
    <row r="63229" spans="23:23">
      <c r="W63229" s="503"/>
    </row>
    <row r="63230" spans="23:23">
      <c r="W63230" s="503"/>
    </row>
    <row r="63231" spans="23:23">
      <c r="W63231" s="503"/>
    </row>
    <row r="63232" spans="23:23">
      <c r="W63232" s="503"/>
    </row>
    <row r="63233" spans="23:23">
      <c r="W63233" s="503"/>
    </row>
    <row r="63234" spans="23:23">
      <c r="W63234" s="503"/>
    </row>
    <row r="63235" spans="23:23">
      <c r="W63235" s="503"/>
    </row>
    <row r="63236" spans="23:23">
      <c r="W63236" s="503"/>
    </row>
    <row r="63237" spans="23:23">
      <c r="W63237" s="503"/>
    </row>
    <row r="63238" spans="23:23">
      <c r="W63238" s="503"/>
    </row>
    <row r="63239" spans="23:23">
      <c r="W63239" s="503"/>
    </row>
    <row r="63240" spans="23:23">
      <c r="W63240" s="503"/>
    </row>
    <row r="63241" spans="23:23">
      <c r="W63241" s="503"/>
    </row>
    <row r="63242" spans="23:23">
      <c r="W63242" s="503"/>
    </row>
    <row r="63243" spans="23:23">
      <c r="W63243" s="503"/>
    </row>
    <row r="63244" spans="23:23">
      <c r="W63244" s="503"/>
    </row>
    <row r="63245" spans="23:23">
      <c r="W63245" s="503"/>
    </row>
    <row r="63246" spans="23:23">
      <c r="W63246" s="503"/>
    </row>
    <row r="63247" spans="23:23">
      <c r="W63247" s="503"/>
    </row>
    <row r="63248" spans="23:23">
      <c r="W63248" s="503"/>
    </row>
    <row r="63249" spans="23:23">
      <c r="W63249" s="503"/>
    </row>
    <row r="63250" spans="23:23">
      <c r="W63250" s="503"/>
    </row>
    <row r="63251" spans="23:23">
      <c r="W63251" s="503"/>
    </row>
    <row r="63252" spans="23:23">
      <c r="W63252" s="503"/>
    </row>
    <row r="63253" spans="23:23">
      <c r="W63253" s="503"/>
    </row>
    <row r="63254" spans="23:23">
      <c r="W63254" s="503"/>
    </row>
    <row r="63255" spans="23:23">
      <c r="W63255" s="503"/>
    </row>
    <row r="63256" spans="23:23">
      <c r="W63256" s="503"/>
    </row>
    <row r="63257" spans="23:23">
      <c r="W63257" s="503"/>
    </row>
    <row r="63258" spans="23:23">
      <c r="W63258" s="503"/>
    </row>
    <row r="63259" spans="23:23">
      <c r="W63259" s="503"/>
    </row>
    <row r="63260" spans="23:23">
      <c r="W63260" s="503"/>
    </row>
    <row r="63261" spans="23:23">
      <c r="W63261" s="503"/>
    </row>
    <row r="63262" spans="23:23">
      <c r="W63262" s="503"/>
    </row>
    <row r="63263" spans="23:23">
      <c r="W63263" s="503"/>
    </row>
    <row r="63264" spans="23:23">
      <c r="W63264" s="503"/>
    </row>
    <row r="63265" spans="23:23">
      <c r="W63265" s="503"/>
    </row>
    <row r="63266" spans="23:23">
      <c r="W63266" s="503"/>
    </row>
    <row r="63267" spans="23:23">
      <c r="W63267" s="503"/>
    </row>
    <row r="63268" spans="23:23">
      <c r="W63268" s="503"/>
    </row>
    <row r="63269" spans="23:23">
      <c r="W63269" s="503"/>
    </row>
    <row r="63270" spans="23:23">
      <c r="W63270" s="503"/>
    </row>
    <row r="63271" spans="23:23">
      <c r="W63271" s="503"/>
    </row>
    <row r="63272" spans="23:23">
      <c r="W63272" s="503"/>
    </row>
    <row r="63273" spans="23:23">
      <c r="W63273" s="503"/>
    </row>
    <row r="63274" spans="23:23">
      <c r="W63274" s="503"/>
    </row>
    <row r="63275" spans="23:23">
      <c r="W63275" s="503"/>
    </row>
    <row r="63276" spans="23:23">
      <c r="W63276" s="503"/>
    </row>
    <row r="63277" spans="23:23">
      <c r="W63277" s="503"/>
    </row>
    <row r="63278" spans="23:23">
      <c r="W63278" s="503"/>
    </row>
    <row r="63279" spans="23:23">
      <c r="W63279" s="503"/>
    </row>
    <row r="63280" spans="23:23">
      <c r="W63280" s="503"/>
    </row>
    <row r="63281" spans="23:23">
      <c r="W63281" s="503"/>
    </row>
    <row r="63282" spans="23:23">
      <c r="W63282" s="503"/>
    </row>
    <row r="63283" spans="23:23">
      <c r="W63283" s="503"/>
    </row>
    <row r="63284" spans="23:23">
      <c r="W63284" s="503"/>
    </row>
    <row r="63285" spans="23:23">
      <c r="W63285" s="503"/>
    </row>
    <row r="63286" spans="23:23">
      <c r="W63286" s="503"/>
    </row>
    <row r="63287" spans="23:23">
      <c r="W63287" s="503"/>
    </row>
    <row r="63288" spans="23:23">
      <c r="W63288" s="503"/>
    </row>
    <row r="63289" spans="23:23">
      <c r="W63289" s="503"/>
    </row>
    <row r="63290" spans="23:23">
      <c r="W63290" s="503"/>
    </row>
    <row r="63291" spans="23:23">
      <c r="W63291" s="503"/>
    </row>
    <row r="63292" spans="23:23">
      <c r="W63292" s="503"/>
    </row>
    <row r="63293" spans="23:23">
      <c r="W63293" s="503"/>
    </row>
    <row r="63294" spans="23:23">
      <c r="W63294" s="503"/>
    </row>
    <row r="63295" spans="23:23">
      <c r="W63295" s="503"/>
    </row>
    <row r="63296" spans="23:23">
      <c r="W63296" s="503"/>
    </row>
    <row r="63297" spans="23:23">
      <c r="W63297" s="503"/>
    </row>
    <row r="63298" spans="23:23">
      <c r="W63298" s="503"/>
    </row>
    <row r="63299" spans="23:23">
      <c r="W63299" s="503"/>
    </row>
    <row r="63300" spans="23:23">
      <c r="W63300" s="503"/>
    </row>
    <row r="63301" spans="23:23">
      <c r="W63301" s="503"/>
    </row>
    <row r="63302" spans="23:23">
      <c r="W63302" s="503"/>
    </row>
    <row r="63303" spans="23:23">
      <c r="W63303" s="503"/>
    </row>
    <row r="63304" spans="23:23">
      <c r="W63304" s="503"/>
    </row>
    <row r="63305" spans="23:23">
      <c r="W63305" s="503"/>
    </row>
    <row r="63306" spans="23:23">
      <c r="W63306" s="503"/>
    </row>
    <row r="63307" spans="23:23">
      <c r="W63307" s="503"/>
    </row>
    <row r="63308" spans="23:23">
      <c r="W63308" s="503"/>
    </row>
    <row r="63309" spans="23:23">
      <c r="W63309" s="503"/>
    </row>
    <row r="63310" spans="23:23">
      <c r="W63310" s="503"/>
    </row>
    <row r="63311" spans="23:23">
      <c r="W63311" s="503"/>
    </row>
    <row r="63312" spans="23:23">
      <c r="W63312" s="503"/>
    </row>
    <row r="63313" spans="23:23">
      <c r="W63313" s="503"/>
    </row>
    <row r="63314" spans="23:23">
      <c r="W63314" s="503"/>
    </row>
    <row r="63315" spans="23:23">
      <c r="W63315" s="503"/>
    </row>
    <row r="63316" spans="23:23">
      <c r="W63316" s="503"/>
    </row>
    <row r="63317" spans="23:23">
      <c r="W63317" s="503"/>
    </row>
    <row r="63318" spans="23:23">
      <c r="W63318" s="503"/>
    </row>
    <row r="63319" spans="23:23">
      <c r="W63319" s="503"/>
    </row>
    <row r="63320" spans="23:23">
      <c r="W63320" s="503"/>
    </row>
    <row r="63321" spans="23:23">
      <c r="W63321" s="503"/>
    </row>
    <row r="63322" spans="23:23">
      <c r="W63322" s="503"/>
    </row>
    <row r="63323" spans="23:23">
      <c r="W63323" s="503"/>
    </row>
    <row r="63324" spans="23:23">
      <c r="W63324" s="503"/>
    </row>
    <row r="63325" spans="23:23">
      <c r="W63325" s="503"/>
    </row>
    <row r="63326" spans="23:23">
      <c r="W63326" s="503"/>
    </row>
    <row r="63327" spans="23:23">
      <c r="W63327" s="503"/>
    </row>
    <row r="63328" spans="23:23">
      <c r="W63328" s="503"/>
    </row>
    <row r="63329" spans="23:23">
      <c r="W63329" s="503"/>
    </row>
    <row r="63330" spans="23:23">
      <c r="W63330" s="503"/>
    </row>
    <row r="63331" spans="23:23">
      <c r="W63331" s="503"/>
    </row>
    <row r="63332" spans="23:23">
      <c r="W63332" s="503"/>
    </row>
    <row r="63333" spans="23:23">
      <c r="W63333" s="503"/>
    </row>
    <row r="63334" spans="23:23">
      <c r="W63334" s="503"/>
    </row>
    <row r="63335" spans="23:23">
      <c r="W63335" s="503"/>
    </row>
    <row r="63336" spans="23:23">
      <c r="W63336" s="503"/>
    </row>
    <row r="63337" spans="23:23">
      <c r="W63337" s="503"/>
    </row>
    <row r="63338" spans="23:23">
      <c r="W63338" s="503"/>
    </row>
    <row r="63339" spans="23:23">
      <c r="W63339" s="503"/>
    </row>
    <row r="63340" spans="23:23">
      <c r="W63340" s="503"/>
    </row>
    <row r="63341" spans="23:23">
      <c r="W63341" s="503"/>
    </row>
    <row r="63342" spans="23:23">
      <c r="W63342" s="503"/>
    </row>
    <row r="63343" spans="23:23">
      <c r="W63343" s="503"/>
    </row>
    <row r="63344" spans="23:23">
      <c r="W63344" s="503"/>
    </row>
    <row r="63345" spans="23:23">
      <c r="W63345" s="503"/>
    </row>
    <row r="63346" spans="23:23">
      <c r="W63346" s="503"/>
    </row>
    <row r="63347" spans="23:23">
      <c r="W63347" s="503"/>
    </row>
    <row r="63348" spans="23:23">
      <c r="W63348" s="503"/>
    </row>
    <row r="63349" spans="23:23">
      <c r="W63349" s="503"/>
    </row>
    <row r="63350" spans="23:23">
      <c r="W63350" s="503"/>
    </row>
    <row r="63351" spans="23:23">
      <c r="W63351" s="503"/>
    </row>
    <row r="63352" spans="23:23">
      <c r="W63352" s="503"/>
    </row>
    <row r="63353" spans="23:23">
      <c r="W63353" s="503"/>
    </row>
    <row r="63354" spans="23:23">
      <c r="W63354" s="503"/>
    </row>
    <row r="63355" spans="23:23">
      <c r="W63355" s="503"/>
    </row>
    <row r="63356" spans="23:23">
      <c r="W63356" s="503"/>
    </row>
    <row r="63357" spans="23:23">
      <c r="W63357" s="503"/>
    </row>
    <row r="63358" spans="23:23">
      <c r="W63358" s="503"/>
    </row>
    <row r="63359" spans="23:23">
      <c r="W63359" s="503"/>
    </row>
    <row r="63360" spans="23:23">
      <c r="W63360" s="503"/>
    </row>
    <row r="63361" spans="23:23">
      <c r="W63361" s="503"/>
    </row>
    <row r="63362" spans="23:23">
      <c r="W63362" s="503"/>
    </row>
    <row r="63363" spans="23:23">
      <c r="W63363" s="503"/>
    </row>
    <row r="63364" spans="23:23">
      <c r="W63364" s="503"/>
    </row>
    <row r="63365" spans="23:23">
      <c r="W63365" s="503"/>
    </row>
    <row r="63366" spans="23:23">
      <c r="W63366" s="503"/>
    </row>
    <row r="63367" spans="23:23">
      <c r="W63367" s="503"/>
    </row>
    <row r="63368" spans="23:23">
      <c r="W63368" s="503"/>
    </row>
    <row r="63369" spans="23:23">
      <c r="W63369" s="503"/>
    </row>
    <row r="63370" spans="23:23">
      <c r="W63370" s="503"/>
    </row>
    <row r="63371" spans="23:23">
      <c r="W63371" s="503"/>
    </row>
    <row r="63372" spans="23:23">
      <c r="W63372" s="503"/>
    </row>
    <row r="63373" spans="23:23">
      <c r="W63373" s="503"/>
    </row>
    <row r="63374" spans="23:23">
      <c r="W63374" s="503"/>
    </row>
    <row r="63375" spans="23:23">
      <c r="W63375" s="503"/>
    </row>
    <row r="63376" spans="23:23">
      <c r="W63376" s="503"/>
    </row>
    <row r="63377" spans="23:23">
      <c r="W63377" s="503"/>
    </row>
    <row r="63378" spans="23:23">
      <c r="W63378" s="503"/>
    </row>
    <row r="63379" spans="23:23">
      <c r="W63379" s="503"/>
    </row>
    <row r="63380" spans="23:23">
      <c r="W63380" s="503"/>
    </row>
    <row r="63381" spans="23:23">
      <c r="W63381" s="503"/>
    </row>
    <row r="63382" spans="23:23">
      <c r="W63382" s="503"/>
    </row>
    <row r="63383" spans="23:23">
      <c r="W63383" s="503"/>
    </row>
    <row r="63384" spans="23:23">
      <c r="W63384" s="503"/>
    </row>
    <row r="63385" spans="23:23">
      <c r="W63385" s="503"/>
    </row>
    <row r="63386" spans="23:23">
      <c r="W63386" s="503"/>
    </row>
    <row r="63387" spans="23:23">
      <c r="W63387" s="503"/>
    </row>
    <row r="63388" spans="23:23">
      <c r="W63388" s="503"/>
    </row>
    <row r="63389" spans="23:23">
      <c r="W63389" s="503"/>
    </row>
    <row r="63390" spans="23:23">
      <c r="W63390" s="503"/>
    </row>
    <row r="63391" spans="23:23">
      <c r="W63391" s="503"/>
    </row>
    <row r="63392" spans="23:23">
      <c r="W63392" s="503"/>
    </row>
    <row r="63393" spans="23:23">
      <c r="W63393" s="503"/>
    </row>
    <row r="63394" spans="23:23">
      <c r="W63394" s="503"/>
    </row>
    <row r="63395" spans="23:23">
      <c r="W63395" s="503"/>
    </row>
    <row r="63396" spans="23:23">
      <c r="W63396" s="503"/>
    </row>
    <row r="63397" spans="23:23">
      <c r="W63397" s="503"/>
    </row>
    <row r="63398" spans="23:23">
      <c r="W63398" s="503"/>
    </row>
    <row r="63399" spans="23:23">
      <c r="W63399" s="503"/>
    </row>
    <row r="63400" spans="23:23">
      <c r="W63400" s="503"/>
    </row>
    <row r="63401" spans="23:23">
      <c r="W63401" s="503"/>
    </row>
    <row r="63402" spans="23:23">
      <c r="W63402" s="503"/>
    </row>
    <row r="63403" spans="23:23">
      <c r="W63403" s="503"/>
    </row>
    <row r="63404" spans="23:23">
      <c r="W63404" s="503"/>
    </row>
    <row r="63405" spans="23:23">
      <c r="W63405" s="503"/>
    </row>
    <row r="63406" spans="23:23">
      <c r="W63406" s="503"/>
    </row>
    <row r="63407" spans="23:23">
      <c r="W63407" s="503"/>
    </row>
    <row r="63408" spans="23:23">
      <c r="W63408" s="503"/>
    </row>
    <row r="63409" spans="23:23">
      <c r="W63409" s="503"/>
    </row>
    <row r="63410" spans="23:23">
      <c r="W63410" s="503"/>
    </row>
    <row r="63411" spans="23:23">
      <c r="W63411" s="503"/>
    </row>
    <row r="63412" spans="23:23">
      <c r="W63412" s="503"/>
    </row>
    <row r="63413" spans="23:23">
      <c r="W63413" s="503"/>
    </row>
    <row r="63414" spans="23:23">
      <c r="W63414" s="503"/>
    </row>
    <row r="63415" spans="23:23">
      <c r="W63415" s="503"/>
    </row>
    <row r="63416" spans="23:23">
      <c r="W63416" s="503"/>
    </row>
    <row r="63417" spans="23:23">
      <c r="W63417" s="503"/>
    </row>
    <row r="63418" spans="23:23">
      <c r="W63418" s="503"/>
    </row>
    <row r="63419" spans="23:23">
      <c r="W63419" s="503"/>
    </row>
    <row r="63420" spans="23:23">
      <c r="W63420" s="503"/>
    </row>
    <row r="63421" spans="23:23">
      <c r="W63421" s="503"/>
    </row>
    <row r="63422" spans="23:23">
      <c r="W63422" s="503"/>
    </row>
    <row r="63423" spans="23:23">
      <c r="W63423" s="503"/>
    </row>
    <row r="63424" spans="23:23">
      <c r="W63424" s="503"/>
    </row>
    <row r="63425" spans="23:23">
      <c r="W63425" s="503"/>
    </row>
    <row r="63426" spans="23:23">
      <c r="W63426" s="503"/>
    </row>
    <row r="63427" spans="23:23">
      <c r="W63427" s="503"/>
    </row>
    <row r="63428" spans="23:23">
      <c r="W63428" s="503"/>
    </row>
    <row r="63429" spans="23:23">
      <c r="W63429" s="503"/>
    </row>
    <row r="63430" spans="23:23">
      <c r="W63430" s="503"/>
    </row>
    <row r="63431" spans="23:23">
      <c r="W63431" s="503"/>
    </row>
    <row r="63432" spans="23:23">
      <c r="W63432" s="503"/>
    </row>
    <row r="63433" spans="23:23">
      <c r="W63433" s="503"/>
    </row>
    <row r="63434" spans="23:23">
      <c r="W63434" s="503"/>
    </row>
    <row r="63435" spans="23:23">
      <c r="W63435" s="503"/>
    </row>
    <row r="63436" spans="23:23">
      <c r="W63436" s="503"/>
    </row>
    <row r="63437" spans="23:23">
      <c r="W63437" s="503"/>
    </row>
    <row r="63438" spans="23:23">
      <c r="W63438" s="503"/>
    </row>
    <row r="63439" spans="23:23">
      <c r="W63439" s="503"/>
    </row>
    <row r="63440" spans="23:23">
      <c r="W63440" s="503"/>
    </row>
    <row r="63441" spans="23:23">
      <c r="W63441" s="503"/>
    </row>
    <row r="63442" spans="23:23">
      <c r="W63442" s="503"/>
    </row>
    <row r="63443" spans="23:23">
      <c r="W63443" s="503"/>
    </row>
    <row r="63444" spans="23:23">
      <c r="W63444" s="503"/>
    </row>
    <row r="63445" spans="23:23">
      <c r="W63445" s="503"/>
    </row>
    <row r="63446" spans="23:23">
      <c r="W63446" s="503"/>
    </row>
    <row r="63447" spans="23:23">
      <c r="W63447" s="503"/>
    </row>
    <row r="63448" spans="23:23">
      <c r="W63448" s="503"/>
    </row>
    <row r="63449" spans="23:23">
      <c r="W63449" s="503"/>
    </row>
    <row r="63450" spans="23:23">
      <c r="W63450" s="503"/>
    </row>
    <row r="63451" spans="23:23">
      <c r="W63451" s="503"/>
    </row>
    <row r="63452" spans="23:23">
      <c r="W63452" s="503"/>
    </row>
    <row r="63453" spans="23:23">
      <c r="W63453" s="503"/>
    </row>
    <row r="63454" spans="23:23">
      <c r="W63454" s="503"/>
    </row>
    <row r="63455" spans="23:23">
      <c r="W63455" s="503"/>
    </row>
    <row r="63456" spans="23:23">
      <c r="W63456" s="503"/>
    </row>
    <row r="63457" spans="23:23">
      <c r="W63457" s="503"/>
    </row>
    <row r="63458" spans="23:23">
      <c r="W63458" s="503"/>
    </row>
    <row r="63459" spans="23:23">
      <c r="W63459" s="503"/>
    </row>
    <row r="63460" spans="23:23">
      <c r="W63460" s="503"/>
    </row>
    <row r="63461" spans="23:23">
      <c r="W63461" s="503"/>
    </row>
    <row r="63462" spans="23:23">
      <c r="W63462" s="503"/>
    </row>
    <row r="63463" spans="23:23">
      <c r="W63463" s="503"/>
    </row>
    <row r="63464" spans="23:23">
      <c r="W63464" s="503"/>
    </row>
    <row r="63465" spans="23:23">
      <c r="W63465" s="503"/>
    </row>
    <row r="63466" spans="23:23">
      <c r="W63466" s="503"/>
    </row>
    <row r="63467" spans="23:23">
      <c r="W63467" s="503"/>
    </row>
    <row r="63468" spans="23:23">
      <c r="W63468" s="503"/>
    </row>
    <row r="63469" spans="23:23">
      <c r="W63469" s="503"/>
    </row>
    <row r="63470" spans="23:23">
      <c r="W63470" s="503"/>
    </row>
    <row r="63471" spans="23:23">
      <c r="W63471" s="503"/>
    </row>
    <row r="63472" spans="23:23">
      <c r="W63472" s="503"/>
    </row>
    <row r="63473" spans="23:23">
      <c r="W63473" s="503"/>
    </row>
    <row r="63474" spans="23:23">
      <c r="W63474" s="503"/>
    </row>
    <row r="63475" spans="23:23">
      <c r="W63475" s="503"/>
    </row>
    <row r="63476" spans="23:23">
      <c r="W63476" s="503"/>
    </row>
    <row r="63477" spans="23:23">
      <c r="W63477" s="503"/>
    </row>
    <row r="63478" spans="23:23">
      <c r="W63478" s="503"/>
    </row>
    <row r="63479" spans="23:23">
      <c r="W63479" s="503"/>
    </row>
    <row r="63480" spans="23:23">
      <c r="W63480" s="503"/>
    </row>
    <row r="63481" spans="23:23">
      <c r="W63481" s="503"/>
    </row>
    <row r="63482" spans="23:23">
      <c r="W63482" s="503"/>
    </row>
    <row r="63483" spans="23:23">
      <c r="W63483" s="503"/>
    </row>
    <row r="63484" spans="23:23">
      <c r="W63484" s="503"/>
    </row>
    <row r="63485" spans="23:23">
      <c r="W63485" s="503"/>
    </row>
    <row r="63486" spans="23:23">
      <c r="W63486" s="503"/>
    </row>
    <row r="63487" spans="23:23">
      <c r="W63487" s="503"/>
    </row>
    <row r="63488" spans="23:23">
      <c r="W63488" s="503"/>
    </row>
    <row r="63489" spans="23:23">
      <c r="W63489" s="503"/>
    </row>
    <row r="63490" spans="23:23">
      <c r="W63490" s="503"/>
    </row>
    <row r="63491" spans="23:23">
      <c r="W63491" s="503"/>
    </row>
    <row r="63492" spans="23:23">
      <c r="W63492" s="503"/>
    </row>
    <row r="63493" spans="23:23">
      <c r="W63493" s="503"/>
    </row>
    <row r="63494" spans="23:23">
      <c r="W63494" s="503"/>
    </row>
    <row r="63495" spans="23:23">
      <c r="W63495" s="503"/>
    </row>
    <row r="63496" spans="23:23">
      <c r="W63496" s="503"/>
    </row>
    <row r="63497" spans="23:23">
      <c r="W63497" s="503"/>
    </row>
    <row r="63498" spans="23:23">
      <c r="W63498" s="503"/>
    </row>
    <row r="63499" spans="23:23">
      <c r="W63499" s="503"/>
    </row>
    <row r="63500" spans="23:23">
      <c r="W63500" s="503"/>
    </row>
    <row r="63501" spans="23:23">
      <c r="W63501" s="503"/>
    </row>
    <row r="63502" spans="23:23">
      <c r="W63502" s="503"/>
    </row>
    <row r="63503" spans="23:23">
      <c r="W63503" s="503"/>
    </row>
    <row r="63504" spans="23:23">
      <c r="W63504" s="503"/>
    </row>
    <row r="63505" spans="23:23">
      <c r="W63505" s="503"/>
    </row>
    <row r="63506" spans="23:23">
      <c r="W63506" s="503"/>
    </row>
    <row r="63507" spans="23:23">
      <c r="W63507" s="503"/>
    </row>
    <row r="63508" spans="23:23">
      <c r="W63508" s="503"/>
    </row>
    <row r="63509" spans="23:23">
      <c r="W63509" s="503"/>
    </row>
    <row r="63510" spans="23:23">
      <c r="W63510" s="503"/>
    </row>
    <row r="63511" spans="23:23">
      <c r="W63511" s="503"/>
    </row>
    <row r="63512" spans="23:23">
      <c r="W63512" s="503"/>
    </row>
    <row r="63513" spans="23:23">
      <c r="W63513" s="503"/>
    </row>
    <row r="63514" spans="23:23">
      <c r="W63514" s="503"/>
    </row>
    <row r="63515" spans="23:23">
      <c r="W63515" s="503"/>
    </row>
    <row r="63516" spans="23:23">
      <c r="W63516" s="503"/>
    </row>
    <row r="63517" spans="23:23">
      <c r="W63517" s="503"/>
    </row>
    <row r="63518" spans="23:23">
      <c r="W63518" s="503"/>
    </row>
    <row r="63519" spans="23:23">
      <c r="W63519" s="503"/>
    </row>
    <row r="63520" spans="23:23">
      <c r="W63520" s="503"/>
    </row>
    <row r="63521" spans="23:23">
      <c r="W63521" s="503"/>
    </row>
    <row r="63522" spans="23:23">
      <c r="W63522" s="503"/>
    </row>
    <row r="63523" spans="23:23">
      <c r="W63523" s="503"/>
    </row>
    <row r="63524" spans="23:23">
      <c r="W63524" s="503"/>
    </row>
    <row r="63525" spans="23:23">
      <c r="W63525" s="503"/>
    </row>
    <row r="63526" spans="23:23">
      <c r="W63526" s="503"/>
    </row>
    <row r="63527" spans="23:23">
      <c r="W63527" s="503"/>
    </row>
    <row r="63528" spans="23:23">
      <c r="W63528" s="503"/>
    </row>
    <row r="63529" spans="23:23">
      <c r="W63529" s="503"/>
    </row>
    <row r="63530" spans="23:23">
      <c r="W63530" s="503"/>
    </row>
    <row r="63531" spans="23:23">
      <c r="W63531" s="503"/>
    </row>
    <row r="63532" spans="23:23">
      <c r="W63532" s="503"/>
    </row>
    <row r="63533" spans="23:23">
      <c r="W63533" s="503"/>
    </row>
    <row r="63534" spans="23:23">
      <c r="W63534" s="503"/>
    </row>
    <row r="63535" spans="23:23">
      <c r="W63535" s="503"/>
    </row>
    <row r="63536" spans="23:23">
      <c r="W63536" s="503"/>
    </row>
    <row r="63537" spans="23:23">
      <c r="W63537" s="503"/>
    </row>
    <row r="63538" spans="23:23">
      <c r="W63538" s="503"/>
    </row>
    <row r="63539" spans="23:23">
      <c r="W63539" s="503"/>
    </row>
    <row r="63540" spans="23:23">
      <c r="W63540" s="503"/>
    </row>
    <row r="63541" spans="23:23">
      <c r="W63541" s="503"/>
    </row>
    <row r="63542" spans="23:23">
      <c r="W63542" s="503"/>
    </row>
    <row r="63543" spans="23:23">
      <c r="W63543" s="503"/>
    </row>
    <row r="63544" spans="23:23">
      <c r="W63544" s="503"/>
    </row>
    <row r="63545" spans="23:23">
      <c r="W63545" s="503"/>
    </row>
    <row r="63546" spans="23:23">
      <c r="W63546" s="503"/>
    </row>
    <row r="63547" spans="23:23">
      <c r="W63547" s="503"/>
    </row>
    <row r="63548" spans="23:23">
      <c r="W63548" s="503"/>
    </row>
    <row r="63549" spans="23:23">
      <c r="W63549" s="503"/>
    </row>
    <row r="63550" spans="23:23">
      <c r="W63550" s="503"/>
    </row>
    <row r="63551" spans="23:23">
      <c r="W63551" s="503"/>
    </row>
    <row r="63552" spans="23:23">
      <c r="W63552" s="503"/>
    </row>
    <row r="63553" spans="23:23">
      <c r="W63553" s="503"/>
    </row>
    <row r="63554" spans="23:23">
      <c r="W63554" s="503"/>
    </row>
    <row r="63555" spans="23:23">
      <c r="W63555" s="503"/>
    </row>
    <row r="63556" spans="23:23">
      <c r="W63556" s="503"/>
    </row>
    <row r="63557" spans="23:23">
      <c r="W63557" s="503"/>
    </row>
    <row r="63558" spans="23:23">
      <c r="W63558" s="503"/>
    </row>
    <row r="63559" spans="23:23">
      <c r="W63559" s="503"/>
    </row>
    <row r="63560" spans="23:23">
      <c r="W63560" s="503"/>
    </row>
    <row r="63561" spans="23:23">
      <c r="W63561" s="503"/>
    </row>
    <row r="63562" spans="23:23">
      <c r="W63562" s="503"/>
    </row>
    <row r="63563" spans="23:23">
      <c r="W63563" s="503"/>
    </row>
    <row r="63564" spans="23:23">
      <c r="W63564" s="503"/>
    </row>
    <row r="63565" spans="23:23">
      <c r="W63565" s="503"/>
    </row>
    <row r="63566" spans="23:23">
      <c r="W63566" s="503"/>
    </row>
    <row r="63567" spans="23:23">
      <c r="W63567" s="503"/>
    </row>
    <row r="63568" spans="23:23">
      <c r="W63568" s="503"/>
    </row>
    <row r="63569" spans="23:23">
      <c r="W63569" s="503"/>
    </row>
    <row r="63570" spans="23:23">
      <c r="W63570" s="503"/>
    </row>
    <row r="63571" spans="23:23">
      <c r="W63571" s="503"/>
    </row>
    <row r="63572" spans="23:23">
      <c r="W63572" s="503"/>
    </row>
    <row r="63573" spans="23:23">
      <c r="W63573" s="503"/>
    </row>
    <row r="63574" spans="23:23">
      <c r="W63574" s="503"/>
    </row>
    <row r="63575" spans="23:23">
      <c r="W63575" s="503"/>
    </row>
    <row r="63576" spans="23:23">
      <c r="W63576" s="503"/>
    </row>
    <row r="63577" spans="23:23">
      <c r="W63577" s="503"/>
    </row>
    <row r="63578" spans="23:23">
      <c r="W63578" s="503"/>
    </row>
    <row r="63579" spans="23:23">
      <c r="W63579" s="503"/>
    </row>
    <row r="63580" spans="23:23">
      <c r="W63580" s="503"/>
    </row>
    <row r="63581" spans="23:23">
      <c r="W63581" s="503"/>
    </row>
    <row r="63582" spans="23:23">
      <c r="W63582" s="503"/>
    </row>
    <row r="63583" spans="23:23">
      <c r="W63583" s="503"/>
    </row>
    <row r="63584" spans="23:23">
      <c r="W63584" s="503"/>
    </row>
    <row r="63585" spans="23:23">
      <c r="W63585" s="503"/>
    </row>
    <row r="63586" spans="23:23">
      <c r="W63586" s="503"/>
    </row>
    <row r="63587" spans="23:23">
      <c r="W63587" s="503"/>
    </row>
    <row r="63588" spans="23:23">
      <c r="W63588" s="503"/>
    </row>
    <row r="63589" spans="23:23">
      <c r="W63589" s="503"/>
    </row>
    <row r="63590" spans="23:23">
      <c r="W63590" s="503"/>
    </row>
    <row r="63591" spans="23:23">
      <c r="W63591" s="503"/>
    </row>
    <row r="63592" spans="23:23">
      <c r="W63592" s="503"/>
    </row>
    <row r="63593" spans="23:23">
      <c r="W63593" s="503"/>
    </row>
    <row r="63594" spans="23:23">
      <c r="W63594" s="503"/>
    </row>
    <row r="63595" spans="23:23">
      <c r="W63595" s="503"/>
    </row>
    <row r="63596" spans="23:23">
      <c r="W63596" s="503"/>
    </row>
    <row r="63597" spans="23:23">
      <c r="W63597" s="503"/>
    </row>
    <row r="63598" spans="23:23">
      <c r="W63598" s="503"/>
    </row>
    <row r="63599" spans="23:23">
      <c r="W63599" s="503"/>
    </row>
    <row r="63600" spans="23:23">
      <c r="W63600" s="503"/>
    </row>
    <row r="63601" spans="23:23">
      <c r="W63601" s="503"/>
    </row>
    <row r="63602" spans="23:23">
      <c r="W63602" s="503"/>
    </row>
    <row r="63603" spans="23:23">
      <c r="W63603" s="503"/>
    </row>
    <row r="63604" spans="23:23">
      <c r="W63604" s="503"/>
    </row>
    <row r="63605" spans="23:23">
      <c r="W63605" s="503"/>
    </row>
    <row r="63606" spans="23:23">
      <c r="W63606" s="503"/>
    </row>
    <row r="63607" spans="23:23">
      <c r="W63607" s="503"/>
    </row>
    <row r="63608" spans="23:23">
      <c r="W63608" s="503"/>
    </row>
    <row r="63609" spans="23:23">
      <c r="W63609" s="503"/>
    </row>
    <row r="63610" spans="23:23">
      <c r="W63610" s="503"/>
    </row>
    <row r="63611" spans="23:23">
      <c r="W63611" s="503"/>
    </row>
    <row r="63612" spans="23:23">
      <c r="W63612" s="503"/>
    </row>
    <row r="63613" spans="23:23">
      <c r="W63613" s="503"/>
    </row>
    <row r="63614" spans="23:23">
      <c r="W63614" s="503"/>
    </row>
    <row r="63615" spans="23:23">
      <c r="W63615" s="503"/>
    </row>
    <row r="63616" spans="23:23">
      <c r="W63616" s="503"/>
    </row>
    <row r="63617" spans="23:23">
      <c r="W63617" s="503"/>
    </row>
    <row r="63618" spans="23:23">
      <c r="W63618" s="503"/>
    </row>
    <row r="63619" spans="23:23">
      <c r="W63619" s="503"/>
    </row>
    <row r="63620" spans="23:23">
      <c r="W63620" s="503"/>
    </row>
    <row r="63621" spans="23:23">
      <c r="W63621" s="503"/>
    </row>
    <row r="63622" spans="23:23">
      <c r="W63622" s="503"/>
    </row>
    <row r="63623" spans="23:23">
      <c r="W63623" s="503"/>
    </row>
    <row r="63624" spans="23:23">
      <c r="W63624" s="503"/>
    </row>
    <row r="63625" spans="23:23">
      <c r="W63625" s="503"/>
    </row>
    <row r="63626" spans="23:23">
      <c r="W63626" s="503"/>
    </row>
    <row r="63627" spans="23:23">
      <c r="W63627" s="503"/>
    </row>
    <row r="63628" spans="23:23">
      <c r="W63628" s="503"/>
    </row>
    <row r="63629" spans="23:23">
      <c r="W63629" s="503"/>
    </row>
    <row r="63630" spans="23:23">
      <c r="W63630" s="503"/>
    </row>
    <row r="63631" spans="23:23">
      <c r="W63631" s="503"/>
    </row>
    <row r="63632" spans="23:23">
      <c r="W63632" s="503"/>
    </row>
    <row r="63633" spans="23:23">
      <c r="W63633" s="503"/>
    </row>
    <row r="63634" spans="23:23">
      <c r="W63634" s="503"/>
    </row>
    <row r="63635" spans="23:23">
      <c r="W63635" s="503"/>
    </row>
    <row r="63636" spans="23:23">
      <c r="W63636" s="503"/>
    </row>
    <row r="63637" spans="23:23">
      <c r="W63637" s="503"/>
    </row>
    <row r="63638" spans="23:23">
      <c r="W63638" s="503"/>
    </row>
    <row r="63639" spans="23:23">
      <c r="W63639" s="503"/>
    </row>
    <row r="63640" spans="23:23">
      <c r="W63640" s="503"/>
    </row>
    <row r="63641" spans="23:23">
      <c r="W63641" s="503"/>
    </row>
    <row r="63642" spans="23:23">
      <c r="W63642" s="503"/>
    </row>
    <row r="63643" spans="23:23">
      <c r="W63643" s="503"/>
    </row>
    <row r="63644" spans="23:23">
      <c r="W63644" s="503"/>
    </row>
    <row r="63645" spans="23:23">
      <c r="W63645" s="503"/>
    </row>
    <row r="63646" spans="23:23">
      <c r="W63646" s="503"/>
    </row>
    <row r="63647" spans="23:23">
      <c r="W63647" s="503"/>
    </row>
    <row r="63648" spans="23:23">
      <c r="W63648" s="503"/>
    </row>
    <row r="63649" spans="23:23">
      <c r="W63649" s="503"/>
    </row>
    <row r="63650" spans="23:23">
      <c r="W63650" s="503"/>
    </row>
    <row r="63651" spans="23:23">
      <c r="W63651" s="503"/>
    </row>
    <row r="63652" spans="23:23">
      <c r="W63652" s="503"/>
    </row>
    <row r="63653" spans="23:23">
      <c r="W63653" s="503"/>
    </row>
    <row r="63654" spans="23:23">
      <c r="W63654" s="503"/>
    </row>
    <row r="63655" spans="23:23">
      <c r="W63655" s="503"/>
    </row>
    <row r="63656" spans="23:23">
      <c r="W63656" s="503"/>
    </row>
    <row r="63657" spans="23:23">
      <c r="W63657" s="503"/>
    </row>
    <row r="63658" spans="23:23">
      <c r="W63658" s="503"/>
    </row>
    <row r="63659" spans="23:23">
      <c r="W63659" s="503"/>
    </row>
    <row r="63660" spans="23:23">
      <c r="W63660" s="503"/>
    </row>
    <row r="63661" spans="23:23">
      <c r="W63661" s="503"/>
    </row>
    <row r="63662" spans="23:23">
      <c r="W63662" s="503"/>
    </row>
    <row r="63663" spans="23:23">
      <c r="W63663" s="503"/>
    </row>
    <row r="63664" spans="23:23">
      <c r="W63664" s="503"/>
    </row>
    <row r="63665" spans="23:23">
      <c r="W63665" s="503"/>
    </row>
    <row r="63666" spans="23:23">
      <c r="W63666" s="503"/>
    </row>
    <row r="63667" spans="23:23">
      <c r="W63667" s="503"/>
    </row>
    <row r="63668" spans="23:23">
      <c r="W63668" s="503"/>
    </row>
    <row r="63669" spans="23:23">
      <c r="W63669" s="503"/>
    </row>
    <row r="63670" spans="23:23">
      <c r="W63670" s="503"/>
    </row>
    <row r="63671" spans="23:23">
      <c r="W63671" s="503"/>
    </row>
    <row r="63672" spans="23:23">
      <c r="W63672" s="503"/>
    </row>
    <row r="63673" spans="23:23">
      <c r="W63673" s="503"/>
    </row>
    <row r="63674" spans="23:23">
      <c r="W63674" s="503"/>
    </row>
    <row r="63675" spans="23:23">
      <c r="W63675" s="503"/>
    </row>
    <row r="63676" spans="23:23">
      <c r="W63676" s="503"/>
    </row>
    <row r="63677" spans="23:23">
      <c r="W63677" s="503"/>
    </row>
    <row r="63678" spans="23:23">
      <c r="W63678" s="503"/>
    </row>
    <row r="63679" spans="23:23">
      <c r="W63679" s="503"/>
    </row>
    <row r="63680" spans="23:23">
      <c r="W63680" s="503"/>
    </row>
    <row r="63681" spans="23:23">
      <c r="W63681" s="503"/>
    </row>
    <row r="63682" spans="23:23">
      <c r="W63682" s="503"/>
    </row>
    <row r="63683" spans="23:23">
      <c r="W63683" s="503"/>
    </row>
    <row r="63684" spans="23:23">
      <c r="W63684" s="503"/>
    </row>
    <row r="63685" spans="23:23">
      <c r="W63685" s="503"/>
    </row>
    <row r="63686" spans="23:23">
      <c r="W63686" s="503"/>
    </row>
    <row r="63687" spans="23:23">
      <c r="W63687" s="503"/>
    </row>
    <row r="63688" spans="23:23">
      <c r="W63688" s="503"/>
    </row>
    <row r="63689" spans="23:23">
      <c r="W63689" s="503"/>
    </row>
    <row r="63690" spans="23:23">
      <c r="W63690" s="503"/>
    </row>
    <row r="63691" spans="23:23">
      <c r="W63691" s="503"/>
    </row>
    <row r="63692" spans="23:23">
      <c r="W63692" s="503"/>
    </row>
    <row r="63693" spans="23:23">
      <c r="W63693" s="503"/>
    </row>
    <row r="63694" spans="23:23">
      <c r="W63694" s="503"/>
    </row>
    <row r="63695" spans="23:23">
      <c r="W63695" s="503"/>
    </row>
    <row r="63696" spans="23:23">
      <c r="W63696" s="503"/>
    </row>
    <row r="63697" spans="23:23">
      <c r="W63697" s="503"/>
    </row>
    <row r="63698" spans="23:23">
      <c r="W63698" s="503"/>
    </row>
    <row r="63699" spans="23:23">
      <c r="W63699" s="503"/>
    </row>
    <row r="63700" spans="23:23">
      <c r="W63700" s="503"/>
    </row>
    <row r="63701" spans="23:23">
      <c r="W63701" s="503"/>
    </row>
    <row r="63702" spans="23:23">
      <c r="W63702" s="503"/>
    </row>
    <row r="63703" spans="23:23">
      <c r="W63703" s="503"/>
    </row>
    <row r="63704" spans="23:23">
      <c r="W63704" s="503"/>
    </row>
    <row r="63705" spans="23:23">
      <c r="W63705" s="503"/>
    </row>
    <row r="63706" spans="23:23">
      <c r="W63706" s="503"/>
    </row>
    <row r="63707" spans="23:23">
      <c r="W63707" s="503"/>
    </row>
    <row r="63708" spans="23:23">
      <c r="W63708" s="503"/>
    </row>
    <row r="63709" spans="23:23">
      <c r="W63709" s="503"/>
    </row>
    <row r="63710" spans="23:23">
      <c r="W63710" s="503"/>
    </row>
    <row r="63711" spans="23:23">
      <c r="W63711" s="503"/>
    </row>
    <row r="63712" spans="23:23">
      <c r="W63712" s="503"/>
    </row>
    <row r="63713" spans="23:23">
      <c r="W63713" s="503"/>
    </row>
    <row r="63714" spans="23:23">
      <c r="W63714" s="503"/>
    </row>
    <row r="63715" spans="23:23">
      <c r="W63715" s="503"/>
    </row>
    <row r="63716" spans="23:23">
      <c r="W63716" s="503"/>
    </row>
    <row r="63717" spans="23:23">
      <c r="W63717" s="503"/>
    </row>
    <row r="63718" spans="23:23">
      <c r="W63718" s="503"/>
    </row>
    <row r="63719" spans="23:23">
      <c r="W63719" s="503"/>
    </row>
    <row r="63720" spans="23:23">
      <c r="W63720" s="503"/>
    </row>
    <row r="63721" spans="23:23">
      <c r="W63721" s="503"/>
    </row>
    <row r="63722" spans="23:23">
      <c r="W63722" s="503"/>
    </row>
    <row r="63723" spans="23:23">
      <c r="W63723" s="503"/>
    </row>
    <row r="63724" spans="23:23">
      <c r="W63724" s="503"/>
    </row>
    <row r="63725" spans="23:23">
      <c r="W63725" s="503"/>
    </row>
    <row r="63726" spans="23:23">
      <c r="W63726" s="503"/>
    </row>
    <row r="63727" spans="23:23">
      <c r="W63727" s="503"/>
    </row>
    <row r="63728" spans="23:23">
      <c r="W63728" s="503"/>
    </row>
    <row r="63729" spans="23:23">
      <c r="W63729" s="503"/>
    </row>
    <row r="63730" spans="23:23">
      <c r="W63730" s="503"/>
    </row>
    <row r="63731" spans="23:23">
      <c r="W63731" s="503"/>
    </row>
    <row r="63732" spans="23:23">
      <c r="W63732" s="503"/>
    </row>
    <row r="63733" spans="23:23">
      <c r="W63733" s="503"/>
    </row>
    <row r="63734" spans="23:23">
      <c r="W63734" s="503"/>
    </row>
    <row r="63735" spans="23:23">
      <c r="W63735" s="503"/>
    </row>
    <row r="63736" spans="23:23">
      <c r="W63736" s="503"/>
    </row>
    <row r="63737" spans="23:23">
      <c r="W63737" s="503"/>
    </row>
    <row r="63738" spans="23:23">
      <c r="W63738" s="503"/>
    </row>
    <row r="63739" spans="23:23">
      <c r="W63739" s="503"/>
    </row>
    <row r="63740" spans="23:23">
      <c r="W63740" s="503"/>
    </row>
    <row r="63741" spans="23:23">
      <c r="W63741" s="503"/>
    </row>
    <row r="63742" spans="23:23">
      <c r="W63742" s="503"/>
    </row>
    <row r="63743" spans="23:23">
      <c r="W63743" s="503"/>
    </row>
    <row r="63744" spans="23:23">
      <c r="W63744" s="503"/>
    </row>
    <row r="63745" spans="23:23">
      <c r="W63745" s="503"/>
    </row>
    <row r="63746" spans="23:23">
      <c r="W63746" s="503"/>
    </row>
    <row r="63747" spans="23:23">
      <c r="W63747" s="503"/>
    </row>
    <row r="63748" spans="23:23">
      <c r="W63748" s="503"/>
    </row>
    <row r="63749" spans="23:23">
      <c r="W63749" s="503"/>
    </row>
    <row r="63750" spans="23:23">
      <c r="W63750" s="503"/>
    </row>
    <row r="63751" spans="23:23">
      <c r="W63751" s="503"/>
    </row>
    <row r="63752" spans="23:23">
      <c r="W63752" s="503"/>
    </row>
    <row r="63753" spans="23:23">
      <c r="W63753" s="503"/>
    </row>
    <row r="63754" spans="23:23">
      <c r="W63754" s="503"/>
    </row>
    <row r="63755" spans="23:23">
      <c r="W63755" s="503"/>
    </row>
    <row r="63756" spans="23:23">
      <c r="W63756" s="503"/>
    </row>
    <row r="63757" spans="23:23">
      <c r="W63757" s="503"/>
    </row>
    <row r="63758" spans="23:23">
      <c r="W63758" s="503"/>
    </row>
    <row r="63759" spans="23:23">
      <c r="W63759" s="503"/>
    </row>
    <row r="63760" spans="23:23">
      <c r="W63760" s="503"/>
    </row>
    <row r="63761" spans="23:23">
      <c r="W63761" s="503"/>
    </row>
    <row r="63762" spans="23:23">
      <c r="W63762" s="503"/>
    </row>
    <row r="63763" spans="23:23">
      <c r="W63763" s="503"/>
    </row>
    <row r="63764" spans="23:23">
      <c r="W63764" s="503"/>
    </row>
    <row r="63765" spans="23:23">
      <c r="W63765" s="503"/>
    </row>
    <row r="63766" spans="23:23">
      <c r="W63766" s="503"/>
    </row>
    <row r="63767" spans="23:23">
      <c r="W63767" s="503"/>
    </row>
    <row r="63768" spans="23:23">
      <c r="W63768" s="503"/>
    </row>
    <row r="63769" spans="23:23">
      <c r="W63769" s="503"/>
    </row>
    <row r="63770" spans="23:23">
      <c r="W63770" s="503"/>
    </row>
    <row r="63771" spans="23:23">
      <c r="W63771" s="503"/>
    </row>
    <row r="63772" spans="23:23">
      <c r="W63772" s="503"/>
    </row>
    <row r="63773" spans="23:23">
      <c r="W63773" s="503"/>
    </row>
    <row r="63774" spans="23:23">
      <c r="W63774" s="503"/>
    </row>
    <row r="63775" spans="23:23">
      <c r="W63775" s="503"/>
    </row>
    <row r="63776" spans="23:23">
      <c r="W63776" s="503"/>
    </row>
    <row r="63777" spans="23:23">
      <c r="W63777" s="503"/>
    </row>
    <row r="63778" spans="23:23">
      <c r="W63778" s="503"/>
    </row>
    <row r="63779" spans="23:23">
      <c r="W63779" s="503"/>
    </row>
    <row r="63780" spans="23:23">
      <c r="W63780" s="503"/>
    </row>
    <row r="63781" spans="23:23">
      <c r="W63781" s="503"/>
    </row>
    <row r="63782" spans="23:23">
      <c r="W63782" s="503"/>
    </row>
    <row r="63783" spans="23:23">
      <c r="W63783" s="503"/>
    </row>
    <row r="63784" spans="23:23">
      <c r="W63784" s="503"/>
    </row>
    <row r="63785" spans="23:23">
      <c r="W63785" s="503"/>
    </row>
    <row r="63786" spans="23:23">
      <c r="W63786" s="503"/>
    </row>
    <row r="63787" spans="23:23">
      <c r="W63787" s="503"/>
    </row>
    <row r="63788" spans="23:23">
      <c r="W63788" s="503"/>
    </row>
    <row r="63789" spans="23:23">
      <c r="W63789" s="503"/>
    </row>
    <row r="63790" spans="23:23">
      <c r="W63790" s="503"/>
    </row>
    <row r="63791" spans="23:23">
      <c r="W63791" s="503"/>
    </row>
    <row r="63792" spans="23:23">
      <c r="W63792" s="503"/>
    </row>
    <row r="63793" spans="23:23">
      <c r="W63793" s="503"/>
    </row>
    <row r="63794" spans="23:23">
      <c r="W63794" s="503"/>
    </row>
    <row r="63795" spans="23:23">
      <c r="W63795" s="503"/>
    </row>
    <row r="63796" spans="23:23">
      <c r="W63796" s="503"/>
    </row>
    <row r="63797" spans="23:23">
      <c r="W63797" s="503"/>
    </row>
    <row r="63798" spans="23:23">
      <c r="W63798" s="503"/>
    </row>
    <row r="63799" spans="23:23">
      <c r="W63799" s="503"/>
    </row>
    <row r="63800" spans="23:23">
      <c r="W63800" s="503"/>
    </row>
    <row r="63801" spans="23:23">
      <c r="W63801" s="503"/>
    </row>
    <row r="63802" spans="23:23">
      <c r="W63802" s="503"/>
    </row>
    <row r="63803" spans="23:23">
      <c r="W63803" s="503"/>
    </row>
    <row r="63804" spans="23:23">
      <c r="W63804" s="503"/>
    </row>
    <row r="63805" spans="23:23">
      <c r="W63805" s="503"/>
    </row>
    <row r="63806" spans="23:23">
      <c r="W63806" s="503"/>
    </row>
    <row r="63807" spans="23:23">
      <c r="W63807" s="503"/>
    </row>
    <row r="63808" spans="23:23">
      <c r="W63808" s="503"/>
    </row>
    <row r="63809" spans="23:23">
      <c r="W63809" s="503"/>
    </row>
    <row r="63810" spans="23:23">
      <c r="W63810" s="503"/>
    </row>
    <row r="63811" spans="23:23">
      <c r="W63811" s="503"/>
    </row>
    <row r="63812" spans="23:23">
      <c r="W63812" s="503"/>
    </row>
    <row r="63813" spans="23:23">
      <c r="W63813" s="503"/>
    </row>
    <row r="63814" spans="23:23">
      <c r="W63814" s="503"/>
    </row>
    <row r="63815" spans="23:23">
      <c r="W63815" s="503"/>
    </row>
    <row r="63816" spans="23:23">
      <c r="W63816" s="503"/>
    </row>
    <row r="63817" spans="23:23">
      <c r="W63817" s="503"/>
    </row>
    <row r="63818" spans="23:23">
      <c r="W63818" s="503"/>
    </row>
    <row r="63819" spans="23:23">
      <c r="W63819" s="503"/>
    </row>
    <row r="63820" spans="23:23">
      <c r="W63820" s="503"/>
    </row>
    <row r="63821" spans="23:23">
      <c r="W63821" s="503"/>
    </row>
    <row r="63822" spans="23:23">
      <c r="W63822" s="503"/>
    </row>
    <row r="63823" spans="23:23">
      <c r="W63823" s="503"/>
    </row>
    <row r="63824" spans="23:23">
      <c r="W63824" s="503"/>
    </row>
    <row r="63825" spans="23:23">
      <c r="W63825" s="503"/>
    </row>
    <row r="63826" spans="23:23">
      <c r="W63826" s="503"/>
    </row>
    <row r="63827" spans="23:23">
      <c r="W63827" s="503"/>
    </row>
    <row r="63828" spans="23:23">
      <c r="W63828" s="503"/>
    </row>
    <row r="63829" spans="23:23">
      <c r="W63829" s="503"/>
    </row>
    <row r="63830" spans="23:23">
      <c r="W63830" s="503"/>
    </row>
    <row r="63831" spans="23:23">
      <c r="W63831" s="503"/>
    </row>
    <row r="63832" spans="23:23">
      <c r="W63832" s="503"/>
    </row>
    <row r="63833" spans="23:23">
      <c r="W63833" s="503"/>
    </row>
    <row r="63834" spans="23:23">
      <c r="W63834" s="503"/>
    </row>
    <row r="63835" spans="23:23">
      <c r="W63835" s="503"/>
    </row>
    <row r="63836" spans="23:23">
      <c r="W63836" s="503"/>
    </row>
    <row r="63837" spans="23:23">
      <c r="W63837" s="503"/>
    </row>
    <row r="63838" spans="23:23">
      <c r="W63838" s="503"/>
    </row>
    <row r="63839" spans="23:23">
      <c r="W63839" s="503"/>
    </row>
    <row r="63840" spans="23:23">
      <c r="W63840" s="503"/>
    </row>
    <row r="63841" spans="23:23">
      <c r="W63841" s="503"/>
    </row>
    <row r="63842" spans="23:23">
      <c r="W63842" s="503"/>
    </row>
    <row r="63843" spans="23:23">
      <c r="W63843" s="503"/>
    </row>
    <row r="63844" spans="23:23">
      <c r="W63844" s="503"/>
    </row>
    <row r="63845" spans="23:23">
      <c r="W63845" s="503"/>
    </row>
    <row r="63846" spans="23:23">
      <c r="W63846" s="503"/>
    </row>
    <row r="63847" spans="23:23">
      <c r="W63847" s="503"/>
    </row>
    <row r="63848" spans="23:23">
      <c r="W63848" s="503"/>
    </row>
    <row r="63849" spans="23:23">
      <c r="W63849" s="503"/>
    </row>
    <row r="63850" spans="23:23">
      <c r="W63850" s="503"/>
    </row>
    <row r="63851" spans="23:23">
      <c r="W63851" s="503"/>
    </row>
    <row r="63852" spans="23:23">
      <c r="W63852" s="503"/>
    </row>
    <row r="63853" spans="23:23">
      <c r="W63853" s="503"/>
    </row>
    <row r="63854" spans="23:23">
      <c r="W63854" s="503"/>
    </row>
    <row r="63855" spans="23:23">
      <c r="W63855" s="503"/>
    </row>
    <row r="63856" spans="23:23">
      <c r="W63856" s="503"/>
    </row>
    <row r="63857" spans="23:23">
      <c r="W63857" s="503"/>
    </row>
    <row r="63858" spans="23:23">
      <c r="W63858" s="503"/>
    </row>
    <row r="63859" spans="23:23">
      <c r="W63859" s="503"/>
    </row>
    <row r="63860" spans="23:23">
      <c r="W63860" s="503"/>
    </row>
    <row r="63861" spans="23:23">
      <c r="W63861" s="503"/>
    </row>
    <row r="63862" spans="23:23">
      <c r="W63862" s="503"/>
    </row>
    <row r="63863" spans="23:23">
      <c r="W63863" s="503"/>
    </row>
    <row r="63864" spans="23:23">
      <c r="W63864" s="503"/>
    </row>
    <row r="63865" spans="23:23">
      <c r="W63865" s="503"/>
    </row>
    <row r="63866" spans="23:23">
      <c r="W63866" s="503"/>
    </row>
    <row r="63867" spans="23:23">
      <c r="W63867" s="503"/>
    </row>
    <row r="63868" spans="23:23">
      <c r="W63868" s="503"/>
    </row>
    <row r="63869" spans="23:23">
      <c r="W63869" s="503"/>
    </row>
    <row r="63870" spans="23:23">
      <c r="W63870" s="503"/>
    </row>
    <row r="63871" spans="23:23">
      <c r="W63871" s="503"/>
    </row>
    <row r="63872" spans="23:23">
      <c r="W63872" s="503"/>
    </row>
    <row r="63873" spans="23:23">
      <c r="W63873" s="503"/>
    </row>
    <row r="63874" spans="23:23">
      <c r="W63874" s="503"/>
    </row>
    <row r="63875" spans="23:23">
      <c r="W63875" s="503"/>
    </row>
    <row r="63876" spans="23:23">
      <c r="W63876" s="503"/>
    </row>
    <row r="63877" spans="23:23">
      <c r="W63877" s="503"/>
    </row>
    <row r="63878" spans="23:23">
      <c r="W63878" s="503"/>
    </row>
    <row r="63879" spans="23:23">
      <c r="W63879" s="503"/>
    </row>
    <row r="63880" spans="23:23">
      <c r="W63880" s="503"/>
    </row>
    <row r="63881" spans="23:23">
      <c r="W63881" s="503"/>
    </row>
    <row r="63882" spans="23:23">
      <c r="W63882" s="503"/>
    </row>
    <row r="63883" spans="23:23">
      <c r="W63883" s="503"/>
    </row>
    <row r="63884" spans="23:23">
      <c r="W63884" s="503"/>
    </row>
    <row r="63885" spans="23:23">
      <c r="W63885" s="503"/>
    </row>
    <row r="63886" spans="23:23">
      <c r="W63886" s="503"/>
    </row>
    <row r="63887" spans="23:23">
      <c r="W63887" s="503"/>
    </row>
    <row r="63888" spans="23:23">
      <c r="W63888" s="503"/>
    </row>
    <row r="63889" spans="23:23">
      <c r="W63889" s="503"/>
    </row>
    <row r="63890" spans="23:23">
      <c r="W63890" s="503"/>
    </row>
    <row r="63891" spans="23:23">
      <c r="W63891" s="503"/>
    </row>
    <row r="63892" spans="23:23">
      <c r="W63892" s="503"/>
    </row>
    <row r="63893" spans="23:23">
      <c r="W63893" s="503"/>
    </row>
    <row r="63894" spans="23:23">
      <c r="W63894" s="503"/>
    </row>
    <row r="63895" spans="23:23">
      <c r="W63895" s="503"/>
    </row>
    <row r="63896" spans="23:23">
      <c r="W63896" s="503"/>
    </row>
    <row r="63897" spans="23:23">
      <c r="W63897" s="503"/>
    </row>
    <row r="63898" spans="23:23">
      <c r="W63898" s="503"/>
    </row>
    <row r="63899" spans="23:23">
      <c r="W63899" s="503"/>
    </row>
    <row r="63900" spans="23:23">
      <c r="W63900" s="503"/>
    </row>
    <row r="63901" spans="23:23">
      <c r="W63901" s="503"/>
    </row>
    <row r="63902" spans="23:23">
      <c r="W63902" s="503"/>
    </row>
    <row r="63903" spans="23:23">
      <c r="W63903" s="503"/>
    </row>
    <row r="63904" spans="23:23">
      <c r="W63904" s="503"/>
    </row>
    <row r="63905" spans="23:23">
      <c r="W63905" s="503"/>
    </row>
    <row r="63906" spans="23:23">
      <c r="W63906" s="503"/>
    </row>
    <row r="63907" spans="23:23">
      <c r="W63907" s="503"/>
    </row>
    <row r="63908" spans="23:23">
      <c r="W63908" s="503"/>
    </row>
    <row r="63909" spans="23:23">
      <c r="W63909" s="503"/>
    </row>
    <row r="63910" spans="23:23">
      <c r="W63910" s="503"/>
    </row>
    <row r="63911" spans="23:23">
      <c r="W63911" s="503"/>
    </row>
    <row r="63912" spans="23:23">
      <c r="W63912" s="503"/>
    </row>
    <row r="63913" spans="23:23">
      <c r="W63913" s="503"/>
    </row>
    <row r="63914" spans="23:23">
      <c r="W63914" s="503"/>
    </row>
    <row r="63915" spans="23:23">
      <c r="W63915" s="503"/>
    </row>
    <row r="63916" spans="23:23">
      <c r="W63916" s="503"/>
    </row>
    <row r="63917" spans="23:23">
      <c r="W63917" s="503"/>
    </row>
    <row r="63918" spans="23:23">
      <c r="W63918" s="503"/>
    </row>
    <row r="63919" spans="23:23">
      <c r="W63919" s="503"/>
    </row>
    <row r="63920" spans="23:23">
      <c r="W63920" s="503"/>
    </row>
    <row r="63921" spans="23:23">
      <c r="W63921" s="503"/>
    </row>
    <row r="63922" spans="23:23">
      <c r="W63922" s="503"/>
    </row>
    <row r="63923" spans="23:23">
      <c r="W63923" s="503"/>
    </row>
    <row r="63924" spans="23:23">
      <c r="W63924" s="503"/>
    </row>
    <row r="63925" spans="23:23">
      <c r="W63925" s="503"/>
    </row>
    <row r="63926" spans="23:23">
      <c r="W63926" s="503"/>
    </row>
    <row r="63927" spans="23:23">
      <c r="W63927" s="503"/>
    </row>
    <row r="63928" spans="23:23">
      <c r="W63928" s="503"/>
    </row>
    <row r="63929" spans="23:23">
      <c r="W63929" s="503"/>
    </row>
    <row r="63930" spans="23:23">
      <c r="W63930" s="503"/>
    </row>
    <row r="63931" spans="23:23">
      <c r="W63931" s="503"/>
    </row>
    <row r="63932" spans="23:23">
      <c r="W63932" s="503"/>
    </row>
    <row r="63933" spans="23:23">
      <c r="W63933" s="503"/>
    </row>
    <row r="63934" spans="23:23">
      <c r="W63934" s="503"/>
    </row>
    <row r="63935" spans="23:23">
      <c r="W63935" s="503"/>
    </row>
    <row r="63936" spans="23:23">
      <c r="W63936" s="503"/>
    </row>
    <row r="63937" spans="23:23">
      <c r="W63937" s="503"/>
    </row>
    <row r="63938" spans="23:23">
      <c r="W63938" s="503"/>
    </row>
    <row r="63939" spans="23:23">
      <c r="W63939" s="503"/>
    </row>
    <row r="63940" spans="23:23">
      <c r="W63940" s="503"/>
    </row>
    <row r="63941" spans="23:23">
      <c r="W63941" s="503"/>
    </row>
    <row r="63942" spans="23:23">
      <c r="W63942" s="503"/>
    </row>
    <row r="63943" spans="23:23">
      <c r="W63943" s="503"/>
    </row>
    <row r="63944" spans="23:23">
      <c r="W63944" s="503"/>
    </row>
    <row r="63945" spans="23:23">
      <c r="W63945" s="503"/>
    </row>
    <row r="63946" spans="23:23">
      <c r="W63946" s="503"/>
    </row>
    <row r="63947" spans="23:23">
      <c r="W63947" s="503"/>
    </row>
    <row r="63948" spans="23:23">
      <c r="W63948" s="503"/>
    </row>
    <row r="63949" spans="23:23">
      <c r="W63949" s="503"/>
    </row>
    <row r="63950" spans="23:23">
      <c r="W63950" s="503"/>
    </row>
    <row r="63951" spans="23:23">
      <c r="W63951" s="503"/>
    </row>
    <row r="63952" spans="23:23">
      <c r="W63952" s="503"/>
    </row>
    <row r="63953" spans="23:23">
      <c r="W63953" s="503"/>
    </row>
    <row r="63954" spans="23:23">
      <c r="W63954" s="503"/>
    </row>
    <row r="63955" spans="23:23">
      <c r="W63955" s="503"/>
    </row>
    <row r="63956" spans="23:23">
      <c r="W63956" s="503"/>
    </row>
    <row r="63957" spans="23:23">
      <c r="W63957" s="503"/>
    </row>
    <row r="63958" spans="23:23">
      <c r="W63958" s="503"/>
    </row>
    <row r="63959" spans="23:23">
      <c r="W63959" s="503"/>
    </row>
    <row r="63960" spans="23:23">
      <c r="W63960" s="503"/>
    </row>
    <row r="63961" spans="23:23">
      <c r="W63961" s="503"/>
    </row>
    <row r="63962" spans="23:23">
      <c r="W63962" s="503"/>
    </row>
    <row r="63963" spans="23:23">
      <c r="W63963" s="503"/>
    </row>
    <row r="63964" spans="23:23">
      <c r="W63964" s="503"/>
    </row>
    <row r="63965" spans="23:23">
      <c r="W63965" s="503"/>
    </row>
    <row r="63966" spans="23:23">
      <c r="W63966" s="503"/>
    </row>
    <row r="63967" spans="23:23">
      <c r="W63967" s="503"/>
    </row>
    <row r="63968" spans="23:23">
      <c r="W63968" s="503"/>
    </row>
    <row r="63969" spans="23:23">
      <c r="W63969" s="503"/>
    </row>
    <row r="63970" spans="23:23">
      <c r="W63970" s="503"/>
    </row>
    <row r="63971" spans="23:23">
      <c r="W63971" s="503"/>
    </row>
    <row r="63972" spans="23:23">
      <c r="W63972" s="503"/>
    </row>
    <row r="63973" spans="23:23">
      <c r="W63973" s="503"/>
    </row>
    <row r="63974" spans="23:23">
      <c r="W63974" s="503"/>
    </row>
    <row r="63975" spans="23:23">
      <c r="W63975" s="503"/>
    </row>
    <row r="63976" spans="23:23">
      <c r="W63976" s="503"/>
    </row>
    <row r="63977" spans="23:23">
      <c r="W63977" s="503"/>
    </row>
    <row r="63978" spans="23:23">
      <c r="W63978" s="503"/>
    </row>
    <row r="63979" spans="23:23">
      <c r="W63979" s="503"/>
    </row>
    <row r="63980" spans="23:23">
      <c r="W63980" s="503"/>
    </row>
    <row r="63981" spans="23:23">
      <c r="W63981" s="503"/>
    </row>
    <row r="63982" spans="23:23">
      <c r="W63982" s="503"/>
    </row>
    <row r="63983" spans="23:23">
      <c r="W63983" s="503"/>
    </row>
    <row r="63984" spans="23:23">
      <c r="W63984" s="503"/>
    </row>
    <row r="63985" spans="23:23">
      <c r="W63985" s="503"/>
    </row>
    <row r="63986" spans="23:23">
      <c r="W63986" s="503"/>
    </row>
    <row r="63987" spans="23:23">
      <c r="W63987" s="503"/>
    </row>
    <row r="63988" spans="23:23">
      <c r="W63988" s="503"/>
    </row>
    <row r="63989" spans="23:23">
      <c r="W63989" s="503"/>
    </row>
    <row r="63990" spans="23:23">
      <c r="W63990" s="503"/>
    </row>
    <row r="63991" spans="23:23">
      <c r="W63991" s="503"/>
    </row>
    <row r="63992" spans="23:23">
      <c r="W63992" s="503"/>
    </row>
    <row r="63993" spans="23:23">
      <c r="W63993" s="503"/>
    </row>
    <row r="63994" spans="23:23">
      <c r="W63994" s="503"/>
    </row>
    <row r="63995" spans="23:23">
      <c r="W63995" s="503"/>
    </row>
    <row r="63996" spans="23:23">
      <c r="W63996" s="503"/>
    </row>
    <row r="63997" spans="23:23">
      <c r="W63997" s="503"/>
    </row>
    <row r="63998" spans="23:23">
      <c r="W63998" s="503"/>
    </row>
    <row r="63999" spans="23:23">
      <c r="W63999" s="503"/>
    </row>
    <row r="64000" spans="23:23">
      <c r="W64000" s="503"/>
    </row>
    <row r="64001" spans="23:23">
      <c r="W64001" s="503"/>
    </row>
    <row r="64002" spans="23:23">
      <c r="W64002" s="503"/>
    </row>
    <row r="64003" spans="23:23">
      <c r="W64003" s="503"/>
    </row>
    <row r="64004" spans="23:23">
      <c r="W64004" s="503"/>
    </row>
    <row r="64005" spans="23:23">
      <c r="W64005" s="503"/>
    </row>
    <row r="64006" spans="23:23">
      <c r="W64006" s="503"/>
    </row>
    <row r="64007" spans="23:23">
      <c r="W64007" s="503"/>
    </row>
    <row r="64008" spans="23:23">
      <c r="W64008" s="503"/>
    </row>
    <row r="64009" spans="23:23">
      <c r="W64009" s="503"/>
    </row>
    <row r="64010" spans="23:23">
      <c r="W64010" s="503"/>
    </row>
    <row r="64011" spans="23:23">
      <c r="W64011" s="503"/>
    </row>
    <row r="64012" spans="23:23">
      <c r="W64012" s="503"/>
    </row>
    <row r="64013" spans="23:23">
      <c r="W64013" s="503"/>
    </row>
    <row r="64014" spans="23:23">
      <c r="W64014" s="503"/>
    </row>
    <row r="64015" spans="23:23">
      <c r="W64015" s="503"/>
    </row>
    <row r="64016" spans="23:23">
      <c r="W64016" s="503"/>
    </row>
    <row r="64017" spans="23:23">
      <c r="W64017" s="503"/>
    </row>
    <row r="64018" spans="23:23">
      <c r="W64018" s="503"/>
    </row>
    <row r="64019" spans="23:23">
      <c r="W64019" s="503"/>
    </row>
    <row r="64020" spans="23:23">
      <c r="W64020" s="503"/>
    </row>
    <row r="64021" spans="23:23">
      <c r="W64021" s="503"/>
    </row>
    <row r="64022" spans="23:23">
      <c r="W64022" s="503"/>
    </row>
    <row r="64023" spans="23:23">
      <c r="W64023" s="503"/>
    </row>
    <row r="64024" spans="23:23">
      <c r="W64024" s="503"/>
    </row>
    <row r="64025" spans="23:23">
      <c r="W64025" s="503"/>
    </row>
    <row r="64026" spans="23:23">
      <c r="W64026" s="503"/>
    </row>
    <row r="64027" spans="23:23">
      <c r="W64027" s="503"/>
    </row>
    <row r="64028" spans="23:23">
      <c r="W64028" s="503"/>
    </row>
    <row r="64029" spans="23:23">
      <c r="W64029" s="503"/>
    </row>
    <row r="64030" spans="23:23">
      <c r="W64030" s="503"/>
    </row>
    <row r="64031" spans="23:23">
      <c r="W64031" s="503"/>
    </row>
    <row r="64032" spans="23:23">
      <c r="W64032" s="503"/>
    </row>
    <row r="64033" spans="23:23">
      <c r="W64033" s="503"/>
    </row>
    <row r="64034" spans="23:23">
      <c r="W64034" s="503"/>
    </row>
    <row r="64035" spans="23:23">
      <c r="W64035" s="503"/>
    </row>
    <row r="64036" spans="23:23">
      <c r="W64036" s="503"/>
    </row>
    <row r="64037" spans="23:23">
      <c r="W64037" s="503"/>
    </row>
    <row r="64038" spans="23:23">
      <c r="W64038" s="503"/>
    </row>
    <row r="64039" spans="23:23">
      <c r="W64039" s="503"/>
    </row>
    <row r="64040" spans="23:23">
      <c r="W64040" s="503"/>
    </row>
    <row r="64041" spans="23:23">
      <c r="W64041" s="503"/>
    </row>
    <row r="64042" spans="23:23">
      <c r="W64042" s="503"/>
    </row>
    <row r="64043" spans="23:23">
      <c r="W64043" s="503"/>
    </row>
    <row r="64044" spans="23:23">
      <c r="W64044" s="503"/>
    </row>
    <row r="64045" spans="23:23">
      <c r="W64045" s="503"/>
    </row>
    <row r="64046" spans="23:23">
      <c r="W64046" s="503"/>
    </row>
    <row r="64047" spans="23:23">
      <c r="W64047" s="503"/>
    </row>
    <row r="64048" spans="23:23">
      <c r="W64048" s="503"/>
    </row>
    <row r="64049" spans="23:23">
      <c r="W64049" s="503"/>
    </row>
    <row r="64050" spans="23:23">
      <c r="W64050" s="503"/>
    </row>
    <row r="64051" spans="23:23">
      <c r="W64051" s="503"/>
    </row>
    <row r="64052" spans="23:23">
      <c r="W64052" s="503"/>
    </row>
    <row r="64053" spans="23:23">
      <c r="W64053" s="503"/>
    </row>
    <row r="64054" spans="23:23">
      <c r="W64054" s="503"/>
    </row>
    <row r="64055" spans="23:23">
      <c r="W64055" s="503"/>
    </row>
    <row r="64056" spans="23:23">
      <c r="W64056" s="503"/>
    </row>
    <row r="64057" spans="23:23">
      <c r="W64057" s="503"/>
    </row>
    <row r="64058" spans="23:23">
      <c r="W64058" s="503"/>
    </row>
    <row r="64059" spans="23:23">
      <c r="W64059" s="503"/>
    </row>
    <row r="64060" spans="23:23">
      <c r="W64060" s="503"/>
    </row>
    <row r="64061" spans="23:23">
      <c r="W64061" s="503"/>
    </row>
    <row r="64062" spans="23:23">
      <c r="W64062" s="503"/>
    </row>
    <row r="64063" spans="23:23">
      <c r="W64063" s="503"/>
    </row>
    <row r="64064" spans="23:23">
      <c r="W64064" s="503"/>
    </row>
    <row r="64065" spans="23:23">
      <c r="W64065" s="503"/>
    </row>
    <row r="64066" spans="23:23">
      <c r="W64066" s="503"/>
    </row>
    <row r="64067" spans="23:23">
      <c r="W64067" s="503"/>
    </row>
    <row r="64068" spans="23:23">
      <c r="W64068" s="503"/>
    </row>
    <row r="64069" spans="23:23">
      <c r="W64069" s="503"/>
    </row>
    <row r="64070" spans="23:23">
      <c r="W64070" s="503"/>
    </row>
    <row r="64071" spans="23:23">
      <c r="W64071" s="503"/>
    </row>
    <row r="64072" spans="23:23">
      <c r="W64072" s="503"/>
    </row>
    <row r="64073" spans="23:23">
      <c r="W64073" s="503"/>
    </row>
    <row r="64074" spans="23:23">
      <c r="W64074" s="503"/>
    </row>
    <row r="64075" spans="23:23">
      <c r="W64075" s="503"/>
    </row>
    <row r="64076" spans="23:23">
      <c r="W64076" s="503"/>
    </row>
    <row r="64077" spans="23:23">
      <c r="W64077" s="503"/>
    </row>
    <row r="64078" spans="23:23">
      <c r="W64078" s="503"/>
    </row>
    <row r="64079" spans="23:23">
      <c r="W64079" s="503"/>
    </row>
    <row r="64080" spans="23:23">
      <c r="W64080" s="503"/>
    </row>
    <row r="64081" spans="23:23">
      <c r="W64081" s="503"/>
    </row>
    <row r="64082" spans="23:23">
      <c r="W64082" s="503"/>
    </row>
    <row r="64083" spans="23:23">
      <c r="W64083" s="503"/>
    </row>
    <row r="64084" spans="23:23">
      <c r="W64084" s="503"/>
    </row>
    <row r="64085" spans="23:23">
      <c r="W64085" s="503"/>
    </row>
    <row r="64086" spans="23:23">
      <c r="W64086" s="503"/>
    </row>
    <row r="64087" spans="23:23">
      <c r="W64087" s="503"/>
    </row>
    <row r="64088" spans="23:23">
      <c r="W64088" s="503"/>
    </row>
    <row r="64089" spans="23:23">
      <c r="W64089" s="503"/>
    </row>
    <row r="64090" spans="23:23">
      <c r="W64090" s="503"/>
    </row>
    <row r="64091" spans="23:23">
      <c r="W64091" s="503"/>
    </row>
    <row r="64092" spans="23:23">
      <c r="W64092" s="503"/>
    </row>
    <row r="64093" spans="23:23">
      <c r="W64093" s="503"/>
    </row>
    <row r="64094" spans="23:23">
      <c r="W64094" s="503"/>
    </row>
    <row r="64095" spans="23:23">
      <c r="W64095" s="503"/>
    </row>
    <row r="64096" spans="23:23">
      <c r="W64096" s="503"/>
    </row>
    <row r="64097" spans="23:23">
      <c r="W64097" s="503"/>
    </row>
    <row r="64098" spans="23:23">
      <c r="W64098" s="503"/>
    </row>
    <row r="64099" spans="23:23">
      <c r="W64099" s="503"/>
    </row>
    <row r="64100" spans="23:23">
      <c r="W64100" s="503"/>
    </row>
    <row r="64101" spans="23:23">
      <c r="W64101" s="503"/>
    </row>
    <row r="64102" spans="23:23">
      <c r="W64102" s="503"/>
    </row>
    <row r="64103" spans="23:23">
      <c r="W64103" s="503"/>
    </row>
    <row r="64104" spans="23:23">
      <c r="W64104" s="503"/>
    </row>
    <row r="64105" spans="23:23">
      <c r="W64105" s="503"/>
    </row>
    <row r="64106" spans="23:23">
      <c r="W64106" s="503"/>
    </row>
    <row r="64107" spans="23:23">
      <c r="W64107" s="503"/>
    </row>
    <row r="64108" spans="23:23">
      <c r="W64108" s="503"/>
    </row>
    <row r="64109" spans="23:23">
      <c r="W64109" s="503"/>
    </row>
    <row r="64110" spans="23:23">
      <c r="W64110" s="503"/>
    </row>
    <row r="64111" spans="23:23">
      <c r="W64111" s="503"/>
    </row>
    <row r="64112" spans="23:23">
      <c r="W64112" s="503"/>
    </row>
    <row r="64113" spans="23:23">
      <c r="W64113" s="503"/>
    </row>
    <row r="64114" spans="23:23">
      <c r="W64114" s="503"/>
    </row>
    <row r="64115" spans="23:23">
      <c r="W64115" s="503"/>
    </row>
    <row r="64116" spans="23:23">
      <c r="W64116" s="503"/>
    </row>
    <row r="64117" spans="23:23">
      <c r="W64117" s="503"/>
    </row>
    <row r="64118" spans="23:23">
      <c r="W64118" s="503"/>
    </row>
    <row r="64119" spans="23:23">
      <c r="W64119" s="503"/>
    </row>
    <row r="64120" spans="23:23">
      <c r="W64120" s="503"/>
    </row>
    <row r="64121" spans="23:23">
      <c r="W64121" s="503"/>
    </row>
    <row r="64122" spans="23:23">
      <c r="W64122" s="503"/>
    </row>
    <row r="64123" spans="23:23">
      <c r="W64123" s="503"/>
    </row>
    <row r="64124" spans="23:23">
      <c r="W64124" s="503"/>
    </row>
    <row r="64125" spans="23:23">
      <c r="W64125" s="503"/>
    </row>
    <row r="64126" spans="23:23">
      <c r="W64126" s="503"/>
    </row>
    <row r="64127" spans="23:23">
      <c r="W64127" s="503"/>
    </row>
    <row r="64128" spans="23:23">
      <c r="W64128" s="503"/>
    </row>
    <row r="64129" spans="23:23">
      <c r="W64129" s="503"/>
    </row>
    <row r="64130" spans="23:23">
      <c r="W64130" s="503"/>
    </row>
    <row r="64131" spans="23:23">
      <c r="W64131" s="503"/>
    </row>
    <row r="64132" spans="23:23">
      <c r="W64132" s="503"/>
    </row>
    <row r="64133" spans="23:23">
      <c r="W64133" s="503"/>
    </row>
    <row r="64134" spans="23:23">
      <c r="W64134" s="503"/>
    </row>
    <row r="64135" spans="23:23">
      <c r="W64135" s="503"/>
    </row>
    <row r="64136" spans="23:23">
      <c r="W64136" s="503"/>
    </row>
    <row r="64137" spans="23:23">
      <c r="W64137" s="503"/>
    </row>
    <row r="64138" spans="23:23">
      <c r="W64138" s="503"/>
    </row>
    <row r="64139" spans="23:23">
      <c r="W64139" s="503"/>
    </row>
    <row r="64140" spans="23:23">
      <c r="W64140" s="503"/>
    </row>
    <row r="64141" spans="23:23">
      <c r="W64141" s="503"/>
    </row>
    <row r="64142" spans="23:23">
      <c r="W64142" s="503"/>
    </row>
    <row r="64143" spans="23:23">
      <c r="W64143" s="503"/>
    </row>
    <row r="64144" spans="23:23">
      <c r="W64144" s="503"/>
    </row>
    <row r="64145" spans="23:23">
      <c r="W64145" s="503"/>
    </row>
    <row r="64146" spans="23:23">
      <c r="W64146" s="503"/>
    </row>
    <row r="64147" spans="23:23">
      <c r="W64147" s="503"/>
    </row>
    <row r="64148" spans="23:23">
      <c r="W64148" s="503"/>
    </row>
    <row r="64149" spans="23:23">
      <c r="W64149" s="503"/>
    </row>
    <row r="64150" spans="23:23">
      <c r="W64150" s="503"/>
    </row>
    <row r="64151" spans="23:23">
      <c r="W64151" s="503"/>
    </row>
    <row r="64152" spans="23:23">
      <c r="W64152" s="503"/>
    </row>
    <row r="64153" spans="23:23">
      <c r="W64153" s="503"/>
    </row>
    <row r="64154" spans="23:23">
      <c r="W64154" s="503"/>
    </row>
    <row r="64155" spans="23:23">
      <c r="W64155" s="503"/>
    </row>
    <row r="64156" spans="23:23">
      <c r="W64156" s="503"/>
    </row>
    <row r="64157" spans="23:23">
      <c r="W64157" s="503"/>
    </row>
    <row r="64158" spans="23:23">
      <c r="W64158" s="503"/>
    </row>
    <row r="64159" spans="23:23">
      <c r="W64159" s="503"/>
    </row>
    <row r="64160" spans="23:23">
      <c r="W64160" s="503"/>
    </row>
    <row r="64161" spans="23:23">
      <c r="W64161" s="503"/>
    </row>
    <row r="64162" spans="23:23">
      <c r="W64162" s="503"/>
    </row>
    <row r="64163" spans="23:23">
      <c r="W64163" s="503"/>
    </row>
    <row r="64164" spans="23:23">
      <c r="W64164" s="503"/>
    </row>
    <row r="64165" spans="23:23">
      <c r="W64165" s="503"/>
    </row>
    <row r="64166" spans="23:23">
      <c r="W64166" s="503"/>
    </row>
    <row r="64167" spans="23:23">
      <c r="W64167" s="503"/>
    </row>
    <row r="64168" spans="23:23">
      <c r="W64168" s="503"/>
    </row>
    <row r="64169" spans="23:23">
      <c r="W64169" s="503"/>
    </row>
    <row r="64170" spans="23:23">
      <c r="W64170" s="503"/>
    </row>
    <row r="64171" spans="23:23">
      <c r="W64171" s="503"/>
    </row>
    <row r="64172" spans="23:23">
      <c r="W64172" s="503"/>
    </row>
    <row r="64173" spans="23:23">
      <c r="W64173" s="503"/>
    </row>
    <row r="64174" spans="23:23">
      <c r="W64174" s="503"/>
    </row>
    <row r="64175" spans="23:23">
      <c r="W64175" s="503"/>
    </row>
    <row r="64176" spans="23:23">
      <c r="W64176" s="503"/>
    </row>
    <row r="64177" spans="23:23">
      <c r="W64177" s="503"/>
    </row>
    <row r="64178" spans="23:23">
      <c r="W64178" s="503"/>
    </row>
    <row r="64179" spans="23:23">
      <c r="W64179" s="503"/>
    </row>
    <row r="64180" spans="23:23">
      <c r="W64180" s="503"/>
    </row>
    <row r="64181" spans="23:23">
      <c r="W64181" s="503"/>
    </row>
    <row r="64182" spans="23:23">
      <c r="W64182" s="503"/>
    </row>
    <row r="64183" spans="23:23">
      <c r="W64183" s="503"/>
    </row>
    <row r="64184" spans="23:23">
      <c r="W64184" s="503"/>
    </row>
    <row r="64185" spans="23:23">
      <c r="W64185" s="503"/>
    </row>
    <row r="64186" spans="23:23">
      <c r="W64186" s="503"/>
    </row>
    <row r="64187" spans="23:23">
      <c r="W64187" s="503"/>
    </row>
    <row r="64188" spans="23:23">
      <c r="W64188" s="503"/>
    </row>
    <row r="64189" spans="23:23">
      <c r="W64189" s="503"/>
    </row>
    <row r="64190" spans="23:23">
      <c r="W64190" s="503"/>
    </row>
    <row r="64191" spans="23:23">
      <c r="W64191" s="503"/>
    </row>
    <row r="64192" spans="23:23">
      <c r="W64192" s="503"/>
    </row>
    <row r="64193" spans="23:23">
      <c r="W64193" s="503"/>
    </row>
    <row r="64194" spans="23:23">
      <c r="W64194" s="503"/>
    </row>
    <row r="64195" spans="23:23">
      <c r="W64195" s="503"/>
    </row>
    <row r="64196" spans="23:23">
      <c r="W64196" s="503"/>
    </row>
    <row r="64197" spans="23:23">
      <c r="W64197" s="503"/>
    </row>
    <row r="64198" spans="23:23">
      <c r="W64198" s="503"/>
    </row>
    <row r="64199" spans="23:23">
      <c r="W64199" s="503"/>
    </row>
    <row r="64200" spans="23:23">
      <c r="W64200" s="503"/>
    </row>
    <row r="64201" spans="23:23">
      <c r="W64201" s="503"/>
    </row>
    <row r="64202" spans="23:23">
      <c r="W64202" s="503"/>
    </row>
    <row r="64203" spans="23:23">
      <c r="W64203" s="503"/>
    </row>
    <row r="64204" spans="23:23">
      <c r="W64204" s="503"/>
    </row>
    <row r="64205" spans="23:23">
      <c r="W64205" s="503"/>
    </row>
    <row r="64206" spans="23:23">
      <c r="W64206" s="503"/>
    </row>
    <row r="64207" spans="23:23">
      <c r="W64207" s="503"/>
    </row>
    <row r="64208" spans="23:23">
      <c r="W64208" s="503"/>
    </row>
    <row r="64209" spans="23:23">
      <c r="W64209" s="503"/>
    </row>
    <row r="64210" spans="23:23">
      <c r="W64210" s="503"/>
    </row>
    <row r="64211" spans="23:23">
      <c r="W64211" s="503"/>
    </row>
    <row r="64212" spans="23:23">
      <c r="W64212" s="503"/>
    </row>
    <row r="64213" spans="23:23">
      <c r="W64213" s="503"/>
    </row>
    <row r="64214" spans="23:23">
      <c r="W64214" s="503"/>
    </row>
    <row r="64215" spans="23:23">
      <c r="W64215" s="503"/>
    </row>
    <row r="64216" spans="23:23">
      <c r="W64216" s="503"/>
    </row>
    <row r="64217" spans="23:23">
      <c r="W64217" s="503"/>
    </row>
    <row r="64218" spans="23:23">
      <c r="W64218" s="503"/>
    </row>
    <row r="64219" spans="23:23">
      <c r="W64219" s="503"/>
    </row>
    <row r="64220" spans="23:23">
      <c r="W64220" s="503"/>
    </row>
    <row r="64221" spans="23:23">
      <c r="W64221" s="503"/>
    </row>
    <row r="64222" spans="23:23">
      <c r="W64222" s="503"/>
    </row>
    <row r="64223" spans="23:23">
      <c r="W64223" s="503"/>
    </row>
    <row r="64224" spans="23:23">
      <c r="W64224" s="503"/>
    </row>
    <row r="64225" spans="23:23">
      <c r="W64225" s="503"/>
    </row>
    <row r="64226" spans="23:23">
      <c r="W64226" s="503"/>
    </row>
    <row r="64227" spans="23:23">
      <c r="W64227" s="503"/>
    </row>
    <row r="64228" spans="23:23">
      <c r="W64228" s="503"/>
    </row>
    <row r="64229" spans="23:23">
      <c r="W64229" s="503"/>
    </row>
    <row r="64230" spans="23:23">
      <c r="W64230" s="503"/>
    </row>
    <row r="64231" spans="23:23">
      <c r="W64231" s="503"/>
    </row>
    <row r="64232" spans="23:23">
      <c r="W64232" s="503"/>
    </row>
    <row r="64233" spans="23:23">
      <c r="W64233" s="503"/>
    </row>
    <row r="64234" spans="23:23">
      <c r="W64234" s="503"/>
    </row>
    <row r="64235" spans="23:23">
      <c r="W64235" s="503"/>
    </row>
    <row r="64236" spans="23:23">
      <c r="W64236" s="503"/>
    </row>
    <row r="64237" spans="23:23">
      <c r="W64237" s="503"/>
    </row>
    <row r="64238" spans="23:23">
      <c r="W64238" s="503"/>
    </row>
    <row r="64239" spans="23:23">
      <c r="W64239" s="503"/>
    </row>
    <row r="64240" spans="23:23">
      <c r="W64240" s="503"/>
    </row>
    <row r="64241" spans="23:23">
      <c r="W64241" s="503"/>
    </row>
    <row r="64242" spans="23:23">
      <c r="W64242" s="503"/>
    </row>
    <row r="64243" spans="23:23">
      <c r="W64243" s="503"/>
    </row>
    <row r="64244" spans="23:23">
      <c r="W64244" s="503"/>
    </row>
    <row r="64245" spans="23:23">
      <c r="W64245" s="503"/>
    </row>
    <row r="64246" spans="23:23">
      <c r="W64246" s="503"/>
    </row>
    <row r="64247" spans="23:23">
      <c r="W64247" s="503"/>
    </row>
    <row r="64248" spans="23:23">
      <c r="W64248" s="503"/>
    </row>
    <row r="64249" spans="23:23">
      <c r="W64249" s="503"/>
    </row>
    <row r="64250" spans="23:23">
      <c r="W64250" s="503"/>
    </row>
    <row r="64251" spans="23:23">
      <c r="W64251" s="503"/>
    </row>
    <row r="64252" spans="23:23">
      <c r="W64252" s="503"/>
    </row>
    <row r="64253" spans="23:23">
      <c r="W64253" s="503"/>
    </row>
    <row r="64254" spans="23:23">
      <c r="W64254" s="503"/>
    </row>
    <row r="64255" spans="23:23">
      <c r="W64255" s="503"/>
    </row>
    <row r="64256" spans="23:23">
      <c r="W64256" s="503"/>
    </row>
    <row r="64257" spans="23:23">
      <c r="W64257" s="503"/>
    </row>
    <row r="64258" spans="23:23">
      <c r="W64258" s="503"/>
    </row>
    <row r="64259" spans="23:23">
      <c r="W64259" s="503"/>
    </row>
    <row r="64260" spans="23:23">
      <c r="W64260" s="503"/>
    </row>
    <row r="64261" spans="23:23">
      <c r="W64261" s="503"/>
    </row>
    <row r="64262" spans="23:23">
      <c r="W64262" s="503"/>
    </row>
    <row r="64263" spans="23:23">
      <c r="W64263" s="503"/>
    </row>
    <row r="64264" spans="23:23">
      <c r="W64264" s="503"/>
    </row>
    <row r="64265" spans="23:23">
      <c r="W64265" s="503"/>
    </row>
    <row r="64266" spans="23:23">
      <c r="W64266" s="503"/>
    </row>
    <row r="64267" spans="23:23">
      <c r="W64267" s="503"/>
    </row>
    <row r="64268" spans="23:23">
      <c r="W64268" s="503"/>
    </row>
    <row r="64269" spans="23:23">
      <c r="W64269" s="503"/>
    </row>
    <row r="64270" spans="23:23">
      <c r="W64270" s="503"/>
    </row>
    <row r="64271" spans="23:23">
      <c r="W64271" s="503"/>
    </row>
    <row r="64272" spans="23:23">
      <c r="W64272" s="503"/>
    </row>
    <row r="64273" spans="23:23">
      <c r="W64273" s="503"/>
    </row>
    <row r="64274" spans="23:23">
      <c r="W64274" s="503"/>
    </row>
    <row r="64275" spans="23:23">
      <c r="W64275" s="503"/>
    </row>
    <row r="64276" spans="23:23">
      <c r="W64276" s="503"/>
    </row>
    <row r="64277" spans="23:23">
      <c r="W64277" s="503"/>
    </row>
    <row r="64278" spans="23:23">
      <c r="W64278" s="503"/>
    </row>
    <row r="64279" spans="23:23">
      <c r="W64279" s="503"/>
    </row>
    <row r="64280" spans="23:23">
      <c r="W64280" s="503"/>
    </row>
    <row r="64281" spans="23:23">
      <c r="W64281" s="503"/>
    </row>
    <row r="64282" spans="23:23">
      <c r="W64282" s="503"/>
    </row>
    <row r="64283" spans="23:23">
      <c r="W64283" s="503"/>
    </row>
    <row r="64284" spans="23:23">
      <c r="W64284" s="503"/>
    </row>
    <row r="64285" spans="23:23">
      <c r="W64285" s="503"/>
    </row>
    <row r="64286" spans="23:23">
      <c r="W64286" s="503"/>
    </row>
    <row r="64287" spans="23:23">
      <c r="W64287" s="503"/>
    </row>
    <row r="64288" spans="23:23">
      <c r="W64288" s="503"/>
    </row>
    <row r="64289" spans="23:23">
      <c r="W64289" s="503"/>
    </row>
    <row r="64290" spans="23:23">
      <c r="W64290" s="503"/>
    </row>
    <row r="64291" spans="23:23">
      <c r="W64291" s="503"/>
    </row>
    <row r="64292" spans="23:23">
      <c r="W64292" s="503"/>
    </row>
    <row r="64293" spans="23:23">
      <c r="W64293" s="503"/>
    </row>
    <row r="64294" spans="23:23">
      <c r="W64294" s="503"/>
    </row>
    <row r="64295" spans="23:23">
      <c r="W64295" s="503"/>
    </row>
    <row r="64296" spans="23:23">
      <c r="W64296" s="503"/>
    </row>
    <row r="64297" spans="23:23">
      <c r="W64297" s="503"/>
    </row>
    <row r="64298" spans="23:23">
      <c r="W64298" s="503"/>
    </row>
    <row r="64299" spans="23:23">
      <c r="W64299" s="503"/>
    </row>
    <row r="64300" spans="23:23">
      <c r="W64300" s="503"/>
    </row>
    <row r="64301" spans="23:23">
      <c r="W64301" s="503"/>
    </row>
    <row r="64302" spans="23:23">
      <c r="W64302" s="503"/>
    </row>
    <row r="64303" spans="23:23">
      <c r="W64303" s="503"/>
    </row>
    <row r="64304" spans="23:23">
      <c r="W64304" s="503"/>
    </row>
    <row r="64305" spans="23:23">
      <c r="W64305" s="503"/>
    </row>
    <row r="64306" spans="23:23">
      <c r="W64306" s="503"/>
    </row>
    <row r="64307" spans="23:23">
      <c r="W64307" s="503"/>
    </row>
    <row r="64308" spans="23:23">
      <c r="W64308" s="503"/>
    </row>
    <row r="64309" spans="23:23">
      <c r="W64309" s="503"/>
    </row>
    <row r="64310" spans="23:23">
      <c r="W64310" s="503"/>
    </row>
    <row r="64311" spans="23:23">
      <c r="W64311" s="503"/>
    </row>
    <row r="64312" spans="23:23">
      <c r="W64312" s="503"/>
    </row>
    <row r="64313" spans="23:23">
      <c r="W64313" s="503"/>
    </row>
    <row r="64314" spans="23:23">
      <c r="W64314" s="503"/>
    </row>
    <row r="64315" spans="23:23">
      <c r="W64315" s="503"/>
    </row>
    <row r="64316" spans="23:23">
      <c r="W64316" s="503"/>
    </row>
    <row r="64317" spans="23:23">
      <c r="W64317" s="503"/>
    </row>
    <row r="64318" spans="23:23">
      <c r="W64318" s="503"/>
    </row>
    <row r="64319" spans="23:23">
      <c r="W64319" s="503"/>
    </row>
    <row r="64320" spans="23:23">
      <c r="W64320" s="503"/>
    </row>
    <row r="64321" spans="23:23">
      <c r="W64321" s="503"/>
    </row>
    <row r="64322" spans="23:23">
      <c r="W64322" s="503"/>
    </row>
    <row r="64323" spans="23:23">
      <c r="W64323" s="503"/>
    </row>
    <row r="64324" spans="23:23">
      <c r="W64324" s="503"/>
    </row>
    <row r="64325" spans="23:23">
      <c r="W64325" s="503"/>
    </row>
    <row r="64326" spans="23:23">
      <c r="W64326" s="503"/>
    </row>
    <row r="64327" spans="23:23">
      <c r="W64327" s="503"/>
    </row>
    <row r="64328" spans="23:23">
      <c r="W64328" s="503"/>
    </row>
    <row r="64329" spans="23:23">
      <c r="W64329" s="503"/>
    </row>
    <row r="64330" spans="23:23">
      <c r="W64330" s="503"/>
    </row>
    <row r="64331" spans="23:23">
      <c r="W64331" s="503"/>
    </row>
    <row r="64332" spans="23:23">
      <c r="W64332" s="503"/>
    </row>
    <row r="64333" spans="23:23">
      <c r="W64333" s="503"/>
    </row>
    <row r="64334" spans="23:23">
      <c r="W64334" s="503"/>
    </row>
    <row r="64335" spans="23:23">
      <c r="W64335" s="503"/>
    </row>
    <row r="64336" spans="23:23">
      <c r="W64336" s="503"/>
    </row>
    <row r="64337" spans="23:23">
      <c r="W64337" s="503"/>
    </row>
    <row r="64338" spans="23:23">
      <c r="W64338" s="503"/>
    </row>
    <row r="64339" spans="23:23">
      <c r="W64339" s="503"/>
    </row>
    <row r="64340" spans="23:23">
      <c r="W64340" s="503"/>
    </row>
    <row r="64341" spans="23:23">
      <c r="W64341" s="503"/>
    </row>
    <row r="64342" spans="23:23">
      <c r="W64342" s="503"/>
    </row>
    <row r="64343" spans="23:23">
      <c r="W64343" s="503"/>
    </row>
    <row r="64344" spans="23:23">
      <c r="W64344" s="503"/>
    </row>
    <row r="64345" spans="23:23">
      <c r="W64345" s="503"/>
    </row>
    <row r="64346" spans="23:23">
      <c r="W64346" s="503"/>
    </row>
    <row r="64347" spans="23:23">
      <c r="W64347" s="503"/>
    </row>
    <row r="64348" spans="23:23">
      <c r="W64348" s="503"/>
    </row>
    <row r="64349" spans="23:23">
      <c r="W64349" s="503"/>
    </row>
    <row r="64350" spans="23:23">
      <c r="W64350" s="503"/>
    </row>
    <row r="64351" spans="23:23">
      <c r="W64351" s="503"/>
    </row>
    <row r="64352" spans="23:23">
      <c r="W64352" s="503"/>
    </row>
    <row r="64353" spans="23:23">
      <c r="W64353" s="503"/>
    </row>
    <row r="64354" spans="23:23">
      <c r="W64354" s="503"/>
    </row>
    <row r="64355" spans="23:23">
      <c r="W64355" s="503"/>
    </row>
    <row r="64356" spans="23:23">
      <c r="W64356" s="503"/>
    </row>
    <row r="64357" spans="23:23">
      <c r="W64357" s="503"/>
    </row>
    <row r="64358" spans="23:23">
      <c r="W64358" s="503"/>
    </row>
    <row r="64359" spans="23:23">
      <c r="W64359" s="503"/>
    </row>
    <row r="64360" spans="23:23">
      <c r="W64360" s="503"/>
    </row>
    <row r="64361" spans="23:23">
      <c r="W64361" s="503"/>
    </row>
    <row r="64362" spans="23:23">
      <c r="W64362" s="503"/>
    </row>
    <row r="64363" spans="23:23">
      <c r="W64363" s="503"/>
    </row>
    <row r="64364" spans="23:23">
      <c r="W64364" s="503"/>
    </row>
    <row r="64365" spans="23:23">
      <c r="W64365" s="503"/>
    </row>
    <row r="64366" spans="23:23">
      <c r="W64366" s="503"/>
    </row>
    <row r="64367" spans="23:23">
      <c r="W64367" s="503"/>
    </row>
    <row r="64368" spans="23:23">
      <c r="W64368" s="503"/>
    </row>
    <row r="64369" spans="23:23">
      <c r="W64369" s="503"/>
    </row>
    <row r="64370" spans="23:23">
      <c r="W64370" s="503"/>
    </row>
    <row r="64371" spans="23:23">
      <c r="W64371" s="503"/>
    </row>
    <row r="64372" spans="23:23">
      <c r="W64372" s="503"/>
    </row>
    <row r="64373" spans="23:23">
      <c r="W64373" s="503"/>
    </row>
    <row r="64374" spans="23:23">
      <c r="W64374" s="503"/>
    </row>
    <row r="64375" spans="23:23">
      <c r="W64375" s="503"/>
    </row>
    <row r="64376" spans="23:23">
      <c r="W64376" s="503"/>
    </row>
    <row r="64377" spans="23:23">
      <c r="W64377" s="503"/>
    </row>
    <row r="64378" spans="23:23">
      <c r="W64378" s="503"/>
    </row>
    <row r="64379" spans="23:23">
      <c r="W64379" s="503"/>
    </row>
    <row r="64380" spans="23:23">
      <c r="W64380" s="503"/>
    </row>
    <row r="64381" spans="23:23">
      <c r="W64381" s="503"/>
    </row>
    <row r="64382" spans="23:23">
      <c r="W64382" s="503"/>
    </row>
    <row r="64383" spans="23:23">
      <c r="W64383" s="503"/>
    </row>
    <row r="64384" spans="23:23">
      <c r="W64384" s="503"/>
    </row>
    <row r="64385" spans="23:23">
      <c r="W64385" s="503"/>
    </row>
    <row r="64386" spans="23:23">
      <c r="W64386" s="503"/>
    </row>
    <row r="64387" spans="23:23">
      <c r="W64387" s="503"/>
    </row>
    <row r="64388" spans="23:23">
      <c r="W64388" s="503"/>
    </row>
    <row r="64389" spans="23:23">
      <c r="W64389" s="503"/>
    </row>
    <row r="64390" spans="23:23">
      <c r="W64390" s="503"/>
    </row>
    <row r="64391" spans="23:23">
      <c r="W64391" s="503"/>
    </row>
    <row r="64392" spans="23:23">
      <c r="W64392" s="503"/>
    </row>
    <row r="64393" spans="23:23">
      <c r="W64393" s="503"/>
    </row>
    <row r="64394" spans="23:23">
      <c r="W64394" s="503"/>
    </row>
    <row r="64395" spans="23:23">
      <c r="W64395" s="503"/>
    </row>
    <row r="64396" spans="23:23">
      <c r="W64396" s="503"/>
    </row>
    <row r="64397" spans="23:23">
      <c r="W64397" s="503"/>
    </row>
    <row r="64398" spans="23:23">
      <c r="W64398" s="503"/>
    </row>
    <row r="64399" spans="23:23">
      <c r="W64399" s="503"/>
    </row>
    <row r="64400" spans="23:23">
      <c r="W64400" s="503"/>
    </row>
    <row r="64401" spans="23:23">
      <c r="W64401" s="503"/>
    </row>
    <row r="64402" spans="23:23">
      <c r="W64402" s="503"/>
    </row>
    <row r="64403" spans="23:23">
      <c r="W64403" s="503"/>
    </row>
    <row r="64404" spans="23:23">
      <c r="W64404" s="503"/>
    </row>
    <row r="64405" spans="23:23">
      <c r="W64405" s="503"/>
    </row>
    <row r="64406" spans="23:23">
      <c r="W64406" s="503"/>
    </row>
    <row r="64407" spans="23:23">
      <c r="W64407" s="503"/>
    </row>
    <row r="64408" spans="23:23">
      <c r="W64408" s="503"/>
    </row>
    <row r="64409" spans="23:23">
      <c r="W64409" s="503"/>
    </row>
    <row r="64410" spans="23:23">
      <c r="W64410" s="503"/>
    </row>
    <row r="64411" spans="23:23">
      <c r="W64411" s="503"/>
    </row>
    <row r="64412" spans="23:23">
      <c r="W64412" s="503"/>
    </row>
    <row r="64413" spans="23:23">
      <c r="W64413" s="503"/>
    </row>
    <row r="64414" spans="23:23">
      <c r="W64414" s="503"/>
    </row>
    <row r="64415" spans="23:23">
      <c r="W64415" s="503"/>
    </row>
    <row r="64416" spans="23:23">
      <c r="W64416" s="503"/>
    </row>
    <row r="64417" spans="23:23">
      <c r="W64417" s="503"/>
    </row>
    <row r="64418" spans="23:23">
      <c r="W64418" s="503"/>
    </row>
    <row r="64419" spans="23:23">
      <c r="W64419" s="503"/>
    </row>
    <row r="64420" spans="23:23">
      <c r="W64420" s="503"/>
    </row>
    <row r="64421" spans="23:23">
      <c r="W64421" s="503"/>
    </row>
    <row r="64422" spans="23:23">
      <c r="W64422" s="503"/>
    </row>
    <row r="64423" spans="23:23">
      <c r="W64423" s="503"/>
    </row>
    <row r="64424" spans="23:23">
      <c r="W64424" s="503"/>
    </row>
    <row r="64425" spans="23:23">
      <c r="W64425" s="503"/>
    </row>
    <row r="64426" spans="23:23">
      <c r="W64426" s="503"/>
    </row>
    <row r="64427" spans="23:23">
      <c r="W64427" s="503"/>
    </row>
    <row r="64428" spans="23:23">
      <c r="W64428" s="503"/>
    </row>
    <row r="64429" spans="23:23">
      <c r="W64429" s="503"/>
    </row>
    <row r="64430" spans="23:23">
      <c r="W64430" s="503"/>
    </row>
    <row r="64431" spans="23:23">
      <c r="W64431" s="503"/>
    </row>
    <row r="64432" spans="23:23">
      <c r="W64432" s="503"/>
    </row>
    <row r="64433" spans="23:23">
      <c r="W64433" s="503"/>
    </row>
    <row r="64434" spans="23:23">
      <c r="W64434" s="503"/>
    </row>
    <row r="64435" spans="23:23">
      <c r="W64435" s="503"/>
    </row>
    <row r="64436" spans="23:23">
      <c r="W64436" s="503"/>
    </row>
    <row r="64437" spans="23:23">
      <c r="W64437" s="503"/>
    </row>
    <row r="64438" spans="23:23">
      <c r="W64438" s="503"/>
    </row>
    <row r="64439" spans="23:23">
      <c r="W64439" s="503"/>
    </row>
    <row r="64440" spans="23:23">
      <c r="W64440" s="503"/>
    </row>
    <row r="64441" spans="23:23">
      <c r="W64441" s="503"/>
    </row>
    <row r="64442" spans="23:23">
      <c r="W64442" s="503"/>
    </row>
    <row r="64443" spans="23:23">
      <c r="W64443" s="503"/>
    </row>
    <row r="64444" spans="23:23">
      <c r="W64444" s="503"/>
    </row>
    <row r="64445" spans="23:23">
      <c r="W64445" s="503"/>
    </row>
    <row r="64446" spans="23:23">
      <c r="W64446" s="503"/>
    </row>
    <row r="64447" spans="23:23">
      <c r="W64447" s="503"/>
    </row>
    <row r="64448" spans="23:23">
      <c r="W64448" s="503"/>
    </row>
    <row r="64449" spans="23:23">
      <c r="W64449" s="503"/>
    </row>
    <row r="64450" spans="23:23">
      <c r="W64450" s="503"/>
    </row>
    <row r="64451" spans="23:23">
      <c r="W64451" s="503"/>
    </row>
    <row r="64452" spans="23:23">
      <c r="W64452" s="503"/>
    </row>
    <row r="64453" spans="23:23">
      <c r="W64453" s="503"/>
    </row>
    <row r="64454" spans="23:23">
      <c r="W64454" s="503"/>
    </row>
    <row r="64455" spans="23:23">
      <c r="W64455" s="503"/>
    </row>
    <row r="64456" spans="23:23">
      <c r="W64456" s="503"/>
    </row>
    <row r="64457" spans="23:23">
      <c r="W64457" s="503"/>
    </row>
    <row r="64458" spans="23:23">
      <c r="W64458" s="503"/>
    </row>
    <row r="64459" spans="23:23">
      <c r="W64459" s="503"/>
    </row>
    <row r="64460" spans="23:23">
      <c r="W64460" s="503"/>
    </row>
    <row r="64461" spans="23:23">
      <c r="W64461" s="503"/>
    </row>
    <row r="64462" spans="23:23">
      <c r="W64462" s="503"/>
    </row>
    <row r="64463" spans="23:23">
      <c r="W64463" s="503"/>
    </row>
    <row r="64464" spans="23:23">
      <c r="W64464" s="503"/>
    </row>
    <row r="64465" spans="23:23">
      <c r="W64465" s="503"/>
    </row>
    <row r="64466" spans="23:23">
      <c r="W64466" s="503"/>
    </row>
    <row r="64467" spans="23:23">
      <c r="W64467" s="503"/>
    </row>
    <row r="64468" spans="23:23">
      <c r="W64468" s="503"/>
    </row>
    <row r="64469" spans="23:23">
      <c r="W64469" s="503"/>
    </row>
    <row r="64470" spans="23:23">
      <c r="W64470" s="503"/>
    </row>
    <row r="64471" spans="23:23">
      <c r="W64471" s="503"/>
    </row>
    <row r="64472" spans="23:23">
      <c r="W64472" s="503"/>
    </row>
    <row r="64473" spans="23:23">
      <c r="W64473" s="503"/>
    </row>
    <row r="64474" spans="23:23">
      <c r="W64474" s="503"/>
    </row>
    <row r="64475" spans="23:23">
      <c r="W64475" s="503"/>
    </row>
    <row r="64476" spans="23:23">
      <c r="W64476" s="503"/>
    </row>
    <row r="64477" spans="23:23">
      <c r="W64477" s="503"/>
    </row>
    <row r="64478" spans="23:23">
      <c r="W64478" s="503"/>
    </row>
    <row r="64479" spans="23:23">
      <c r="W64479" s="503"/>
    </row>
    <row r="64480" spans="23:23">
      <c r="W64480" s="503"/>
    </row>
    <row r="64481" spans="23:23">
      <c r="W64481" s="503"/>
    </row>
    <row r="64482" spans="23:23">
      <c r="W64482" s="503"/>
    </row>
    <row r="64483" spans="23:23">
      <c r="W64483" s="503"/>
    </row>
    <row r="64484" spans="23:23">
      <c r="W64484" s="503"/>
    </row>
    <row r="64485" spans="23:23">
      <c r="W64485" s="503"/>
    </row>
    <row r="64486" spans="23:23">
      <c r="W64486" s="503"/>
    </row>
    <row r="64487" spans="23:23">
      <c r="W64487" s="503"/>
    </row>
    <row r="64488" spans="23:23">
      <c r="W64488" s="503"/>
    </row>
    <row r="64489" spans="23:23">
      <c r="W64489" s="503"/>
    </row>
    <row r="64490" spans="23:23">
      <c r="W64490" s="503"/>
    </row>
    <row r="64491" spans="23:23">
      <c r="W64491" s="503"/>
    </row>
    <row r="64492" spans="23:23">
      <c r="W64492" s="503"/>
    </row>
    <row r="64493" spans="23:23">
      <c r="W64493" s="503"/>
    </row>
    <row r="64494" spans="23:23">
      <c r="W64494" s="503"/>
    </row>
    <row r="64495" spans="23:23">
      <c r="W64495" s="503"/>
    </row>
    <row r="64496" spans="23:23">
      <c r="W64496" s="503"/>
    </row>
    <row r="64497" spans="23:23">
      <c r="W64497" s="503"/>
    </row>
    <row r="64498" spans="23:23">
      <c r="W64498" s="503"/>
    </row>
    <row r="64499" spans="23:23">
      <c r="W64499" s="503"/>
    </row>
    <row r="64500" spans="23:23">
      <c r="W64500" s="503"/>
    </row>
    <row r="64501" spans="23:23">
      <c r="W64501" s="503"/>
    </row>
    <row r="64502" spans="23:23">
      <c r="W64502" s="503"/>
    </row>
    <row r="64503" spans="23:23">
      <c r="W64503" s="503"/>
    </row>
    <row r="64504" spans="23:23">
      <c r="W64504" s="503"/>
    </row>
    <row r="64505" spans="23:23">
      <c r="W64505" s="503"/>
    </row>
    <row r="64506" spans="23:23">
      <c r="W64506" s="503"/>
    </row>
    <row r="64507" spans="23:23">
      <c r="W64507" s="503"/>
    </row>
    <row r="64508" spans="23:23">
      <c r="W64508" s="503"/>
    </row>
    <row r="64509" spans="23:23">
      <c r="W64509" s="503"/>
    </row>
    <row r="64510" spans="23:23">
      <c r="W64510" s="503"/>
    </row>
    <row r="64511" spans="23:23">
      <c r="W64511" s="503"/>
    </row>
    <row r="64512" spans="23:23">
      <c r="W64512" s="503"/>
    </row>
    <row r="64513" spans="23:23">
      <c r="W64513" s="503"/>
    </row>
    <row r="64514" spans="23:23">
      <c r="W64514" s="503"/>
    </row>
    <row r="64515" spans="23:23">
      <c r="W64515" s="503"/>
    </row>
    <row r="64516" spans="23:23">
      <c r="W64516" s="503"/>
    </row>
    <row r="64517" spans="23:23">
      <c r="W64517" s="503"/>
    </row>
    <row r="64518" spans="23:23">
      <c r="W64518" s="503"/>
    </row>
    <row r="64519" spans="23:23">
      <c r="W64519" s="503"/>
    </row>
    <row r="64520" spans="23:23">
      <c r="W64520" s="503"/>
    </row>
    <row r="64521" spans="23:23">
      <c r="W64521" s="503"/>
    </row>
    <row r="64522" spans="23:23">
      <c r="W64522" s="503"/>
    </row>
    <row r="64523" spans="23:23">
      <c r="W64523" s="503"/>
    </row>
    <row r="64524" spans="23:23">
      <c r="W64524" s="503"/>
    </row>
    <row r="64525" spans="23:23">
      <c r="W64525" s="503"/>
    </row>
    <row r="64526" spans="23:23">
      <c r="W64526" s="503"/>
    </row>
    <row r="64527" spans="23:23">
      <c r="W64527" s="503"/>
    </row>
    <row r="64528" spans="23:23">
      <c r="W64528" s="503"/>
    </row>
    <row r="64529" spans="23:23">
      <c r="W64529" s="503"/>
    </row>
    <row r="64530" spans="23:23">
      <c r="W64530" s="503"/>
    </row>
    <row r="64531" spans="23:23">
      <c r="W64531" s="503"/>
    </row>
    <row r="64532" spans="23:23">
      <c r="W64532" s="503"/>
    </row>
    <row r="64533" spans="23:23">
      <c r="W64533" s="503"/>
    </row>
    <row r="64534" spans="23:23">
      <c r="W64534" s="503"/>
    </row>
    <row r="64535" spans="23:23">
      <c r="W64535" s="503"/>
    </row>
    <row r="64536" spans="23:23">
      <c r="W64536" s="503"/>
    </row>
    <row r="64537" spans="23:23">
      <c r="W64537" s="503"/>
    </row>
    <row r="64538" spans="23:23">
      <c r="W64538" s="503"/>
    </row>
    <row r="64539" spans="23:23">
      <c r="W64539" s="503"/>
    </row>
    <row r="64540" spans="23:23">
      <c r="W64540" s="503"/>
    </row>
    <row r="64541" spans="23:23">
      <c r="W64541" s="503"/>
    </row>
    <row r="64542" spans="23:23">
      <c r="W64542" s="503"/>
    </row>
    <row r="64543" spans="23:23">
      <c r="W64543" s="503"/>
    </row>
    <row r="64544" spans="23:23">
      <c r="W64544" s="503"/>
    </row>
    <row r="64545" spans="23:23">
      <c r="W64545" s="503"/>
    </row>
    <row r="64546" spans="23:23">
      <c r="W64546" s="503"/>
    </row>
    <row r="64547" spans="23:23">
      <c r="W64547" s="503"/>
    </row>
    <row r="64548" spans="23:23">
      <c r="W64548" s="503"/>
    </row>
    <row r="64549" spans="23:23">
      <c r="W64549" s="503"/>
    </row>
    <row r="64550" spans="23:23">
      <c r="W64550" s="503"/>
    </row>
    <row r="64551" spans="23:23">
      <c r="W64551" s="503"/>
    </row>
    <row r="64552" spans="23:23">
      <c r="W64552" s="503"/>
    </row>
    <row r="64553" spans="23:23">
      <c r="W64553" s="503"/>
    </row>
    <row r="64554" spans="23:23">
      <c r="W64554" s="503"/>
    </row>
    <row r="64555" spans="23:23">
      <c r="W64555" s="503"/>
    </row>
    <row r="64556" spans="23:23">
      <c r="W64556" s="503"/>
    </row>
    <row r="64557" spans="23:23">
      <c r="W64557" s="503"/>
    </row>
    <row r="64558" spans="23:23">
      <c r="W64558" s="503"/>
    </row>
    <row r="64559" spans="23:23">
      <c r="W64559" s="503"/>
    </row>
    <row r="64560" spans="23:23">
      <c r="W64560" s="503"/>
    </row>
    <row r="64561" spans="23:23">
      <c r="W64561" s="503"/>
    </row>
    <row r="64562" spans="23:23">
      <c r="W64562" s="503"/>
    </row>
    <row r="64563" spans="23:23">
      <c r="W64563" s="503"/>
    </row>
    <row r="64564" spans="23:23">
      <c r="W64564" s="503"/>
    </row>
    <row r="64565" spans="23:23">
      <c r="W64565" s="503"/>
    </row>
    <row r="64566" spans="23:23">
      <c r="W64566" s="503"/>
    </row>
    <row r="64567" spans="23:23">
      <c r="W64567" s="503"/>
    </row>
    <row r="64568" spans="23:23">
      <c r="W64568" s="503"/>
    </row>
    <row r="64569" spans="23:23">
      <c r="W64569" s="503"/>
    </row>
    <row r="64570" spans="23:23">
      <c r="W64570" s="503"/>
    </row>
    <row r="64571" spans="23:23">
      <c r="W64571" s="503"/>
    </row>
    <row r="64572" spans="23:23">
      <c r="W64572" s="503"/>
    </row>
    <row r="64573" spans="23:23">
      <c r="W64573" s="503"/>
    </row>
    <row r="64574" spans="23:23">
      <c r="W64574" s="503"/>
    </row>
    <row r="64575" spans="23:23">
      <c r="W64575" s="503"/>
    </row>
    <row r="64576" spans="23:23">
      <c r="W64576" s="503"/>
    </row>
    <row r="64577" spans="23:23">
      <c r="W64577" s="503"/>
    </row>
    <row r="64578" spans="23:23">
      <c r="W64578" s="503"/>
    </row>
    <row r="64579" spans="23:23">
      <c r="W64579" s="503"/>
    </row>
    <row r="64580" spans="23:23">
      <c r="W64580" s="503"/>
    </row>
    <row r="64581" spans="23:23">
      <c r="W64581" s="503"/>
    </row>
    <row r="64582" spans="23:23">
      <c r="W64582" s="503"/>
    </row>
    <row r="64583" spans="23:23">
      <c r="W64583" s="503"/>
    </row>
    <row r="64584" spans="23:23">
      <c r="W64584" s="503"/>
    </row>
    <row r="64585" spans="23:23">
      <c r="W64585" s="503"/>
    </row>
    <row r="64586" spans="23:23">
      <c r="W64586" s="503"/>
    </row>
    <row r="64587" spans="23:23">
      <c r="W64587" s="503"/>
    </row>
    <row r="64588" spans="23:23">
      <c r="W64588" s="503"/>
    </row>
    <row r="64589" spans="23:23">
      <c r="W64589" s="503"/>
    </row>
    <row r="64590" spans="23:23">
      <c r="W64590" s="503"/>
    </row>
    <row r="64591" spans="23:23">
      <c r="W64591" s="503"/>
    </row>
    <row r="64592" spans="23:23">
      <c r="W64592" s="503"/>
    </row>
    <row r="64593" spans="23:23">
      <c r="W64593" s="503"/>
    </row>
    <row r="64594" spans="23:23">
      <c r="W64594" s="503"/>
    </row>
    <row r="64595" spans="23:23">
      <c r="W64595" s="503"/>
    </row>
    <row r="64596" spans="23:23">
      <c r="W64596" s="503"/>
    </row>
    <row r="64597" spans="23:23">
      <c r="W64597" s="503"/>
    </row>
    <row r="64598" spans="23:23">
      <c r="W64598" s="503"/>
    </row>
    <row r="64599" spans="23:23">
      <c r="W64599" s="503"/>
    </row>
    <row r="64600" spans="23:23">
      <c r="W64600" s="503"/>
    </row>
    <row r="64601" spans="23:23">
      <c r="W64601" s="503"/>
    </row>
    <row r="64602" spans="23:23">
      <c r="W64602" s="503"/>
    </row>
    <row r="64603" spans="23:23">
      <c r="W64603" s="503"/>
    </row>
    <row r="64604" spans="23:23">
      <c r="W64604" s="503"/>
    </row>
    <row r="64605" spans="23:23">
      <c r="W64605" s="503"/>
    </row>
    <row r="64606" spans="23:23">
      <c r="W64606" s="503"/>
    </row>
    <row r="64607" spans="23:23">
      <c r="W64607" s="503"/>
    </row>
    <row r="64608" spans="23:23">
      <c r="W64608" s="503"/>
    </row>
    <row r="64609" spans="23:23">
      <c r="W64609" s="503"/>
    </row>
    <row r="64610" spans="23:23">
      <c r="W64610" s="503"/>
    </row>
    <row r="64611" spans="23:23">
      <c r="W64611" s="503"/>
    </row>
    <row r="64612" spans="23:23">
      <c r="W64612" s="503"/>
    </row>
    <row r="64613" spans="23:23">
      <c r="W64613" s="503"/>
    </row>
    <row r="64614" spans="23:23">
      <c r="W64614" s="503"/>
    </row>
    <row r="64615" spans="23:23">
      <c r="W64615" s="503"/>
    </row>
    <row r="64616" spans="23:23">
      <c r="W64616" s="503"/>
    </row>
    <row r="64617" spans="23:23">
      <c r="W64617" s="503"/>
    </row>
    <row r="64618" spans="23:23">
      <c r="W64618" s="503"/>
    </row>
    <row r="64619" spans="23:23">
      <c r="W64619" s="503"/>
    </row>
    <row r="64620" spans="23:23">
      <c r="W64620" s="503"/>
    </row>
    <row r="64621" spans="23:23">
      <c r="W64621" s="503"/>
    </row>
    <row r="64622" spans="23:23">
      <c r="W64622" s="503"/>
    </row>
    <row r="64623" spans="23:23">
      <c r="W64623" s="503"/>
    </row>
    <row r="64624" spans="23:23">
      <c r="W64624" s="503"/>
    </row>
    <row r="64625" spans="23:23">
      <c r="W64625" s="503"/>
    </row>
    <row r="64626" spans="23:23">
      <c r="W64626" s="503"/>
    </row>
    <row r="64627" spans="23:23">
      <c r="W64627" s="503"/>
    </row>
    <row r="64628" spans="23:23">
      <c r="W64628" s="503"/>
    </row>
    <row r="64629" spans="23:23">
      <c r="W64629" s="503"/>
    </row>
    <row r="64630" spans="23:23">
      <c r="W64630" s="503"/>
    </row>
    <row r="64631" spans="23:23">
      <c r="W64631" s="503"/>
    </row>
    <row r="64632" spans="23:23">
      <c r="W64632" s="503"/>
    </row>
    <row r="64633" spans="23:23">
      <c r="W64633" s="503"/>
    </row>
    <row r="64634" spans="23:23">
      <c r="W64634" s="503"/>
    </row>
    <row r="64635" spans="23:23">
      <c r="W64635" s="503"/>
    </row>
    <row r="64636" spans="23:23">
      <c r="W64636" s="503"/>
    </row>
    <row r="64637" spans="23:23">
      <c r="W64637" s="503"/>
    </row>
    <row r="64638" spans="23:23">
      <c r="W64638" s="503"/>
    </row>
    <row r="64639" spans="23:23">
      <c r="W64639" s="503"/>
    </row>
    <row r="64640" spans="23:23">
      <c r="W64640" s="503"/>
    </row>
    <row r="64641" spans="23:23">
      <c r="W64641" s="503"/>
    </row>
    <row r="64642" spans="23:23">
      <c r="W64642" s="503"/>
    </row>
    <row r="64643" spans="23:23">
      <c r="W64643" s="503"/>
    </row>
    <row r="64644" spans="23:23">
      <c r="W64644" s="503"/>
    </row>
    <row r="64645" spans="23:23">
      <c r="W64645" s="503"/>
    </row>
    <row r="64646" spans="23:23">
      <c r="W64646" s="503"/>
    </row>
    <row r="64647" spans="23:23">
      <c r="W64647" s="503"/>
    </row>
    <row r="64648" spans="23:23">
      <c r="W64648" s="503"/>
    </row>
    <row r="64649" spans="23:23">
      <c r="W64649" s="503"/>
    </row>
    <row r="64650" spans="23:23">
      <c r="W64650" s="503"/>
    </row>
    <row r="64651" spans="23:23">
      <c r="W64651" s="503"/>
    </row>
    <row r="64652" spans="23:23">
      <c r="W64652" s="503"/>
    </row>
    <row r="64653" spans="23:23">
      <c r="W64653" s="503"/>
    </row>
    <row r="64654" spans="23:23">
      <c r="W64654" s="503"/>
    </row>
    <row r="64655" spans="23:23">
      <c r="W64655" s="503"/>
    </row>
    <row r="64656" spans="23:23">
      <c r="W64656" s="503"/>
    </row>
    <row r="64657" spans="23:23">
      <c r="W64657" s="503"/>
    </row>
    <row r="64658" spans="23:23">
      <c r="W64658" s="503"/>
    </row>
    <row r="64659" spans="23:23">
      <c r="W64659" s="503"/>
    </row>
    <row r="64660" spans="23:23">
      <c r="W64660" s="503"/>
    </row>
    <row r="64661" spans="23:23">
      <c r="W64661" s="503"/>
    </row>
    <row r="64662" spans="23:23">
      <c r="W64662" s="503"/>
    </row>
    <row r="64663" spans="23:23">
      <c r="W64663" s="503"/>
    </row>
    <row r="64664" spans="23:23">
      <c r="W64664" s="503"/>
    </row>
    <row r="64665" spans="23:23">
      <c r="W64665" s="503"/>
    </row>
    <row r="64666" spans="23:23">
      <c r="W64666" s="503"/>
    </row>
    <row r="64667" spans="23:23">
      <c r="W64667" s="503"/>
    </row>
    <row r="64668" spans="23:23">
      <c r="W64668" s="503"/>
    </row>
    <row r="64669" spans="23:23">
      <c r="W64669" s="503"/>
    </row>
    <row r="64670" spans="23:23">
      <c r="W64670" s="503"/>
    </row>
    <row r="64671" spans="23:23">
      <c r="W64671" s="503"/>
    </row>
    <row r="64672" spans="23:23">
      <c r="W64672" s="503"/>
    </row>
    <row r="64673" spans="23:23">
      <c r="W64673" s="503"/>
    </row>
    <row r="64674" spans="23:23">
      <c r="W64674" s="503"/>
    </row>
    <row r="64675" spans="23:23">
      <c r="W64675" s="503"/>
    </row>
    <row r="64676" spans="23:23">
      <c r="W64676" s="503"/>
    </row>
    <row r="64677" spans="23:23">
      <c r="W64677" s="503"/>
    </row>
    <row r="64678" spans="23:23">
      <c r="W64678" s="503"/>
    </row>
    <row r="64679" spans="23:23">
      <c r="W64679" s="503"/>
    </row>
    <row r="64680" spans="23:23">
      <c r="W64680" s="503"/>
    </row>
    <row r="64681" spans="23:23">
      <c r="W64681" s="503"/>
    </row>
    <row r="64682" spans="23:23">
      <c r="W64682" s="503"/>
    </row>
    <row r="64683" spans="23:23">
      <c r="W64683" s="503"/>
    </row>
    <row r="64684" spans="23:23">
      <c r="W64684" s="503"/>
    </row>
    <row r="64685" spans="23:23">
      <c r="W64685" s="503"/>
    </row>
    <row r="64686" spans="23:23">
      <c r="W64686" s="503"/>
    </row>
    <row r="64687" spans="23:23">
      <c r="W64687" s="503"/>
    </row>
    <row r="64688" spans="23:23">
      <c r="W64688" s="503"/>
    </row>
    <row r="64689" spans="23:23">
      <c r="W64689" s="503"/>
    </row>
    <row r="64690" spans="23:23">
      <c r="W64690" s="503"/>
    </row>
    <row r="64691" spans="23:23">
      <c r="W64691" s="503"/>
    </row>
    <row r="64692" spans="23:23">
      <c r="W64692" s="503"/>
    </row>
    <row r="64693" spans="23:23">
      <c r="W64693" s="503"/>
    </row>
    <row r="64694" spans="23:23">
      <c r="W64694" s="503"/>
    </row>
    <row r="64695" spans="23:23">
      <c r="W64695" s="503"/>
    </row>
    <row r="64696" spans="23:23">
      <c r="W64696" s="503"/>
    </row>
    <row r="64697" spans="23:23">
      <c r="W64697" s="503"/>
    </row>
    <row r="64698" spans="23:23">
      <c r="W64698" s="503"/>
    </row>
    <row r="64699" spans="23:23">
      <c r="W64699" s="503"/>
    </row>
    <row r="64700" spans="23:23">
      <c r="W64700" s="503"/>
    </row>
    <row r="64701" spans="23:23">
      <c r="W64701" s="503"/>
    </row>
    <row r="64702" spans="23:23">
      <c r="W64702" s="503"/>
    </row>
    <row r="64703" spans="23:23">
      <c r="W64703" s="503"/>
    </row>
    <row r="64704" spans="23:23">
      <c r="W64704" s="503"/>
    </row>
    <row r="64705" spans="23:23">
      <c r="W64705" s="503"/>
    </row>
    <row r="64706" spans="23:23">
      <c r="W64706" s="503"/>
    </row>
    <row r="64707" spans="23:23">
      <c r="W64707" s="503"/>
    </row>
    <row r="64708" spans="23:23">
      <c r="W64708" s="503"/>
    </row>
    <row r="64709" spans="23:23">
      <c r="W64709" s="503"/>
    </row>
    <row r="64710" spans="23:23">
      <c r="W64710" s="503"/>
    </row>
    <row r="64711" spans="23:23">
      <c r="W64711" s="503"/>
    </row>
    <row r="64712" spans="23:23">
      <c r="W64712" s="503"/>
    </row>
    <row r="64713" spans="23:23">
      <c r="W64713" s="503"/>
    </row>
    <row r="64714" spans="23:23">
      <c r="W64714" s="503"/>
    </row>
    <row r="64715" spans="23:23">
      <c r="W64715" s="503"/>
    </row>
    <row r="64716" spans="23:23">
      <c r="W64716" s="503"/>
    </row>
    <row r="64717" spans="23:23">
      <c r="W64717" s="503"/>
    </row>
    <row r="64718" spans="23:23">
      <c r="W64718" s="503"/>
    </row>
    <row r="64719" spans="23:23">
      <c r="W64719" s="503"/>
    </row>
    <row r="64720" spans="23:23">
      <c r="W64720" s="503"/>
    </row>
    <row r="64721" spans="23:23">
      <c r="W64721" s="503"/>
    </row>
    <row r="64722" spans="23:23">
      <c r="W64722" s="503"/>
    </row>
    <row r="64723" spans="23:23">
      <c r="W64723" s="503"/>
    </row>
    <row r="64724" spans="23:23">
      <c r="W64724" s="503"/>
    </row>
    <row r="64725" spans="23:23">
      <c r="W64725" s="503"/>
    </row>
    <row r="64726" spans="23:23">
      <c r="W64726" s="503"/>
    </row>
    <row r="64727" spans="23:23">
      <c r="W64727" s="503"/>
    </row>
    <row r="64728" spans="23:23">
      <c r="W64728" s="503"/>
    </row>
    <row r="64729" spans="23:23">
      <c r="W64729" s="503"/>
    </row>
    <row r="64730" spans="23:23">
      <c r="W64730" s="503"/>
    </row>
    <row r="64731" spans="23:23">
      <c r="W64731" s="503"/>
    </row>
    <row r="64732" spans="23:23">
      <c r="W64732" s="503"/>
    </row>
    <row r="64733" spans="23:23">
      <c r="W64733" s="503"/>
    </row>
    <row r="64734" spans="23:23">
      <c r="W64734" s="503"/>
    </row>
    <row r="64735" spans="23:23">
      <c r="W64735" s="503"/>
    </row>
    <row r="64736" spans="23:23">
      <c r="W64736" s="503"/>
    </row>
    <row r="64737" spans="23:23">
      <c r="W64737" s="503"/>
    </row>
    <row r="64738" spans="23:23">
      <c r="W64738" s="503"/>
    </row>
    <row r="64739" spans="23:23">
      <c r="W64739" s="503"/>
    </row>
    <row r="64740" spans="23:23">
      <c r="W64740" s="503"/>
    </row>
    <row r="64741" spans="23:23">
      <c r="W64741" s="503"/>
    </row>
    <row r="64742" spans="23:23">
      <c r="W64742" s="503"/>
    </row>
    <row r="64743" spans="23:23">
      <c r="W64743" s="503"/>
    </row>
    <row r="64744" spans="23:23">
      <c r="W64744" s="503"/>
    </row>
    <row r="64745" spans="23:23">
      <c r="W64745" s="503"/>
    </row>
    <row r="64746" spans="23:23">
      <c r="W64746" s="503"/>
    </row>
    <row r="64747" spans="23:23">
      <c r="W64747" s="503"/>
    </row>
    <row r="64748" spans="23:23">
      <c r="W64748" s="503"/>
    </row>
    <row r="64749" spans="23:23">
      <c r="W64749" s="503"/>
    </row>
    <row r="64750" spans="23:23">
      <c r="W64750" s="503"/>
    </row>
    <row r="64751" spans="23:23">
      <c r="W64751" s="503"/>
    </row>
    <row r="64752" spans="23:23">
      <c r="W64752" s="503"/>
    </row>
    <row r="64753" spans="23:23">
      <c r="W64753" s="503"/>
    </row>
    <row r="64754" spans="23:23">
      <c r="W64754" s="503"/>
    </row>
    <row r="64755" spans="23:23">
      <c r="W64755" s="503"/>
    </row>
    <row r="64756" spans="23:23">
      <c r="W64756" s="503"/>
    </row>
    <row r="64757" spans="23:23">
      <c r="W64757" s="503"/>
    </row>
    <row r="64758" spans="23:23">
      <c r="W64758" s="503"/>
    </row>
    <row r="64759" spans="23:23">
      <c r="W64759" s="503"/>
    </row>
    <row r="64760" spans="23:23">
      <c r="W64760" s="503"/>
    </row>
    <row r="64761" spans="23:23">
      <c r="W64761" s="503"/>
    </row>
    <row r="64762" spans="23:23">
      <c r="W64762" s="503"/>
    </row>
    <row r="64763" spans="23:23">
      <c r="W64763" s="503"/>
    </row>
    <row r="64764" spans="23:23">
      <c r="W64764" s="503"/>
    </row>
    <row r="64765" spans="23:23">
      <c r="W64765" s="503"/>
    </row>
    <row r="64766" spans="23:23">
      <c r="W64766" s="503"/>
    </row>
    <row r="64767" spans="23:23">
      <c r="W64767" s="503"/>
    </row>
    <row r="64768" spans="23:23">
      <c r="W64768" s="503"/>
    </row>
    <row r="64769" spans="23:23">
      <c r="W64769" s="503"/>
    </row>
    <row r="64770" spans="23:23">
      <c r="W64770" s="503"/>
    </row>
    <row r="64771" spans="23:23">
      <c r="W64771" s="503"/>
    </row>
    <row r="64772" spans="23:23">
      <c r="W64772" s="503"/>
    </row>
    <row r="64773" spans="23:23">
      <c r="W64773" s="503"/>
    </row>
    <row r="64774" spans="23:23">
      <c r="W64774" s="503"/>
    </row>
    <row r="64775" spans="23:23">
      <c r="W64775" s="503"/>
    </row>
    <row r="64776" spans="23:23">
      <c r="W64776" s="503"/>
    </row>
    <row r="64777" spans="23:23">
      <c r="W64777" s="503"/>
    </row>
    <row r="64778" spans="23:23">
      <c r="W64778" s="503"/>
    </row>
    <row r="64779" spans="23:23">
      <c r="W64779" s="503"/>
    </row>
    <row r="64780" spans="23:23">
      <c r="W64780" s="503"/>
    </row>
    <row r="64781" spans="23:23">
      <c r="W64781" s="503"/>
    </row>
    <row r="64782" spans="23:23">
      <c r="W64782" s="503"/>
    </row>
    <row r="64783" spans="23:23">
      <c r="W64783" s="503"/>
    </row>
    <row r="64784" spans="23:23">
      <c r="W64784" s="503"/>
    </row>
    <row r="64785" spans="23:23">
      <c r="W64785" s="503"/>
    </row>
    <row r="64786" spans="23:23">
      <c r="W64786" s="503"/>
    </row>
    <row r="64787" spans="23:23">
      <c r="W64787" s="503"/>
    </row>
    <row r="64788" spans="23:23">
      <c r="W64788" s="503"/>
    </row>
    <row r="64789" spans="23:23">
      <c r="W64789" s="503"/>
    </row>
    <row r="64790" spans="23:23">
      <c r="W64790" s="503"/>
    </row>
    <row r="64791" spans="23:23">
      <c r="W64791" s="503"/>
    </row>
    <row r="64792" spans="23:23">
      <c r="W64792" s="503"/>
    </row>
    <row r="64793" spans="23:23">
      <c r="W64793" s="503"/>
    </row>
    <row r="64794" spans="23:23">
      <c r="W64794" s="503"/>
    </row>
    <row r="64795" spans="23:23">
      <c r="W64795" s="503"/>
    </row>
    <row r="64796" spans="23:23">
      <c r="W64796" s="503"/>
    </row>
    <row r="64797" spans="23:23">
      <c r="W64797" s="503"/>
    </row>
    <row r="64798" spans="23:23">
      <c r="W64798" s="503"/>
    </row>
    <row r="64799" spans="23:23">
      <c r="W64799" s="503"/>
    </row>
    <row r="64800" spans="23:23">
      <c r="W64800" s="503"/>
    </row>
    <row r="64801" spans="23:23">
      <c r="W64801" s="503"/>
    </row>
    <row r="64802" spans="23:23">
      <c r="W64802" s="503"/>
    </row>
    <row r="64803" spans="23:23">
      <c r="W64803" s="503"/>
    </row>
    <row r="64804" spans="23:23">
      <c r="W64804" s="503"/>
    </row>
    <row r="64805" spans="23:23">
      <c r="W64805" s="503"/>
    </row>
    <row r="64806" spans="23:23">
      <c r="W64806" s="503"/>
    </row>
    <row r="64807" spans="23:23">
      <c r="W64807" s="503"/>
    </row>
    <row r="64808" spans="23:23">
      <c r="W64808" s="503"/>
    </row>
    <row r="64809" spans="23:23">
      <c r="W64809" s="503"/>
    </row>
    <row r="64810" spans="23:23">
      <c r="W64810" s="503"/>
    </row>
    <row r="64811" spans="23:23">
      <c r="W64811" s="503"/>
    </row>
    <row r="64812" spans="23:23">
      <c r="W64812" s="503"/>
    </row>
    <row r="64813" spans="23:23">
      <c r="W64813" s="503"/>
    </row>
    <row r="64814" spans="23:23">
      <c r="W64814" s="503"/>
    </row>
    <row r="64815" spans="23:23">
      <c r="W64815" s="503"/>
    </row>
    <row r="64816" spans="23:23">
      <c r="W64816" s="503"/>
    </row>
    <row r="64817" spans="23:23">
      <c r="W64817" s="503"/>
    </row>
    <row r="64818" spans="23:23">
      <c r="W64818" s="503"/>
    </row>
    <row r="64819" spans="23:23">
      <c r="W64819" s="503"/>
    </row>
    <row r="64820" spans="23:23">
      <c r="W64820" s="503"/>
    </row>
    <row r="64821" spans="23:23">
      <c r="W64821" s="503"/>
    </row>
    <row r="64822" spans="23:23">
      <c r="W64822" s="503"/>
    </row>
    <row r="64823" spans="23:23">
      <c r="W64823" s="503"/>
    </row>
    <row r="64824" spans="23:23">
      <c r="W64824" s="503"/>
    </row>
    <row r="64825" spans="23:23">
      <c r="W64825" s="503"/>
    </row>
    <row r="64826" spans="23:23">
      <c r="W64826" s="503"/>
    </row>
    <row r="64827" spans="23:23">
      <c r="W64827" s="503"/>
    </row>
    <row r="64828" spans="23:23">
      <c r="W64828" s="503"/>
    </row>
    <row r="64829" spans="23:23">
      <c r="W64829" s="503"/>
    </row>
    <row r="64830" spans="23:23">
      <c r="W64830" s="503"/>
    </row>
    <row r="64831" spans="23:23">
      <c r="W64831" s="503"/>
    </row>
    <row r="64832" spans="23:23">
      <c r="W64832" s="503"/>
    </row>
    <row r="64833" spans="23:23">
      <c r="W64833" s="503"/>
    </row>
    <row r="64834" spans="23:23">
      <c r="W64834" s="503"/>
    </row>
    <row r="64835" spans="23:23">
      <c r="W64835" s="503"/>
    </row>
    <row r="64836" spans="23:23">
      <c r="W64836" s="503"/>
    </row>
    <row r="64837" spans="23:23">
      <c r="W64837" s="503"/>
    </row>
    <row r="64838" spans="23:23">
      <c r="W64838" s="503"/>
    </row>
    <row r="64839" spans="23:23">
      <c r="W64839" s="503"/>
    </row>
    <row r="64840" spans="23:23">
      <c r="W64840" s="503"/>
    </row>
    <row r="64841" spans="23:23">
      <c r="W64841" s="503"/>
    </row>
    <row r="64842" spans="23:23">
      <c r="W64842" s="503"/>
    </row>
    <row r="64843" spans="23:23">
      <c r="W64843" s="503"/>
    </row>
    <row r="64844" spans="23:23">
      <c r="W64844" s="503"/>
    </row>
    <row r="64845" spans="23:23">
      <c r="W64845" s="503"/>
    </row>
    <row r="64846" spans="23:23">
      <c r="W64846" s="503"/>
    </row>
    <row r="64847" spans="23:23">
      <c r="W64847" s="503"/>
    </row>
    <row r="64848" spans="23:23">
      <c r="W64848" s="503"/>
    </row>
    <row r="64849" spans="23:23">
      <c r="W64849" s="503"/>
    </row>
    <row r="64850" spans="23:23">
      <c r="W64850" s="503"/>
    </row>
    <row r="64851" spans="23:23">
      <c r="W64851" s="503"/>
    </row>
    <row r="64852" spans="23:23">
      <c r="W64852" s="503"/>
    </row>
    <row r="64853" spans="23:23">
      <c r="W64853" s="503"/>
    </row>
    <row r="64854" spans="23:23">
      <c r="W64854" s="503"/>
    </row>
    <row r="64855" spans="23:23">
      <c r="W64855" s="503"/>
    </row>
    <row r="64856" spans="23:23">
      <c r="W64856" s="503"/>
    </row>
    <row r="64857" spans="23:23">
      <c r="W64857" s="503"/>
    </row>
    <row r="64858" spans="23:23">
      <c r="W64858" s="503"/>
    </row>
    <row r="64859" spans="23:23">
      <c r="W64859" s="503"/>
    </row>
    <row r="64860" spans="23:23">
      <c r="W64860" s="503"/>
    </row>
    <row r="64861" spans="23:23">
      <c r="W64861" s="503"/>
    </row>
    <row r="64862" spans="23:23">
      <c r="W64862" s="503"/>
    </row>
    <row r="64863" spans="23:23">
      <c r="W64863" s="503"/>
    </row>
    <row r="64864" spans="23:23">
      <c r="W64864" s="503"/>
    </row>
    <row r="64865" spans="23:23">
      <c r="W64865" s="503"/>
    </row>
    <row r="64866" spans="23:23">
      <c r="W64866" s="503"/>
    </row>
    <row r="64867" spans="23:23">
      <c r="W64867" s="503"/>
    </row>
    <row r="64868" spans="23:23">
      <c r="W64868" s="503"/>
    </row>
    <row r="64869" spans="23:23">
      <c r="W64869" s="503"/>
    </row>
    <row r="64870" spans="23:23">
      <c r="W64870" s="503"/>
    </row>
    <row r="64871" spans="23:23">
      <c r="W64871" s="503"/>
    </row>
    <row r="64872" spans="23:23">
      <c r="W64872" s="503"/>
    </row>
    <row r="64873" spans="23:23">
      <c r="W64873" s="503"/>
    </row>
    <row r="64874" spans="23:23">
      <c r="W64874" s="503"/>
    </row>
    <row r="64875" spans="23:23">
      <c r="W64875" s="503"/>
    </row>
    <row r="64876" spans="23:23">
      <c r="W64876" s="503"/>
    </row>
    <row r="64877" spans="23:23">
      <c r="W64877" s="503"/>
    </row>
    <row r="64878" spans="23:23">
      <c r="W64878" s="503"/>
    </row>
    <row r="64879" spans="23:23">
      <c r="W64879" s="503"/>
    </row>
    <row r="64880" spans="23:23">
      <c r="W64880" s="503"/>
    </row>
    <row r="64881" spans="23:23">
      <c r="W64881" s="503"/>
    </row>
    <row r="64882" spans="23:23">
      <c r="W64882" s="503"/>
    </row>
    <row r="64883" spans="23:23">
      <c r="W64883" s="503"/>
    </row>
    <row r="64884" spans="23:23">
      <c r="W64884" s="503"/>
    </row>
    <row r="64885" spans="23:23">
      <c r="W64885" s="503"/>
    </row>
    <row r="64886" spans="23:23">
      <c r="W64886" s="503"/>
    </row>
    <row r="64887" spans="23:23">
      <c r="W64887" s="503"/>
    </row>
    <row r="64888" spans="23:23">
      <c r="W64888" s="503"/>
    </row>
    <row r="64889" spans="23:23">
      <c r="W64889" s="503"/>
    </row>
    <row r="64890" spans="23:23">
      <c r="W64890" s="503"/>
    </row>
    <row r="64891" spans="23:23">
      <c r="W64891" s="503"/>
    </row>
    <row r="64892" spans="23:23">
      <c r="W64892" s="503"/>
    </row>
    <row r="64893" spans="23:23">
      <c r="W64893" s="503"/>
    </row>
    <row r="64894" spans="23:23">
      <c r="W64894" s="503"/>
    </row>
    <row r="64895" spans="23:23">
      <c r="W64895" s="503"/>
    </row>
    <row r="64896" spans="23:23">
      <c r="W64896" s="503"/>
    </row>
    <row r="64897" spans="23:23">
      <c r="W64897" s="503"/>
    </row>
    <row r="64898" spans="23:23">
      <c r="W64898" s="503"/>
    </row>
    <row r="64899" spans="23:23">
      <c r="W64899" s="503"/>
    </row>
    <row r="64900" spans="23:23">
      <c r="W64900" s="503"/>
    </row>
    <row r="64901" spans="23:23">
      <c r="W64901" s="503"/>
    </row>
    <row r="64902" spans="23:23">
      <c r="W64902" s="503"/>
    </row>
    <row r="64903" spans="23:23">
      <c r="W64903" s="503"/>
    </row>
    <row r="64904" spans="23:23">
      <c r="W64904" s="503"/>
    </row>
    <row r="64905" spans="23:23">
      <c r="W64905" s="503"/>
    </row>
    <row r="64906" spans="23:23">
      <c r="W64906" s="503"/>
    </row>
    <row r="64907" spans="23:23">
      <c r="W64907" s="503"/>
    </row>
    <row r="64908" spans="23:23">
      <c r="W64908" s="503"/>
    </row>
    <row r="64909" spans="23:23">
      <c r="W64909" s="503"/>
    </row>
    <row r="64910" spans="23:23">
      <c r="W64910" s="503"/>
    </row>
    <row r="64911" spans="23:23">
      <c r="W64911" s="503"/>
    </row>
    <row r="64912" spans="23:23">
      <c r="W64912" s="503"/>
    </row>
    <row r="64913" spans="23:23">
      <c r="W64913" s="503"/>
    </row>
    <row r="64914" spans="23:23">
      <c r="W64914" s="503"/>
    </row>
    <row r="64915" spans="23:23">
      <c r="W64915" s="503"/>
    </row>
    <row r="64916" spans="23:23">
      <c r="W64916" s="503"/>
    </row>
    <row r="64917" spans="23:23">
      <c r="W64917" s="503"/>
    </row>
    <row r="64918" spans="23:23">
      <c r="W64918" s="503"/>
    </row>
    <row r="64919" spans="23:23">
      <c r="W64919" s="503"/>
    </row>
    <row r="64920" spans="23:23">
      <c r="W64920" s="503"/>
    </row>
    <row r="64921" spans="23:23">
      <c r="W64921" s="503"/>
    </row>
    <row r="64922" spans="23:23">
      <c r="W64922" s="503"/>
    </row>
    <row r="64923" spans="23:23">
      <c r="W64923" s="503"/>
    </row>
    <row r="64924" spans="23:23">
      <c r="W64924" s="503"/>
    </row>
    <row r="64925" spans="23:23">
      <c r="W64925" s="503"/>
    </row>
    <row r="64926" spans="23:23">
      <c r="W64926" s="503"/>
    </row>
    <row r="64927" spans="23:23">
      <c r="W64927" s="503"/>
    </row>
    <row r="64928" spans="23:23">
      <c r="W64928" s="503"/>
    </row>
    <row r="64929" spans="23:23">
      <c r="W64929" s="503"/>
    </row>
    <row r="64930" spans="23:23">
      <c r="W64930" s="503"/>
    </row>
    <row r="64931" spans="23:23">
      <c r="W64931" s="503"/>
    </row>
    <row r="64932" spans="23:23">
      <c r="W64932" s="503"/>
    </row>
    <row r="64933" spans="23:23">
      <c r="W64933" s="503"/>
    </row>
    <row r="64934" spans="23:23">
      <c r="W64934" s="503"/>
    </row>
    <row r="64935" spans="23:23">
      <c r="W64935" s="503"/>
    </row>
    <row r="64936" spans="23:23">
      <c r="W64936" s="503"/>
    </row>
    <row r="64937" spans="23:23">
      <c r="W64937" s="503"/>
    </row>
    <row r="64938" spans="23:23">
      <c r="W64938" s="503"/>
    </row>
    <row r="64939" spans="23:23">
      <c r="W64939" s="503"/>
    </row>
    <row r="64940" spans="23:23">
      <c r="W64940" s="503"/>
    </row>
    <row r="64941" spans="23:23">
      <c r="W64941" s="503"/>
    </row>
    <row r="64942" spans="23:23">
      <c r="W64942" s="503"/>
    </row>
    <row r="64943" spans="23:23">
      <c r="W64943" s="503"/>
    </row>
    <row r="64944" spans="23:23">
      <c r="W64944" s="503"/>
    </row>
    <row r="64945" spans="23:23">
      <c r="W64945" s="503"/>
    </row>
    <row r="64946" spans="23:23">
      <c r="W64946" s="503"/>
    </row>
    <row r="64947" spans="23:23">
      <c r="W64947" s="503"/>
    </row>
    <row r="64948" spans="23:23">
      <c r="W64948" s="503"/>
    </row>
    <row r="64949" spans="23:23">
      <c r="W64949" s="503"/>
    </row>
    <row r="64950" spans="23:23">
      <c r="W64950" s="503"/>
    </row>
    <row r="64951" spans="23:23">
      <c r="W64951" s="503"/>
    </row>
    <row r="64952" spans="23:23">
      <c r="W64952" s="503"/>
    </row>
    <row r="64953" spans="23:23">
      <c r="W64953" s="503"/>
    </row>
    <row r="64954" spans="23:23">
      <c r="W64954" s="503"/>
    </row>
    <row r="64955" spans="23:23">
      <c r="W64955" s="503"/>
    </row>
    <row r="64956" spans="23:23">
      <c r="W64956" s="503"/>
    </row>
    <row r="64957" spans="23:23">
      <c r="W64957" s="503"/>
    </row>
    <row r="64958" spans="23:23">
      <c r="W64958" s="503"/>
    </row>
    <row r="64959" spans="23:23">
      <c r="W64959" s="503"/>
    </row>
    <row r="64960" spans="23:23">
      <c r="W64960" s="503"/>
    </row>
    <row r="64961" spans="23:23">
      <c r="W64961" s="503"/>
    </row>
    <row r="64962" spans="23:23">
      <c r="W64962" s="503"/>
    </row>
    <row r="64963" spans="23:23">
      <c r="W64963" s="503"/>
    </row>
    <row r="64964" spans="23:23">
      <c r="W64964" s="503"/>
    </row>
    <row r="64965" spans="23:23">
      <c r="W64965" s="503"/>
    </row>
    <row r="64966" spans="23:23">
      <c r="W64966" s="503"/>
    </row>
    <row r="64967" spans="23:23">
      <c r="W64967" s="503"/>
    </row>
    <row r="64968" spans="23:23">
      <c r="W64968" s="503"/>
    </row>
    <row r="64969" spans="23:23">
      <c r="W64969" s="503"/>
    </row>
    <row r="64970" spans="23:23">
      <c r="W64970" s="503"/>
    </row>
    <row r="64971" spans="23:23">
      <c r="W64971" s="503"/>
    </row>
    <row r="64972" spans="23:23">
      <c r="W64972" s="503"/>
    </row>
    <row r="64973" spans="23:23">
      <c r="W64973" s="503"/>
    </row>
    <row r="64974" spans="23:23">
      <c r="W64974" s="503"/>
    </row>
    <row r="64975" spans="23:23">
      <c r="W64975" s="503"/>
    </row>
    <row r="64976" spans="23:23">
      <c r="W64976" s="503"/>
    </row>
    <row r="64977" spans="23:23">
      <c r="W64977" s="503"/>
    </row>
    <row r="64978" spans="23:23">
      <c r="W64978" s="503"/>
    </row>
    <row r="64979" spans="23:23">
      <c r="W64979" s="503"/>
    </row>
    <row r="64980" spans="23:23">
      <c r="W64980" s="503"/>
    </row>
    <row r="64981" spans="23:23">
      <c r="W64981" s="503"/>
    </row>
    <row r="64982" spans="23:23">
      <c r="W64982" s="503"/>
    </row>
    <row r="64983" spans="23:23">
      <c r="W64983" s="503"/>
    </row>
    <row r="64984" spans="23:23">
      <c r="W64984" s="503"/>
    </row>
    <row r="64985" spans="23:23">
      <c r="W64985" s="503"/>
    </row>
    <row r="64986" spans="23:23">
      <c r="W64986" s="503"/>
    </row>
    <row r="64987" spans="23:23">
      <c r="W64987" s="503"/>
    </row>
    <row r="64988" spans="23:23">
      <c r="W64988" s="503"/>
    </row>
    <row r="64989" spans="23:23">
      <c r="W64989" s="503"/>
    </row>
    <row r="64990" spans="23:23">
      <c r="W64990" s="503"/>
    </row>
    <row r="64991" spans="23:23">
      <c r="W64991" s="503"/>
    </row>
    <row r="64992" spans="23:23">
      <c r="W64992" s="503"/>
    </row>
    <row r="64993" spans="23:23">
      <c r="W64993" s="503"/>
    </row>
    <row r="64994" spans="23:23">
      <c r="W64994" s="503"/>
    </row>
    <row r="64995" spans="23:23">
      <c r="W64995" s="503"/>
    </row>
    <row r="64996" spans="23:23">
      <c r="W64996" s="503"/>
    </row>
    <row r="64997" spans="23:23">
      <c r="W64997" s="503"/>
    </row>
    <row r="64998" spans="23:23">
      <c r="W64998" s="503"/>
    </row>
    <row r="64999" spans="23:23">
      <c r="W64999" s="503"/>
    </row>
    <row r="65000" spans="23:23">
      <c r="W65000" s="503"/>
    </row>
    <row r="65001" spans="23:23">
      <c r="W65001" s="503"/>
    </row>
    <row r="65002" spans="23:23">
      <c r="W65002" s="503"/>
    </row>
    <row r="65003" spans="23:23">
      <c r="W65003" s="503"/>
    </row>
    <row r="65004" spans="23:23">
      <c r="W65004" s="503"/>
    </row>
    <row r="65005" spans="23:23">
      <c r="W65005" s="503"/>
    </row>
    <row r="65006" spans="23:23">
      <c r="W65006" s="503"/>
    </row>
    <row r="65007" spans="23:23">
      <c r="W65007" s="503"/>
    </row>
    <row r="65008" spans="23:23">
      <c r="W65008" s="503"/>
    </row>
    <row r="65009" spans="23:23">
      <c r="W65009" s="503"/>
    </row>
    <row r="65010" spans="23:23">
      <c r="W65010" s="503"/>
    </row>
    <row r="65011" spans="23:23">
      <c r="W65011" s="503"/>
    </row>
    <row r="65012" spans="23:23">
      <c r="W65012" s="503"/>
    </row>
    <row r="65013" spans="23:23">
      <c r="W65013" s="503"/>
    </row>
    <row r="65014" spans="23:23">
      <c r="W65014" s="503"/>
    </row>
    <row r="65015" spans="23:23">
      <c r="W65015" s="503"/>
    </row>
    <row r="65016" spans="23:23">
      <c r="W65016" s="503"/>
    </row>
    <row r="65017" spans="23:23">
      <c r="W65017" s="503"/>
    </row>
    <row r="65018" spans="23:23">
      <c r="W65018" s="503"/>
    </row>
    <row r="65019" spans="23:23">
      <c r="W65019" s="503"/>
    </row>
    <row r="65020" spans="23:23">
      <c r="W65020" s="503"/>
    </row>
    <row r="65021" spans="23:23">
      <c r="W65021" s="503"/>
    </row>
    <row r="65022" spans="23:23">
      <c r="W65022" s="503"/>
    </row>
    <row r="65023" spans="23:23">
      <c r="W65023" s="503"/>
    </row>
    <row r="65024" spans="23:23">
      <c r="W65024" s="503"/>
    </row>
    <row r="65025" spans="23:23">
      <c r="W65025" s="503"/>
    </row>
    <row r="65026" spans="23:23">
      <c r="W65026" s="503"/>
    </row>
    <row r="65027" spans="23:23">
      <c r="W65027" s="503"/>
    </row>
    <row r="65028" spans="23:23">
      <c r="W65028" s="503"/>
    </row>
    <row r="65029" spans="23:23">
      <c r="W65029" s="503"/>
    </row>
    <row r="65030" spans="23:23">
      <c r="W65030" s="503"/>
    </row>
    <row r="65031" spans="23:23">
      <c r="W65031" s="503"/>
    </row>
    <row r="65032" spans="23:23">
      <c r="W65032" s="503"/>
    </row>
    <row r="65033" spans="23:23">
      <c r="W65033" s="503"/>
    </row>
    <row r="65034" spans="23:23">
      <c r="W65034" s="503"/>
    </row>
    <row r="65035" spans="23:23">
      <c r="W65035" s="503"/>
    </row>
    <row r="65036" spans="23:23">
      <c r="W65036" s="503"/>
    </row>
    <row r="65037" spans="23:23">
      <c r="W65037" s="503"/>
    </row>
    <row r="65038" spans="23:23">
      <c r="W65038" s="503"/>
    </row>
    <row r="65039" spans="23:23">
      <c r="W65039" s="503"/>
    </row>
    <row r="65040" spans="23:23">
      <c r="W65040" s="503"/>
    </row>
    <row r="65041" spans="23:23">
      <c r="W65041" s="503"/>
    </row>
    <row r="65042" spans="23:23">
      <c r="W65042" s="503"/>
    </row>
    <row r="65043" spans="23:23">
      <c r="W65043" s="503"/>
    </row>
    <row r="65044" spans="23:23">
      <c r="W65044" s="503"/>
    </row>
    <row r="65045" spans="23:23">
      <c r="W65045" s="503"/>
    </row>
    <row r="65046" spans="23:23">
      <c r="W65046" s="503"/>
    </row>
    <row r="65047" spans="23:23">
      <c r="W65047" s="503"/>
    </row>
    <row r="65048" spans="23:23">
      <c r="W65048" s="503"/>
    </row>
    <row r="65049" spans="23:23">
      <c r="W65049" s="503"/>
    </row>
    <row r="65050" spans="23:23">
      <c r="W65050" s="503"/>
    </row>
    <row r="65051" spans="23:23">
      <c r="W65051" s="503"/>
    </row>
    <row r="65052" spans="23:23">
      <c r="W65052" s="503"/>
    </row>
    <row r="65053" spans="23:23">
      <c r="W65053" s="503"/>
    </row>
    <row r="65054" spans="23:23">
      <c r="W65054" s="503"/>
    </row>
    <row r="65055" spans="23:23">
      <c r="W65055" s="503"/>
    </row>
    <row r="65056" spans="23:23">
      <c r="W65056" s="503"/>
    </row>
    <row r="65057" spans="23:23">
      <c r="W65057" s="503"/>
    </row>
    <row r="65058" spans="23:23">
      <c r="W65058" s="503"/>
    </row>
    <row r="65059" spans="23:23">
      <c r="W65059" s="503"/>
    </row>
    <row r="65060" spans="23:23">
      <c r="W65060" s="503"/>
    </row>
    <row r="65061" spans="23:23">
      <c r="W65061" s="503"/>
    </row>
    <row r="65062" spans="23:23">
      <c r="W65062" s="503"/>
    </row>
    <row r="65063" spans="23:23">
      <c r="W65063" s="503"/>
    </row>
    <row r="65064" spans="23:23">
      <c r="W65064" s="503"/>
    </row>
    <row r="65065" spans="23:23">
      <c r="W65065" s="503"/>
    </row>
    <row r="65066" spans="23:23">
      <c r="W65066" s="503"/>
    </row>
    <row r="65067" spans="23:23">
      <c r="W65067" s="503"/>
    </row>
    <row r="65068" spans="23:23">
      <c r="W65068" s="503"/>
    </row>
    <row r="65069" spans="23:23">
      <c r="W65069" s="503"/>
    </row>
    <row r="65070" spans="23:23">
      <c r="W65070" s="503"/>
    </row>
    <row r="65071" spans="23:23">
      <c r="W65071" s="503"/>
    </row>
    <row r="65072" spans="23:23">
      <c r="W65072" s="503"/>
    </row>
    <row r="65073" spans="23:23">
      <c r="W65073" s="503"/>
    </row>
    <row r="65074" spans="23:23">
      <c r="W65074" s="503"/>
    </row>
    <row r="65075" spans="23:23">
      <c r="W65075" s="503"/>
    </row>
    <row r="65076" spans="23:23">
      <c r="W65076" s="503"/>
    </row>
    <row r="65077" spans="23:23">
      <c r="W65077" s="503"/>
    </row>
    <row r="65078" spans="23:23">
      <c r="W65078" s="503"/>
    </row>
    <row r="65079" spans="23:23">
      <c r="W65079" s="503"/>
    </row>
    <row r="65080" spans="23:23">
      <c r="W65080" s="503"/>
    </row>
    <row r="65081" spans="23:23">
      <c r="W65081" s="503"/>
    </row>
    <row r="65082" spans="23:23">
      <c r="W65082" s="503"/>
    </row>
    <row r="65083" spans="23:23">
      <c r="W65083" s="503"/>
    </row>
    <row r="65084" spans="23:23">
      <c r="W65084" s="503"/>
    </row>
    <row r="65085" spans="23:23">
      <c r="W65085" s="503"/>
    </row>
    <row r="65086" spans="23:23">
      <c r="W65086" s="503"/>
    </row>
    <row r="65087" spans="23:23">
      <c r="W65087" s="503"/>
    </row>
    <row r="65088" spans="23:23">
      <c r="W65088" s="503"/>
    </row>
    <row r="65089" spans="23:23">
      <c r="W65089" s="503"/>
    </row>
    <row r="65090" spans="23:23">
      <c r="W65090" s="503"/>
    </row>
    <row r="65091" spans="23:23">
      <c r="W65091" s="503"/>
    </row>
    <row r="65092" spans="23:23">
      <c r="W65092" s="503"/>
    </row>
    <row r="65093" spans="23:23">
      <c r="W65093" s="503"/>
    </row>
    <row r="65094" spans="23:23">
      <c r="W65094" s="503"/>
    </row>
    <row r="65095" spans="23:23">
      <c r="W65095" s="503"/>
    </row>
    <row r="65096" spans="23:23">
      <c r="W65096" s="503"/>
    </row>
    <row r="65097" spans="23:23">
      <c r="W65097" s="503"/>
    </row>
    <row r="65098" spans="23:23">
      <c r="W65098" s="503"/>
    </row>
    <row r="65099" spans="23:23">
      <c r="W65099" s="503"/>
    </row>
    <row r="65100" spans="23:23">
      <c r="W65100" s="503"/>
    </row>
    <row r="65101" spans="23:23">
      <c r="W65101" s="503"/>
    </row>
    <row r="65102" spans="23:23">
      <c r="W65102" s="503"/>
    </row>
    <row r="65103" spans="23:23">
      <c r="W65103" s="503"/>
    </row>
    <row r="65104" spans="23:23">
      <c r="W65104" s="503"/>
    </row>
    <row r="65105" spans="23:23">
      <c r="W65105" s="503"/>
    </row>
    <row r="65106" spans="23:23">
      <c r="W65106" s="503"/>
    </row>
    <row r="65107" spans="23:23">
      <c r="W65107" s="503"/>
    </row>
    <row r="65108" spans="23:23">
      <c r="W65108" s="503"/>
    </row>
    <row r="65109" spans="23:23">
      <c r="W65109" s="503"/>
    </row>
    <row r="65110" spans="23:23">
      <c r="W65110" s="503"/>
    </row>
    <row r="65111" spans="23:23">
      <c r="W65111" s="503"/>
    </row>
    <row r="65112" spans="23:23">
      <c r="W65112" s="503"/>
    </row>
    <row r="65113" spans="23:23">
      <c r="W65113" s="503"/>
    </row>
    <row r="65114" spans="23:23">
      <c r="W65114" s="503"/>
    </row>
    <row r="65115" spans="23:23">
      <c r="W65115" s="503"/>
    </row>
    <row r="65116" spans="23:23">
      <c r="W65116" s="503"/>
    </row>
    <row r="65117" spans="23:23">
      <c r="W65117" s="503"/>
    </row>
    <row r="65118" spans="23:23">
      <c r="W65118" s="503"/>
    </row>
    <row r="65119" spans="23:23">
      <c r="W65119" s="503"/>
    </row>
    <row r="65120" spans="23:23">
      <c r="W65120" s="503"/>
    </row>
    <row r="65121" spans="23:23">
      <c r="W65121" s="503"/>
    </row>
    <row r="65122" spans="23:23">
      <c r="W65122" s="503"/>
    </row>
    <row r="65123" spans="23:23">
      <c r="W65123" s="503"/>
    </row>
    <row r="65124" spans="23:23">
      <c r="W65124" s="503"/>
    </row>
    <row r="65125" spans="23:23">
      <c r="W65125" s="503"/>
    </row>
    <row r="65126" spans="23:23">
      <c r="W65126" s="503"/>
    </row>
    <row r="65127" spans="23:23">
      <c r="W65127" s="503"/>
    </row>
    <row r="65128" spans="23:23">
      <c r="W65128" s="503"/>
    </row>
    <row r="65129" spans="23:23">
      <c r="W65129" s="503"/>
    </row>
    <row r="65130" spans="23:23">
      <c r="W65130" s="503"/>
    </row>
    <row r="65131" spans="23:23">
      <c r="W65131" s="503"/>
    </row>
    <row r="65132" spans="23:23">
      <c r="W65132" s="503"/>
    </row>
    <row r="65133" spans="23:23">
      <c r="W65133" s="503"/>
    </row>
    <row r="65134" spans="23:23">
      <c r="W65134" s="503"/>
    </row>
    <row r="65135" spans="23:23">
      <c r="W65135" s="503"/>
    </row>
    <row r="65136" spans="23:23">
      <c r="W65136" s="503"/>
    </row>
    <row r="65137" spans="23:23">
      <c r="W65137" s="503"/>
    </row>
    <row r="65138" spans="23:23">
      <c r="W65138" s="503"/>
    </row>
    <row r="65139" spans="23:23">
      <c r="W65139" s="503"/>
    </row>
    <row r="65140" spans="23:23">
      <c r="W65140" s="503"/>
    </row>
    <row r="65141" spans="23:23">
      <c r="W65141" s="503"/>
    </row>
    <row r="65142" spans="23:23">
      <c r="W65142" s="503"/>
    </row>
    <row r="65143" spans="23:23">
      <c r="W65143" s="503"/>
    </row>
    <row r="65144" spans="23:23">
      <c r="W65144" s="503"/>
    </row>
    <row r="65145" spans="23:23">
      <c r="W65145" s="503"/>
    </row>
    <row r="65146" spans="23:23">
      <c r="W65146" s="503"/>
    </row>
    <row r="65147" spans="23:23">
      <c r="W65147" s="503"/>
    </row>
    <row r="65148" spans="23:23">
      <c r="W65148" s="503"/>
    </row>
    <row r="65149" spans="23:23">
      <c r="W65149" s="503"/>
    </row>
    <row r="65150" spans="23:23">
      <c r="W65150" s="503"/>
    </row>
    <row r="65151" spans="23:23">
      <c r="W65151" s="503"/>
    </row>
    <row r="65152" spans="23:23">
      <c r="W65152" s="503"/>
    </row>
    <row r="65153" spans="23:23">
      <c r="W65153" s="503"/>
    </row>
    <row r="65154" spans="23:23">
      <c r="W65154" s="503"/>
    </row>
    <row r="65155" spans="23:23">
      <c r="W65155" s="503"/>
    </row>
    <row r="65156" spans="23:23">
      <c r="W65156" s="503"/>
    </row>
    <row r="65157" spans="23:23">
      <c r="W65157" s="503"/>
    </row>
    <row r="65158" spans="23:23">
      <c r="W65158" s="503"/>
    </row>
    <row r="65159" spans="23:23">
      <c r="W65159" s="503"/>
    </row>
    <row r="65160" spans="23:23">
      <c r="W65160" s="503"/>
    </row>
    <row r="65161" spans="23:23">
      <c r="W65161" s="503"/>
    </row>
    <row r="65162" spans="23:23">
      <c r="W65162" s="503"/>
    </row>
    <row r="65163" spans="23:23">
      <c r="W65163" s="503"/>
    </row>
    <row r="65164" spans="23:23">
      <c r="W65164" s="503"/>
    </row>
    <row r="65165" spans="23:23">
      <c r="W65165" s="503"/>
    </row>
    <row r="65166" spans="23:23">
      <c r="W65166" s="503"/>
    </row>
    <row r="65167" spans="23:23">
      <c r="W65167" s="503"/>
    </row>
    <row r="65168" spans="23:23">
      <c r="W65168" s="503"/>
    </row>
    <row r="65169" spans="23:23">
      <c r="W65169" s="503"/>
    </row>
    <row r="65170" spans="23:23">
      <c r="W65170" s="503"/>
    </row>
    <row r="65171" spans="23:23">
      <c r="W65171" s="503"/>
    </row>
    <row r="65172" spans="23:23">
      <c r="W65172" s="503"/>
    </row>
    <row r="65173" spans="23:23">
      <c r="W65173" s="503"/>
    </row>
    <row r="65174" spans="23:23">
      <c r="W65174" s="503"/>
    </row>
    <row r="65175" spans="23:23">
      <c r="W65175" s="503"/>
    </row>
    <row r="65176" spans="23:23">
      <c r="W65176" s="503"/>
    </row>
    <row r="65177" spans="23:23">
      <c r="W65177" s="503"/>
    </row>
    <row r="65178" spans="23:23">
      <c r="W65178" s="503"/>
    </row>
    <row r="65179" spans="23:23">
      <c r="W65179" s="503"/>
    </row>
    <row r="65180" spans="23:23">
      <c r="W65180" s="503"/>
    </row>
    <row r="65181" spans="23:23">
      <c r="W65181" s="503"/>
    </row>
    <row r="65182" spans="23:23">
      <c r="W65182" s="503"/>
    </row>
    <row r="65183" spans="23:23">
      <c r="W65183" s="503"/>
    </row>
    <row r="65184" spans="23:23">
      <c r="W65184" s="503"/>
    </row>
    <row r="65185" spans="23:23">
      <c r="W65185" s="503"/>
    </row>
    <row r="65186" spans="23:23">
      <c r="W65186" s="503"/>
    </row>
    <row r="65187" spans="23:23">
      <c r="W65187" s="503"/>
    </row>
    <row r="65188" spans="23:23">
      <c r="W65188" s="503"/>
    </row>
    <row r="65189" spans="23:23">
      <c r="W65189" s="503"/>
    </row>
    <row r="65190" spans="23:23">
      <c r="W65190" s="503"/>
    </row>
    <row r="65191" spans="23:23">
      <c r="W65191" s="503"/>
    </row>
    <row r="65192" spans="23:23">
      <c r="W65192" s="503"/>
    </row>
    <row r="65193" spans="23:23">
      <c r="W65193" s="503"/>
    </row>
    <row r="65194" spans="23:23">
      <c r="W65194" s="503"/>
    </row>
    <row r="65195" spans="23:23">
      <c r="W65195" s="503"/>
    </row>
    <row r="65196" spans="23:23">
      <c r="W65196" s="503"/>
    </row>
    <row r="65197" spans="23:23">
      <c r="W65197" s="503"/>
    </row>
    <row r="65198" spans="23:23">
      <c r="W65198" s="503"/>
    </row>
    <row r="65199" spans="23:23">
      <c r="W65199" s="503"/>
    </row>
    <row r="65200" spans="23:23">
      <c r="W65200" s="503"/>
    </row>
    <row r="65201" spans="23:23">
      <c r="W65201" s="503"/>
    </row>
    <row r="65202" spans="23:23">
      <c r="W65202" s="503"/>
    </row>
    <row r="65203" spans="23:23">
      <c r="W65203" s="503"/>
    </row>
    <row r="65204" spans="23:23">
      <c r="W65204" s="503"/>
    </row>
    <row r="65205" spans="23:23">
      <c r="W65205" s="503"/>
    </row>
    <row r="65206" spans="23:23">
      <c r="W65206" s="503"/>
    </row>
    <row r="65207" spans="23:23">
      <c r="W65207" s="503"/>
    </row>
    <row r="65208" spans="23:23">
      <c r="W65208" s="503"/>
    </row>
    <row r="65209" spans="23:23">
      <c r="W65209" s="503"/>
    </row>
    <row r="65210" spans="23:23">
      <c r="W65210" s="503"/>
    </row>
    <row r="65211" spans="23:23">
      <c r="W65211" s="503"/>
    </row>
    <row r="65212" spans="23:23">
      <c r="W65212" s="503"/>
    </row>
    <row r="65213" spans="23:23">
      <c r="W65213" s="503"/>
    </row>
    <row r="65214" spans="23:23">
      <c r="W65214" s="503"/>
    </row>
    <row r="65215" spans="23:23">
      <c r="W65215" s="503"/>
    </row>
    <row r="65216" spans="23:23">
      <c r="W65216" s="503"/>
    </row>
    <row r="65217" spans="23:23">
      <c r="W65217" s="503"/>
    </row>
    <row r="65218" spans="23:23">
      <c r="W65218" s="503"/>
    </row>
    <row r="65219" spans="23:23">
      <c r="W65219" s="503"/>
    </row>
    <row r="65220" spans="23:23">
      <c r="W65220" s="503"/>
    </row>
    <row r="65221" spans="23:23">
      <c r="W65221" s="503"/>
    </row>
    <row r="65222" spans="23:23">
      <c r="W65222" s="503"/>
    </row>
    <row r="65223" spans="23:23">
      <c r="W65223" s="503"/>
    </row>
    <row r="65224" spans="23:23">
      <c r="W65224" s="503"/>
    </row>
    <row r="65225" spans="23:23">
      <c r="W65225" s="503"/>
    </row>
    <row r="65226" spans="23:23">
      <c r="W65226" s="503"/>
    </row>
    <row r="65227" spans="23:23">
      <c r="W65227" s="503"/>
    </row>
    <row r="65228" spans="23:23">
      <c r="W65228" s="503"/>
    </row>
    <row r="65229" spans="23:23">
      <c r="W65229" s="503"/>
    </row>
    <row r="65230" spans="23:23">
      <c r="W65230" s="503"/>
    </row>
    <row r="65231" spans="23:23">
      <c r="W65231" s="503"/>
    </row>
    <row r="65232" spans="23:23">
      <c r="W65232" s="503"/>
    </row>
    <row r="65233" spans="23:23">
      <c r="W65233" s="503"/>
    </row>
    <row r="65234" spans="23:23">
      <c r="W65234" s="503"/>
    </row>
    <row r="65235" spans="23:23">
      <c r="W65235" s="503"/>
    </row>
    <row r="65236" spans="23:23">
      <c r="W65236" s="503"/>
    </row>
    <row r="65237" spans="23:23">
      <c r="W65237" s="503"/>
    </row>
    <row r="65238" spans="23:23">
      <c r="W65238" s="503"/>
    </row>
    <row r="65239" spans="23:23">
      <c r="W65239" s="503"/>
    </row>
    <row r="65240" spans="23:23">
      <c r="W65240" s="503"/>
    </row>
    <row r="65241" spans="23:23">
      <c r="W65241" s="503"/>
    </row>
    <row r="65242" spans="23:23">
      <c r="W65242" s="503"/>
    </row>
    <row r="65243" spans="23:23">
      <c r="W65243" s="503"/>
    </row>
    <row r="65244" spans="23:23">
      <c r="W65244" s="503"/>
    </row>
    <row r="65245" spans="23:23">
      <c r="W65245" s="503"/>
    </row>
    <row r="65246" spans="23:23">
      <c r="W65246" s="503"/>
    </row>
    <row r="65247" spans="23:23">
      <c r="W65247" s="503"/>
    </row>
    <row r="65248" spans="23:23">
      <c r="W65248" s="503"/>
    </row>
    <row r="65249" spans="23:23">
      <c r="W65249" s="503"/>
    </row>
    <row r="65250" spans="23:23">
      <c r="W65250" s="503"/>
    </row>
    <row r="65251" spans="23:23">
      <c r="W65251" s="503"/>
    </row>
    <row r="65252" spans="23:23">
      <c r="W65252" s="503"/>
    </row>
    <row r="65253" spans="23:23">
      <c r="W65253" s="503"/>
    </row>
    <row r="65254" spans="23:23">
      <c r="W65254" s="503"/>
    </row>
    <row r="65255" spans="23:23">
      <c r="W65255" s="503"/>
    </row>
    <row r="65256" spans="23:23">
      <c r="W65256" s="503"/>
    </row>
    <row r="65257" spans="23:23">
      <c r="W65257" s="503"/>
    </row>
    <row r="65258" spans="23:23">
      <c r="W65258" s="503"/>
    </row>
    <row r="65259" spans="23:23">
      <c r="W65259" s="503"/>
    </row>
    <row r="65260" spans="23:23">
      <c r="W65260" s="503"/>
    </row>
    <row r="65261" spans="23:23">
      <c r="W65261" s="503"/>
    </row>
    <row r="65262" spans="23:23">
      <c r="W65262" s="503"/>
    </row>
    <row r="65263" spans="23:23">
      <c r="W65263" s="503"/>
    </row>
    <row r="65264" spans="23:23">
      <c r="W65264" s="503"/>
    </row>
    <row r="65265" spans="23:23">
      <c r="W65265" s="503"/>
    </row>
    <row r="65266" spans="23:23">
      <c r="W65266" s="503"/>
    </row>
    <row r="65267" spans="23:23">
      <c r="W65267" s="503"/>
    </row>
    <row r="65268" spans="23:23">
      <c r="W65268" s="503"/>
    </row>
    <row r="65269" spans="23:23">
      <c r="W65269" s="503"/>
    </row>
    <row r="65270" spans="23:23">
      <c r="W65270" s="503"/>
    </row>
    <row r="65271" spans="23:23">
      <c r="W65271" s="503"/>
    </row>
    <row r="65272" spans="23:23">
      <c r="W65272" s="503"/>
    </row>
    <row r="65273" spans="23:23">
      <c r="W65273" s="503"/>
    </row>
    <row r="65274" spans="23:23">
      <c r="W65274" s="503"/>
    </row>
    <row r="65275" spans="23:23">
      <c r="W65275" s="503"/>
    </row>
    <row r="65276" spans="23:23">
      <c r="W65276" s="503"/>
    </row>
    <row r="65277" spans="23:23">
      <c r="W65277" s="503"/>
    </row>
    <row r="65278" spans="23:23">
      <c r="W65278" s="503"/>
    </row>
    <row r="65279" spans="23:23">
      <c r="W65279" s="503"/>
    </row>
    <row r="65280" spans="23:23">
      <c r="W65280" s="503"/>
    </row>
    <row r="65281" spans="23:23">
      <c r="W65281" s="503"/>
    </row>
    <row r="65282" spans="23:23">
      <c r="W65282" s="503"/>
    </row>
    <row r="65283" spans="23:23">
      <c r="W65283" s="503"/>
    </row>
    <row r="65284" spans="23:23">
      <c r="W65284" s="503"/>
    </row>
    <row r="65285" spans="23:23">
      <c r="W65285" s="503"/>
    </row>
    <row r="65286" spans="23:23">
      <c r="W65286" s="503"/>
    </row>
    <row r="65287" spans="23:23">
      <c r="W65287" s="503"/>
    </row>
    <row r="65288" spans="23:23">
      <c r="W65288" s="503"/>
    </row>
    <row r="65289" spans="23:23">
      <c r="W65289" s="503"/>
    </row>
    <row r="65290" spans="23:23">
      <c r="W65290" s="503"/>
    </row>
    <row r="65291" spans="23:23">
      <c r="W65291" s="503"/>
    </row>
    <row r="65292" spans="23:23">
      <c r="W65292" s="503"/>
    </row>
    <row r="65293" spans="23:23">
      <c r="W65293" s="503"/>
    </row>
    <row r="65294" spans="23:23">
      <c r="W65294" s="503"/>
    </row>
    <row r="65295" spans="23:23">
      <c r="W65295" s="503"/>
    </row>
    <row r="65296" spans="23:23">
      <c r="W65296" s="503"/>
    </row>
    <row r="65297" spans="23:23">
      <c r="W65297" s="503"/>
    </row>
    <row r="65298" spans="23:23">
      <c r="W65298" s="503"/>
    </row>
    <row r="65299" spans="23:23">
      <c r="W65299" s="503"/>
    </row>
    <row r="65300" spans="23:23">
      <c r="W65300" s="503"/>
    </row>
    <row r="65301" spans="23:23">
      <c r="W65301" s="503"/>
    </row>
    <row r="65302" spans="23:23">
      <c r="W65302" s="503"/>
    </row>
    <row r="65303" spans="23:23">
      <c r="W65303" s="503"/>
    </row>
    <row r="65304" spans="23:23">
      <c r="W65304" s="503"/>
    </row>
    <row r="65305" spans="23:23">
      <c r="W65305" s="503"/>
    </row>
    <row r="65306" spans="23:23">
      <c r="W65306" s="503"/>
    </row>
    <row r="65307" spans="23:23">
      <c r="W65307" s="503"/>
    </row>
    <row r="65308" spans="23:23">
      <c r="W65308" s="503"/>
    </row>
    <row r="65309" spans="23:23">
      <c r="W65309" s="503"/>
    </row>
    <row r="65310" spans="23:23">
      <c r="W65310" s="503"/>
    </row>
    <row r="65311" spans="23:23">
      <c r="W65311" s="503"/>
    </row>
    <row r="65312" spans="23:23">
      <c r="W65312" s="503"/>
    </row>
    <row r="65313" spans="23:23">
      <c r="W65313" s="503"/>
    </row>
    <row r="65314" spans="23:23">
      <c r="W65314" s="503"/>
    </row>
    <row r="65315" spans="23:23">
      <c r="W65315" s="503"/>
    </row>
    <row r="65316" spans="23:23">
      <c r="W65316" s="503"/>
    </row>
    <row r="65317" spans="23:23">
      <c r="W65317" s="503"/>
    </row>
    <row r="65318" spans="23:23">
      <c r="W65318" s="503"/>
    </row>
    <row r="65319" spans="23:23">
      <c r="W65319" s="503"/>
    </row>
    <row r="65320" spans="23:23">
      <c r="W65320" s="503"/>
    </row>
    <row r="65321" spans="23:23">
      <c r="W65321" s="503"/>
    </row>
    <row r="65322" spans="23:23">
      <c r="W65322" s="503"/>
    </row>
    <row r="65323" spans="23:23">
      <c r="W65323" s="503"/>
    </row>
    <row r="65324" spans="23:23">
      <c r="W65324" s="503"/>
    </row>
    <row r="65325" spans="23:23">
      <c r="W65325" s="503"/>
    </row>
    <row r="65326" spans="23:23">
      <c r="W65326" s="503"/>
    </row>
    <row r="65327" spans="23:23">
      <c r="W65327" s="503"/>
    </row>
    <row r="65328" spans="23:23">
      <c r="W65328" s="503"/>
    </row>
    <row r="65329" spans="23:23">
      <c r="W65329" s="503"/>
    </row>
    <row r="65330" spans="23:23">
      <c r="W65330" s="503"/>
    </row>
    <row r="65331" spans="23:23">
      <c r="W65331" s="503"/>
    </row>
    <row r="65332" spans="23:23">
      <c r="W65332" s="503"/>
    </row>
    <row r="65333" spans="23:23">
      <c r="W65333" s="503"/>
    </row>
    <row r="65334" spans="23:23">
      <c r="W65334" s="503"/>
    </row>
    <row r="65335" spans="23:23">
      <c r="W65335" s="503"/>
    </row>
    <row r="65336" spans="23:23">
      <c r="W65336" s="503"/>
    </row>
    <row r="65337" spans="23:23">
      <c r="W65337" s="503"/>
    </row>
    <row r="65338" spans="23:23">
      <c r="W65338" s="503"/>
    </row>
    <row r="65339" spans="23:23">
      <c r="W65339" s="503"/>
    </row>
    <row r="65340" spans="23:23">
      <c r="W65340" s="503"/>
    </row>
    <row r="65341" spans="23:23">
      <c r="W65341" s="503"/>
    </row>
    <row r="65342" spans="23:23">
      <c r="W65342" s="503"/>
    </row>
    <row r="65343" spans="23:23">
      <c r="W65343" s="503"/>
    </row>
    <row r="65344" spans="23:23">
      <c r="W65344" s="503"/>
    </row>
    <row r="65345" spans="23:23">
      <c r="W65345" s="503"/>
    </row>
    <row r="65346" spans="23:23">
      <c r="W65346" s="503"/>
    </row>
    <row r="65347" spans="23:23">
      <c r="W65347" s="503"/>
    </row>
    <row r="65348" spans="23:23">
      <c r="W65348" s="503"/>
    </row>
    <row r="65349" spans="23:23">
      <c r="W65349" s="503"/>
    </row>
    <row r="65350" spans="23:23">
      <c r="W65350" s="503"/>
    </row>
    <row r="65351" spans="23:23">
      <c r="W65351" s="503"/>
    </row>
    <row r="65352" spans="23:23">
      <c r="W65352" s="503"/>
    </row>
    <row r="65353" spans="23:23">
      <c r="W65353" s="503"/>
    </row>
    <row r="65354" spans="23:23">
      <c r="W65354" s="503"/>
    </row>
    <row r="65355" spans="23:23">
      <c r="W65355" s="503"/>
    </row>
    <row r="65356" spans="23:23">
      <c r="W65356" s="503"/>
    </row>
    <row r="65357" spans="23:23">
      <c r="W65357" s="503"/>
    </row>
    <row r="65358" spans="23:23">
      <c r="W65358" s="503"/>
    </row>
    <row r="65359" spans="23:23">
      <c r="W65359" s="503"/>
    </row>
    <row r="65360" spans="23:23">
      <c r="W65360" s="503"/>
    </row>
    <row r="65361" spans="23:23">
      <c r="W65361" s="503"/>
    </row>
    <row r="65362" spans="23:23">
      <c r="W65362" s="503"/>
    </row>
    <row r="65363" spans="23:23">
      <c r="W65363" s="503"/>
    </row>
    <row r="65364" spans="23:23">
      <c r="W65364" s="503"/>
    </row>
    <row r="65365" spans="23:23">
      <c r="W65365" s="503"/>
    </row>
    <row r="65366" spans="23:23">
      <c r="W65366" s="503"/>
    </row>
    <row r="65367" spans="23:23">
      <c r="W65367" s="503"/>
    </row>
    <row r="65368" spans="23:23">
      <c r="W65368" s="503"/>
    </row>
    <row r="65369" spans="23:23">
      <c r="W65369" s="503"/>
    </row>
    <row r="65370" spans="23:23">
      <c r="W65370" s="503"/>
    </row>
    <row r="65371" spans="23:23">
      <c r="W65371" s="503"/>
    </row>
    <row r="65372" spans="23:23">
      <c r="W65372" s="503"/>
    </row>
    <row r="65373" spans="23:23">
      <c r="W65373" s="503"/>
    </row>
    <row r="65374" spans="23:23">
      <c r="W65374" s="503"/>
    </row>
    <row r="65375" spans="23:23">
      <c r="W65375" s="503"/>
    </row>
    <row r="65376" spans="23:23">
      <c r="W65376" s="503"/>
    </row>
    <row r="65377" spans="23:23">
      <c r="W65377" s="503"/>
    </row>
    <row r="65378" spans="23:23">
      <c r="W65378" s="503"/>
    </row>
    <row r="65379" spans="23:23">
      <c r="W65379" s="503"/>
    </row>
    <row r="65380" spans="23:23">
      <c r="W65380" s="503"/>
    </row>
    <row r="65381" spans="23:23">
      <c r="W65381" s="503"/>
    </row>
    <row r="65382" spans="23:23">
      <c r="W65382" s="503"/>
    </row>
    <row r="65383" spans="23:23">
      <c r="W65383" s="503"/>
    </row>
    <row r="65384" spans="23:23">
      <c r="W65384" s="503"/>
    </row>
    <row r="65385" spans="23:23">
      <c r="W65385" s="503"/>
    </row>
    <row r="65386" spans="23:23">
      <c r="W65386" s="503"/>
    </row>
    <row r="65387" spans="23:23">
      <c r="W65387" s="503"/>
    </row>
    <row r="65388" spans="23:23">
      <c r="W65388" s="503"/>
    </row>
    <row r="65389" spans="23:23">
      <c r="W65389" s="503"/>
    </row>
    <row r="65390" spans="23:23">
      <c r="W65390" s="503"/>
    </row>
    <row r="65391" spans="23:23">
      <c r="W65391" s="503"/>
    </row>
    <row r="65392" spans="23:23">
      <c r="W65392" s="503"/>
    </row>
    <row r="65393" spans="23:23">
      <c r="W65393" s="503"/>
    </row>
    <row r="65394" spans="23:23">
      <c r="W65394" s="503"/>
    </row>
    <row r="65395" spans="23:23">
      <c r="W65395" s="503"/>
    </row>
    <row r="65396" spans="23:23">
      <c r="W65396" s="503"/>
    </row>
    <row r="65397" spans="23:23">
      <c r="W65397" s="503"/>
    </row>
    <row r="65398" spans="23:23">
      <c r="W65398" s="503"/>
    </row>
    <row r="65399" spans="23:23">
      <c r="W65399" s="503"/>
    </row>
    <row r="65400" spans="23:23">
      <c r="W65400" s="503"/>
    </row>
    <row r="65401" spans="23:23">
      <c r="W65401" s="503"/>
    </row>
    <row r="65402" spans="23:23">
      <c r="W65402" s="503"/>
    </row>
    <row r="65403" spans="23:23">
      <c r="W65403" s="503"/>
    </row>
    <row r="65404" spans="23:23">
      <c r="W65404" s="503"/>
    </row>
    <row r="65405" spans="23:23">
      <c r="W65405" s="503"/>
    </row>
    <row r="65406" spans="23:23">
      <c r="W65406" s="503"/>
    </row>
    <row r="65407" spans="23:23">
      <c r="W65407" s="503"/>
    </row>
    <row r="65408" spans="23:23">
      <c r="W65408" s="503"/>
    </row>
    <row r="65409" spans="23:23">
      <c r="W65409" s="503"/>
    </row>
    <row r="65410" spans="23:23">
      <c r="W65410" s="503"/>
    </row>
    <row r="65411" spans="23:23">
      <c r="W65411" s="503"/>
    </row>
    <row r="65412" spans="23:23">
      <c r="W65412" s="503"/>
    </row>
    <row r="65413" spans="23:23">
      <c r="W65413" s="503"/>
    </row>
    <row r="65414" spans="23:23">
      <c r="W65414" s="503"/>
    </row>
    <row r="65415" spans="23:23">
      <c r="W65415" s="503"/>
    </row>
    <row r="65416" spans="23:23">
      <c r="W65416" s="503"/>
    </row>
    <row r="65417" spans="23:23">
      <c r="W65417" s="503"/>
    </row>
    <row r="65418" spans="23:23">
      <c r="W65418" s="503"/>
    </row>
    <row r="65419" spans="23:23">
      <c r="W65419" s="503"/>
    </row>
    <row r="65420" spans="23:23">
      <c r="W65420" s="503"/>
    </row>
    <row r="65421" spans="23:23">
      <c r="W65421" s="503"/>
    </row>
    <row r="65422" spans="23:23">
      <c r="W65422" s="503"/>
    </row>
    <row r="65423" spans="23:23">
      <c r="W65423" s="503"/>
    </row>
    <row r="65424" spans="23:23">
      <c r="W65424" s="503"/>
    </row>
    <row r="65425" spans="23:23">
      <c r="W65425" s="503"/>
    </row>
    <row r="65426" spans="23:23">
      <c r="W65426" s="503"/>
    </row>
    <row r="65427" spans="23:23">
      <c r="W65427" s="503"/>
    </row>
    <row r="65428" spans="23:23">
      <c r="W65428" s="503"/>
    </row>
    <row r="65429" spans="23:23">
      <c r="W65429" s="503"/>
    </row>
    <row r="65430" spans="23:23">
      <c r="W65430" s="503"/>
    </row>
    <row r="65431" spans="23:23">
      <c r="W65431" s="503"/>
    </row>
    <row r="65432" spans="23:23">
      <c r="W65432" s="503"/>
    </row>
    <row r="65433" spans="23:23">
      <c r="W65433" s="503"/>
    </row>
    <row r="65434" spans="23:23">
      <c r="W65434" s="503"/>
    </row>
    <row r="65435" spans="23:23">
      <c r="W65435" s="503"/>
    </row>
    <row r="65436" spans="23:23">
      <c r="W65436" s="503"/>
    </row>
    <row r="65437" spans="23:23">
      <c r="W65437" s="503"/>
    </row>
    <row r="65438" spans="23:23">
      <c r="W65438" s="503"/>
    </row>
    <row r="65439" spans="23:23">
      <c r="W65439" s="503"/>
    </row>
    <row r="65440" spans="23:23">
      <c r="W65440" s="503"/>
    </row>
    <row r="65441" spans="23:23">
      <c r="W65441" s="503"/>
    </row>
    <row r="65442" spans="23:23">
      <c r="W65442" s="503"/>
    </row>
    <row r="65443" spans="23:23">
      <c r="W65443" s="503"/>
    </row>
    <row r="65444" spans="23:23">
      <c r="W65444" s="503"/>
    </row>
    <row r="65445" spans="23:23">
      <c r="W65445" s="503"/>
    </row>
    <row r="65446" spans="23:23">
      <c r="W65446" s="503"/>
    </row>
    <row r="65447" spans="23:23">
      <c r="W65447" s="503"/>
    </row>
    <row r="65448" spans="23:23">
      <c r="W65448" s="503"/>
    </row>
    <row r="65449" spans="23:23">
      <c r="W65449" s="503"/>
    </row>
    <row r="65450" spans="23:23">
      <c r="W65450" s="503"/>
    </row>
    <row r="65451" spans="23:23">
      <c r="W65451" s="503"/>
    </row>
    <row r="65452" spans="23:23">
      <c r="W65452" s="503"/>
    </row>
    <row r="65453" spans="23:23">
      <c r="W65453" s="503"/>
    </row>
    <row r="65454" spans="23:23">
      <c r="W65454" s="503"/>
    </row>
    <row r="65455" spans="23:23">
      <c r="W65455" s="503"/>
    </row>
    <row r="65456" spans="23:23">
      <c r="W65456" s="503"/>
    </row>
    <row r="65457" spans="23:23">
      <c r="W65457" s="503"/>
    </row>
    <row r="65458" spans="23:23">
      <c r="W65458" s="503"/>
    </row>
    <row r="65459" spans="23:23">
      <c r="W65459" s="503"/>
    </row>
    <row r="65460" spans="23:23">
      <c r="W65460" s="503"/>
    </row>
    <row r="65461" spans="23:23">
      <c r="W65461" s="503"/>
    </row>
    <row r="65462" spans="23:23">
      <c r="W65462" s="503"/>
    </row>
    <row r="65463" spans="23:23">
      <c r="W65463" s="503"/>
    </row>
    <row r="65464" spans="23:23">
      <c r="W65464" s="503"/>
    </row>
    <row r="65465" spans="23:23">
      <c r="W65465" s="503"/>
    </row>
    <row r="65466" spans="23:23">
      <c r="W65466" s="503"/>
    </row>
    <row r="65467" spans="23:23">
      <c r="W65467" s="503"/>
    </row>
    <row r="65468" spans="23:23">
      <c r="W65468" s="503"/>
    </row>
    <row r="65469" spans="23:23">
      <c r="W65469" s="503"/>
    </row>
    <row r="65470" spans="23:23">
      <c r="W65470" s="503"/>
    </row>
    <row r="65471" spans="23:23">
      <c r="W65471" s="503"/>
    </row>
    <row r="65472" spans="23:23">
      <c r="W65472" s="503"/>
    </row>
    <row r="65473" spans="23:23">
      <c r="W65473" s="503"/>
    </row>
    <row r="65474" spans="23:23">
      <c r="W65474" s="503"/>
    </row>
    <row r="65475" spans="23:23">
      <c r="W65475" s="503"/>
    </row>
    <row r="65476" spans="23:23">
      <c r="W65476" s="503"/>
    </row>
    <row r="65477" spans="23:23">
      <c r="W65477" s="503"/>
    </row>
    <row r="65478" spans="23:23">
      <c r="W65478" s="503"/>
    </row>
    <row r="65479" spans="23:23">
      <c r="W65479" s="503"/>
    </row>
    <row r="65480" spans="23:23">
      <c r="W65480" s="503"/>
    </row>
    <row r="65481" spans="23:23">
      <c r="W65481" s="503"/>
    </row>
    <row r="65482" spans="23:23">
      <c r="W65482" s="503"/>
    </row>
    <row r="65483" spans="23:23">
      <c r="W65483" s="503"/>
    </row>
    <row r="65484" spans="23:23">
      <c r="W65484" s="503"/>
    </row>
    <row r="65485" spans="23:23">
      <c r="W65485" s="503"/>
    </row>
    <row r="65486" spans="23:23">
      <c r="W65486" s="503"/>
    </row>
    <row r="65487" spans="23:23">
      <c r="W65487" s="503"/>
    </row>
    <row r="65488" spans="23:23">
      <c r="W65488" s="503"/>
    </row>
    <row r="65489" spans="23:23">
      <c r="W65489" s="503"/>
    </row>
    <row r="65490" spans="23:23">
      <c r="W65490" s="503"/>
    </row>
    <row r="65491" spans="23:23">
      <c r="W65491" s="503"/>
    </row>
    <row r="65492" spans="23:23">
      <c r="W65492" s="503"/>
    </row>
    <row r="65493" spans="23:23">
      <c r="W65493" s="503"/>
    </row>
    <row r="65494" spans="23:23">
      <c r="W65494" s="503"/>
    </row>
    <row r="65495" spans="23:23">
      <c r="W65495" s="503"/>
    </row>
    <row r="65496" spans="23:23">
      <c r="W65496" s="503"/>
    </row>
    <row r="65497" spans="23:23">
      <c r="W65497" s="503"/>
    </row>
    <row r="65498" spans="23:23">
      <c r="W65498" s="503"/>
    </row>
    <row r="65499" spans="23:23">
      <c r="W65499" s="503"/>
    </row>
    <row r="65500" spans="23:23">
      <c r="W65500" s="503"/>
    </row>
    <row r="65501" spans="23:23">
      <c r="W65501" s="503"/>
    </row>
    <row r="65502" spans="23:23">
      <c r="W65502" s="503"/>
    </row>
    <row r="65503" spans="23:23">
      <c r="W65503" s="503"/>
    </row>
    <row r="65504" spans="23:23">
      <c r="W65504" s="503"/>
    </row>
    <row r="65505" spans="23:23">
      <c r="W65505" s="503"/>
    </row>
    <row r="65506" spans="23:23">
      <c r="W65506" s="503"/>
    </row>
    <row r="65507" spans="23:23">
      <c r="W65507" s="503"/>
    </row>
    <row r="65508" spans="23:23">
      <c r="W65508" s="503"/>
    </row>
    <row r="65509" spans="23:23">
      <c r="W65509" s="503"/>
    </row>
    <row r="65510" spans="23:23">
      <c r="W65510" s="503"/>
    </row>
    <row r="65511" spans="23:23">
      <c r="W65511" s="503"/>
    </row>
    <row r="65512" spans="23:23">
      <c r="W65512" s="503"/>
    </row>
    <row r="65513" spans="23:23">
      <c r="W65513" s="503"/>
    </row>
    <row r="65514" spans="23:23">
      <c r="W65514" s="503"/>
    </row>
    <row r="65515" spans="23:23">
      <c r="W65515" s="503"/>
    </row>
    <row r="65516" spans="23:23">
      <c r="W65516" s="503"/>
    </row>
    <row r="65517" spans="23:23">
      <c r="W65517" s="503"/>
    </row>
    <row r="65518" spans="23:23">
      <c r="W65518" s="503"/>
    </row>
    <row r="65519" spans="23:23">
      <c r="W65519" s="503"/>
    </row>
    <row r="65520" spans="23:23">
      <c r="W65520" s="503"/>
    </row>
    <row r="65521" spans="23:23">
      <c r="W65521" s="503"/>
    </row>
    <row r="65522" spans="23:23">
      <c r="W65522" s="503"/>
    </row>
    <row r="65523" spans="23:23">
      <c r="W65523" s="503"/>
    </row>
    <row r="65524" spans="23:23">
      <c r="W65524" s="503"/>
    </row>
    <row r="65525" spans="23:23">
      <c r="W65525" s="503"/>
    </row>
    <row r="65526" spans="23:23">
      <c r="W65526" s="503"/>
    </row>
    <row r="65527" spans="23:23">
      <c r="W65527" s="503"/>
    </row>
    <row r="65528" spans="23:23">
      <c r="W65528" s="503"/>
    </row>
    <row r="65529" spans="23:23">
      <c r="W65529" s="503"/>
    </row>
    <row r="65530" spans="23:23">
      <c r="W65530" s="503"/>
    </row>
    <row r="65531" spans="23:23">
      <c r="W65531" s="503"/>
    </row>
    <row r="65532" spans="23:23">
      <c r="W65532" s="503"/>
    </row>
    <row r="65533" spans="23:23">
      <c r="W65533" s="503"/>
    </row>
    <row r="65534" spans="23:23">
      <c r="W65534" s="503"/>
    </row>
    <row r="65535" spans="23:23">
      <c r="W65535" s="503"/>
    </row>
    <row r="65536" spans="23:23">
      <c r="W65536" s="503"/>
    </row>
  </sheetData>
  <pageMargins left="0.75" right="0.75" top="1" bottom="1" header="0.5" footer="0.5"/>
  <pageSetup paperSize="9" scale="51" fitToHeight="100" orientation="landscape" horizontalDpi="300" verticalDpi="300" r:id="rId1"/>
  <headerFooter alignWithMargins="0"/>
  <rowBreaks count="1" manualBreakCount="1">
    <brk id="80" max="16383" man="1"/>
  </rowBreaks>
  <colBreaks count="1" manualBreakCount="1">
    <brk id="11"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22"/>
    <pageSetUpPr fitToPage="1"/>
  </sheetPr>
  <dimension ref="A1:IV175"/>
  <sheetViews>
    <sheetView showGridLines="0" zoomScaleNormal="100" workbookViewId="0">
      <pane xSplit="1" ySplit="3" topLeftCell="R29" activePane="bottomRight" state="frozen"/>
      <selection activeCell="AA15" sqref="AA15"/>
      <selection pane="topRight" activeCell="AA15" sqref="AA15"/>
      <selection pane="bottomLeft" activeCell="AA15" sqref="AA15"/>
      <selection pane="bottomRight" activeCell="X52" sqref="X52"/>
    </sheetView>
  </sheetViews>
  <sheetFormatPr defaultRowHeight="12.75" outlineLevelRow="1" outlineLevelCol="1"/>
  <cols>
    <col min="1" max="1" width="26.140625" style="504" customWidth="1"/>
    <col min="2" max="10" width="9.28515625" style="504" hidden="1" customWidth="1" outlineLevel="1"/>
    <col min="11" max="11" width="9.28515625" style="504" customWidth="1" collapsed="1"/>
    <col min="12" max="24" width="9.28515625" style="504" customWidth="1"/>
    <col min="25" max="29" width="9.140625" style="504" customWidth="1"/>
    <col min="30" max="30" width="36" style="504" customWidth="1"/>
    <col min="31" max="31" width="9.140625" style="504" customWidth="1"/>
    <col min="32" max="32" width="12.5703125" style="504" customWidth="1"/>
    <col min="33" max="16384" width="9.140625" style="504"/>
  </cols>
  <sheetData>
    <row r="1" spans="1:34" s="503" customFormat="1">
      <c r="A1" s="501" t="s">
        <v>855</v>
      </c>
      <c r="B1" s="501"/>
      <c r="C1" s="501"/>
      <c r="D1" s="501"/>
      <c r="E1" s="501"/>
      <c r="F1" s="501"/>
      <c r="G1" s="502"/>
      <c r="H1" s="502"/>
      <c r="I1" s="502"/>
      <c r="J1" s="502"/>
      <c r="K1" s="502"/>
      <c r="L1" s="502"/>
      <c r="M1" s="502"/>
      <c r="T1" s="504"/>
      <c r="U1" s="504"/>
      <c r="V1" s="504"/>
      <c r="W1" s="504"/>
      <c r="X1" s="504"/>
      <c r="Y1" s="504"/>
      <c r="Z1" s="504"/>
      <c r="AA1" s="504"/>
      <c r="AB1" s="504"/>
      <c r="AC1" s="504"/>
    </row>
    <row r="2" spans="1:34" s="503" customFormat="1">
      <c r="A2" s="503" t="s">
        <v>856</v>
      </c>
      <c r="T2" s="504"/>
      <c r="U2" s="504"/>
      <c r="V2" s="504"/>
      <c r="W2" s="504"/>
      <c r="X2" s="504"/>
      <c r="Y2" s="504"/>
      <c r="Z2" s="504"/>
      <c r="AA2" s="504"/>
      <c r="AB2" s="504"/>
      <c r="AC2" s="504"/>
    </row>
    <row r="3" spans="1:34" s="503" customFormat="1">
      <c r="A3" s="506" t="s">
        <v>857</v>
      </c>
      <c r="B3" s="507">
        <v>1995</v>
      </c>
      <c r="C3" s="507">
        <v>1996</v>
      </c>
      <c r="D3" s="507">
        <v>1997</v>
      </c>
      <c r="E3" s="507">
        <v>1998</v>
      </c>
      <c r="F3" s="507">
        <v>1999</v>
      </c>
      <c r="G3" s="507">
        <v>2000</v>
      </c>
      <c r="H3" s="507">
        <f>I3-1</f>
        <v>2001</v>
      </c>
      <c r="I3" s="507">
        <f>J3-1</f>
        <v>2002</v>
      </c>
      <c r="J3" s="507">
        <f>K3-1</f>
        <v>2003</v>
      </c>
      <c r="K3" s="507">
        <v>2004</v>
      </c>
      <c r="L3" s="507">
        <v>2005</v>
      </c>
      <c r="M3" s="507">
        <v>2006</v>
      </c>
      <c r="N3" s="507">
        <f t="shared" ref="N3:AB3" si="0">M3+1</f>
        <v>2007</v>
      </c>
      <c r="O3" s="507">
        <f>N3+1</f>
        <v>2008</v>
      </c>
      <c r="P3" s="507">
        <f>O3+1</f>
        <v>2009</v>
      </c>
      <c r="Q3" s="507">
        <f t="shared" si="0"/>
        <v>2010</v>
      </c>
      <c r="R3" s="507">
        <f t="shared" si="0"/>
        <v>2011</v>
      </c>
      <c r="S3" s="507">
        <f t="shared" si="0"/>
        <v>2012</v>
      </c>
      <c r="T3" s="507">
        <f t="shared" si="0"/>
        <v>2013</v>
      </c>
      <c r="U3" s="507">
        <f t="shared" si="0"/>
        <v>2014</v>
      </c>
      <c r="V3" s="507">
        <f>U3+1</f>
        <v>2015</v>
      </c>
      <c r="W3" s="507">
        <f>V3+1</f>
        <v>2016</v>
      </c>
      <c r="X3" s="508">
        <f t="shared" si="0"/>
        <v>2017</v>
      </c>
      <c r="Y3" s="508">
        <f t="shared" si="0"/>
        <v>2018</v>
      </c>
      <c r="Z3" s="508">
        <f t="shared" si="0"/>
        <v>2019</v>
      </c>
      <c r="AA3" s="508">
        <f t="shared" si="0"/>
        <v>2020</v>
      </c>
      <c r="AB3" s="508">
        <f t="shared" si="0"/>
        <v>2021</v>
      </c>
      <c r="AC3" s="509"/>
    </row>
    <row r="4" spans="1:34" s="503" customFormat="1">
      <c r="A4" s="510" t="s">
        <v>858</v>
      </c>
      <c r="B4" s="562">
        <v>-208</v>
      </c>
      <c r="C4" s="671">
        <v>-261</v>
      </c>
      <c r="D4" s="671">
        <v>-331</v>
      </c>
      <c r="E4" s="562">
        <v>-354</v>
      </c>
      <c r="F4" s="562">
        <v>-402</v>
      </c>
      <c r="G4" s="562">
        <f>-405</f>
        <v>-405</v>
      </c>
      <c r="H4" s="562">
        <v>-396</v>
      </c>
      <c r="I4" s="562">
        <v>-377</v>
      </c>
      <c r="J4" s="562">
        <v>-492</v>
      </c>
      <c r="K4" s="562">
        <v>-554</v>
      </c>
      <c r="L4" s="562">
        <v>-630</v>
      </c>
      <c r="M4" s="562">
        <v>-704</v>
      </c>
      <c r="N4" s="672">
        <v>-632</v>
      </c>
      <c r="O4" s="672">
        <v>-403</v>
      </c>
      <c r="P4" s="562">
        <v>-293</v>
      </c>
      <c r="Q4" s="562">
        <v>-314</v>
      </c>
      <c r="R4" s="562">
        <f>-327</f>
        <v>-327</v>
      </c>
      <c r="S4" s="562">
        <v>-372</v>
      </c>
      <c r="T4" s="562">
        <v>-484</v>
      </c>
      <c r="U4" s="562">
        <v>-468</v>
      </c>
      <c r="V4" s="562">
        <f>-532</f>
        <v>-532</v>
      </c>
      <c r="W4" s="562">
        <v>-483</v>
      </c>
      <c r="X4" s="514">
        <f>W4*(1+X19)</f>
        <v>-499.42200000000003</v>
      </c>
      <c r="Y4" s="514">
        <f>X4*(1+Y19)</f>
        <v>-516.40234800000007</v>
      </c>
      <c r="Z4" s="514">
        <f>Y4*(1+Z19)</f>
        <v>-533.96002783200004</v>
      </c>
      <c r="AA4" s="514">
        <f>Z4*(1+AA19)</f>
        <v>-552.11466877828809</v>
      </c>
      <c r="AB4" s="514">
        <f>AA4*(1+AB19)</f>
        <v>-570.88656751674989</v>
      </c>
      <c r="AC4" s="515"/>
      <c r="AD4" s="516" t="s">
        <v>859</v>
      </c>
      <c r="AE4" s="516">
        <v>6</v>
      </c>
      <c r="AF4" s="516" t="s">
        <v>860</v>
      </c>
      <c r="AG4" s="517" t="b">
        <v>1</v>
      </c>
      <c r="AH4" s="516" t="b">
        <v>0</v>
      </c>
    </row>
    <row r="5" spans="1:34" s="503" customFormat="1">
      <c r="A5" s="510" t="s">
        <v>861</v>
      </c>
      <c r="B5" s="511"/>
      <c r="C5" s="671"/>
      <c r="D5" s="671"/>
      <c r="E5" s="511"/>
      <c r="F5" s="511"/>
      <c r="G5" s="511">
        <v>-133</v>
      </c>
      <c r="H5" s="511">
        <v>-138</v>
      </c>
      <c r="I5" s="511">
        <v>-137</v>
      </c>
      <c r="J5" s="511">
        <v>-135</v>
      </c>
      <c r="K5" s="511">
        <v>-106</v>
      </c>
      <c r="L5" s="511">
        <v>-126</v>
      </c>
      <c r="M5" s="511">
        <v>-120</v>
      </c>
      <c r="N5" s="511">
        <v>-109</v>
      </c>
      <c r="O5" s="511">
        <v>-99</v>
      </c>
      <c r="P5" s="572">
        <v>-83</v>
      </c>
      <c r="Q5" s="572">
        <v>-75</v>
      </c>
      <c r="R5" s="572">
        <f>-72</f>
        <v>-72</v>
      </c>
      <c r="S5" s="572">
        <v>-72</v>
      </c>
      <c r="T5" s="572">
        <v>-66</v>
      </c>
      <c r="U5" s="572">
        <v>-55</v>
      </c>
      <c r="V5" s="572">
        <f>-47</f>
        <v>-47</v>
      </c>
      <c r="W5" s="572">
        <v>-38</v>
      </c>
      <c r="X5" s="520">
        <f>W5</f>
        <v>-38</v>
      </c>
      <c r="Y5" s="520">
        <f>X5</f>
        <v>-38</v>
      </c>
      <c r="Z5" s="520">
        <f>Y5</f>
        <v>-38</v>
      </c>
      <c r="AA5" s="520">
        <f>Z5</f>
        <v>-38</v>
      </c>
      <c r="AB5" s="520">
        <f>AA5</f>
        <v>-38</v>
      </c>
      <c r="AC5" s="521"/>
      <c r="AD5" s="516" t="s">
        <v>862</v>
      </c>
      <c r="AE5" s="516">
        <v>6</v>
      </c>
      <c r="AF5" s="516" t="s">
        <v>860</v>
      </c>
      <c r="AG5" s="517" t="b">
        <v>1</v>
      </c>
      <c r="AH5" s="516" t="b">
        <v>0</v>
      </c>
    </row>
    <row r="6" spans="1:34" s="503" customFormat="1">
      <c r="A6" s="510" t="s">
        <v>863</v>
      </c>
      <c r="B6" s="511">
        <v>-785</v>
      </c>
      <c r="C6" s="671">
        <v>-819</v>
      </c>
      <c r="D6" s="671">
        <v>-857</v>
      </c>
      <c r="E6" s="511">
        <v>-867</v>
      </c>
      <c r="F6" s="511">
        <v>-823</v>
      </c>
      <c r="G6" s="511">
        <f>-918</f>
        <v>-918</v>
      </c>
      <c r="H6" s="511">
        <v>-974</v>
      </c>
      <c r="I6" s="511">
        <v>-977</v>
      </c>
      <c r="J6" s="511">
        <v>-1170</v>
      </c>
      <c r="K6" s="511">
        <v>-1332</v>
      </c>
      <c r="L6" s="511">
        <v>-1408</v>
      </c>
      <c r="M6" s="511">
        <v>-1396</v>
      </c>
      <c r="N6" s="562">
        <v>-1650</v>
      </c>
      <c r="O6" s="562">
        <v>-1519</v>
      </c>
      <c r="P6" s="672">
        <v>-1253</v>
      </c>
      <c r="Q6" s="672">
        <v>-1249</v>
      </c>
      <c r="R6" s="672">
        <v>-1227</v>
      </c>
      <c r="S6" s="672">
        <v>-1189</v>
      </c>
      <c r="T6" s="672">
        <v>-1137</v>
      </c>
      <c r="U6" s="672">
        <v>-1189</v>
      </c>
      <c r="V6" s="672">
        <f>-936</f>
        <v>-936</v>
      </c>
      <c r="W6" s="672">
        <v>-782</v>
      </c>
      <c r="X6" s="514">
        <f>X27*X17</f>
        <v>-747.2256000000001</v>
      </c>
      <c r="Y6" s="514">
        <f>Y27*Y17</f>
        <v>-709.77840048000007</v>
      </c>
      <c r="Z6" s="514">
        <f>Z27*Z17</f>
        <v>-826.22454614783999</v>
      </c>
      <c r="AA6" s="514">
        <f>AA27*AA17</f>
        <v>-871.44131067462718</v>
      </c>
      <c r="AB6" s="514">
        <f>AB27*AB17</f>
        <v>-897.48469618318416</v>
      </c>
      <c r="AC6" s="515"/>
      <c r="AD6" s="516" t="s">
        <v>864</v>
      </c>
      <c r="AE6" s="516">
        <v>6</v>
      </c>
      <c r="AF6" s="516" t="s">
        <v>860</v>
      </c>
      <c r="AG6" s="517" t="b">
        <v>1</v>
      </c>
      <c r="AH6" s="516" t="b">
        <v>0</v>
      </c>
    </row>
    <row r="7" spans="1:34" s="503" customFormat="1">
      <c r="A7" s="510" t="s">
        <v>865</v>
      </c>
      <c r="B7" s="562">
        <v>766</v>
      </c>
      <c r="C7" s="671">
        <v>790</v>
      </c>
      <c r="D7" s="671">
        <v>931</v>
      </c>
      <c r="E7" s="562">
        <v>986</v>
      </c>
      <c r="F7" s="562">
        <v>1026</v>
      </c>
      <c r="G7" s="562">
        <v>1162</v>
      </c>
      <c r="H7" s="562">
        <v>1184</v>
      </c>
      <c r="I7" s="562">
        <v>1265</v>
      </c>
      <c r="J7" s="562">
        <v>1382</v>
      </c>
      <c r="K7" s="562">
        <v>1651</v>
      </c>
      <c r="L7" s="562">
        <v>1633</v>
      </c>
      <c r="M7" s="562">
        <v>1643</v>
      </c>
      <c r="N7" s="673">
        <v>1905</v>
      </c>
      <c r="O7" s="673">
        <v>1693</v>
      </c>
      <c r="P7" s="673">
        <v>1309</v>
      </c>
      <c r="Q7" s="673">
        <v>1337</v>
      </c>
      <c r="R7" s="673">
        <v>1404</v>
      </c>
      <c r="S7" s="673">
        <v>1340</v>
      </c>
      <c r="T7" s="673">
        <v>1382</v>
      </c>
      <c r="U7" s="673">
        <v>1534</v>
      </c>
      <c r="V7" s="673">
        <v>1480</v>
      </c>
      <c r="W7" s="673">
        <v>1339</v>
      </c>
      <c r="X7" s="523">
        <f>X41*X21</f>
        <v>1420.5244</v>
      </c>
      <c r="Y7" s="523">
        <f>Y41*Y21</f>
        <v>1486.7175566399999</v>
      </c>
      <c r="Z7" s="523">
        <f>Z41*Z21</f>
        <v>1556.5910527891838</v>
      </c>
      <c r="AA7" s="523">
        <f>AA41*AA21</f>
        <v>1630.3495153242625</v>
      </c>
      <c r="AB7" s="523">
        <f>AB41*AB21</f>
        <v>1708.2089483762913</v>
      </c>
      <c r="AC7" s="523"/>
      <c r="AD7" s="516" t="s">
        <v>866</v>
      </c>
      <c r="AE7" s="516">
        <v>6</v>
      </c>
      <c r="AF7" s="516" t="s">
        <v>860</v>
      </c>
      <c r="AG7" s="516" t="b">
        <v>0</v>
      </c>
      <c r="AH7" s="516" t="b">
        <v>0</v>
      </c>
    </row>
    <row r="8" spans="1:34" s="503" customFormat="1">
      <c r="A8" s="510" t="s">
        <v>133</v>
      </c>
      <c r="B8" s="562">
        <v>-234</v>
      </c>
      <c r="C8" s="671">
        <f>-103-95</f>
        <v>-198</v>
      </c>
      <c r="D8" s="671">
        <f>-92-56</f>
        <v>-148</v>
      </c>
      <c r="E8" s="562">
        <f>-114-129</f>
        <v>-243</v>
      </c>
      <c r="F8" s="562">
        <f>-105-183</f>
        <v>-288</v>
      </c>
      <c r="G8" s="562">
        <v>-17</v>
      </c>
      <c r="H8" s="562"/>
      <c r="I8" s="562">
        <v>-25</v>
      </c>
      <c r="J8" s="562">
        <v>-148</v>
      </c>
      <c r="K8" s="562">
        <v>-204</v>
      </c>
      <c r="L8" s="562">
        <v>-352</v>
      </c>
      <c r="M8" s="562">
        <v>-568</v>
      </c>
      <c r="N8" s="511">
        <v>-460</v>
      </c>
      <c r="O8" s="511">
        <v>-208</v>
      </c>
      <c r="P8" s="672">
        <v>-158</v>
      </c>
      <c r="Q8" s="672">
        <v>-246</v>
      </c>
      <c r="R8" s="672">
        <v>-333</v>
      </c>
      <c r="S8" s="672">
        <v>-412</v>
      </c>
      <c r="T8" s="672">
        <v>-686</v>
      </c>
      <c r="U8" s="672">
        <f>-2801</f>
        <v>-2801</v>
      </c>
      <c r="V8" s="672">
        <v>974</v>
      </c>
      <c r="W8" s="672">
        <v>-1876</v>
      </c>
      <c r="X8" s="674"/>
      <c r="Y8" s="674"/>
      <c r="Z8" s="674"/>
      <c r="AA8" s="674"/>
      <c r="AB8" s="674"/>
      <c r="AC8" s="525"/>
      <c r="AD8" s="516" t="s">
        <v>867</v>
      </c>
      <c r="AE8" s="516">
        <v>6</v>
      </c>
      <c r="AF8" s="516" t="s">
        <v>860</v>
      </c>
      <c r="AG8" s="516" t="b">
        <v>0</v>
      </c>
      <c r="AH8" s="516" t="b">
        <v>0</v>
      </c>
    </row>
    <row r="9" spans="1:34" s="503" customFormat="1">
      <c r="A9" s="510" t="s">
        <v>868</v>
      </c>
      <c r="B9" s="526"/>
      <c r="C9" s="675">
        <v>-39</v>
      </c>
      <c r="D9" s="675">
        <v>-61</v>
      </c>
      <c r="E9" s="526">
        <v>-13</v>
      </c>
      <c r="F9" s="526">
        <v>-10</v>
      </c>
      <c r="G9" s="526"/>
      <c r="H9" s="526">
        <v>101</v>
      </c>
      <c r="I9" s="526">
        <v>-39</v>
      </c>
      <c r="J9" s="526">
        <v>0</v>
      </c>
      <c r="K9" s="526">
        <v>0</v>
      </c>
      <c r="L9" s="526">
        <v>0</v>
      </c>
      <c r="M9" s="526">
        <v>0</v>
      </c>
      <c r="N9" s="580"/>
      <c r="O9" s="580"/>
      <c r="P9" s="580"/>
      <c r="Q9" s="580"/>
      <c r="R9" s="580"/>
      <c r="S9" s="529"/>
      <c r="T9" s="529"/>
      <c r="U9" s="529"/>
      <c r="V9" s="529"/>
      <c r="W9" s="529"/>
      <c r="X9" s="529"/>
      <c r="Y9" s="529"/>
      <c r="Z9" s="529"/>
      <c r="AA9" s="529"/>
      <c r="AB9" s="529"/>
      <c r="AC9" s="525"/>
      <c r="AD9" s="516" t="s">
        <v>869</v>
      </c>
      <c r="AE9" s="516">
        <v>6</v>
      </c>
      <c r="AF9" s="516" t="s">
        <v>860</v>
      </c>
      <c r="AG9" s="517" t="b">
        <v>1</v>
      </c>
      <c r="AH9" s="516" t="b">
        <v>0</v>
      </c>
    </row>
    <row r="10" spans="1:34" s="503" customFormat="1">
      <c r="A10" s="510" t="s">
        <v>870</v>
      </c>
      <c r="B10" s="521">
        <f t="shared" ref="B10:H10" si="1">SUM(B4:B9)</f>
        <v>-461</v>
      </c>
      <c r="C10" s="521">
        <f t="shared" si="1"/>
        <v>-527</v>
      </c>
      <c r="D10" s="521">
        <f t="shared" si="1"/>
        <v>-466</v>
      </c>
      <c r="E10" s="521">
        <f t="shared" si="1"/>
        <v>-491</v>
      </c>
      <c r="F10" s="521">
        <f t="shared" si="1"/>
        <v>-497</v>
      </c>
      <c r="G10" s="521">
        <f t="shared" si="1"/>
        <v>-311</v>
      </c>
      <c r="H10" s="521">
        <f t="shared" si="1"/>
        <v>-223</v>
      </c>
      <c r="I10" s="521">
        <f>SUM(I4:I9)</f>
        <v>-290</v>
      </c>
      <c r="J10" s="521">
        <f>SUM(J4:J9)</f>
        <v>-563</v>
      </c>
      <c r="K10" s="521">
        <f>SUM(K4:K9)</f>
        <v>-545</v>
      </c>
      <c r="L10" s="521">
        <f>SUM(L4:L9)</f>
        <v>-883</v>
      </c>
      <c r="M10" s="521">
        <f>SUM(M4:M9)</f>
        <v>-1145</v>
      </c>
      <c r="N10" s="520">
        <f t="shared" ref="N10:Y10" si="2">SUM(N4:N8)</f>
        <v>-946</v>
      </c>
      <c r="O10" s="520">
        <f>SUM(O4:O8)</f>
        <v>-536</v>
      </c>
      <c r="P10" s="520">
        <f>SUM(P4:P8)</f>
        <v>-478</v>
      </c>
      <c r="Q10" s="520">
        <f t="shared" si="2"/>
        <v>-547</v>
      </c>
      <c r="R10" s="520">
        <f t="shared" si="2"/>
        <v>-555</v>
      </c>
      <c r="S10" s="520">
        <f t="shared" si="2"/>
        <v>-705</v>
      </c>
      <c r="T10" s="520">
        <f t="shared" si="2"/>
        <v>-991</v>
      </c>
      <c r="U10" s="520">
        <f t="shared" si="2"/>
        <v>-2979</v>
      </c>
      <c r="V10" s="520">
        <f t="shared" si="2"/>
        <v>939</v>
      </c>
      <c r="W10" s="520">
        <f t="shared" si="2"/>
        <v>-1840</v>
      </c>
      <c r="X10" s="520">
        <f t="shared" si="2"/>
        <v>135.87679999999978</v>
      </c>
      <c r="Y10" s="520">
        <f t="shared" si="2"/>
        <v>222.53680815999974</v>
      </c>
      <c r="Z10" s="520">
        <f>SUM(Z4:Z8)</f>
        <v>158.40647880934375</v>
      </c>
      <c r="AA10" s="520">
        <f>SUM(AA4:AA8)</f>
        <v>168.7935358713471</v>
      </c>
      <c r="AB10" s="520">
        <f>SUM(AB4:AB8)</f>
        <v>201.83768467635741</v>
      </c>
      <c r="AC10" s="521"/>
      <c r="AF10" s="516"/>
      <c r="AG10" s="516"/>
      <c r="AH10" s="516"/>
    </row>
    <row r="11" spans="1:34" s="503" customFormat="1">
      <c r="A11" s="510"/>
      <c r="B11" s="521"/>
      <c r="C11" s="521"/>
      <c r="D11" s="521"/>
      <c r="E11" s="521"/>
      <c r="F11" s="521"/>
      <c r="G11" s="521"/>
      <c r="H11" s="521"/>
      <c r="I11" s="521"/>
      <c r="J11" s="521"/>
      <c r="K11" s="521"/>
      <c r="L11" s="521"/>
      <c r="M11" s="521"/>
      <c r="N11" s="520"/>
      <c r="O11" s="520"/>
      <c r="P11" s="520"/>
      <c r="Q11" s="520"/>
      <c r="R11" s="520"/>
      <c r="S11" s="520"/>
      <c r="T11" s="520"/>
      <c r="U11" s="520"/>
      <c r="V11" s="520"/>
      <c r="W11" s="520"/>
      <c r="X11" s="520"/>
      <c r="Y11" s="520"/>
      <c r="Z11" s="520"/>
      <c r="AA11" s="520"/>
      <c r="AB11" s="520"/>
      <c r="AC11" s="521"/>
      <c r="AF11" s="516"/>
      <c r="AG11" s="516"/>
      <c r="AH11" s="516"/>
    </row>
    <row r="12" spans="1:34" s="503" customFormat="1">
      <c r="A12" s="510" t="s">
        <v>871</v>
      </c>
      <c r="B12" s="526">
        <v>0</v>
      </c>
      <c r="C12" s="526">
        <v>0</v>
      </c>
      <c r="D12" s="526">
        <v>0</v>
      </c>
      <c r="E12" s="526">
        <v>0</v>
      </c>
      <c r="F12" s="526">
        <v>0</v>
      </c>
      <c r="G12" s="526">
        <v>-184</v>
      </c>
      <c r="H12" s="526">
        <v>-8</v>
      </c>
      <c r="I12" s="526">
        <v>0</v>
      </c>
      <c r="J12" s="526">
        <v>-128</v>
      </c>
      <c r="K12" s="526">
        <v>-78</v>
      </c>
      <c r="L12" s="526">
        <v>-422</v>
      </c>
      <c r="M12" s="526">
        <f>-263-206</f>
        <v>-469</v>
      </c>
      <c r="N12" s="580">
        <f>-190+8</f>
        <v>-182</v>
      </c>
      <c r="O12" s="580">
        <v>-138</v>
      </c>
      <c r="P12" s="580">
        <f>-176-47</f>
        <v>-223</v>
      </c>
      <c r="Q12" s="580">
        <v>-26</v>
      </c>
      <c r="R12" s="580">
        <f>-138-111</f>
        <v>-249</v>
      </c>
      <c r="S12" s="580">
        <v>-162</v>
      </c>
      <c r="T12" s="580">
        <f>-242-5</f>
        <v>-247</v>
      </c>
      <c r="U12" s="580">
        <f>-83-13</f>
        <v>-96</v>
      </c>
      <c r="V12" s="580">
        <f>-39</f>
        <v>-39</v>
      </c>
      <c r="W12" s="580">
        <f>-81-2</f>
        <v>-83</v>
      </c>
      <c r="X12" s="529">
        <v>0</v>
      </c>
      <c r="Y12" s="529">
        <v>0</v>
      </c>
      <c r="Z12" s="529">
        <v>0</v>
      </c>
      <c r="AA12" s="529">
        <v>0</v>
      </c>
      <c r="AB12" s="529">
        <v>0</v>
      </c>
      <c r="AC12" s="515"/>
      <c r="AD12" s="516" t="s">
        <v>872</v>
      </c>
      <c r="AE12" s="516">
        <v>6</v>
      </c>
      <c r="AF12" s="516" t="s">
        <v>860</v>
      </c>
      <c r="AG12" s="517" t="b">
        <v>1</v>
      </c>
      <c r="AH12" s="516" t="b">
        <v>0</v>
      </c>
    </row>
    <row r="13" spans="1:34" s="503" customFormat="1">
      <c r="A13" s="510"/>
      <c r="B13" s="532">
        <f t="shared" ref="B13:Y13" si="3">B10+B12</f>
        <v>-461</v>
      </c>
      <c r="C13" s="532">
        <f t="shared" si="3"/>
        <v>-527</v>
      </c>
      <c r="D13" s="532">
        <f t="shared" si="3"/>
        <v>-466</v>
      </c>
      <c r="E13" s="532">
        <f t="shared" si="3"/>
        <v>-491</v>
      </c>
      <c r="F13" s="532">
        <f t="shared" si="3"/>
        <v>-497</v>
      </c>
      <c r="G13" s="532">
        <f t="shared" si="3"/>
        <v>-495</v>
      </c>
      <c r="H13" s="532">
        <f t="shared" si="3"/>
        <v>-231</v>
      </c>
      <c r="I13" s="532">
        <f t="shared" si="3"/>
        <v>-290</v>
      </c>
      <c r="J13" s="532">
        <f t="shared" si="3"/>
        <v>-691</v>
      </c>
      <c r="K13" s="532">
        <f t="shared" si="3"/>
        <v>-623</v>
      </c>
      <c r="L13" s="532">
        <f t="shared" si="3"/>
        <v>-1305</v>
      </c>
      <c r="M13" s="532">
        <f t="shared" si="3"/>
        <v>-1614</v>
      </c>
      <c r="N13" s="531">
        <f t="shared" si="3"/>
        <v>-1128</v>
      </c>
      <c r="O13" s="531">
        <f>O10+O12</f>
        <v>-674</v>
      </c>
      <c r="P13" s="531">
        <f>P10+P12</f>
        <v>-701</v>
      </c>
      <c r="Q13" s="531">
        <f t="shared" si="3"/>
        <v>-573</v>
      </c>
      <c r="R13" s="531">
        <f t="shared" si="3"/>
        <v>-804</v>
      </c>
      <c r="S13" s="531">
        <f t="shared" si="3"/>
        <v>-867</v>
      </c>
      <c r="T13" s="531">
        <f t="shared" si="3"/>
        <v>-1238</v>
      </c>
      <c r="U13" s="531">
        <f t="shared" si="3"/>
        <v>-3075</v>
      </c>
      <c r="V13" s="531">
        <f t="shared" si="3"/>
        <v>900</v>
      </c>
      <c r="W13" s="531">
        <f t="shared" si="3"/>
        <v>-1923</v>
      </c>
      <c r="X13" s="531">
        <f t="shared" si="3"/>
        <v>135.87679999999978</v>
      </c>
      <c r="Y13" s="531">
        <f t="shared" si="3"/>
        <v>222.53680815999974</v>
      </c>
      <c r="Z13" s="531">
        <f>Z10+Z12</f>
        <v>158.40647880934375</v>
      </c>
      <c r="AA13" s="531">
        <f>AA10+AA12</f>
        <v>168.7935358713471</v>
      </c>
      <c r="AB13" s="531">
        <f>AB10+AB12</f>
        <v>201.83768467635741</v>
      </c>
      <c r="AC13" s="532"/>
      <c r="AF13" s="516"/>
      <c r="AG13" s="516"/>
      <c r="AH13" s="516"/>
    </row>
    <row r="14" spans="1:34" s="503" customFormat="1">
      <c r="A14" s="510"/>
      <c r="B14" s="521"/>
      <c r="C14" s="521"/>
      <c r="D14" s="521"/>
      <c r="E14" s="521"/>
      <c r="F14" s="521"/>
      <c r="G14" s="521"/>
      <c r="H14" s="521"/>
      <c r="I14" s="521"/>
      <c r="J14" s="521"/>
      <c r="K14" s="521"/>
      <c r="L14" s="521"/>
      <c r="M14" s="521"/>
      <c r="N14" s="533"/>
      <c r="O14" s="533"/>
      <c r="P14" s="533"/>
      <c r="Q14" s="562"/>
      <c r="R14" s="562"/>
      <c r="S14" s="531">
        <f t="shared" ref="S14:X14" si="4">SUM(S5:S9)</f>
        <v>-333</v>
      </c>
      <c r="T14" s="531">
        <f t="shared" si="4"/>
        <v>-507</v>
      </c>
      <c r="U14" s="531">
        <f>SUM(U5:U9)</f>
        <v>-2511</v>
      </c>
      <c r="V14" s="531">
        <f t="shared" si="4"/>
        <v>1471</v>
      </c>
      <c r="W14" s="531">
        <f t="shared" si="4"/>
        <v>-1357</v>
      </c>
      <c r="X14" s="531">
        <f t="shared" si="4"/>
        <v>635.29879999999991</v>
      </c>
      <c r="Y14" s="531">
        <f>SUM(Y5:Y9)</f>
        <v>738.93915615999981</v>
      </c>
      <c r="Z14" s="531">
        <f>SUM(Z5:Z9)</f>
        <v>692.36650664134379</v>
      </c>
      <c r="AA14" s="531">
        <f>SUM(AA5:AA9)</f>
        <v>720.90820464963531</v>
      </c>
      <c r="AB14" s="531">
        <f>SUM(AB5:AB9)</f>
        <v>772.72425219310719</v>
      </c>
      <c r="AC14" s="535"/>
      <c r="AF14" s="516"/>
      <c r="AG14" s="516"/>
      <c r="AH14" s="516"/>
    </row>
    <row r="15" spans="1:34" s="503" customFormat="1">
      <c r="A15" s="510"/>
      <c r="B15" s="533"/>
      <c r="C15" s="533"/>
      <c r="D15" s="533"/>
      <c r="E15" s="533"/>
      <c r="F15" s="533"/>
      <c r="G15" s="533"/>
      <c r="H15" s="533"/>
      <c r="I15" s="533"/>
      <c r="J15" s="533"/>
      <c r="K15" s="520"/>
      <c r="L15" s="520"/>
      <c r="M15" s="520"/>
      <c r="N15" s="533"/>
      <c r="O15" s="533"/>
      <c r="P15" s="533"/>
      <c r="Q15" s="534"/>
      <c r="R15" s="534"/>
      <c r="S15" s="534"/>
      <c r="T15" s="676"/>
      <c r="U15" s="676"/>
      <c r="V15" s="534"/>
      <c r="W15" s="534"/>
      <c r="X15" s="534"/>
      <c r="Y15" s="534"/>
      <c r="Z15" s="534"/>
      <c r="AA15" s="534"/>
      <c r="AB15" s="534"/>
      <c r="AC15" s="535"/>
      <c r="AF15" s="516"/>
      <c r="AG15" s="516"/>
      <c r="AH15" s="516"/>
    </row>
    <row r="16" spans="1:34" s="503" customFormat="1">
      <c r="A16" s="537" t="s">
        <v>249</v>
      </c>
      <c r="B16" s="538"/>
      <c r="C16" s="538"/>
      <c r="D16" s="538"/>
      <c r="E16" s="538"/>
      <c r="F16" s="538"/>
      <c r="G16" s="538"/>
      <c r="H16" s="538"/>
      <c r="I16" s="538"/>
      <c r="J16" s="538"/>
      <c r="K16" s="538"/>
      <c r="L16" s="538"/>
      <c r="M16" s="538"/>
      <c r="N16" s="533"/>
      <c r="O16" s="533"/>
      <c r="P16" s="533"/>
      <c r="Q16" s="534"/>
      <c r="R16" s="534"/>
      <c r="S16" s="534"/>
      <c r="T16" s="534"/>
      <c r="U16" s="531"/>
      <c r="V16" s="534"/>
      <c r="W16" s="534"/>
      <c r="X16" s="534"/>
      <c r="Y16" s="534"/>
      <c r="Z16" s="534"/>
      <c r="AA16" s="534"/>
      <c r="AB16" s="534"/>
      <c r="AC16" s="535"/>
      <c r="AF16" s="516"/>
      <c r="AG16" s="516"/>
      <c r="AH16" s="516"/>
    </row>
    <row r="17" spans="1:256" s="503" customFormat="1">
      <c r="A17" s="510" t="s">
        <v>79</v>
      </c>
      <c r="B17" s="540" t="str">
        <f t="shared" ref="B17:AB17" si="5">A18</f>
        <v>Discount rate - End of period used for PBO</v>
      </c>
      <c r="C17" s="540">
        <f t="shared" si="5"/>
        <v>0</v>
      </c>
      <c r="D17" s="540">
        <f t="shared" si="5"/>
        <v>0</v>
      </c>
      <c r="E17" s="540">
        <f t="shared" si="5"/>
        <v>7.0999999999999994E-2</v>
      </c>
      <c r="F17" s="540">
        <f t="shared" si="5"/>
        <v>5.6500000000000002E-2</v>
      </c>
      <c r="G17" s="540">
        <f t="shared" si="5"/>
        <v>5.7000000000000002E-2</v>
      </c>
      <c r="H17" s="540">
        <f t="shared" si="5"/>
        <v>6.0999999999999999E-2</v>
      </c>
      <c r="I17" s="540">
        <f t="shared" si="5"/>
        <v>6.0999999999999999E-2</v>
      </c>
      <c r="J17" s="540">
        <f t="shared" si="5"/>
        <v>5.6500000000000002E-2</v>
      </c>
      <c r="K17" s="540">
        <f t="shared" si="5"/>
        <v>5.6099999999999997E-2</v>
      </c>
      <c r="L17" s="540">
        <f t="shared" si="5"/>
        <v>5.1799999999999999E-2</v>
      </c>
      <c r="M17" s="540">
        <f t="shared" si="5"/>
        <v>4.58E-2</v>
      </c>
      <c r="N17" s="540">
        <f t="shared" si="5"/>
        <v>4.9099999999999998E-2</v>
      </c>
      <c r="O17" s="540">
        <f>N18</f>
        <v>5.5800000000000002E-2</v>
      </c>
      <c r="P17" s="540">
        <f>O18</f>
        <v>5.9499999999999997E-2</v>
      </c>
      <c r="Q17" s="540">
        <f t="shared" si="5"/>
        <v>5.6800000000000003E-2</v>
      </c>
      <c r="R17" s="540">
        <f t="shared" si="5"/>
        <v>5.3100000000000001E-2</v>
      </c>
      <c r="S17" s="540">
        <f t="shared" si="5"/>
        <v>4.8399999999999999E-2</v>
      </c>
      <c r="T17" s="540">
        <f t="shared" si="5"/>
        <v>3.9199999999999999E-2</v>
      </c>
      <c r="U17" s="540">
        <f t="shared" si="5"/>
        <v>4.07E-2</v>
      </c>
      <c r="V17" s="540">
        <f t="shared" si="5"/>
        <v>3.0599999999999999E-2</v>
      </c>
      <c r="W17" s="540">
        <f t="shared" si="5"/>
        <v>3.2000000000000001E-2</v>
      </c>
      <c r="X17" s="540">
        <f t="shared" si="5"/>
        <v>2.4400000000000002E-2</v>
      </c>
      <c r="Y17" s="540">
        <f t="shared" si="5"/>
        <v>2.2800000000000001E-2</v>
      </c>
      <c r="Z17" s="540">
        <f t="shared" si="5"/>
        <v>2.8000000000000001E-2</v>
      </c>
      <c r="AA17" s="540">
        <f t="shared" si="5"/>
        <v>0.03</v>
      </c>
      <c r="AB17" s="540">
        <f t="shared" si="5"/>
        <v>3.1E-2</v>
      </c>
      <c r="AC17" s="539"/>
      <c r="AF17" s="516"/>
      <c r="AG17" s="516"/>
      <c r="AH17" s="516"/>
    </row>
    <row r="18" spans="1:256" s="503" customFormat="1">
      <c r="A18" s="541" t="s">
        <v>80</v>
      </c>
      <c r="B18" s="542"/>
      <c r="C18" s="542"/>
      <c r="D18" s="542">
        <v>7.0999999999999994E-2</v>
      </c>
      <c r="E18" s="542">
        <v>5.6500000000000002E-2</v>
      </c>
      <c r="F18" s="542">
        <v>5.7000000000000002E-2</v>
      </c>
      <c r="G18" s="542">
        <v>6.0999999999999999E-2</v>
      </c>
      <c r="H18" s="542">
        <v>6.0999999999999999E-2</v>
      </c>
      <c r="I18" s="542">
        <v>5.6500000000000002E-2</v>
      </c>
      <c r="J18" s="542">
        <v>5.6099999999999997E-2</v>
      </c>
      <c r="K18" s="542">
        <v>5.1799999999999999E-2</v>
      </c>
      <c r="L18" s="542">
        <v>4.58E-2</v>
      </c>
      <c r="M18" s="542">
        <v>4.9099999999999998E-2</v>
      </c>
      <c r="N18" s="542">
        <v>5.5800000000000002E-2</v>
      </c>
      <c r="O18" s="542">
        <v>5.9499999999999997E-2</v>
      </c>
      <c r="P18" s="542">
        <v>5.6800000000000003E-2</v>
      </c>
      <c r="Q18" s="542">
        <v>5.3100000000000001E-2</v>
      </c>
      <c r="R18" s="542">
        <v>4.8399999999999999E-2</v>
      </c>
      <c r="S18" s="542">
        <v>3.9199999999999999E-2</v>
      </c>
      <c r="T18" s="542">
        <v>4.07E-2</v>
      </c>
      <c r="U18" s="542">
        <v>3.0599999999999999E-2</v>
      </c>
      <c r="V18" s="542">
        <v>3.2000000000000001E-2</v>
      </c>
      <c r="W18" s="542">
        <v>2.4400000000000002E-2</v>
      </c>
      <c r="X18" s="544">
        <v>2.2800000000000001E-2</v>
      </c>
      <c r="Y18" s="544">
        <v>2.8000000000000001E-2</v>
      </c>
      <c r="Z18" s="544">
        <v>0.03</v>
      </c>
      <c r="AA18" s="544">
        <v>3.1E-2</v>
      </c>
      <c r="AB18" s="544">
        <v>3.1E-2</v>
      </c>
      <c r="AC18" s="539"/>
      <c r="AD18" s="545" t="s">
        <v>873</v>
      </c>
      <c r="AE18" s="545">
        <v>0</v>
      </c>
      <c r="AF18" s="516" t="s">
        <v>874</v>
      </c>
      <c r="AG18" s="516" t="b">
        <v>0</v>
      </c>
      <c r="AH18" s="516" t="b">
        <v>0</v>
      </c>
      <c r="AI18" s="541"/>
      <c r="AJ18" s="541"/>
      <c r="AK18" s="541"/>
      <c r="AL18" s="541"/>
      <c r="AM18" s="541"/>
      <c r="AN18" s="541"/>
      <c r="AO18" s="541"/>
      <c r="AP18" s="541"/>
      <c r="AQ18" s="541"/>
      <c r="AR18" s="541"/>
      <c r="AS18" s="541"/>
      <c r="AT18" s="541"/>
      <c r="AU18" s="541"/>
      <c r="AV18" s="541"/>
      <c r="AW18" s="541"/>
      <c r="AX18" s="541"/>
      <c r="AY18" s="541"/>
      <c r="AZ18" s="541"/>
      <c r="BA18" s="541"/>
      <c r="BB18" s="541"/>
      <c r="BC18" s="541"/>
      <c r="BD18" s="541"/>
      <c r="BE18" s="541"/>
      <c r="BF18" s="541"/>
      <c r="BG18" s="541"/>
      <c r="BH18" s="541"/>
      <c r="BI18" s="541"/>
      <c r="BJ18" s="541"/>
      <c r="BK18" s="541"/>
      <c r="BL18" s="541"/>
      <c r="BM18" s="541"/>
      <c r="BN18" s="541"/>
      <c r="BO18" s="541"/>
      <c r="BP18" s="541"/>
      <c r="BQ18" s="541"/>
      <c r="BR18" s="541"/>
      <c r="BS18" s="541"/>
      <c r="BT18" s="541"/>
      <c r="BU18" s="541"/>
      <c r="BV18" s="541"/>
      <c r="BW18" s="541"/>
      <c r="BX18" s="541"/>
      <c r="BY18" s="541"/>
      <c r="BZ18" s="541"/>
      <c r="CA18" s="541"/>
      <c r="CB18" s="541"/>
      <c r="CC18" s="541"/>
      <c r="CD18" s="541"/>
      <c r="CE18" s="541"/>
      <c r="CF18" s="541"/>
      <c r="CG18" s="541"/>
      <c r="CH18" s="541"/>
      <c r="CI18" s="541"/>
      <c r="CJ18" s="541"/>
      <c r="CK18" s="541"/>
      <c r="CL18" s="541"/>
      <c r="CM18" s="541"/>
      <c r="CN18" s="541"/>
      <c r="CO18" s="541"/>
      <c r="CP18" s="541"/>
      <c r="CQ18" s="541"/>
      <c r="CR18" s="541"/>
      <c r="CS18" s="541"/>
      <c r="CT18" s="541"/>
      <c r="CU18" s="541"/>
      <c r="CV18" s="541"/>
      <c r="CW18" s="541"/>
      <c r="CX18" s="541"/>
      <c r="CY18" s="541"/>
      <c r="CZ18" s="541"/>
      <c r="DA18" s="541"/>
      <c r="DB18" s="541"/>
      <c r="DC18" s="541"/>
      <c r="DD18" s="541"/>
      <c r="DE18" s="541"/>
      <c r="DF18" s="541"/>
      <c r="DG18" s="541"/>
      <c r="DH18" s="541"/>
      <c r="DI18" s="541"/>
      <c r="DJ18" s="541"/>
      <c r="DK18" s="541"/>
      <c r="DL18" s="541"/>
      <c r="DM18" s="541"/>
      <c r="DN18" s="541"/>
      <c r="DO18" s="541"/>
      <c r="DP18" s="541"/>
      <c r="DQ18" s="541"/>
      <c r="DR18" s="541"/>
      <c r="DS18" s="541"/>
      <c r="DT18" s="541"/>
      <c r="DU18" s="541"/>
      <c r="DV18" s="541"/>
      <c r="DW18" s="541"/>
      <c r="DX18" s="541"/>
      <c r="DY18" s="541"/>
      <c r="DZ18" s="541"/>
      <c r="EA18" s="541"/>
      <c r="EB18" s="541"/>
      <c r="EC18" s="541"/>
      <c r="ED18" s="541"/>
      <c r="EE18" s="541"/>
      <c r="EF18" s="541"/>
      <c r="EG18" s="541"/>
      <c r="EH18" s="541"/>
      <c r="EI18" s="541"/>
      <c r="EJ18" s="541"/>
      <c r="EK18" s="541"/>
      <c r="EL18" s="541"/>
      <c r="EM18" s="541"/>
      <c r="EN18" s="541"/>
      <c r="EO18" s="541"/>
      <c r="EP18" s="541"/>
      <c r="EQ18" s="541"/>
      <c r="ER18" s="541"/>
      <c r="ES18" s="541"/>
      <c r="ET18" s="541"/>
      <c r="EU18" s="541"/>
      <c r="EV18" s="541"/>
      <c r="EW18" s="541"/>
      <c r="EX18" s="541"/>
      <c r="EY18" s="541"/>
      <c r="EZ18" s="541"/>
      <c r="FA18" s="541"/>
      <c r="FB18" s="541"/>
      <c r="FC18" s="541"/>
      <c r="FD18" s="541"/>
      <c r="FE18" s="541"/>
      <c r="FF18" s="541"/>
      <c r="FG18" s="541"/>
      <c r="FH18" s="541"/>
      <c r="FI18" s="541"/>
      <c r="FJ18" s="541"/>
      <c r="FK18" s="541"/>
      <c r="FL18" s="541"/>
      <c r="FM18" s="541"/>
      <c r="FN18" s="541"/>
      <c r="FO18" s="541"/>
      <c r="FP18" s="541"/>
      <c r="FQ18" s="541"/>
      <c r="FR18" s="541"/>
      <c r="FS18" s="541"/>
      <c r="FT18" s="541"/>
      <c r="FU18" s="541"/>
      <c r="FV18" s="541"/>
      <c r="FW18" s="541"/>
      <c r="FX18" s="541"/>
      <c r="FY18" s="541"/>
      <c r="FZ18" s="541"/>
      <c r="GA18" s="541"/>
      <c r="GB18" s="541"/>
      <c r="GC18" s="541"/>
      <c r="GD18" s="541"/>
      <c r="GE18" s="541"/>
      <c r="GF18" s="541"/>
      <c r="GG18" s="541"/>
      <c r="GH18" s="541"/>
      <c r="GI18" s="541"/>
      <c r="GJ18" s="541"/>
      <c r="GK18" s="541"/>
      <c r="GL18" s="541"/>
      <c r="GM18" s="541"/>
      <c r="GN18" s="541"/>
      <c r="GO18" s="541"/>
      <c r="GP18" s="541"/>
      <c r="GQ18" s="541"/>
      <c r="GR18" s="541"/>
      <c r="GS18" s="541"/>
      <c r="GT18" s="541"/>
      <c r="GU18" s="541"/>
      <c r="GV18" s="541"/>
      <c r="GW18" s="541"/>
      <c r="GX18" s="541"/>
      <c r="GY18" s="541"/>
      <c r="GZ18" s="541"/>
      <c r="HA18" s="541"/>
      <c r="HB18" s="541"/>
      <c r="HC18" s="541"/>
      <c r="HD18" s="541"/>
      <c r="HE18" s="541"/>
      <c r="HF18" s="541"/>
      <c r="HG18" s="541"/>
      <c r="HH18" s="541"/>
      <c r="HI18" s="541"/>
      <c r="HJ18" s="541"/>
      <c r="HK18" s="541"/>
      <c r="HL18" s="541"/>
      <c r="HM18" s="541"/>
      <c r="HN18" s="541"/>
      <c r="HO18" s="541"/>
      <c r="HP18" s="541"/>
      <c r="HQ18" s="541"/>
      <c r="HR18" s="541"/>
      <c r="HS18" s="541"/>
      <c r="HT18" s="541"/>
      <c r="HU18" s="541"/>
      <c r="HV18" s="541"/>
      <c r="HW18" s="541"/>
      <c r="HX18" s="541"/>
      <c r="HY18" s="541"/>
      <c r="HZ18" s="541"/>
      <c r="IA18" s="541"/>
      <c r="IB18" s="541"/>
      <c r="IC18" s="541"/>
      <c r="ID18" s="541"/>
      <c r="IE18" s="541"/>
      <c r="IF18" s="541"/>
      <c r="IG18" s="541"/>
      <c r="IH18" s="541"/>
      <c r="II18" s="541"/>
      <c r="IJ18" s="541"/>
      <c r="IK18" s="541"/>
      <c r="IL18" s="541"/>
      <c r="IM18" s="541"/>
      <c r="IN18" s="541"/>
      <c r="IO18" s="541"/>
      <c r="IP18" s="541"/>
      <c r="IQ18" s="541"/>
      <c r="IR18" s="541"/>
      <c r="IS18" s="541"/>
      <c r="IT18" s="541"/>
      <c r="IU18" s="541"/>
      <c r="IV18" s="541"/>
    </row>
    <row r="19" spans="1:256" s="503" customFormat="1">
      <c r="A19" s="510" t="s">
        <v>81</v>
      </c>
      <c r="B19" s="542"/>
      <c r="C19" s="542"/>
      <c r="D19" s="542"/>
      <c r="E19" s="542"/>
      <c r="F19" s="542"/>
      <c r="G19" s="542">
        <v>4.1000000000000002E-2</v>
      </c>
      <c r="H19" s="542">
        <v>3.7999999999999999E-2</v>
      </c>
      <c r="I19" s="542">
        <v>3.7999999999999999E-2</v>
      </c>
      <c r="J19" s="542">
        <v>3.9800000000000002E-2</v>
      </c>
      <c r="K19" s="542">
        <v>0.04</v>
      </c>
      <c r="L19" s="542">
        <v>3.44E-2</v>
      </c>
      <c r="M19" s="542">
        <v>3.3000000000000002E-2</v>
      </c>
      <c r="N19" s="542">
        <v>3.2099999999999997E-2</v>
      </c>
      <c r="O19" s="542">
        <v>3.1300000000000001E-2</v>
      </c>
      <c r="P19" s="542">
        <v>3.15E-2</v>
      </c>
      <c r="Q19" s="542">
        <v>3.1699999999999999E-2</v>
      </c>
      <c r="R19" s="542">
        <v>3.39E-2</v>
      </c>
      <c r="S19" s="542">
        <v>3.4099999999999998E-2</v>
      </c>
      <c r="T19" s="542">
        <v>3.4099999999999998E-2</v>
      </c>
      <c r="U19" s="542">
        <v>3.4000000000000002E-2</v>
      </c>
      <c r="V19" s="542">
        <v>3.4000000000000002E-2</v>
      </c>
      <c r="W19" s="677">
        <v>3.4000000000000002E-2</v>
      </c>
      <c r="X19" s="544">
        <f t="shared" ref="X19:AB21" si="6">W19</f>
        <v>3.4000000000000002E-2</v>
      </c>
      <c r="Y19" s="544">
        <f t="shared" si="6"/>
        <v>3.4000000000000002E-2</v>
      </c>
      <c r="Z19" s="544">
        <f t="shared" si="6"/>
        <v>3.4000000000000002E-2</v>
      </c>
      <c r="AA19" s="544">
        <f t="shared" si="6"/>
        <v>3.4000000000000002E-2</v>
      </c>
      <c r="AB19" s="544">
        <f t="shared" si="6"/>
        <v>3.4000000000000002E-2</v>
      </c>
      <c r="AC19" s="539"/>
      <c r="AD19" s="545" t="s">
        <v>875</v>
      </c>
      <c r="AE19" s="545">
        <v>0</v>
      </c>
      <c r="AF19" s="516" t="s">
        <v>874</v>
      </c>
      <c r="AG19" s="516" t="b">
        <v>0</v>
      </c>
      <c r="AH19" s="516" t="b">
        <v>0</v>
      </c>
    </row>
    <row r="20" spans="1:256" s="503" customFormat="1">
      <c r="A20" s="510" t="s">
        <v>82</v>
      </c>
      <c r="B20" s="542"/>
      <c r="C20" s="542"/>
      <c r="D20" s="542"/>
      <c r="E20" s="542"/>
      <c r="F20" s="542"/>
      <c r="G20" s="542"/>
      <c r="H20" s="542"/>
      <c r="I20" s="542">
        <v>0</v>
      </c>
      <c r="J20" s="542">
        <v>0</v>
      </c>
      <c r="K20" s="542">
        <v>0</v>
      </c>
      <c r="L20" s="542">
        <v>0</v>
      </c>
      <c r="M20" s="542">
        <v>0</v>
      </c>
      <c r="N20" s="542">
        <f t="shared" ref="N20:T20" si="7">M20</f>
        <v>0</v>
      </c>
      <c r="O20" s="542">
        <f t="shared" si="7"/>
        <v>0</v>
      </c>
      <c r="P20" s="542">
        <f t="shared" si="7"/>
        <v>0</v>
      </c>
      <c r="Q20" s="542">
        <f t="shared" si="7"/>
        <v>0</v>
      </c>
      <c r="R20" s="542">
        <f t="shared" si="7"/>
        <v>0</v>
      </c>
      <c r="S20" s="542">
        <f t="shared" si="7"/>
        <v>0</v>
      </c>
      <c r="T20" s="542">
        <f t="shared" si="7"/>
        <v>0</v>
      </c>
      <c r="U20" s="542">
        <f>T20</f>
        <v>0</v>
      </c>
      <c r="V20" s="542">
        <f>U20</f>
        <v>0</v>
      </c>
      <c r="W20" s="542">
        <f>V20</f>
        <v>0</v>
      </c>
      <c r="X20" s="544">
        <f t="shared" si="6"/>
        <v>0</v>
      </c>
      <c r="Y20" s="544">
        <f t="shared" si="6"/>
        <v>0</v>
      </c>
      <c r="Z20" s="544">
        <f t="shared" si="6"/>
        <v>0</v>
      </c>
      <c r="AA20" s="544">
        <f t="shared" si="6"/>
        <v>0</v>
      </c>
      <c r="AB20" s="544">
        <f t="shared" si="6"/>
        <v>0</v>
      </c>
      <c r="AC20" s="539"/>
      <c r="AF20" s="516"/>
      <c r="AG20" s="516"/>
      <c r="AH20" s="516"/>
    </row>
    <row r="21" spans="1:256" s="503" customFormat="1">
      <c r="A21" s="510" t="s">
        <v>83</v>
      </c>
      <c r="B21" s="542"/>
      <c r="C21" s="542"/>
      <c r="D21" s="542">
        <v>9.1999999999999998E-2</v>
      </c>
      <c r="E21" s="542">
        <v>9.1999999999999998E-2</v>
      </c>
      <c r="F21" s="542">
        <v>9.2999999999999999E-2</v>
      </c>
      <c r="G21" s="542">
        <v>8.7999999999999995E-2</v>
      </c>
      <c r="H21" s="542">
        <v>8.6999999999999994E-2</v>
      </c>
      <c r="I21" s="542">
        <v>8.4000000000000005E-2</v>
      </c>
      <c r="J21" s="542">
        <v>8.3799999999999999E-2</v>
      </c>
      <c r="K21" s="542">
        <v>7.7600000000000002E-2</v>
      </c>
      <c r="L21" s="542">
        <v>7.7799999999999994E-2</v>
      </c>
      <c r="M21" s="542">
        <v>7.6399999999999996E-2</v>
      </c>
      <c r="N21" s="542">
        <v>7.2599999999999998E-2</v>
      </c>
      <c r="O21" s="542">
        <v>7.1099999999999997E-2</v>
      </c>
      <c r="P21" s="542">
        <v>7.17E-2</v>
      </c>
      <c r="Q21" s="542">
        <v>7.1999999999999995E-2</v>
      </c>
      <c r="R21" s="542">
        <v>6.7699999999999996E-2</v>
      </c>
      <c r="S21" s="542">
        <v>6.7400000000000002E-2</v>
      </c>
      <c r="T21" s="542">
        <v>6.6299999999999998E-2</v>
      </c>
      <c r="U21" s="542">
        <f>T21</f>
        <v>6.6299999999999998E-2</v>
      </c>
      <c r="V21" s="542">
        <v>6.1100000000000002E-2</v>
      </c>
      <c r="W21" s="542">
        <v>5.5599999999999997E-2</v>
      </c>
      <c r="X21" s="544">
        <f t="shared" si="6"/>
        <v>5.5599999999999997E-2</v>
      </c>
      <c r="Y21" s="544">
        <f t="shared" si="6"/>
        <v>5.5599999999999997E-2</v>
      </c>
      <c r="Z21" s="544">
        <f t="shared" si="6"/>
        <v>5.5599999999999997E-2</v>
      </c>
      <c r="AA21" s="544">
        <f t="shared" si="6"/>
        <v>5.5599999999999997E-2</v>
      </c>
      <c r="AB21" s="544">
        <f t="shared" si="6"/>
        <v>5.5599999999999997E-2</v>
      </c>
      <c r="AC21" s="539"/>
      <c r="AD21" s="545" t="s">
        <v>876</v>
      </c>
      <c r="AE21" s="545">
        <v>0</v>
      </c>
      <c r="AF21" s="516" t="s">
        <v>874</v>
      </c>
      <c r="AG21" s="516" t="b">
        <v>0</v>
      </c>
      <c r="AH21" s="516" t="b">
        <v>0</v>
      </c>
    </row>
    <row r="22" spans="1:256" s="503" customFormat="1">
      <c r="A22" s="510" t="s">
        <v>84</v>
      </c>
      <c r="B22" s="540"/>
      <c r="C22" s="540"/>
      <c r="D22" s="540">
        <f>D42/D41</f>
        <v>0.14066801247935401</v>
      </c>
      <c r="E22" s="540">
        <f>E42/E41</f>
        <v>0.12578078206554291</v>
      </c>
      <c r="F22" s="540">
        <f>F42/F41</f>
        <v>0.16101246694370985</v>
      </c>
      <c r="G22" s="540">
        <f>G42/G41</f>
        <v>1.5098496630378435E-2</v>
      </c>
      <c r="H22" s="540">
        <f>H42/H41</f>
        <v>-6.3273073263558521E-2</v>
      </c>
      <c r="I22" s="540">
        <f t="shared" ref="I22:N22" si="8">I42/I41</f>
        <v>-0.13080788558175493</v>
      </c>
      <c r="J22" s="540">
        <f t="shared" si="8"/>
        <v>0.16743508857073525</v>
      </c>
      <c r="K22" s="540">
        <f t="shared" si="8"/>
        <v>0.1169929900894368</v>
      </c>
      <c r="L22" s="540">
        <f t="shared" si="8"/>
        <v>0.15727118232580722</v>
      </c>
      <c r="M22" s="540">
        <f t="shared" si="8"/>
        <v>0.10425502804761254</v>
      </c>
      <c r="N22" s="540">
        <f t="shared" si="8"/>
        <v>4.4591983352326219E-2</v>
      </c>
      <c r="O22" s="540">
        <f>O42/O41</f>
        <v>-9.5157973452981867E-2</v>
      </c>
      <c r="P22" s="540">
        <f>P42/P41</f>
        <v>0.11529043667528227</v>
      </c>
      <c r="Q22" s="540">
        <f>Q42/Q41</f>
        <v>8.4700387331966276E-2</v>
      </c>
      <c r="R22" s="540">
        <f>R42/R41</f>
        <v>5.0174590384098848E-2</v>
      </c>
      <c r="S22" s="540">
        <f>S42/S41</f>
        <v>8.5269298885300548E-2</v>
      </c>
      <c r="T22" s="544">
        <f t="shared" ref="T22:Y22" si="9">T21</f>
        <v>6.6299999999999998E-2</v>
      </c>
      <c r="U22" s="544">
        <f t="shared" si="9"/>
        <v>6.6299999999999998E-2</v>
      </c>
      <c r="V22" s="544">
        <f t="shared" si="9"/>
        <v>6.1100000000000002E-2</v>
      </c>
      <c r="W22" s="544">
        <f t="shared" si="9"/>
        <v>5.5599999999999997E-2</v>
      </c>
      <c r="X22" s="544">
        <f t="shared" si="9"/>
        <v>5.5599999999999997E-2</v>
      </c>
      <c r="Y22" s="544">
        <f t="shared" si="9"/>
        <v>5.5599999999999997E-2</v>
      </c>
      <c r="Z22" s="544">
        <f>Z21</f>
        <v>5.5599999999999997E-2</v>
      </c>
      <c r="AA22" s="544">
        <f>AA21</f>
        <v>5.5599999999999997E-2</v>
      </c>
      <c r="AB22" s="544">
        <f>AB21</f>
        <v>5.5599999999999997E-2</v>
      </c>
      <c r="AC22" s="539"/>
      <c r="AF22" s="516"/>
      <c r="AG22" s="516"/>
      <c r="AH22" s="516"/>
    </row>
    <row r="23" spans="1:256" s="503" customFormat="1">
      <c r="A23" s="510" t="s">
        <v>85</v>
      </c>
      <c r="B23" s="547">
        <v>15</v>
      </c>
      <c r="C23" s="547">
        <v>15</v>
      </c>
      <c r="D23" s="547">
        <v>15</v>
      </c>
      <c r="E23" s="547">
        <v>15</v>
      </c>
      <c r="F23" s="547">
        <v>15</v>
      </c>
      <c r="G23" s="547">
        <v>15</v>
      </c>
      <c r="H23" s="547">
        <v>15</v>
      </c>
      <c r="I23" s="547">
        <v>15</v>
      </c>
      <c r="J23" s="547">
        <v>15</v>
      </c>
      <c r="K23" s="547">
        <v>15</v>
      </c>
      <c r="L23" s="547">
        <v>15</v>
      </c>
      <c r="M23" s="547">
        <v>15</v>
      </c>
      <c r="N23" s="547">
        <v>15</v>
      </c>
      <c r="O23" s="547">
        <v>15</v>
      </c>
      <c r="P23" s="547">
        <f t="shared" ref="P23:V23" si="10">O23</f>
        <v>15</v>
      </c>
      <c r="Q23" s="547">
        <f t="shared" si="10"/>
        <v>15</v>
      </c>
      <c r="R23" s="547">
        <f t="shared" si="10"/>
        <v>15</v>
      </c>
      <c r="S23" s="547">
        <f t="shared" si="10"/>
        <v>15</v>
      </c>
      <c r="T23" s="547">
        <f t="shared" si="10"/>
        <v>15</v>
      </c>
      <c r="U23" s="547">
        <f t="shared" si="10"/>
        <v>15</v>
      </c>
      <c r="V23" s="547">
        <f t="shared" si="10"/>
        <v>15</v>
      </c>
      <c r="W23" s="547">
        <f t="shared" ref="W23:AB23" si="11">V23</f>
        <v>15</v>
      </c>
      <c r="X23" s="547">
        <f t="shared" si="11"/>
        <v>15</v>
      </c>
      <c r="Y23" s="547">
        <f t="shared" si="11"/>
        <v>15</v>
      </c>
      <c r="Z23" s="547">
        <f t="shared" si="11"/>
        <v>15</v>
      </c>
      <c r="AA23" s="547">
        <f t="shared" si="11"/>
        <v>15</v>
      </c>
      <c r="AB23" s="547">
        <f t="shared" si="11"/>
        <v>15</v>
      </c>
      <c r="AC23" s="548"/>
      <c r="AF23" s="516"/>
      <c r="AG23" s="516"/>
      <c r="AH23" s="516"/>
    </row>
    <row r="24" spans="1:256" s="503" customFormat="1">
      <c r="A24" s="541" t="s">
        <v>86</v>
      </c>
      <c r="B24" s="540">
        <v>0.1</v>
      </c>
      <c r="C24" s="540">
        <v>0.1</v>
      </c>
      <c r="D24" s="540">
        <v>0.1</v>
      </c>
      <c r="E24" s="540">
        <v>0.1</v>
      </c>
      <c r="F24" s="540">
        <v>0.1</v>
      </c>
      <c r="G24" s="540">
        <v>0.1</v>
      </c>
      <c r="H24" s="540">
        <v>0.1</v>
      </c>
      <c r="I24" s="540">
        <v>0.1</v>
      </c>
      <c r="J24" s="540">
        <v>0.1</v>
      </c>
      <c r="K24" s="540">
        <v>0.1</v>
      </c>
      <c r="L24" s="540">
        <v>0.1</v>
      </c>
      <c r="M24" s="540">
        <v>0.1</v>
      </c>
      <c r="N24" s="540">
        <v>0.1</v>
      </c>
      <c r="O24" s="540">
        <v>0.1</v>
      </c>
      <c r="P24" s="540">
        <v>0.1</v>
      </c>
      <c r="Q24" s="540">
        <v>0.1</v>
      </c>
      <c r="R24" s="540">
        <v>0.1</v>
      </c>
      <c r="S24" s="540">
        <v>0.1</v>
      </c>
      <c r="T24" s="540">
        <v>0.1</v>
      </c>
      <c r="U24" s="540">
        <v>0.1</v>
      </c>
      <c r="V24" s="540">
        <v>0.1</v>
      </c>
      <c r="W24" s="540">
        <v>0.1</v>
      </c>
      <c r="X24" s="540">
        <v>0.1</v>
      </c>
      <c r="Y24" s="540">
        <v>0.1</v>
      </c>
      <c r="Z24" s="540">
        <v>0.1</v>
      </c>
      <c r="AA24" s="540">
        <v>0.1</v>
      </c>
      <c r="AB24" s="540">
        <v>0.1</v>
      </c>
      <c r="AC24" s="539"/>
      <c r="AF24" s="516"/>
      <c r="AG24" s="516"/>
      <c r="AH24" s="516"/>
    </row>
    <row r="25" spans="1:256" s="503" customFormat="1">
      <c r="A25" s="510"/>
      <c r="B25" s="520"/>
      <c r="C25" s="520"/>
      <c r="D25" s="520"/>
      <c r="E25" s="520"/>
      <c r="F25" s="520"/>
      <c r="G25" s="520"/>
      <c r="H25" s="520"/>
      <c r="I25" s="520"/>
      <c r="J25" s="520"/>
      <c r="K25" s="520"/>
      <c r="L25" s="520"/>
      <c r="M25" s="520"/>
      <c r="N25" s="533"/>
      <c r="O25" s="533"/>
      <c r="P25" s="533"/>
      <c r="Q25" s="534"/>
      <c r="R25" s="534"/>
      <c r="S25" s="534"/>
      <c r="T25" s="534"/>
      <c r="U25" s="534"/>
      <c r="V25" s="534"/>
      <c r="W25" s="534"/>
      <c r="X25" s="534"/>
      <c r="Y25" s="534"/>
      <c r="Z25" s="534"/>
      <c r="AA25" s="534"/>
      <c r="AB25" s="534"/>
      <c r="AC25" s="535"/>
      <c r="AF25" s="516"/>
      <c r="AG25" s="516"/>
      <c r="AH25" s="516"/>
    </row>
    <row r="26" spans="1:256" s="503" customFormat="1">
      <c r="A26" s="506" t="s">
        <v>877</v>
      </c>
      <c r="B26" s="538"/>
      <c r="C26" s="538"/>
      <c r="D26" s="538"/>
      <c r="E26" s="538"/>
      <c r="F26" s="538"/>
      <c r="G26" s="538"/>
      <c r="H26" s="538"/>
      <c r="I26" s="538"/>
      <c r="J26" s="538"/>
      <c r="K26" s="538"/>
      <c r="L26" s="538"/>
      <c r="M26" s="538"/>
      <c r="N26" s="533"/>
      <c r="O26" s="533"/>
      <c r="P26" s="533"/>
      <c r="Q26" s="534"/>
      <c r="R26" s="534"/>
      <c r="S26" s="534"/>
      <c r="T26" s="534"/>
      <c r="U26" s="534"/>
      <c r="V26" s="534"/>
      <c r="W26" s="534"/>
      <c r="X26" s="534"/>
      <c r="Y26" s="534"/>
      <c r="Z26" s="534"/>
      <c r="AA26" s="534"/>
      <c r="AB26" s="534"/>
      <c r="AC26" s="535"/>
      <c r="AF26" s="516"/>
      <c r="AG26" s="516"/>
      <c r="AH26" s="516"/>
    </row>
    <row r="27" spans="1:256" s="553" customFormat="1">
      <c r="A27" s="537" t="s">
        <v>878</v>
      </c>
      <c r="B27" s="551" t="str">
        <f>A38</f>
        <v>Present value of pension liabilities - end of period</v>
      </c>
      <c r="C27" s="551">
        <f>B38</f>
        <v>-993</v>
      </c>
      <c r="D27" s="551">
        <v>-12865</v>
      </c>
      <c r="E27" s="551">
        <f>D38</f>
        <v>-13311</v>
      </c>
      <c r="F27" s="551">
        <v>-16312</v>
      </c>
      <c r="G27" s="551">
        <f>F38</f>
        <v>-16484</v>
      </c>
      <c r="H27" s="551">
        <f>G38</f>
        <v>-16918</v>
      </c>
      <c r="I27" s="552">
        <v>-15991</v>
      </c>
      <c r="J27" s="551">
        <v>-20698</v>
      </c>
      <c r="K27" s="551">
        <f>+J38</f>
        <v>-24790</v>
      </c>
      <c r="L27" s="551">
        <f t="shared" ref="L27:AB27" si="12">K38</f>
        <v>-29452</v>
      </c>
      <c r="M27" s="551">
        <f t="shared" si="12"/>
        <v>-30700</v>
      </c>
      <c r="N27" s="551">
        <v>-27371</v>
      </c>
      <c r="O27" s="551">
        <v>-25558</v>
      </c>
      <c r="P27" s="551">
        <v>-20350</v>
      </c>
      <c r="Q27" s="551">
        <v>-23300</v>
      </c>
      <c r="R27" s="551">
        <f t="shared" si="12"/>
        <v>-23385</v>
      </c>
      <c r="S27" s="551">
        <f t="shared" si="12"/>
        <v>-25163</v>
      </c>
      <c r="T27" s="551">
        <f t="shared" si="12"/>
        <v>-30702</v>
      </c>
      <c r="U27" s="551">
        <f t="shared" si="12"/>
        <v>-30851</v>
      </c>
      <c r="V27" s="551">
        <f t="shared" si="12"/>
        <v>-33223</v>
      </c>
      <c r="W27" s="551">
        <f t="shared" si="12"/>
        <v>-29639</v>
      </c>
      <c r="X27" s="551">
        <f t="shared" si="12"/>
        <v>-30624</v>
      </c>
      <c r="Y27" s="551">
        <f t="shared" si="12"/>
        <v>-31130.631600000001</v>
      </c>
      <c r="Z27" s="551">
        <f t="shared" si="12"/>
        <v>-29508.019505280001</v>
      </c>
      <c r="AA27" s="551">
        <f t="shared" si="12"/>
        <v>-29048.043689154241</v>
      </c>
      <c r="AB27" s="551">
        <f t="shared" si="12"/>
        <v>-28951.119231715616</v>
      </c>
      <c r="AC27" s="551"/>
      <c r="AF27" s="554"/>
      <c r="AG27" s="554"/>
      <c r="AH27" s="554"/>
    </row>
    <row r="28" spans="1:256" s="503" customFormat="1">
      <c r="A28" s="510" t="s">
        <v>87</v>
      </c>
      <c r="B28" s="555">
        <f>B4</f>
        <v>-208</v>
      </c>
      <c r="C28" s="555">
        <f>C4</f>
        <v>-261</v>
      </c>
      <c r="D28" s="555">
        <f>D4</f>
        <v>-331</v>
      </c>
      <c r="E28" s="555">
        <f>E4</f>
        <v>-354</v>
      </c>
      <c r="F28" s="555">
        <v>-434</v>
      </c>
      <c r="G28" s="555">
        <f>G4</f>
        <v>-405</v>
      </c>
      <c r="H28" s="555">
        <f>H4</f>
        <v>-396</v>
      </c>
      <c r="I28" s="555">
        <f t="shared" ref="I28:Y28" si="13">I4</f>
        <v>-377</v>
      </c>
      <c r="J28" s="678">
        <f t="shared" si="13"/>
        <v>-492</v>
      </c>
      <c r="K28" s="555">
        <f t="shared" si="13"/>
        <v>-554</v>
      </c>
      <c r="L28" s="555">
        <f t="shared" si="13"/>
        <v>-630</v>
      </c>
      <c r="M28" s="555">
        <f t="shared" si="13"/>
        <v>-704</v>
      </c>
      <c r="N28" s="521">
        <f t="shared" si="13"/>
        <v>-632</v>
      </c>
      <c r="O28" s="521">
        <v>-301</v>
      </c>
      <c r="P28" s="521">
        <v>-251</v>
      </c>
      <c r="Q28" s="521">
        <v>-290</v>
      </c>
      <c r="R28" s="521">
        <f t="shared" si="13"/>
        <v>-327</v>
      </c>
      <c r="S28" s="521">
        <f t="shared" si="13"/>
        <v>-372</v>
      </c>
      <c r="T28" s="521">
        <f t="shared" si="13"/>
        <v>-484</v>
      </c>
      <c r="U28" s="521">
        <f t="shared" si="13"/>
        <v>-468</v>
      </c>
      <c r="V28" s="521">
        <f t="shared" si="13"/>
        <v>-532</v>
      </c>
      <c r="W28" s="521">
        <f t="shared" si="13"/>
        <v>-483</v>
      </c>
      <c r="X28" s="521">
        <f t="shared" si="13"/>
        <v>-499.42200000000003</v>
      </c>
      <c r="Y28" s="521">
        <f t="shared" si="13"/>
        <v>-516.40234800000007</v>
      </c>
      <c r="Z28" s="521">
        <f>Z4</f>
        <v>-533.96002783200004</v>
      </c>
      <c r="AA28" s="521">
        <f>AA4</f>
        <v>-552.11466877828809</v>
      </c>
      <c r="AB28" s="521">
        <f>AB4</f>
        <v>-570.88656751674989</v>
      </c>
      <c r="AC28" s="521"/>
      <c r="AF28" s="516"/>
      <c r="AG28" s="516"/>
      <c r="AH28" s="516"/>
    </row>
    <row r="29" spans="1:256" s="503" customFormat="1">
      <c r="A29" s="510" t="s">
        <v>879</v>
      </c>
      <c r="B29" s="511"/>
      <c r="C29" s="511"/>
      <c r="D29" s="511">
        <v>-91</v>
      </c>
      <c r="E29" s="511">
        <v>-26</v>
      </c>
      <c r="F29" s="511">
        <v>-413</v>
      </c>
      <c r="G29" s="511">
        <v>-232</v>
      </c>
      <c r="H29" s="511">
        <v>-133</v>
      </c>
      <c r="I29" s="511">
        <v>-133</v>
      </c>
      <c r="J29" s="679">
        <v>-5</v>
      </c>
      <c r="K29" s="511">
        <v>-118</v>
      </c>
      <c r="L29" s="511">
        <v>-218</v>
      </c>
      <c r="M29" s="511">
        <v>34</v>
      </c>
      <c r="N29" s="521">
        <v>-12</v>
      </c>
      <c r="O29" s="521">
        <v>-117</v>
      </c>
      <c r="P29" s="521">
        <v>54</v>
      </c>
      <c r="Q29" s="521">
        <f>-Q57</f>
        <v>0</v>
      </c>
      <c r="R29" s="521">
        <f>-R57</f>
        <v>0</v>
      </c>
      <c r="S29" s="511">
        <v>-222</v>
      </c>
      <c r="T29" s="511">
        <v>1</v>
      </c>
      <c r="U29" s="511">
        <v>-11</v>
      </c>
      <c r="V29" s="511">
        <f>-4</f>
        <v>-4</v>
      </c>
      <c r="W29" s="511">
        <f t="shared" ref="W29:AB29" si="14">-W57</f>
        <v>0</v>
      </c>
      <c r="X29" s="521">
        <f t="shared" si="14"/>
        <v>0</v>
      </c>
      <c r="Y29" s="521">
        <f t="shared" si="14"/>
        <v>0</v>
      </c>
      <c r="Z29" s="521">
        <f t="shared" si="14"/>
        <v>0</v>
      </c>
      <c r="AA29" s="521">
        <f t="shared" si="14"/>
        <v>0</v>
      </c>
      <c r="AB29" s="521">
        <f t="shared" si="14"/>
        <v>0</v>
      </c>
      <c r="AC29" s="521"/>
      <c r="AF29" s="516"/>
      <c r="AG29" s="516"/>
      <c r="AH29" s="516"/>
    </row>
    <row r="30" spans="1:256" s="503" customFormat="1">
      <c r="A30" s="510" t="s">
        <v>88</v>
      </c>
      <c r="B30" s="555">
        <f>B6</f>
        <v>-785</v>
      </c>
      <c r="C30" s="555">
        <f>C6</f>
        <v>-819</v>
      </c>
      <c r="D30" s="555">
        <f>D6</f>
        <v>-857</v>
      </c>
      <c r="E30" s="555">
        <f>E6</f>
        <v>-867</v>
      </c>
      <c r="F30" s="555">
        <v>-888</v>
      </c>
      <c r="G30" s="555">
        <f>G6</f>
        <v>-918</v>
      </c>
      <c r="H30" s="555">
        <f>H6</f>
        <v>-974</v>
      </c>
      <c r="I30" s="555">
        <f t="shared" ref="I30:Y30" si="15">I6</f>
        <v>-977</v>
      </c>
      <c r="J30" s="678">
        <f t="shared" si="15"/>
        <v>-1170</v>
      </c>
      <c r="K30" s="555">
        <f t="shared" si="15"/>
        <v>-1332</v>
      </c>
      <c r="L30" s="555">
        <f t="shared" si="15"/>
        <v>-1408</v>
      </c>
      <c r="M30" s="555">
        <f t="shared" si="15"/>
        <v>-1396</v>
      </c>
      <c r="N30" s="521">
        <f t="shared" si="15"/>
        <v>-1650</v>
      </c>
      <c r="O30" s="521">
        <v>-1321</v>
      </c>
      <c r="P30" s="521">
        <v>-1193</v>
      </c>
      <c r="Q30" s="521">
        <v>-1213</v>
      </c>
      <c r="R30" s="521">
        <f t="shared" si="15"/>
        <v>-1227</v>
      </c>
      <c r="S30" s="521">
        <f t="shared" si="15"/>
        <v>-1189</v>
      </c>
      <c r="T30" s="521">
        <f t="shared" si="15"/>
        <v>-1137</v>
      </c>
      <c r="U30" s="521">
        <f t="shared" si="15"/>
        <v>-1189</v>
      </c>
      <c r="V30" s="521">
        <f t="shared" si="15"/>
        <v>-936</v>
      </c>
      <c r="W30" s="521">
        <f t="shared" si="15"/>
        <v>-782</v>
      </c>
      <c r="X30" s="521">
        <f t="shared" si="15"/>
        <v>-747.2256000000001</v>
      </c>
      <c r="Y30" s="521">
        <f t="shared" si="15"/>
        <v>-709.77840048000007</v>
      </c>
      <c r="Z30" s="521">
        <f>Z6</f>
        <v>-826.22454614783999</v>
      </c>
      <c r="AA30" s="521">
        <f>AA6</f>
        <v>-871.44131067462718</v>
      </c>
      <c r="AB30" s="521">
        <f>AB6</f>
        <v>-897.48469618318416</v>
      </c>
      <c r="AC30" s="521"/>
      <c r="AF30" s="516"/>
      <c r="AG30" s="516"/>
      <c r="AH30" s="516"/>
    </row>
    <row r="31" spans="1:256" s="503" customFormat="1">
      <c r="A31" s="510" t="s">
        <v>880</v>
      </c>
      <c r="B31" s="511"/>
      <c r="C31" s="511"/>
      <c r="D31" s="511">
        <v>-792</v>
      </c>
      <c r="E31" s="511">
        <v>-2051</v>
      </c>
      <c r="F31" s="511">
        <v>813</v>
      </c>
      <c r="G31" s="511">
        <v>-229</v>
      </c>
      <c r="H31" s="511">
        <v>962</v>
      </c>
      <c r="I31" s="511">
        <v>-1964</v>
      </c>
      <c r="J31" s="679">
        <v>40</v>
      </c>
      <c r="K31" s="511">
        <v>-1652</v>
      </c>
      <c r="L31" s="511">
        <v>-2878</v>
      </c>
      <c r="M31" s="511">
        <v>1344</v>
      </c>
      <c r="N31" s="511">
        <v>2895</v>
      </c>
      <c r="O31" s="511">
        <v>835</v>
      </c>
      <c r="P31" s="511">
        <v>-909</v>
      </c>
      <c r="Q31" s="511">
        <v>-457</v>
      </c>
      <c r="R31" s="511">
        <f>-1968</f>
        <v>-1968</v>
      </c>
      <c r="S31" s="511">
        <v>-4135</v>
      </c>
      <c r="T31" s="511">
        <v>399</v>
      </c>
      <c r="U31" s="511">
        <f>-4791</f>
        <v>-4791</v>
      </c>
      <c r="V31" s="511">
        <v>746</v>
      </c>
      <c r="W31" s="511">
        <v>-3584</v>
      </c>
      <c r="X31" s="521">
        <f>-X63</f>
        <v>-489.98400000000026</v>
      </c>
      <c r="Y31" s="521">
        <f>-Y63</f>
        <v>1618.7928431999999</v>
      </c>
      <c r="Z31" s="521">
        <f>-Z63</f>
        <v>590.16039010559962</v>
      </c>
      <c r="AA31" s="521">
        <f>-AA63</f>
        <v>290.48043689154264</v>
      </c>
      <c r="AB31" s="521">
        <f>-AB63</f>
        <v>0</v>
      </c>
      <c r="AC31" s="521"/>
      <c r="AF31" s="516"/>
      <c r="AG31" s="516"/>
      <c r="AH31" s="516"/>
    </row>
    <row r="32" spans="1:256" s="503" customFormat="1">
      <c r="A32" s="510" t="s">
        <v>881</v>
      </c>
      <c r="B32" s="511"/>
      <c r="C32" s="511"/>
      <c r="D32" s="511">
        <v>633</v>
      </c>
      <c r="E32" s="511">
        <v>660</v>
      </c>
      <c r="F32" s="511">
        <v>698</v>
      </c>
      <c r="G32" s="511">
        <v>744</v>
      </c>
      <c r="H32" s="511">
        <v>768</v>
      </c>
      <c r="I32" s="511">
        <v>921</v>
      </c>
      <c r="J32" s="679">
        <v>1018</v>
      </c>
      <c r="K32" s="511">
        <v>1160</v>
      </c>
      <c r="L32" s="511">
        <v>1355</v>
      </c>
      <c r="M32" s="511">
        <v>1556</v>
      </c>
      <c r="N32" s="511">
        <v>1660</v>
      </c>
      <c r="O32" s="511">
        <v>1380</v>
      </c>
      <c r="P32" s="511">
        <v>1456</v>
      </c>
      <c r="Q32" s="511">
        <v>1281</v>
      </c>
      <c r="R32" s="511">
        <v>1373</v>
      </c>
      <c r="S32" s="511">
        <v>1420</v>
      </c>
      <c r="T32" s="511">
        <v>1416</v>
      </c>
      <c r="U32" s="511">
        <v>1423</v>
      </c>
      <c r="V32" s="511">
        <f>1350</f>
        <v>1350</v>
      </c>
      <c r="W32" s="511">
        <v>1252</v>
      </c>
      <c r="X32" s="558">
        <f>W32</f>
        <v>1252</v>
      </c>
      <c r="Y32" s="558">
        <f>X32</f>
        <v>1252</v>
      </c>
      <c r="Z32" s="558">
        <f>Y32</f>
        <v>1252</v>
      </c>
      <c r="AA32" s="558">
        <f>Z32</f>
        <v>1252</v>
      </c>
      <c r="AB32" s="558">
        <f>AA32</f>
        <v>1252</v>
      </c>
      <c r="AC32" s="521"/>
      <c r="AD32" s="559" t="s">
        <v>882</v>
      </c>
      <c r="AE32" s="559">
        <v>6</v>
      </c>
      <c r="AF32" s="559" t="s">
        <v>860</v>
      </c>
      <c r="AG32" s="559" t="b">
        <v>0</v>
      </c>
      <c r="AH32" s="559" t="b">
        <v>0</v>
      </c>
    </row>
    <row r="33" spans="1:34" s="503" customFormat="1">
      <c r="A33" s="510" t="s">
        <v>883</v>
      </c>
      <c r="B33" s="560">
        <v>0</v>
      </c>
      <c r="C33" s="560">
        <v>0</v>
      </c>
      <c r="D33" s="560">
        <v>0</v>
      </c>
      <c r="E33" s="560">
        <v>0</v>
      </c>
      <c r="F33" s="560">
        <v>-784</v>
      </c>
      <c r="G33" s="560">
        <v>0</v>
      </c>
      <c r="H33" s="560">
        <v>0</v>
      </c>
      <c r="I33" s="560">
        <v>0</v>
      </c>
      <c r="J33" s="680">
        <v>0</v>
      </c>
      <c r="K33" s="560">
        <v>0</v>
      </c>
      <c r="L33" s="560">
        <v>0</v>
      </c>
      <c r="M33" s="560">
        <v>0</v>
      </c>
      <c r="N33" s="511"/>
      <c r="O33" s="511"/>
      <c r="P33" s="511"/>
      <c r="Q33" s="511"/>
      <c r="R33" s="511"/>
      <c r="S33" s="511"/>
      <c r="T33" s="511"/>
      <c r="U33" s="511"/>
      <c r="V33" s="521"/>
      <c r="W33" s="521"/>
      <c r="X33" s="521"/>
      <c r="Y33" s="521"/>
      <c r="Z33" s="521"/>
      <c r="AA33" s="521"/>
      <c r="AB33" s="521"/>
      <c r="AC33" s="521"/>
      <c r="AF33" s="516"/>
      <c r="AG33" s="516"/>
      <c r="AH33" s="516"/>
    </row>
    <row r="34" spans="1:34" s="503" customFormat="1">
      <c r="A34" s="510" t="s">
        <v>150</v>
      </c>
      <c r="B34" s="562"/>
      <c r="C34" s="562"/>
      <c r="D34" s="562"/>
      <c r="E34" s="562">
        <v>-91</v>
      </c>
      <c r="F34" s="562">
        <v>-67</v>
      </c>
      <c r="G34" s="562">
        <v>-71</v>
      </c>
      <c r="H34" s="562">
        <v>-83</v>
      </c>
      <c r="I34" s="562">
        <v>-95</v>
      </c>
      <c r="J34" s="681">
        <v>-134</v>
      </c>
      <c r="K34" s="562">
        <v>-144</v>
      </c>
      <c r="L34" s="562">
        <v>-146</v>
      </c>
      <c r="M34" s="562">
        <v>-144</v>
      </c>
      <c r="N34" s="560">
        <v>-99</v>
      </c>
      <c r="O34" s="560">
        <v>-101</v>
      </c>
      <c r="P34" s="560">
        <v>-80</v>
      </c>
      <c r="Q34" s="560">
        <v>-47</v>
      </c>
      <c r="R34" s="560">
        <v>-46</v>
      </c>
      <c r="S34" s="560">
        <v>-36</v>
      </c>
      <c r="T34" s="560">
        <v>-25</v>
      </c>
      <c r="U34" s="560">
        <v>-25</v>
      </c>
      <c r="V34" s="560">
        <f>-24</f>
        <v>-24</v>
      </c>
      <c r="W34" s="560">
        <v>-22</v>
      </c>
      <c r="X34" s="682">
        <f>W34</f>
        <v>-22</v>
      </c>
      <c r="Y34" s="682">
        <f>X34</f>
        <v>-22</v>
      </c>
      <c r="Z34" s="682">
        <f>Y34</f>
        <v>-22</v>
      </c>
      <c r="AA34" s="682">
        <f>Z34</f>
        <v>-22</v>
      </c>
      <c r="AB34" s="682">
        <f>AA34</f>
        <v>-22</v>
      </c>
      <c r="AC34" s="521"/>
      <c r="AF34" s="516"/>
      <c r="AG34" s="516"/>
      <c r="AH34" s="516"/>
    </row>
    <row r="35" spans="1:34" s="503" customFormat="1">
      <c r="A35" s="541" t="s">
        <v>884</v>
      </c>
      <c r="B35" s="562"/>
      <c r="C35" s="562"/>
      <c r="D35" s="562">
        <v>1029</v>
      </c>
      <c r="E35" s="562">
        <v>-182</v>
      </c>
      <c r="F35" s="562">
        <v>951</v>
      </c>
      <c r="G35" s="562">
        <v>1117</v>
      </c>
      <c r="H35" s="562">
        <v>637</v>
      </c>
      <c r="I35" s="562">
        <v>-1980</v>
      </c>
      <c r="J35" s="681">
        <v>-3269</v>
      </c>
      <c r="K35" s="562">
        <v>-1944</v>
      </c>
      <c r="L35" s="562">
        <v>2936</v>
      </c>
      <c r="M35" s="562">
        <v>-3434</v>
      </c>
      <c r="N35" s="511">
        <v>-2297</v>
      </c>
      <c r="O35" s="511">
        <v>4779</v>
      </c>
      <c r="P35" s="511">
        <v>-1926</v>
      </c>
      <c r="Q35" s="511">
        <v>606</v>
      </c>
      <c r="R35" s="511">
        <f>441</f>
        <v>441</v>
      </c>
      <c r="S35" s="511">
        <v>-803</v>
      </c>
      <c r="T35" s="511">
        <v>-229</v>
      </c>
      <c r="U35" s="511">
        <v>2712</v>
      </c>
      <c r="V35" s="511">
        <v>2995</v>
      </c>
      <c r="W35" s="511">
        <v>2576</v>
      </c>
      <c r="X35" s="521"/>
      <c r="Y35" s="521"/>
      <c r="Z35" s="521"/>
      <c r="AA35" s="521"/>
      <c r="AB35" s="521"/>
      <c r="AC35" s="521"/>
      <c r="AF35" s="516"/>
      <c r="AG35" s="516"/>
      <c r="AH35" s="516"/>
    </row>
    <row r="36" spans="1:34" s="503" customFormat="1">
      <c r="A36" s="510" t="s">
        <v>885</v>
      </c>
      <c r="B36" s="562"/>
      <c r="C36" s="562"/>
      <c r="D36" s="562"/>
      <c r="E36" s="562"/>
      <c r="F36" s="562"/>
      <c r="G36" s="562"/>
      <c r="H36" s="562"/>
      <c r="I36" s="562">
        <v>-102</v>
      </c>
      <c r="J36" s="681">
        <v>0</v>
      </c>
      <c r="K36" s="562">
        <v>0</v>
      </c>
      <c r="L36" s="562">
        <v>0</v>
      </c>
      <c r="M36" s="562">
        <v>-81</v>
      </c>
      <c r="N36" s="562">
        <f>146-10</f>
        <v>136</v>
      </c>
      <c r="O36" s="562">
        <v>58</v>
      </c>
      <c r="P36" s="562">
        <f>19+1</f>
        <v>20</v>
      </c>
      <c r="Q36" s="562"/>
      <c r="R36" s="562">
        <v>152</v>
      </c>
      <c r="S36" s="562"/>
      <c r="T36" s="562">
        <v>51</v>
      </c>
      <c r="U36" s="562">
        <v>116</v>
      </c>
      <c r="V36" s="562">
        <f>29</f>
        <v>29</v>
      </c>
      <c r="W36" s="562">
        <v>131</v>
      </c>
      <c r="X36" s="515"/>
      <c r="Y36" s="515"/>
      <c r="Z36" s="515"/>
      <c r="AA36" s="515"/>
      <c r="AB36" s="515"/>
      <c r="AC36" s="515"/>
      <c r="AF36" s="516"/>
      <c r="AG36" s="516"/>
      <c r="AH36" s="516"/>
    </row>
    <row r="37" spans="1:34" s="503" customFormat="1">
      <c r="A37" s="510" t="s">
        <v>886</v>
      </c>
      <c r="B37" s="564"/>
      <c r="C37" s="564"/>
      <c r="D37" s="564">
        <v>-37</v>
      </c>
      <c r="E37" s="564">
        <f>-114</f>
        <v>-114</v>
      </c>
      <c r="F37" s="564">
        <f>-48</f>
        <v>-48</v>
      </c>
      <c r="G37" s="564">
        <f>-357-83</f>
        <v>-440</v>
      </c>
      <c r="H37" s="564">
        <f>-24+170</f>
        <v>146</v>
      </c>
      <c r="I37" s="564">
        <v>0</v>
      </c>
      <c r="J37" s="683">
        <v>-80</v>
      </c>
      <c r="K37" s="564">
        <v>-78</v>
      </c>
      <c r="L37" s="564">
        <f>-422+163</f>
        <v>-259</v>
      </c>
      <c r="M37" s="564">
        <f>-232+98</f>
        <v>-134</v>
      </c>
      <c r="N37" s="526">
        <f>-169+75-452+632-1324+1650</f>
        <v>412</v>
      </c>
      <c r="O37" s="526">
        <f>-42+6</f>
        <v>-36</v>
      </c>
      <c r="P37" s="526">
        <f>-121</f>
        <v>-121</v>
      </c>
      <c r="Q37" s="526">
        <f>-26+61</f>
        <v>35</v>
      </c>
      <c r="R37" s="526">
        <f>-138-38</f>
        <v>-176</v>
      </c>
      <c r="S37" s="526">
        <v>-202</v>
      </c>
      <c r="T37" s="526">
        <v>-141</v>
      </c>
      <c r="U37" s="526">
        <v>-139</v>
      </c>
      <c r="V37" s="526">
        <v>-40</v>
      </c>
      <c r="W37" s="526">
        <f>-71-2</f>
        <v>-73</v>
      </c>
      <c r="X37" s="565"/>
      <c r="Y37" s="565"/>
      <c r="Z37" s="565"/>
      <c r="AA37" s="565"/>
      <c r="AB37" s="565"/>
      <c r="AC37" s="521"/>
      <c r="AF37" s="516"/>
      <c r="AG37" s="516"/>
      <c r="AH37" s="516"/>
    </row>
    <row r="38" spans="1:34" s="503" customFormat="1">
      <c r="A38" s="537" t="s">
        <v>90</v>
      </c>
      <c r="B38" s="551">
        <f t="shared" ref="B38:Y38" si="16">SUM(B27:B37)</f>
        <v>-993</v>
      </c>
      <c r="C38" s="551">
        <f t="shared" si="16"/>
        <v>-2073</v>
      </c>
      <c r="D38" s="551">
        <f t="shared" si="16"/>
        <v>-13311</v>
      </c>
      <c r="E38" s="551">
        <f t="shared" si="16"/>
        <v>-16336</v>
      </c>
      <c r="F38" s="551">
        <f t="shared" si="16"/>
        <v>-16484</v>
      </c>
      <c r="G38" s="551">
        <f t="shared" si="16"/>
        <v>-16918</v>
      </c>
      <c r="H38" s="551">
        <f t="shared" si="16"/>
        <v>-15991</v>
      </c>
      <c r="I38" s="551">
        <f t="shared" si="16"/>
        <v>-20698</v>
      </c>
      <c r="J38" s="551">
        <f t="shared" si="16"/>
        <v>-24790</v>
      </c>
      <c r="K38" s="551">
        <f t="shared" si="16"/>
        <v>-29452</v>
      </c>
      <c r="L38" s="551">
        <f t="shared" si="16"/>
        <v>-30700</v>
      </c>
      <c r="M38" s="551">
        <f t="shared" si="16"/>
        <v>-33659</v>
      </c>
      <c r="N38" s="566">
        <f t="shared" si="16"/>
        <v>-26958</v>
      </c>
      <c r="O38" s="566">
        <f>SUM(O27:O37)</f>
        <v>-20382</v>
      </c>
      <c r="P38" s="566">
        <f>SUM(P27:P37)</f>
        <v>-23300</v>
      </c>
      <c r="Q38" s="566">
        <f t="shared" si="16"/>
        <v>-23385</v>
      </c>
      <c r="R38" s="566">
        <f t="shared" si="16"/>
        <v>-25163</v>
      </c>
      <c r="S38" s="566">
        <f t="shared" si="16"/>
        <v>-30702</v>
      </c>
      <c r="T38" s="566">
        <f t="shared" si="16"/>
        <v>-30851</v>
      </c>
      <c r="U38" s="566">
        <f t="shared" si="16"/>
        <v>-33223</v>
      </c>
      <c r="V38" s="566">
        <f t="shared" si="16"/>
        <v>-29639</v>
      </c>
      <c r="W38" s="566">
        <f t="shared" si="16"/>
        <v>-30624</v>
      </c>
      <c r="X38" s="566">
        <f t="shared" si="16"/>
        <v>-31130.631600000001</v>
      </c>
      <c r="Y38" s="566">
        <f t="shared" si="16"/>
        <v>-29508.019505280001</v>
      </c>
      <c r="Z38" s="566">
        <f>SUM(Z27:Z37)</f>
        <v>-29048.043689154241</v>
      </c>
      <c r="AA38" s="566">
        <f>SUM(AA27:AA37)</f>
        <v>-28951.119231715616</v>
      </c>
      <c r="AB38" s="566">
        <f>SUM(AB27:AB37)</f>
        <v>-29189.49049541555</v>
      </c>
      <c r="AC38" s="551"/>
      <c r="AD38" s="516" t="s">
        <v>887</v>
      </c>
      <c r="AE38" s="516">
        <v>6</v>
      </c>
      <c r="AF38" s="516" t="s">
        <v>860</v>
      </c>
      <c r="AG38" s="517" t="b">
        <v>1</v>
      </c>
      <c r="AH38" s="516" t="b">
        <v>0</v>
      </c>
    </row>
    <row r="39" spans="1:34" s="503" customFormat="1">
      <c r="A39" s="510"/>
      <c r="B39" s="521"/>
      <c r="C39" s="521"/>
      <c r="D39" s="521"/>
      <c r="E39" s="521"/>
      <c r="F39" s="521"/>
      <c r="G39" s="521"/>
      <c r="H39" s="521"/>
      <c r="I39" s="521"/>
      <c r="J39" s="521"/>
      <c r="K39" s="521"/>
      <c r="L39" s="521"/>
      <c r="M39" s="521"/>
      <c r="N39" s="568"/>
      <c r="O39" s="568"/>
      <c r="P39" s="568"/>
      <c r="Q39" s="531"/>
      <c r="R39" s="531"/>
      <c r="S39" s="531"/>
      <c r="T39" s="531"/>
      <c r="U39" s="531"/>
      <c r="V39" s="531"/>
      <c r="W39" s="531"/>
      <c r="X39" s="531"/>
      <c r="Y39" s="531"/>
      <c r="Z39" s="531"/>
      <c r="AA39" s="531"/>
      <c r="AB39" s="531"/>
      <c r="AC39" s="535"/>
      <c r="AF39" s="516"/>
      <c r="AG39" s="516"/>
      <c r="AH39" s="516"/>
    </row>
    <row r="40" spans="1:34" s="503" customFormat="1">
      <c r="A40" s="510"/>
      <c r="B40" s="520"/>
      <c r="C40" s="520"/>
      <c r="D40" s="520"/>
      <c r="E40" s="520"/>
      <c r="F40" s="520"/>
      <c r="G40" s="520"/>
      <c r="H40" s="520"/>
      <c r="I40" s="520"/>
      <c r="J40" s="520"/>
      <c r="K40" s="520"/>
      <c r="L40" s="520"/>
      <c r="M40" s="566"/>
      <c r="N40" s="551"/>
      <c r="O40" s="551"/>
      <c r="P40" s="551"/>
      <c r="Q40" s="551"/>
      <c r="R40" s="551"/>
      <c r="S40" s="551"/>
      <c r="T40" s="551"/>
      <c r="U40" s="551"/>
      <c r="V40" s="551"/>
      <c r="W40" s="551"/>
      <c r="X40" s="551"/>
      <c r="Y40" s="551"/>
      <c r="Z40" s="551"/>
      <c r="AA40" s="551"/>
      <c r="AB40" s="551"/>
      <c r="AC40" s="535"/>
      <c r="AF40" s="516"/>
      <c r="AG40" s="516"/>
      <c r="AH40" s="516"/>
    </row>
    <row r="41" spans="1:34" s="553" customFormat="1">
      <c r="A41" s="537" t="s">
        <v>888</v>
      </c>
      <c r="B41" s="569" t="str">
        <f>A50</f>
        <v>Plan assets - end of period</v>
      </c>
      <c r="C41" s="569">
        <f>B50</f>
        <v>0</v>
      </c>
      <c r="D41" s="569">
        <v>10898</v>
      </c>
      <c r="E41" s="569">
        <f>D50</f>
        <v>11687</v>
      </c>
      <c r="F41" s="569">
        <v>13235</v>
      </c>
      <c r="G41" s="569">
        <f>F50</f>
        <v>15432</v>
      </c>
      <c r="H41" s="569">
        <f>G50</f>
        <v>14714</v>
      </c>
      <c r="I41" s="552">
        <v>12935</v>
      </c>
      <c r="J41" s="569">
        <v>12363</v>
      </c>
      <c r="K41" s="569">
        <f t="shared" ref="K41:AB41" si="17">J50</f>
        <v>16548</v>
      </c>
      <c r="L41" s="569">
        <f t="shared" si="17"/>
        <v>20595</v>
      </c>
      <c r="M41" s="569">
        <f t="shared" si="17"/>
        <v>21927</v>
      </c>
      <c r="N41" s="552">
        <v>20183</v>
      </c>
      <c r="O41" s="552">
        <v>21396</v>
      </c>
      <c r="P41" s="551">
        <v>14702</v>
      </c>
      <c r="Q41" s="551">
        <f t="shared" si="17"/>
        <v>17556</v>
      </c>
      <c r="R41" s="551">
        <f t="shared" si="17"/>
        <v>18615</v>
      </c>
      <c r="S41" s="551">
        <f t="shared" si="17"/>
        <v>19198</v>
      </c>
      <c r="T41" s="551">
        <f t="shared" si="17"/>
        <v>21713</v>
      </c>
      <c r="U41" s="551">
        <f t="shared" si="17"/>
        <v>23843</v>
      </c>
      <c r="V41" s="551">
        <f t="shared" si="17"/>
        <v>25675</v>
      </c>
      <c r="W41" s="551">
        <f t="shared" si="17"/>
        <v>25141</v>
      </c>
      <c r="X41" s="551">
        <f t="shared" si="17"/>
        <v>25549</v>
      </c>
      <c r="Y41" s="551">
        <f t="shared" si="17"/>
        <v>26739.524399999998</v>
      </c>
      <c r="Z41" s="551">
        <f t="shared" si="17"/>
        <v>27996.241956639999</v>
      </c>
      <c r="AA41" s="551">
        <f t="shared" si="17"/>
        <v>29322.833009429181</v>
      </c>
      <c r="AB41" s="551">
        <f t="shared" si="17"/>
        <v>30723.182524753443</v>
      </c>
      <c r="AC41" s="551"/>
      <c r="AF41" s="554"/>
      <c r="AG41" s="554"/>
      <c r="AH41" s="554"/>
    </row>
    <row r="42" spans="1:34" s="503" customFormat="1" ht="13.5" thickBot="1">
      <c r="A42" s="510" t="s">
        <v>91</v>
      </c>
      <c r="B42" s="511"/>
      <c r="C42" s="511"/>
      <c r="D42" s="511">
        <v>1533</v>
      </c>
      <c r="E42" s="511">
        <v>1470</v>
      </c>
      <c r="F42" s="511">
        <v>2131</v>
      </c>
      <c r="G42" s="511">
        <v>233</v>
      </c>
      <c r="H42" s="511">
        <v>-931</v>
      </c>
      <c r="I42" s="511">
        <v>-1692</v>
      </c>
      <c r="J42" s="684">
        <v>2070</v>
      </c>
      <c r="K42" s="684">
        <v>1936</v>
      </c>
      <c r="L42" s="684">
        <v>3239</v>
      </c>
      <c r="M42" s="684">
        <v>2286</v>
      </c>
      <c r="N42" s="511">
        <v>900</v>
      </c>
      <c r="O42" s="511">
        <v>-2036</v>
      </c>
      <c r="P42" s="511">
        <v>1695</v>
      </c>
      <c r="Q42" s="511">
        <v>1487</v>
      </c>
      <c r="R42" s="511">
        <v>934</v>
      </c>
      <c r="S42" s="511">
        <v>1637</v>
      </c>
      <c r="T42" s="511">
        <v>1689</v>
      </c>
      <c r="U42" s="511">
        <v>3656</v>
      </c>
      <c r="V42" s="511">
        <v>1722</v>
      </c>
      <c r="W42" s="511">
        <v>3041</v>
      </c>
      <c r="X42" s="521">
        <f>X41*X22</f>
        <v>1420.5244</v>
      </c>
      <c r="Y42" s="521">
        <f>Y41*Y22</f>
        <v>1486.7175566399999</v>
      </c>
      <c r="Z42" s="521">
        <f>Z41*Z22</f>
        <v>1556.5910527891838</v>
      </c>
      <c r="AA42" s="521">
        <f>AA41*AA22</f>
        <v>1630.3495153242625</v>
      </c>
      <c r="AB42" s="521">
        <f>AB41*AB22</f>
        <v>1708.2089483762913</v>
      </c>
      <c r="AC42" s="521"/>
      <c r="AD42" s="559" t="s">
        <v>889</v>
      </c>
      <c r="AE42" s="573">
        <v>6</v>
      </c>
      <c r="AF42" s="559" t="s">
        <v>860</v>
      </c>
      <c r="AG42" s="559" t="b">
        <v>0</v>
      </c>
      <c r="AH42" s="559" t="b">
        <v>0</v>
      </c>
    </row>
    <row r="43" spans="1:34" s="503" customFormat="1" ht="13.5" thickBot="1">
      <c r="A43" s="510" t="s">
        <v>890</v>
      </c>
      <c r="B43" s="511"/>
      <c r="C43" s="511"/>
      <c r="D43" s="511">
        <v>246</v>
      </c>
      <c r="E43" s="511">
        <v>219</v>
      </c>
      <c r="F43" s="511">
        <v>217</v>
      </c>
      <c r="G43" s="511">
        <v>185</v>
      </c>
      <c r="H43" s="511">
        <v>380</v>
      </c>
      <c r="I43" s="511">
        <v>611</v>
      </c>
      <c r="J43" s="684">
        <v>1029</v>
      </c>
      <c r="K43" s="684">
        <v>1775</v>
      </c>
      <c r="L43" s="684">
        <v>1355</v>
      </c>
      <c r="M43" s="684">
        <v>1025</v>
      </c>
      <c r="N43" s="511">
        <v>1515</v>
      </c>
      <c r="O43" s="511">
        <v>1209</v>
      </c>
      <c r="P43" s="511">
        <v>962</v>
      </c>
      <c r="Q43" s="511">
        <v>1236</v>
      </c>
      <c r="R43" s="511">
        <v>1403</v>
      </c>
      <c r="S43" s="511">
        <v>1629</v>
      </c>
      <c r="T43" s="511">
        <v>1852</v>
      </c>
      <c r="U43" s="511">
        <v>1715</v>
      </c>
      <c r="V43" s="511">
        <v>1345</v>
      </c>
      <c r="W43" s="511">
        <v>1346</v>
      </c>
      <c r="X43" s="575">
        <v>1000</v>
      </c>
      <c r="Y43" s="575">
        <v>1000</v>
      </c>
      <c r="Z43" s="575">
        <v>1000</v>
      </c>
      <c r="AA43" s="575">
        <v>1000</v>
      </c>
      <c r="AB43" s="575">
        <v>1000</v>
      </c>
      <c r="AC43" s="521"/>
      <c r="AD43" s="516" t="s">
        <v>891</v>
      </c>
      <c r="AE43" s="576">
        <v>6</v>
      </c>
      <c r="AF43" s="516" t="s">
        <v>860</v>
      </c>
      <c r="AG43" s="516" t="b">
        <v>0</v>
      </c>
      <c r="AH43" s="516" t="b">
        <v>0</v>
      </c>
    </row>
    <row r="44" spans="1:34" s="503" customFormat="1">
      <c r="A44" s="510" t="s">
        <v>892</v>
      </c>
      <c r="B44" s="685">
        <f t="shared" ref="B44:H44" si="18">-B32</f>
        <v>0</v>
      </c>
      <c r="C44" s="685">
        <f t="shared" si="18"/>
        <v>0</v>
      </c>
      <c r="D44" s="685">
        <f t="shared" si="18"/>
        <v>-633</v>
      </c>
      <c r="E44" s="685">
        <f t="shared" si="18"/>
        <v>-660</v>
      </c>
      <c r="F44" s="685">
        <f t="shared" si="18"/>
        <v>-698</v>
      </c>
      <c r="G44" s="685">
        <f t="shared" si="18"/>
        <v>-744</v>
      </c>
      <c r="H44" s="685">
        <f t="shared" si="18"/>
        <v>-768</v>
      </c>
      <c r="I44" s="557">
        <v>-921</v>
      </c>
      <c r="J44" s="557">
        <v>-1018</v>
      </c>
      <c r="K44" s="557">
        <v>-1160</v>
      </c>
      <c r="L44" s="557">
        <v>-1355</v>
      </c>
      <c r="M44" s="557">
        <v>-1556</v>
      </c>
      <c r="N44" s="511">
        <f>M44/M32*N32</f>
        <v>-1660</v>
      </c>
      <c r="O44" s="511">
        <v>-1380</v>
      </c>
      <c r="P44" s="511">
        <v>-1456</v>
      </c>
      <c r="Q44" s="511">
        <v>-1281</v>
      </c>
      <c r="R44" s="511">
        <f>Q44/Q32*R32</f>
        <v>-1373</v>
      </c>
      <c r="S44" s="511">
        <v>-1420</v>
      </c>
      <c r="T44" s="511">
        <v>-1416</v>
      </c>
      <c r="U44" s="511">
        <v>-1423</v>
      </c>
      <c r="V44" s="511">
        <f>-1350</f>
        <v>-1350</v>
      </c>
      <c r="W44" s="511">
        <v>-1252</v>
      </c>
      <c r="X44" s="521">
        <f>W44/W32*X32</f>
        <v>-1252</v>
      </c>
      <c r="Y44" s="521">
        <f>X44/X32*Y32</f>
        <v>-1252</v>
      </c>
      <c r="Z44" s="521">
        <f>Y44/Y32*Z32</f>
        <v>-1252</v>
      </c>
      <c r="AA44" s="521">
        <f>Z44/Z32*AA32</f>
        <v>-1252</v>
      </c>
      <c r="AB44" s="521">
        <f>AA44/AA32*AB32</f>
        <v>-1252</v>
      </c>
      <c r="AC44" s="521"/>
      <c r="AD44" s="559" t="s">
        <v>893</v>
      </c>
      <c r="AE44" s="573">
        <v>6</v>
      </c>
      <c r="AF44" s="559" t="s">
        <v>860</v>
      </c>
      <c r="AG44" s="578" t="b">
        <v>1</v>
      </c>
      <c r="AH44" s="559" t="b">
        <v>0</v>
      </c>
    </row>
    <row r="45" spans="1:34" s="503" customFormat="1">
      <c r="A45" s="510" t="s">
        <v>92</v>
      </c>
      <c r="B45" s="579">
        <f t="shared" ref="B45:H45" si="19">-B34</f>
        <v>0</v>
      </c>
      <c r="C45" s="579">
        <f t="shared" si="19"/>
        <v>0</v>
      </c>
      <c r="D45" s="579">
        <f t="shared" si="19"/>
        <v>0</v>
      </c>
      <c r="E45" s="579">
        <f t="shared" si="19"/>
        <v>91</v>
      </c>
      <c r="F45" s="579">
        <f t="shared" si="19"/>
        <v>67</v>
      </c>
      <c r="G45" s="579">
        <f t="shared" si="19"/>
        <v>71</v>
      </c>
      <c r="H45" s="579">
        <f t="shared" si="19"/>
        <v>83</v>
      </c>
      <c r="I45" s="579">
        <f>-I34</f>
        <v>95</v>
      </c>
      <c r="J45" s="686">
        <f>-J34</f>
        <v>134</v>
      </c>
      <c r="K45" s="686">
        <f>-K34</f>
        <v>144</v>
      </c>
      <c r="L45" s="686">
        <v>150</v>
      </c>
      <c r="M45" s="686">
        <f t="shared" ref="M45:Y45" si="20">-M34</f>
        <v>144</v>
      </c>
      <c r="N45" s="579">
        <f t="shared" si="20"/>
        <v>99</v>
      </c>
      <c r="O45" s="579">
        <v>101</v>
      </c>
      <c r="P45" s="579">
        <f>-P34</f>
        <v>80</v>
      </c>
      <c r="Q45" s="579">
        <f t="shared" si="20"/>
        <v>47</v>
      </c>
      <c r="R45" s="579">
        <f t="shared" si="20"/>
        <v>46</v>
      </c>
      <c r="S45" s="579">
        <f t="shared" si="20"/>
        <v>36</v>
      </c>
      <c r="T45" s="579">
        <f t="shared" si="20"/>
        <v>25</v>
      </c>
      <c r="U45" s="579">
        <v>25</v>
      </c>
      <c r="V45" s="579">
        <v>24</v>
      </c>
      <c r="W45" s="579">
        <v>22</v>
      </c>
      <c r="X45" s="579">
        <f t="shared" si="20"/>
        <v>22</v>
      </c>
      <c r="Y45" s="579">
        <f t="shared" si="20"/>
        <v>22</v>
      </c>
      <c r="Z45" s="579">
        <f>-Z34</f>
        <v>22</v>
      </c>
      <c r="AA45" s="579">
        <f>-AA34</f>
        <v>22</v>
      </c>
      <c r="AB45" s="579">
        <f>-AB34</f>
        <v>22</v>
      </c>
      <c r="AC45" s="515"/>
      <c r="AF45" s="516"/>
      <c r="AG45" s="516"/>
      <c r="AH45" s="516"/>
    </row>
    <row r="46" spans="1:34" s="503" customFormat="1">
      <c r="A46" s="510" t="s">
        <v>883</v>
      </c>
      <c r="B46" s="562"/>
      <c r="C46" s="562"/>
      <c r="D46" s="562"/>
      <c r="E46" s="562"/>
      <c r="F46" s="562">
        <v>671</v>
      </c>
      <c r="G46" s="562"/>
      <c r="H46" s="562"/>
      <c r="I46" s="562">
        <v>0</v>
      </c>
      <c r="J46" s="687">
        <v>0</v>
      </c>
      <c r="K46" s="687">
        <v>0</v>
      </c>
      <c r="L46" s="687">
        <v>0</v>
      </c>
      <c r="M46" s="687">
        <v>0</v>
      </c>
      <c r="N46" s="561"/>
      <c r="O46" s="561"/>
      <c r="P46" s="561"/>
      <c r="Q46" s="561"/>
      <c r="R46" s="561"/>
      <c r="S46" s="561"/>
      <c r="T46" s="561"/>
      <c r="U46" s="561"/>
      <c r="V46" s="579"/>
      <c r="W46" s="579"/>
      <c r="X46" s="579"/>
      <c r="Y46" s="579"/>
      <c r="Z46" s="579"/>
      <c r="AA46" s="579"/>
      <c r="AB46" s="579"/>
      <c r="AC46" s="515"/>
      <c r="AF46" s="516"/>
      <c r="AG46" s="516"/>
      <c r="AH46" s="516"/>
    </row>
    <row r="47" spans="1:34" s="503" customFormat="1">
      <c r="A47" s="541" t="s">
        <v>884</v>
      </c>
      <c r="B47" s="511"/>
      <c r="C47" s="511"/>
      <c r="D47" s="511">
        <v>-652</v>
      </c>
      <c r="E47" s="511">
        <v>26</v>
      </c>
      <c r="F47" s="511">
        <v>-447</v>
      </c>
      <c r="G47" s="511">
        <v>-1041</v>
      </c>
      <c r="H47" s="511">
        <v>-515</v>
      </c>
      <c r="I47" s="511">
        <v>1322</v>
      </c>
      <c r="J47" s="688">
        <v>1924</v>
      </c>
      <c r="K47" s="688">
        <v>1321</v>
      </c>
      <c r="L47" s="688">
        <v>-1924</v>
      </c>
      <c r="M47" s="688">
        <v>2390</v>
      </c>
      <c r="N47" s="511">
        <v>1623</v>
      </c>
      <c r="O47" s="511">
        <v>-4510</v>
      </c>
      <c r="P47" s="511">
        <v>1581</v>
      </c>
      <c r="Q47" s="511">
        <v>-356</v>
      </c>
      <c r="R47" s="511">
        <v>-267</v>
      </c>
      <c r="S47" s="511">
        <v>641</v>
      </c>
      <c r="T47" s="511">
        <v>49</v>
      </c>
      <c r="U47" s="511">
        <v>-2019</v>
      </c>
      <c r="V47" s="511">
        <f>-2238</f>
        <v>-2238</v>
      </c>
      <c r="W47" s="511">
        <v>-2612</v>
      </c>
      <c r="X47" s="521"/>
      <c r="Y47" s="521"/>
      <c r="Z47" s="521"/>
      <c r="AA47" s="521"/>
      <c r="AB47" s="521"/>
      <c r="AC47" s="521"/>
      <c r="AD47" s="516"/>
      <c r="AE47" s="576"/>
      <c r="AF47" s="516"/>
      <c r="AG47" s="516"/>
      <c r="AH47" s="516"/>
    </row>
    <row r="48" spans="1:34" s="503" customFormat="1">
      <c r="A48" s="510" t="s">
        <v>885</v>
      </c>
      <c r="B48" s="511"/>
      <c r="C48" s="511"/>
      <c r="D48" s="511"/>
      <c r="E48" s="511"/>
      <c r="F48" s="511"/>
      <c r="G48" s="511"/>
      <c r="H48" s="511"/>
      <c r="I48" s="511">
        <v>0</v>
      </c>
      <c r="J48" s="688">
        <v>46</v>
      </c>
      <c r="K48" s="688">
        <v>0</v>
      </c>
      <c r="L48" s="688">
        <v>0</v>
      </c>
      <c r="M48" s="688">
        <v>-109</v>
      </c>
      <c r="N48" s="511">
        <v>-146</v>
      </c>
      <c r="O48" s="511">
        <v>-58</v>
      </c>
      <c r="P48" s="511">
        <v>-1</v>
      </c>
      <c r="Q48" s="511">
        <v>0</v>
      </c>
      <c r="R48" s="511">
        <v>-152</v>
      </c>
      <c r="S48" s="511">
        <v>0</v>
      </c>
      <c r="T48" s="577">
        <f>-T36</f>
        <v>-51</v>
      </c>
      <c r="U48" s="577">
        <v>-116</v>
      </c>
      <c r="V48" s="521">
        <f>-29</f>
        <v>-29</v>
      </c>
      <c r="W48" s="521">
        <v>-131</v>
      </c>
      <c r="X48" s="521"/>
      <c r="Y48" s="521"/>
      <c r="Z48" s="521"/>
      <c r="AA48" s="521"/>
      <c r="AB48" s="521"/>
      <c r="AC48" s="521"/>
      <c r="AD48" s="516"/>
      <c r="AE48" s="576"/>
      <c r="AF48" s="516"/>
      <c r="AG48" s="516"/>
      <c r="AH48" s="516"/>
    </row>
    <row r="49" spans="1:34" s="503" customFormat="1">
      <c r="A49" s="510" t="s">
        <v>72</v>
      </c>
      <c r="B49" s="526"/>
      <c r="C49" s="526"/>
      <c r="D49" s="526">
        <v>295</v>
      </c>
      <c r="E49" s="526">
        <f>-27+449</f>
        <v>422</v>
      </c>
      <c r="F49" s="526">
        <v>256</v>
      </c>
      <c r="G49" s="526">
        <f>520+58</f>
        <v>578</v>
      </c>
      <c r="H49" s="526">
        <f>-152+124</f>
        <v>-28</v>
      </c>
      <c r="I49" s="526">
        <v>13</v>
      </c>
      <c r="J49" s="689">
        <v>0</v>
      </c>
      <c r="K49" s="689">
        <v>31</v>
      </c>
      <c r="L49" s="689">
        <f>-95-38</f>
        <v>-133</v>
      </c>
      <c r="M49" s="689">
        <v>-7</v>
      </c>
      <c r="N49" s="526">
        <f>-75-10</f>
        <v>-85</v>
      </c>
      <c r="O49" s="526">
        <f>-3-12</f>
        <v>-15</v>
      </c>
      <c r="P49" s="526">
        <v>-7</v>
      </c>
      <c r="Q49" s="526">
        <f>-8-66</f>
        <v>-74</v>
      </c>
      <c r="R49" s="526">
        <v>-8</v>
      </c>
      <c r="S49" s="526">
        <v>-8</v>
      </c>
      <c r="T49" s="526">
        <v>-18</v>
      </c>
      <c r="U49" s="526">
        <v>-6</v>
      </c>
      <c r="V49" s="526">
        <f>-8</f>
        <v>-8</v>
      </c>
      <c r="W49" s="526">
        <v>-6</v>
      </c>
      <c r="X49" s="565"/>
      <c r="Y49" s="565"/>
      <c r="Z49" s="565"/>
      <c r="AA49" s="565"/>
      <c r="AB49" s="565"/>
      <c r="AC49" s="521"/>
      <c r="AD49" s="516"/>
      <c r="AE49" s="576"/>
      <c r="AF49" s="516"/>
      <c r="AG49" s="516"/>
      <c r="AH49" s="516"/>
    </row>
    <row r="50" spans="1:34" s="503" customFormat="1">
      <c r="A50" s="537" t="s">
        <v>93</v>
      </c>
      <c r="B50" s="581">
        <f t="shared" ref="B50:X50" si="21">SUM(B41:B49)</f>
        <v>0</v>
      </c>
      <c r="C50" s="581">
        <f t="shared" si="21"/>
        <v>0</v>
      </c>
      <c r="D50" s="581">
        <f t="shared" si="21"/>
        <v>11687</v>
      </c>
      <c r="E50" s="581">
        <f t="shared" si="21"/>
        <v>13255</v>
      </c>
      <c r="F50" s="581">
        <f t="shared" si="21"/>
        <v>15432</v>
      </c>
      <c r="G50" s="581">
        <f t="shared" si="21"/>
        <v>14714</v>
      </c>
      <c r="H50" s="581">
        <f t="shared" si="21"/>
        <v>12935</v>
      </c>
      <c r="I50" s="581">
        <f t="shared" si="21"/>
        <v>12363</v>
      </c>
      <c r="J50" s="581">
        <f t="shared" si="21"/>
        <v>16548</v>
      </c>
      <c r="K50" s="581">
        <f t="shared" si="21"/>
        <v>20595</v>
      </c>
      <c r="L50" s="581">
        <f t="shared" si="21"/>
        <v>21927</v>
      </c>
      <c r="M50" s="581">
        <f t="shared" si="21"/>
        <v>26100</v>
      </c>
      <c r="N50" s="581">
        <f t="shared" si="21"/>
        <v>22429</v>
      </c>
      <c r="O50" s="581">
        <f t="shared" si="21"/>
        <v>14707</v>
      </c>
      <c r="P50" s="581">
        <f t="shared" si="21"/>
        <v>17556</v>
      </c>
      <c r="Q50" s="581">
        <f t="shared" si="21"/>
        <v>18615</v>
      </c>
      <c r="R50" s="581">
        <f t="shared" si="21"/>
        <v>19198</v>
      </c>
      <c r="S50" s="581">
        <f t="shared" si="21"/>
        <v>21713</v>
      </c>
      <c r="T50" s="581">
        <f t="shared" si="21"/>
        <v>23843</v>
      </c>
      <c r="U50" s="581">
        <f t="shared" si="21"/>
        <v>25675</v>
      </c>
      <c r="V50" s="581">
        <f t="shared" si="21"/>
        <v>25141</v>
      </c>
      <c r="W50" s="581">
        <f t="shared" si="21"/>
        <v>25549</v>
      </c>
      <c r="X50" s="581">
        <f t="shared" si="21"/>
        <v>26739.524399999998</v>
      </c>
      <c r="Y50" s="581">
        <f>SUM(Y41:Y49)</f>
        <v>27996.241956639999</v>
      </c>
      <c r="Z50" s="581">
        <f>SUM(Z41:Z49)</f>
        <v>29322.833009429181</v>
      </c>
      <c r="AA50" s="581">
        <f>SUM(AA41:AA49)</f>
        <v>30723.182524753443</v>
      </c>
      <c r="AB50" s="581">
        <f>SUM(AB41:AB49)</f>
        <v>32201.391473129734</v>
      </c>
      <c r="AC50" s="551"/>
      <c r="AD50" s="516" t="s">
        <v>894</v>
      </c>
      <c r="AE50" s="576">
        <v>6</v>
      </c>
      <c r="AF50" s="516" t="s">
        <v>860</v>
      </c>
      <c r="AG50" s="516" t="b">
        <v>0</v>
      </c>
      <c r="AH50" s="516" t="b">
        <v>0</v>
      </c>
    </row>
    <row r="51" spans="1:34" s="503" customFormat="1">
      <c r="A51" s="510"/>
      <c r="B51" s="521"/>
      <c r="C51" s="521"/>
      <c r="D51" s="521"/>
      <c r="E51" s="521"/>
      <c r="F51" s="521"/>
      <c r="G51" s="521"/>
      <c r="H51" s="521"/>
      <c r="I51" s="521"/>
      <c r="J51" s="521"/>
      <c r="K51" s="521"/>
      <c r="L51" s="521"/>
      <c r="M51" s="521"/>
      <c r="N51" s="568"/>
      <c r="O51" s="568"/>
      <c r="P51" s="568"/>
      <c r="Q51" s="531"/>
      <c r="R51" s="531"/>
      <c r="S51" s="531"/>
      <c r="T51" s="531"/>
      <c r="U51" s="531"/>
      <c r="V51" s="531"/>
      <c r="W51" s="531"/>
      <c r="X51" s="531"/>
      <c r="Y51" s="531"/>
      <c r="Z51" s="531"/>
      <c r="AA51" s="531"/>
      <c r="AB51" s="531"/>
      <c r="AC51" s="535"/>
      <c r="AF51" s="516"/>
      <c r="AG51" s="516"/>
      <c r="AH51" s="516"/>
    </row>
    <row r="52" spans="1:34" s="503" customFormat="1">
      <c r="A52" s="537" t="s">
        <v>94</v>
      </c>
      <c r="B52" s="571">
        <f t="shared" ref="B52:Y52" si="22">B38+B50</f>
        <v>-993</v>
      </c>
      <c r="C52" s="571">
        <v>-624</v>
      </c>
      <c r="D52" s="566">
        <f t="shared" si="22"/>
        <v>-1624</v>
      </c>
      <c r="E52" s="566">
        <f t="shared" si="22"/>
        <v>-3081</v>
      </c>
      <c r="F52" s="566">
        <f t="shared" si="22"/>
        <v>-1052</v>
      </c>
      <c r="G52" s="566">
        <f t="shared" si="22"/>
        <v>-2204</v>
      </c>
      <c r="H52" s="566">
        <f t="shared" si="22"/>
        <v>-3056</v>
      </c>
      <c r="I52" s="566">
        <f t="shared" si="22"/>
        <v>-8335</v>
      </c>
      <c r="J52" s="566">
        <f t="shared" si="22"/>
        <v>-8242</v>
      </c>
      <c r="K52" s="566">
        <f t="shared" si="22"/>
        <v>-8857</v>
      </c>
      <c r="L52" s="566">
        <f t="shared" si="22"/>
        <v>-8773</v>
      </c>
      <c r="M52" s="566">
        <f t="shared" si="22"/>
        <v>-7559</v>
      </c>
      <c r="N52" s="566">
        <f t="shared" si="22"/>
        <v>-4529</v>
      </c>
      <c r="O52" s="566">
        <f>O38+O50</f>
        <v>-5675</v>
      </c>
      <c r="P52" s="566">
        <f>P38+P50</f>
        <v>-5744</v>
      </c>
      <c r="Q52" s="566">
        <f t="shared" si="22"/>
        <v>-4770</v>
      </c>
      <c r="R52" s="566">
        <f t="shared" si="22"/>
        <v>-5965</v>
      </c>
      <c r="S52" s="566">
        <f t="shared" si="22"/>
        <v>-8989</v>
      </c>
      <c r="T52" s="566">
        <f t="shared" si="22"/>
        <v>-7008</v>
      </c>
      <c r="U52" s="566">
        <f t="shared" si="22"/>
        <v>-7548</v>
      </c>
      <c r="V52" s="566">
        <f t="shared" si="22"/>
        <v>-4498</v>
      </c>
      <c r="W52" s="566">
        <f t="shared" si="22"/>
        <v>-5075</v>
      </c>
      <c r="X52" s="1074">
        <f t="shared" si="22"/>
        <v>-4391.1072000000022</v>
      </c>
      <c r="Y52" s="566">
        <f t="shared" si="22"/>
        <v>-1511.7775486400024</v>
      </c>
      <c r="Z52" s="566">
        <f>Z38+Z50</f>
        <v>274.78932027494011</v>
      </c>
      <c r="AA52" s="566">
        <f>AA38+AA50</f>
        <v>1772.063293037827</v>
      </c>
      <c r="AB52" s="566">
        <f>AB38+AB50</f>
        <v>3011.9009777141837</v>
      </c>
      <c r="AC52" s="551"/>
      <c r="AF52" s="516"/>
      <c r="AG52" s="516"/>
      <c r="AH52" s="516"/>
    </row>
    <row r="53" spans="1:34" s="503" customFormat="1">
      <c r="A53" s="537" t="s">
        <v>95</v>
      </c>
      <c r="B53" s="582">
        <f t="shared" ref="B53:Y53" si="23">-B50/B38</f>
        <v>0</v>
      </c>
      <c r="C53" s="582">
        <f t="shared" si="23"/>
        <v>0</v>
      </c>
      <c r="D53" s="582">
        <f t="shared" si="23"/>
        <v>0.87799564270152508</v>
      </c>
      <c r="E53" s="582">
        <f t="shared" si="23"/>
        <v>0.811398139079334</v>
      </c>
      <c r="F53" s="582">
        <f t="shared" si="23"/>
        <v>0.93618053870419804</v>
      </c>
      <c r="G53" s="582">
        <f t="shared" si="23"/>
        <v>0.86972455372975532</v>
      </c>
      <c r="H53" s="582">
        <f t="shared" si="23"/>
        <v>0.80889250203239327</v>
      </c>
      <c r="I53" s="582">
        <f t="shared" si="23"/>
        <v>0.59730408735143492</v>
      </c>
      <c r="J53" s="582">
        <f t="shared" si="23"/>
        <v>0.66752722872125858</v>
      </c>
      <c r="K53" s="582">
        <f t="shared" si="23"/>
        <v>0.69927339399701205</v>
      </c>
      <c r="L53" s="582">
        <f t="shared" si="23"/>
        <v>0.71423452768729645</v>
      </c>
      <c r="M53" s="582">
        <f t="shared" si="23"/>
        <v>0.7754241064796934</v>
      </c>
      <c r="N53" s="582">
        <f t="shared" si="23"/>
        <v>0.83199792269456196</v>
      </c>
      <c r="O53" s="582">
        <f>-O50/O38</f>
        <v>0.72156805024040815</v>
      </c>
      <c r="P53" s="582">
        <f>-P50/P38</f>
        <v>0.75347639484978546</v>
      </c>
      <c r="Q53" s="582">
        <f t="shared" si="23"/>
        <v>0.79602309172546504</v>
      </c>
      <c r="R53" s="582">
        <f t="shared" si="23"/>
        <v>0.76294559472240986</v>
      </c>
      <c r="S53" s="582">
        <f t="shared" si="23"/>
        <v>0.70721777082926196</v>
      </c>
      <c r="T53" s="582">
        <f t="shared" si="23"/>
        <v>0.77284366795241644</v>
      </c>
      <c r="U53" s="582">
        <f t="shared" si="23"/>
        <v>0.77280799446166815</v>
      </c>
      <c r="V53" s="582">
        <f t="shared" si="23"/>
        <v>0.84824049394379031</v>
      </c>
      <c r="W53" s="582">
        <f t="shared" si="23"/>
        <v>0.83428030303030298</v>
      </c>
      <c r="X53" s="582">
        <f t="shared" si="23"/>
        <v>0.85894577224061197</v>
      </c>
      <c r="Y53" s="582">
        <f t="shared" si="23"/>
        <v>0.94876723094311721</v>
      </c>
      <c r="Z53" s="582">
        <f>-Z50/Z38</f>
        <v>1.009459821914876</v>
      </c>
      <c r="AA53" s="582">
        <f>-AA50/AA38</f>
        <v>1.0612088009052358</v>
      </c>
      <c r="AB53" s="582">
        <f>-AB50/AB38</f>
        <v>1.103184431334532</v>
      </c>
      <c r="AC53" s="551"/>
      <c r="AF53" s="516"/>
      <c r="AG53" s="516"/>
      <c r="AH53" s="516"/>
    </row>
    <row r="54" spans="1:34" s="503" customFormat="1">
      <c r="A54" s="537"/>
      <c r="B54" s="583"/>
      <c r="C54" s="583"/>
      <c r="D54" s="583"/>
      <c r="E54" s="583"/>
      <c r="F54" s="583"/>
      <c r="G54" s="583"/>
      <c r="H54" s="583"/>
      <c r="I54" s="583"/>
      <c r="J54" s="521"/>
      <c r="K54" s="521"/>
      <c r="L54" s="521"/>
      <c r="M54" s="521"/>
      <c r="N54" s="582"/>
      <c r="O54" s="582"/>
      <c r="P54" s="582"/>
      <c r="Q54" s="582"/>
      <c r="R54" s="582"/>
      <c r="S54" s="582"/>
      <c r="T54" s="584"/>
      <c r="U54" s="582"/>
      <c r="V54" s="582"/>
      <c r="W54" s="582"/>
      <c r="X54" s="582"/>
      <c r="Y54" s="582"/>
      <c r="Z54" s="582"/>
      <c r="AA54" s="582"/>
      <c r="AB54" s="582"/>
      <c r="AC54" s="551"/>
      <c r="AF54" s="516"/>
      <c r="AG54" s="516"/>
      <c r="AH54" s="516"/>
    </row>
    <row r="55" spans="1:34" s="503" customFormat="1">
      <c r="A55" s="585" t="s">
        <v>895</v>
      </c>
      <c r="B55" s="520"/>
      <c r="C55" s="520"/>
      <c r="D55" s="520"/>
      <c r="E55" s="520"/>
      <c r="F55" s="520"/>
      <c r="G55" s="520"/>
      <c r="H55" s="520"/>
      <c r="I55" s="520"/>
      <c r="J55" s="520"/>
      <c r="K55" s="520"/>
      <c r="L55" s="520"/>
      <c r="M55" s="520"/>
      <c r="N55" s="568"/>
      <c r="O55" s="568"/>
      <c r="P55" s="568"/>
      <c r="Q55" s="568"/>
      <c r="R55" s="568"/>
      <c r="S55" s="568"/>
      <c r="T55" s="568"/>
      <c r="U55" s="568"/>
      <c r="V55" s="568"/>
      <c r="W55" s="568"/>
      <c r="X55" s="568"/>
      <c r="Y55" s="568"/>
      <c r="Z55" s="568"/>
      <c r="AA55" s="568"/>
      <c r="AB55" s="568"/>
      <c r="AC55" s="586"/>
      <c r="AF55" s="516"/>
      <c r="AG55" s="516"/>
      <c r="AH55" s="516"/>
    </row>
    <row r="56" spans="1:34" s="503" customFormat="1">
      <c r="A56" s="510" t="s">
        <v>896</v>
      </c>
      <c r="B56" s="520"/>
      <c r="C56" s="520"/>
      <c r="D56" s="520"/>
      <c r="E56" s="520"/>
      <c r="F56" s="520"/>
      <c r="G56" s="520"/>
      <c r="H56" s="520"/>
      <c r="I56" s="520">
        <f t="shared" ref="I56:AB56" si="24">H60</f>
        <v>768</v>
      </c>
      <c r="J56" s="520">
        <f t="shared" si="24"/>
        <v>784</v>
      </c>
      <c r="K56" s="520">
        <f t="shared" si="24"/>
        <v>790</v>
      </c>
      <c r="L56" s="520">
        <f t="shared" si="24"/>
        <v>823</v>
      </c>
      <c r="M56" s="520">
        <f t="shared" si="24"/>
        <v>912</v>
      </c>
      <c r="N56" s="520">
        <f t="shared" si="24"/>
        <v>0</v>
      </c>
      <c r="O56" s="520">
        <f>N60</f>
        <v>0</v>
      </c>
      <c r="P56" s="520">
        <f>O60</f>
        <v>0</v>
      </c>
      <c r="Q56" s="520">
        <f t="shared" si="24"/>
        <v>0</v>
      </c>
      <c r="R56" s="520">
        <f t="shared" si="24"/>
        <v>0</v>
      </c>
      <c r="S56" s="520">
        <f t="shared" si="24"/>
        <v>0</v>
      </c>
      <c r="T56" s="520">
        <f t="shared" si="24"/>
        <v>0</v>
      </c>
      <c r="U56" s="520">
        <f t="shared" si="24"/>
        <v>0</v>
      </c>
      <c r="V56" s="520">
        <f t="shared" si="24"/>
        <v>0</v>
      </c>
      <c r="W56" s="520">
        <f t="shared" si="24"/>
        <v>0</v>
      </c>
      <c r="X56" s="520">
        <f t="shared" si="24"/>
        <v>0</v>
      </c>
      <c r="Y56" s="520">
        <f t="shared" si="24"/>
        <v>0</v>
      </c>
      <c r="Z56" s="520">
        <f t="shared" si="24"/>
        <v>0</v>
      </c>
      <c r="AA56" s="520">
        <f t="shared" si="24"/>
        <v>0</v>
      </c>
      <c r="AB56" s="520">
        <f t="shared" si="24"/>
        <v>0</v>
      </c>
      <c r="AC56" s="521"/>
      <c r="AF56" s="516"/>
      <c r="AG56" s="516"/>
      <c r="AH56" s="516"/>
    </row>
    <row r="57" spans="1:34" s="503" customFormat="1">
      <c r="A57" s="510" t="s">
        <v>879</v>
      </c>
      <c r="B57" s="521"/>
      <c r="C57" s="521"/>
      <c r="D57" s="521"/>
      <c r="E57" s="521"/>
      <c r="F57" s="521"/>
      <c r="G57" s="521"/>
      <c r="H57" s="521"/>
      <c r="I57" s="521">
        <f t="shared" ref="I57:O57" si="25">-I29</f>
        <v>133</v>
      </c>
      <c r="J57" s="521">
        <f t="shared" si="25"/>
        <v>5</v>
      </c>
      <c r="K57" s="521">
        <f t="shared" si="25"/>
        <v>118</v>
      </c>
      <c r="L57" s="521">
        <f t="shared" si="25"/>
        <v>218</v>
      </c>
      <c r="M57" s="521">
        <f t="shared" si="25"/>
        <v>-34</v>
      </c>
      <c r="N57" s="521">
        <f t="shared" si="25"/>
        <v>12</v>
      </c>
      <c r="O57" s="521">
        <f t="shared" si="25"/>
        <v>117</v>
      </c>
      <c r="P57" s="588">
        <v>0</v>
      </c>
      <c r="Q57" s="588">
        <v>0</v>
      </c>
      <c r="R57" s="588">
        <v>0</v>
      </c>
      <c r="S57" s="588">
        <v>0</v>
      </c>
      <c r="T57" s="588">
        <v>0</v>
      </c>
      <c r="U57" s="588">
        <v>0</v>
      </c>
      <c r="V57" s="588">
        <v>0</v>
      </c>
      <c r="W57" s="588">
        <v>0</v>
      </c>
      <c r="X57" s="588">
        <v>0</v>
      </c>
      <c r="Y57" s="588">
        <v>0</v>
      </c>
      <c r="Z57" s="588">
        <v>0</v>
      </c>
      <c r="AA57" s="588">
        <v>0</v>
      </c>
      <c r="AB57" s="588">
        <v>0</v>
      </c>
      <c r="AC57" s="521"/>
      <c r="AF57" s="516"/>
      <c r="AG57" s="516"/>
      <c r="AH57" s="516"/>
    </row>
    <row r="58" spans="1:34" s="503" customFormat="1">
      <c r="A58" s="510" t="s">
        <v>72</v>
      </c>
      <c r="B58" s="520"/>
      <c r="C58" s="520"/>
      <c r="D58" s="520"/>
      <c r="E58" s="520"/>
      <c r="F58" s="520"/>
      <c r="G58" s="520"/>
      <c r="H58" s="520"/>
      <c r="I58" s="520">
        <f t="shared" ref="I58:N58" si="26">I60-I59-I57-I56</f>
        <v>20</v>
      </c>
      <c r="J58" s="520">
        <f t="shared" si="26"/>
        <v>136</v>
      </c>
      <c r="K58" s="520">
        <f t="shared" si="26"/>
        <v>21</v>
      </c>
      <c r="L58" s="520">
        <f t="shared" si="26"/>
        <v>-3</v>
      </c>
      <c r="M58" s="520">
        <f t="shared" si="26"/>
        <v>-758</v>
      </c>
      <c r="N58" s="520">
        <f t="shared" si="26"/>
        <v>97</v>
      </c>
      <c r="O58" s="520">
        <f>O60-O59-O57-O56</f>
        <v>-18</v>
      </c>
      <c r="P58" s="521"/>
      <c r="Q58" s="521"/>
      <c r="R58" s="521"/>
      <c r="S58" s="521"/>
      <c r="T58" s="521"/>
      <c r="U58" s="521"/>
      <c r="V58" s="521"/>
      <c r="W58" s="521"/>
      <c r="X58" s="521"/>
      <c r="Y58" s="521"/>
      <c r="Z58" s="521"/>
      <c r="AA58" s="521"/>
      <c r="AB58" s="521"/>
      <c r="AC58" s="521"/>
      <c r="AF58" s="516"/>
      <c r="AG58" s="516"/>
      <c r="AH58" s="516"/>
    </row>
    <row r="59" spans="1:34" s="503" customFormat="1">
      <c r="A59" s="510" t="s">
        <v>897</v>
      </c>
      <c r="B59" s="529"/>
      <c r="C59" s="529"/>
      <c r="D59" s="529"/>
      <c r="E59" s="529"/>
      <c r="F59" s="529"/>
      <c r="G59" s="529"/>
      <c r="H59" s="529"/>
      <c r="I59" s="529">
        <f t="shared" ref="I59:O59" si="27">I5</f>
        <v>-137</v>
      </c>
      <c r="J59" s="529">
        <f t="shared" si="27"/>
        <v>-135</v>
      </c>
      <c r="K59" s="529">
        <f t="shared" si="27"/>
        <v>-106</v>
      </c>
      <c r="L59" s="529">
        <f t="shared" si="27"/>
        <v>-126</v>
      </c>
      <c r="M59" s="529">
        <f t="shared" si="27"/>
        <v>-120</v>
      </c>
      <c r="N59" s="529">
        <f t="shared" si="27"/>
        <v>-109</v>
      </c>
      <c r="O59" s="529">
        <f t="shared" si="27"/>
        <v>-99</v>
      </c>
      <c r="P59" s="690">
        <f t="shared" ref="P59:V59" si="28">O59-(P57)/P23</f>
        <v>-99</v>
      </c>
      <c r="Q59" s="690">
        <f t="shared" si="28"/>
        <v>-99</v>
      </c>
      <c r="R59" s="690">
        <f t="shared" si="28"/>
        <v>-99</v>
      </c>
      <c r="S59" s="690">
        <f t="shared" si="28"/>
        <v>-99</v>
      </c>
      <c r="T59" s="690">
        <f t="shared" si="28"/>
        <v>-99</v>
      </c>
      <c r="U59" s="690">
        <f t="shared" si="28"/>
        <v>-99</v>
      </c>
      <c r="V59" s="690">
        <f t="shared" si="28"/>
        <v>-99</v>
      </c>
      <c r="W59" s="690">
        <f t="shared" ref="W59:AB59" si="29">V59-(W57)/W23</f>
        <v>-99</v>
      </c>
      <c r="X59" s="690">
        <f t="shared" si="29"/>
        <v>-99</v>
      </c>
      <c r="Y59" s="690">
        <f t="shared" si="29"/>
        <v>-99</v>
      </c>
      <c r="Z59" s="690">
        <f t="shared" si="29"/>
        <v>-99</v>
      </c>
      <c r="AA59" s="690">
        <f t="shared" si="29"/>
        <v>-99</v>
      </c>
      <c r="AB59" s="690">
        <f t="shared" si="29"/>
        <v>-99</v>
      </c>
      <c r="AC59" s="515"/>
      <c r="AF59" s="516"/>
      <c r="AG59" s="516"/>
      <c r="AH59" s="516"/>
    </row>
    <row r="60" spans="1:34" s="503" customFormat="1">
      <c r="A60" s="537" t="s">
        <v>898</v>
      </c>
      <c r="B60" s="557"/>
      <c r="C60" s="557"/>
      <c r="D60" s="557">
        <v>570</v>
      </c>
      <c r="E60" s="557">
        <v>507</v>
      </c>
      <c r="F60" s="557">
        <v>833</v>
      </c>
      <c r="G60" s="557">
        <v>814</v>
      </c>
      <c r="H60" s="557">
        <v>768</v>
      </c>
      <c r="I60" s="685">
        <v>784</v>
      </c>
      <c r="J60" s="685">
        <v>790</v>
      </c>
      <c r="K60" s="685">
        <v>823</v>
      </c>
      <c r="L60" s="685">
        <v>912</v>
      </c>
      <c r="M60" s="587">
        <v>0</v>
      </c>
      <c r="N60" s="587">
        <v>0</v>
      </c>
      <c r="O60" s="587">
        <v>0</v>
      </c>
      <c r="P60" s="521">
        <f t="shared" ref="P60:X60" si="30">MAX(0,SUM(P56:P59))</f>
        <v>0</v>
      </c>
      <c r="Q60" s="521">
        <f t="shared" si="30"/>
        <v>0</v>
      </c>
      <c r="R60" s="521">
        <f t="shared" si="30"/>
        <v>0</v>
      </c>
      <c r="S60" s="521">
        <f t="shared" si="30"/>
        <v>0</v>
      </c>
      <c r="T60" s="521">
        <f t="shared" si="30"/>
        <v>0</v>
      </c>
      <c r="U60" s="521">
        <f t="shared" si="30"/>
        <v>0</v>
      </c>
      <c r="V60" s="521">
        <f t="shared" si="30"/>
        <v>0</v>
      </c>
      <c r="W60" s="521">
        <f t="shared" si="30"/>
        <v>0</v>
      </c>
      <c r="X60" s="521">
        <f t="shared" si="30"/>
        <v>0</v>
      </c>
      <c r="Y60" s="521">
        <f>MAX(0,SUM(Y56:Y59))</f>
        <v>0</v>
      </c>
      <c r="Z60" s="521">
        <f>MAX(0,SUM(Z56:Z59))</f>
        <v>0</v>
      </c>
      <c r="AA60" s="521">
        <f>MAX(0,SUM(AA56:AA59))</f>
        <v>0</v>
      </c>
      <c r="AB60" s="521">
        <f>MAX(0,SUM(AB56:AB59))</f>
        <v>0</v>
      </c>
      <c r="AC60" s="521"/>
      <c r="AF60" s="516"/>
      <c r="AG60" s="516"/>
      <c r="AH60" s="516"/>
    </row>
    <row r="61" spans="1:34" s="503" customFormat="1">
      <c r="A61" s="510"/>
      <c r="B61" s="520"/>
      <c r="C61" s="520"/>
      <c r="D61" s="520"/>
      <c r="E61" s="520"/>
      <c r="F61" s="520"/>
      <c r="G61" s="520"/>
      <c r="H61" s="520"/>
      <c r="I61" s="520"/>
      <c r="J61" s="520"/>
      <c r="K61" s="520"/>
      <c r="L61" s="520"/>
      <c r="M61" s="520"/>
      <c r="N61" s="568"/>
      <c r="O61" s="568"/>
      <c r="P61" s="568"/>
      <c r="Q61" s="568"/>
      <c r="R61" s="568"/>
      <c r="S61" s="568"/>
      <c r="T61" s="568"/>
      <c r="U61" s="568"/>
      <c r="V61" s="568"/>
      <c r="W61" s="568"/>
      <c r="X61" s="568"/>
      <c r="Y61" s="568"/>
      <c r="Z61" s="568"/>
      <c r="AA61" s="568"/>
      <c r="AB61" s="568"/>
      <c r="AC61" s="586"/>
      <c r="AF61" s="516"/>
      <c r="AG61" s="516"/>
      <c r="AH61" s="516"/>
    </row>
    <row r="62" spans="1:34" s="503" customFormat="1">
      <c r="A62" s="510" t="s">
        <v>899</v>
      </c>
      <c r="B62" s="520"/>
      <c r="C62" s="520"/>
      <c r="D62" s="520"/>
      <c r="E62" s="520"/>
      <c r="F62" s="520"/>
      <c r="G62" s="520"/>
      <c r="H62" s="520"/>
      <c r="I62" s="520">
        <f t="shared" ref="I62:AB62" si="31">H67</f>
        <v>1642</v>
      </c>
      <c r="J62" s="520">
        <f t="shared" si="31"/>
        <v>6874</v>
      </c>
      <c r="K62" s="520">
        <f t="shared" si="31"/>
        <v>7122</v>
      </c>
      <c r="L62" s="520">
        <f t="shared" si="31"/>
        <v>8794</v>
      </c>
      <c r="M62" s="520">
        <f t="shared" si="31"/>
        <v>8609</v>
      </c>
      <c r="N62" s="520">
        <f t="shared" si="31"/>
        <v>0</v>
      </c>
      <c r="O62" s="520">
        <f>N67</f>
        <v>0</v>
      </c>
      <c r="P62" s="520">
        <f>O67</f>
        <v>0</v>
      </c>
      <c r="Q62" s="520">
        <f t="shared" si="31"/>
        <v>0</v>
      </c>
      <c r="R62" s="520">
        <f t="shared" si="31"/>
        <v>0</v>
      </c>
      <c r="S62" s="520">
        <f t="shared" si="31"/>
        <v>0</v>
      </c>
      <c r="T62" s="520">
        <f t="shared" si="31"/>
        <v>0</v>
      </c>
      <c r="U62" s="520">
        <f t="shared" si="31"/>
        <v>0</v>
      </c>
      <c r="V62" s="520">
        <f t="shared" si="31"/>
        <v>473.34686666666755</v>
      </c>
      <c r="W62" s="520">
        <f t="shared" si="31"/>
        <v>0</v>
      </c>
      <c r="X62" s="520">
        <f t="shared" si="31"/>
        <v>40.397066666666547</v>
      </c>
      <c r="Y62" s="520">
        <f t="shared" si="31"/>
        <v>0</v>
      </c>
      <c r="Z62" s="520">
        <f t="shared" si="31"/>
        <v>0</v>
      </c>
      <c r="AA62" s="520">
        <f t="shared" si="31"/>
        <v>0</v>
      </c>
      <c r="AB62" s="520">
        <f t="shared" si="31"/>
        <v>0</v>
      </c>
      <c r="AC62" s="521"/>
      <c r="AF62" s="516"/>
      <c r="AG62" s="516"/>
      <c r="AH62" s="516"/>
    </row>
    <row r="63" spans="1:34" s="503" customFormat="1">
      <c r="A63" s="510" t="s">
        <v>900</v>
      </c>
      <c r="B63" s="590"/>
      <c r="C63" s="590"/>
      <c r="D63" s="590"/>
      <c r="E63" s="590"/>
      <c r="F63" s="590"/>
      <c r="G63" s="590"/>
      <c r="H63" s="590"/>
      <c r="I63" s="590">
        <f t="shared" ref="I63:O63" si="32">-I31</f>
        <v>1964</v>
      </c>
      <c r="J63" s="590">
        <f t="shared" si="32"/>
        <v>-40</v>
      </c>
      <c r="K63" s="590">
        <f t="shared" si="32"/>
        <v>1652</v>
      </c>
      <c r="L63" s="590">
        <f t="shared" si="32"/>
        <v>2878</v>
      </c>
      <c r="M63" s="590">
        <f t="shared" si="32"/>
        <v>-1344</v>
      </c>
      <c r="N63" s="590">
        <f t="shared" si="32"/>
        <v>-2895</v>
      </c>
      <c r="O63" s="590">
        <f t="shared" si="32"/>
        <v>-835</v>
      </c>
      <c r="P63" s="691">
        <f t="shared" ref="P63:V63" si="33">-(P17-P18)*P27*P24*100</f>
        <v>549.44999999999879</v>
      </c>
      <c r="Q63" s="691">
        <f t="shared" si="33"/>
        <v>862.10000000000059</v>
      </c>
      <c r="R63" s="691">
        <f t="shared" si="33"/>
        <v>1099.0950000000007</v>
      </c>
      <c r="S63" s="691">
        <f t="shared" si="33"/>
        <v>2314.9960000000001</v>
      </c>
      <c r="T63" s="691">
        <f t="shared" si="33"/>
        <v>-460.53000000000043</v>
      </c>
      <c r="U63" s="691">
        <f t="shared" si="33"/>
        <v>3115.9510000000009</v>
      </c>
      <c r="V63" s="691">
        <f t="shared" si="33"/>
        <v>-465.12200000000064</v>
      </c>
      <c r="W63" s="691">
        <f t="shared" ref="W63:AB63" si="34">-(W17-W18)*W27*W24*100</f>
        <v>2252.5639999999999</v>
      </c>
      <c r="X63" s="691">
        <f t="shared" si="34"/>
        <v>489.98400000000026</v>
      </c>
      <c r="Y63" s="691">
        <f t="shared" si="34"/>
        <v>-1618.7928431999999</v>
      </c>
      <c r="Z63" s="691">
        <f t="shared" si="34"/>
        <v>-590.16039010559962</v>
      </c>
      <c r="AA63" s="691">
        <f t="shared" si="34"/>
        <v>-290.48043689154264</v>
      </c>
      <c r="AB63" s="691">
        <f t="shared" si="34"/>
        <v>0</v>
      </c>
      <c r="AC63" s="521"/>
      <c r="AF63" s="516"/>
      <c r="AG63" s="516"/>
      <c r="AH63" s="516"/>
    </row>
    <row r="64" spans="1:34" s="503" customFormat="1">
      <c r="A64" s="510" t="s">
        <v>901</v>
      </c>
      <c r="B64" s="520"/>
      <c r="C64" s="520"/>
      <c r="D64" s="520"/>
      <c r="E64" s="520"/>
      <c r="F64" s="520"/>
      <c r="G64" s="520"/>
      <c r="H64" s="520"/>
      <c r="I64" s="520">
        <f t="shared" ref="I64:Y64" si="35">+I7-I42</f>
        <v>2957</v>
      </c>
      <c r="J64" s="520">
        <f t="shared" si="35"/>
        <v>-688</v>
      </c>
      <c r="K64" s="520">
        <f t="shared" si="35"/>
        <v>-285</v>
      </c>
      <c r="L64" s="520">
        <f t="shared" si="35"/>
        <v>-1606</v>
      </c>
      <c r="M64" s="520">
        <f t="shared" si="35"/>
        <v>-643</v>
      </c>
      <c r="N64" s="520">
        <f>+N7-N42</f>
        <v>1005</v>
      </c>
      <c r="O64" s="520">
        <f>+O7-O42</f>
        <v>3729</v>
      </c>
      <c r="P64" s="520">
        <f>+P7-P42</f>
        <v>-386</v>
      </c>
      <c r="Q64" s="520">
        <f t="shared" si="35"/>
        <v>-150</v>
      </c>
      <c r="R64" s="520">
        <f t="shared" si="35"/>
        <v>470</v>
      </c>
      <c r="S64" s="520">
        <f t="shared" si="35"/>
        <v>-297</v>
      </c>
      <c r="T64" s="520">
        <f t="shared" si="35"/>
        <v>-307</v>
      </c>
      <c r="U64" s="520">
        <f t="shared" si="35"/>
        <v>-2122</v>
      </c>
      <c r="V64" s="520">
        <f t="shared" si="35"/>
        <v>-242</v>
      </c>
      <c r="W64" s="520">
        <f t="shared" si="35"/>
        <v>-1702</v>
      </c>
      <c r="X64" s="520">
        <f t="shared" si="35"/>
        <v>0</v>
      </c>
      <c r="Y64" s="520">
        <f t="shared" si="35"/>
        <v>0</v>
      </c>
      <c r="Z64" s="520">
        <f>+Z7-Z42</f>
        <v>0</v>
      </c>
      <c r="AA64" s="520">
        <f>+AA7-AA42</f>
        <v>0</v>
      </c>
      <c r="AB64" s="520">
        <f>+AB7-AB42</f>
        <v>0</v>
      </c>
      <c r="AC64" s="521"/>
      <c r="AF64" s="516"/>
      <c r="AG64" s="516"/>
      <c r="AH64" s="516"/>
    </row>
    <row r="65" spans="1:34" s="503" customFormat="1">
      <c r="A65" s="541" t="s">
        <v>72</v>
      </c>
      <c r="B65" s="521"/>
      <c r="C65" s="521"/>
      <c r="D65" s="521"/>
      <c r="E65" s="521"/>
      <c r="F65" s="521"/>
      <c r="G65" s="521"/>
      <c r="H65" s="521"/>
      <c r="I65" s="521">
        <f t="shared" ref="I65:N65" si="36">I67-I62-I63-I64-I66</f>
        <v>336</v>
      </c>
      <c r="J65" s="521">
        <f t="shared" si="36"/>
        <v>1124</v>
      </c>
      <c r="K65" s="521">
        <f t="shared" si="36"/>
        <v>509</v>
      </c>
      <c r="L65" s="521">
        <f t="shared" si="36"/>
        <v>-1105</v>
      </c>
      <c r="M65" s="521">
        <f t="shared" si="36"/>
        <v>-6054</v>
      </c>
      <c r="N65" s="521">
        <f t="shared" si="36"/>
        <v>2350</v>
      </c>
      <c r="O65" s="521">
        <f>O67-O62-O63-O64-O66</f>
        <v>-2686</v>
      </c>
      <c r="P65" s="521"/>
      <c r="Q65" s="521"/>
      <c r="R65" s="521"/>
      <c r="S65" s="521"/>
      <c r="T65" s="521"/>
      <c r="U65" s="521"/>
      <c r="V65" s="521"/>
      <c r="W65" s="521"/>
      <c r="X65" s="521"/>
      <c r="Y65" s="521"/>
      <c r="Z65" s="521"/>
      <c r="AA65" s="521"/>
      <c r="AB65" s="521"/>
      <c r="AC65" s="521"/>
      <c r="AF65" s="516"/>
      <c r="AG65" s="516"/>
      <c r="AH65" s="516"/>
    </row>
    <row r="66" spans="1:34" s="503" customFormat="1">
      <c r="A66" s="510" t="s">
        <v>897</v>
      </c>
      <c r="B66" s="565"/>
      <c r="C66" s="565"/>
      <c r="D66" s="565"/>
      <c r="E66" s="565"/>
      <c r="F66" s="565"/>
      <c r="G66" s="565"/>
      <c r="H66" s="565"/>
      <c r="I66" s="565">
        <f t="shared" ref="I66:O66" si="37">I8</f>
        <v>-25</v>
      </c>
      <c r="J66" s="565">
        <f t="shared" si="37"/>
        <v>-148</v>
      </c>
      <c r="K66" s="565">
        <f t="shared" si="37"/>
        <v>-204</v>
      </c>
      <c r="L66" s="565">
        <f t="shared" si="37"/>
        <v>-352</v>
      </c>
      <c r="M66" s="565">
        <f t="shared" si="37"/>
        <v>-568</v>
      </c>
      <c r="N66" s="565">
        <f t="shared" si="37"/>
        <v>-460</v>
      </c>
      <c r="O66" s="565">
        <f t="shared" si="37"/>
        <v>-208</v>
      </c>
      <c r="P66" s="692">
        <f t="shared" ref="P66:V66" si="38">O66-(P63+P64)/P23</f>
        <v>-218.89666666666659</v>
      </c>
      <c r="Q66" s="692">
        <f t="shared" si="38"/>
        <v>-266.36999999999995</v>
      </c>
      <c r="R66" s="692">
        <f t="shared" si="38"/>
        <v>-370.97633333333334</v>
      </c>
      <c r="S66" s="692">
        <f t="shared" si="38"/>
        <v>-505.50940000000003</v>
      </c>
      <c r="T66" s="692">
        <f t="shared" si="38"/>
        <v>-454.34073333333333</v>
      </c>
      <c r="U66" s="692">
        <f t="shared" si="38"/>
        <v>-520.60413333333338</v>
      </c>
      <c r="V66" s="692">
        <f t="shared" si="38"/>
        <v>-473.46266666666668</v>
      </c>
      <c r="W66" s="692">
        <f t="shared" ref="W66:AB66" si="39">V66-(W63+W64)/W23</f>
        <v>-510.1669333333333</v>
      </c>
      <c r="X66" s="692">
        <f t="shared" si="39"/>
        <v>-542.83253333333334</v>
      </c>
      <c r="Y66" s="692">
        <f t="shared" si="39"/>
        <v>-434.91301045333336</v>
      </c>
      <c r="Z66" s="692">
        <f t="shared" si="39"/>
        <v>-395.56898444629337</v>
      </c>
      <c r="AA66" s="692">
        <f t="shared" si="39"/>
        <v>-376.20362198685717</v>
      </c>
      <c r="AB66" s="692">
        <f t="shared" si="39"/>
        <v>-376.20362198685717</v>
      </c>
      <c r="AC66" s="515"/>
      <c r="AF66" s="516"/>
      <c r="AG66" s="516"/>
      <c r="AH66" s="516"/>
    </row>
    <row r="67" spans="1:34" s="503" customFormat="1">
      <c r="A67" s="537" t="s">
        <v>902</v>
      </c>
      <c r="B67" s="511"/>
      <c r="C67" s="511"/>
      <c r="D67" s="511">
        <v>-63</v>
      </c>
      <c r="E67" s="511">
        <v>650</v>
      </c>
      <c r="F67" s="511">
        <v>-1053</v>
      </c>
      <c r="G67" s="511">
        <v>430</v>
      </c>
      <c r="H67" s="511">
        <v>1642</v>
      </c>
      <c r="I67" s="577">
        <v>6874</v>
      </c>
      <c r="J67" s="577">
        <v>7122</v>
      </c>
      <c r="K67" s="577">
        <v>8794</v>
      </c>
      <c r="L67" s="577">
        <v>8609</v>
      </c>
      <c r="M67" s="593">
        <v>0</v>
      </c>
      <c r="N67" s="593">
        <v>0</v>
      </c>
      <c r="O67" s="593">
        <v>0</v>
      </c>
      <c r="P67" s="521">
        <f t="shared" ref="P67:X67" si="40">MAX(0,SUM(P62:P66))</f>
        <v>0</v>
      </c>
      <c r="Q67" s="521">
        <v>0</v>
      </c>
      <c r="R67" s="521">
        <v>0</v>
      </c>
      <c r="S67" s="521">
        <v>0</v>
      </c>
      <c r="T67" s="521">
        <f t="shared" si="40"/>
        <v>0</v>
      </c>
      <c r="U67" s="521">
        <f t="shared" si="40"/>
        <v>473.34686666666755</v>
      </c>
      <c r="V67" s="521">
        <f t="shared" si="40"/>
        <v>0</v>
      </c>
      <c r="W67" s="521">
        <f t="shared" si="40"/>
        <v>40.397066666666547</v>
      </c>
      <c r="X67" s="521">
        <f t="shared" si="40"/>
        <v>0</v>
      </c>
      <c r="Y67" s="521">
        <f>MAX(0,SUM(Y62:Y66))</f>
        <v>0</v>
      </c>
      <c r="Z67" s="521">
        <f>MAX(0,SUM(Z62:Z66))</f>
        <v>0</v>
      </c>
      <c r="AA67" s="521">
        <f>MAX(0,SUM(AA62:AA66))</f>
        <v>0</v>
      </c>
      <c r="AB67" s="521">
        <f>MAX(0,SUM(AB62:AB66))</f>
        <v>0</v>
      </c>
      <c r="AC67" s="521"/>
      <c r="AF67" s="516"/>
      <c r="AG67" s="516"/>
      <c r="AH67" s="516"/>
    </row>
    <row r="68" spans="1:34">
      <c r="A68" s="592"/>
      <c r="B68" s="593"/>
      <c r="C68" s="593"/>
      <c r="D68" s="593"/>
      <c r="E68" s="593"/>
      <c r="F68" s="593"/>
      <c r="G68" s="593"/>
      <c r="H68" s="593"/>
      <c r="I68" s="593"/>
      <c r="J68" s="593"/>
      <c r="K68" s="593"/>
      <c r="L68" s="593"/>
      <c r="M68" s="593"/>
      <c r="N68" s="521"/>
      <c r="O68" s="521"/>
      <c r="P68" s="521"/>
      <c r="Q68" s="521"/>
      <c r="R68" s="521"/>
      <c r="S68" s="521"/>
      <c r="T68" s="521"/>
      <c r="U68" s="521"/>
      <c r="V68" s="521"/>
      <c r="W68" s="521"/>
      <c r="X68" s="521"/>
      <c r="Y68" s="521"/>
      <c r="Z68" s="521"/>
      <c r="AA68" s="521"/>
      <c r="AB68" s="521"/>
      <c r="AC68" s="521"/>
      <c r="AF68" s="516"/>
      <c r="AG68" s="516"/>
      <c r="AH68" s="516"/>
    </row>
    <row r="69" spans="1:34" s="503" customFormat="1">
      <c r="A69" s="592" t="s">
        <v>903</v>
      </c>
      <c r="B69" s="557">
        <v>0</v>
      </c>
      <c r="C69" s="557">
        <v>0</v>
      </c>
      <c r="D69" s="557">
        <v>0</v>
      </c>
      <c r="E69" s="557">
        <v>0</v>
      </c>
      <c r="F69" s="557">
        <v>0</v>
      </c>
      <c r="G69" s="557">
        <v>0</v>
      </c>
      <c r="H69" s="557">
        <v>0</v>
      </c>
      <c r="I69" s="587">
        <v>0</v>
      </c>
      <c r="J69" s="587">
        <v>0</v>
      </c>
      <c r="K69" s="587">
        <v>0</v>
      </c>
      <c r="L69" s="587">
        <v>0</v>
      </c>
      <c r="M69" s="587">
        <v>0</v>
      </c>
      <c r="N69" s="521">
        <f t="shared" ref="N69:AB70" si="41">M69</f>
        <v>0</v>
      </c>
      <c r="O69" s="521">
        <f>N69</f>
        <v>0</v>
      </c>
      <c r="P69" s="521">
        <f>O69</f>
        <v>0</v>
      </c>
      <c r="Q69" s="521">
        <f t="shared" si="41"/>
        <v>0</v>
      </c>
      <c r="R69" s="521">
        <f t="shared" si="41"/>
        <v>0</v>
      </c>
      <c r="S69" s="521">
        <f t="shared" si="41"/>
        <v>0</v>
      </c>
      <c r="T69" s="521">
        <f t="shared" si="41"/>
        <v>0</v>
      </c>
      <c r="U69" s="521">
        <f t="shared" si="41"/>
        <v>0</v>
      </c>
      <c r="V69" s="521">
        <f t="shared" si="41"/>
        <v>0</v>
      </c>
      <c r="W69" s="521">
        <f t="shared" si="41"/>
        <v>0</v>
      </c>
      <c r="X69" s="521">
        <f t="shared" si="41"/>
        <v>0</v>
      </c>
      <c r="Y69" s="521">
        <f t="shared" si="41"/>
        <v>0</v>
      </c>
      <c r="Z69" s="521">
        <f t="shared" si="41"/>
        <v>0</v>
      </c>
      <c r="AA69" s="521">
        <f t="shared" si="41"/>
        <v>0</v>
      </c>
      <c r="AB69" s="521">
        <f t="shared" si="41"/>
        <v>0</v>
      </c>
      <c r="AC69" s="521"/>
      <c r="AH69" s="516"/>
    </row>
    <row r="70" spans="1:34">
      <c r="A70" s="592" t="s">
        <v>904</v>
      </c>
      <c r="B70" s="557">
        <v>0</v>
      </c>
      <c r="C70" s="557">
        <v>0</v>
      </c>
      <c r="D70" s="557">
        <v>212</v>
      </c>
      <c r="E70" s="557">
        <v>744</v>
      </c>
      <c r="F70" s="557">
        <v>164</v>
      </c>
      <c r="G70" s="557">
        <v>0</v>
      </c>
      <c r="H70" s="557">
        <v>0</v>
      </c>
      <c r="I70" s="587">
        <v>0</v>
      </c>
      <c r="J70" s="587">
        <v>0</v>
      </c>
      <c r="K70" s="587">
        <v>0</v>
      </c>
      <c r="L70" s="587">
        <v>0</v>
      </c>
      <c r="M70" s="587">
        <v>0</v>
      </c>
      <c r="N70" s="521">
        <f t="shared" si="41"/>
        <v>0</v>
      </c>
      <c r="O70" s="521">
        <f>N70</f>
        <v>0</v>
      </c>
      <c r="P70" s="521">
        <f>O70</f>
        <v>0</v>
      </c>
      <c r="Q70" s="521">
        <f t="shared" si="41"/>
        <v>0</v>
      </c>
      <c r="R70" s="521">
        <f t="shared" si="41"/>
        <v>0</v>
      </c>
      <c r="S70" s="521">
        <f t="shared" si="41"/>
        <v>0</v>
      </c>
      <c r="T70" s="521">
        <f t="shared" si="41"/>
        <v>0</v>
      </c>
      <c r="U70" s="521">
        <f t="shared" si="41"/>
        <v>0</v>
      </c>
      <c r="V70" s="521">
        <f t="shared" si="41"/>
        <v>0</v>
      </c>
      <c r="W70" s="521">
        <f t="shared" si="41"/>
        <v>0</v>
      </c>
      <c r="X70" s="521">
        <f t="shared" si="41"/>
        <v>0</v>
      </c>
      <c r="Y70" s="521">
        <f t="shared" si="41"/>
        <v>0</v>
      </c>
      <c r="Z70" s="521">
        <f t="shared" si="41"/>
        <v>0</v>
      </c>
      <c r="AA70" s="521">
        <f t="shared" si="41"/>
        <v>0</v>
      </c>
      <c r="AB70" s="521">
        <f t="shared" si="41"/>
        <v>0</v>
      </c>
      <c r="AC70" s="521"/>
      <c r="AF70" s="516"/>
      <c r="AG70" s="516"/>
      <c r="AH70" s="516"/>
    </row>
    <row r="71" spans="1:34">
      <c r="A71" s="592"/>
      <c r="B71" s="587"/>
      <c r="C71" s="587"/>
      <c r="D71" s="587"/>
      <c r="E71" s="587"/>
      <c r="F71" s="587"/>
      <c r="G71" s="587"/>
      <c r="H71" s="587"/>
      <c r="I71" s="587"/>
      <c r="J71" s="587"/>
      <c r="K71" s="587"/>
      <c r="L71" s="587"/>
      <c r="M71" s="587"/>
      <c r="N71" s="521"/>
      <c r="O71" s="521"/>
      <c r="P71" s="521"/>
      <c r="Q71" s="521"/>
      <c r="R71" s="521"/>
      <c r="S71" s="521"/>
      <c r="T71" s="521"/>
      <c r="U71" s="521"/>
      <c r="V71" s="521"/>
      <c r="W71" s="521"/>
      <c r="X71" s="521"/>
      <c r="Y71" s="521"/>
      <c r="Z71" s="521"/>
      <c r="AA71" s="521"/>
      <c r="AB71" s="521"/>
      <c r="AC71" s="521"/>
      <c r="AF71" s="516"/>
      <c r="AG71" s="516"/>
      <c r="AH71" s="516"/>
    </row>
    <row r="72" spans="1:34">
      <c r="A72" s="594" t="s">
        <v>905</v>
      </c>
      <c r="B72" s="551">
        <f t="shared" ref="B72:Y72" si="42">B52+B60+B67+B69+B70</f>
        <v>-993</v>
      </c>
      <c r="C72" s="551">
        <f t="shared" si="42"/>
        <v>-624</v>
      </c>
      <c r="D72" s="551">
        <f t="shared" si="42"/>
        <v>-905</v>
      </c>
      <c r="E72" s="551">
        <f t="shared" si="42"/>
        <v>-1180</v>
      </c>
      <c r="F72" s="551">
        <f t="shared" si="42"/>
        <v>-1108</v>
      </c>
      <c r="G72" s="551">
        <f t="shared" si="42"/>
        <v>-960</v>
      </c>
      <c r="H72" s="551">
        <f t="shared" si="42"/>
        <v>-646</v>
      </c>
      <c r="I72" s="551">
        <f t="shared" si="42"/>
        <v>-677</v>
      </c>
      <c r="J72" s="551">
        <f t="shared" si="42"/>
        <v>-330</v>
      </c>
      <c r="K72" s="551">
        <f t="shared" si="42"/>
        <v>760</v>
      </c>
      <c r="L72" s="551">
        <f t="shared" si="42"/>
        <v>748</v>
      </c>
      <c r="M72" s="551">
        <f t="shared" si="42"/>
        <v>-7559</v>
      </c>
      <c r="N72" s="551">
        <f t="shared" si="42"/>
        <v>-4529</v>
      </c>
      <c r="O72" s="551">
        <f>O52+O60+O67+O69+O70</f>
        <v>-5675</v>
      </c>
      <c r="P72" s="551">
        <f>P52+P60+P67+P69+P70</f>
        <v>-5744</v>
      </c>
      <c r="Q72" s="551">
        <f t="shared" si="42"/>
        <v>-4770</v>
      </c>
      <c r="R72" s="551">
        <f t="shared" si="42"/>
        <v>-5965</v>
      </c>
      <c r="S72" s="551">
        <f t="shared" si="42"/>
        <v>-8989</v>
      </c>
      <c r="T72" s="551">
        <f t="shared" si="42"/>
        <v>-7008</v>
      </c>
      <c r="U72" s="551">
        <f t="shared" si="42"/>
        <v>-7074.6531333333323</v>
      </c>
      <c r="V72" s="551">
        <f t="shared" si="42"/>
        <v>-4498</v>
      </c>
      <c r="W72" s="551">
        <f t="shared" si="42"/>
        <v>-5034.6029333333336</v>
      </c>
      <c r="X72" s="551">
        <f t="shared" si="42"/>
        <v>-4391.1072000000022</v>
      </c>
      <c r="Y72" s="551">
        <f t="shared" si="42"/>
        <v>-1511.7775486400024</v>
      </c>
      <c r="Z72" s="551">
        <f>Z52+Z60+Z67+Z69+Z70</f>
        <v>274.78932027494011</v>
      </c>
      <c r="AA72" s="551">
        <f>AA52+AA60+AA67+AA69+AA70</f>
        <v>1772.063293037827</v>
      </c>
      <c r="AB72" s="551">
        <f>AB52+AB60+AB67+AB69+AB70</f>
        <v>3011.9009777141837</v>
      </c>
      <c r="AC72" s="521"/>
      <c r="AF72" s="516"/>
      <c r="AG72" s="516"/>
      <c r="AH72" s="516"/>
    </row>
    <row r="73" spans="1:34">
      <c r="A73" s="592"/>
      <c r="B73" s="593"/>
      <c r="C73" s="593"/>
      <c r="D73" s="593"/>
      <c r="E73" s="593"/>
      <c r="F73" s="593"/>
      <c r="G73" s="593"/>
      <c r="H73" s="593"/>
      <c r="I73" s="593"/>
      <c r="J73" s="593"/>
      <c r="K73" s="593"/>
      <c r="L73" s="593"/>
      <c r="M73" s="593"/>
      <c r="N73" s="521"/>
      <c r="O73" s="521"/>
      <c r="P73" s="521"/>
      <c r="Q73" s="521"/>
      <c r="R73" s="521"/>
      <c r="S73" s="521"/>
      <c r="T73" s="521"/>
      <c r="U73" s="521"/>
      <c r="V73" s="521"/>
      <c r="W73" s="521"/>
      <c r="X73" s="521"/>
      <c r="Y73" s="521"/>
      <c r="Z73" s="521"/>
      <c r="AA73" s="521"/>
      <c r="AB73" s="521"/>
      <c r="AC73" s="521"/>
      <c r="AF73" s="516"/>
      <c r="AG73" s="516"/>
      <c r="AH73" s="516"/>
    </row>
    <row r="74" spans="1:34">
      <c r="A74" s="592" t="s">
        <v>906</v>
      </c>
      <c r="B74" s="511"/>
      <c r="C74" s="511"/>
      <c r="D74" s="511">
        <v>274</v>
      </c>
      <c r="E74" s="511">
        <v>644</v>
      </c>
      <c r="F74" s="511">
        <v>286</v>
      </c>
      <c r="G74" s="511">
        <v>410</v>
      </c>
      <c r="H74" s="511">
        <v>522</v>
      </c>
      <c r="I74" s="511">
        <v>4154</v>
      </c>
      <c r="J74" s="511">
        <v>3864</v>
      </c>
      <c r="K74" s="511">
        <v>4062</v>
      </c>
      <c r="L74" s="511">
        <v>4390</v>
      </c>
      <c r="M74" s="511">
        <v>0</v>
      </c>
      <c r="N74" s="521">
        <f t="shared" ref="N74:AB74" si="43">M74</f>
        <v>0</v>
      </c>
      <c r="O74" s="521">
        <f>N74</f>
        <v>0</v>
      </c>
      <c r="P74" s="521">
        <f>O74</f>
        <v>0</v>
      </c>
      <c r="Q74" s="521">
        <f t="shared" si="43"/>
        <v>0</v>
      </c>
      <c r="R74" s="521">
        <f t="shared" si="43"/>
        <v>0</v>
      </c>
      <c r="S74" s="521">
        <f t="shared" si="43"/>
        <v>0</v>
      </c>
      <c r="T74" s="521">
        <f t="shared" si="43"/>
        <v>0</v>
      </c>
      <c r="U74" s="521">
        <f t="shared" si="43"/>
        <v>0</v>
      </c>
      <c r="V74" s="521">
        <f t="shared" si="43"/>
        <v>0</v>
      </c>
      <c r="W74" s="521">
        <f t="shared" si="43"/>
        <v>0</v>
      </c>
      <c r="X74" s="521">
        <f t="shared" si="43"/>
        <v>0</v>
      </c>
      <c r="Y74" s="521">
        <f t="shared" si="43"/>
        <v>0</v>
      </c>
      <c r="Z74" s="521">
        <f t="shared" si="43"/>
        <v>0</v>
      </c>
      <c r="AA74" s="521">
        <f t="shared" si="43"/>
        <v>0</v>
      </c>
      <c r="AB74" s="521">
        <f t="shared" si="43"/>
        <v>0</v>
      </c>
      <c r="AC74" s="521"/>
      <c r="AF74" s="516"/>
      <c r="AG74" s="516"/>
      <c r="AH74" s="516"/>
    </row>
    <row r="75" spans="1:34" s="503" customFormat="1">
      <c r="A75" s="510"/>
      <c r="B75" s="565"/>
      <c r="C75" s="565"/>
      <c r="D75" s="565"/>
      <c r="E75" s="565"/>
      <c r="F75" s="565"/>
      <c r="G75" s="565"/>
      <c r="H75" s="565"/>
      <c r="I75" s="565"/>
      <c r="J75" s="565"/>
      <c r="K75" s="565"/>
      <c r="L75" s="565"/>
      <c r="M75" s="565"/>
      <c r="N75" s="595"/>
      <c r="O75" s="595"/>
      <c r="P75" s="595"/>
      <c r="Q75" s="595"/>
      <c r="R75" s="595"/>
      <c r="S75" s="595"/>
      <c r="T75" s="595"/>
      <c r="U75" s="595"/>
      <c r="V75" s="595"/>
      <c r="W75" s="595"/>
      <c r="X75" s="595"/>
      <c r="Y75" s="595"/>
      <c r="Z75" s="595"/>
      <c r="AA75" s="595"/>
      <c r="AB75" s="595"/>
      <c r="AC75" s="586"/>
      <c r="AF75" s="516"/>
      <c r="AG75" s="516"/>
      <c r="AH75" s="516"/>
    </row>
    <row r="76" spans="1:34" s="503" customFormat="1">
      <c r="A76" s="510" t="s">
        <v>907</v>
      </c>
      <c r="B76" s="562"/>
      <c r="C76" s="562"/>
      <c r="D76" s="562">
        <v>-2749</v>
      </c>
      <c r="E76" s="562">
        <v>-3780</v>
      </c>
      <c r="F76" s="562">
        <v>-3061</v>
      </c>
      <c r="G76" s="562">
        <v>-2900</v>
      </c>
      <c r="H76" s="562">
        <v>-2779</v>
      </c>
      <c r="I76" s="562">
        <v>-7449</v>
      </c>
      <c r="J76" s="562">
        <v>-5250</v>
      </c>
      <c r="K76" s="562">
        <v>-5364</v>
      </c>
      <c r="L76" s="562">
        <v>-6009</v>
      </c>
      <c r="M76" s="562">
        <v>-7704</v>
      </c>
      <c r="N76" s="562">
        <v>-5423</v>
      </c>
      <c r="O76" s="562">
        <v>-5728</v>
      </c>
      <c r="P76" s="562">
        <v>-5845</v>
      </c>
      <c r="Q76" s="562">
        <v>-5330</v>
      </c>
      <c r="R76" s="562">
        <v>-6079</v>
      </c>
      <c r="S76" s="562">
        <v>-9074</v>
      </c>
      <c r="T76" s="562">
        <v>-7227</v>
      </c>
      <c r="U76" s="515">
        <f t="shared" ref="U76:AB76" si="44">T76+U43++U32+U44+U10-(U5+U8)</f>
        <v>-5635</v>
      </c>
      <c r="V76" s="515">
        <f t="shared" si="44"/>
        <v>-4278</v>
      </c>
      <c r="W76" s="515">
        <f t="shared" si="44"/>
        <v>-2858</v>
      </c>
      <c r="X76" s="515">
        <f t="shared" si="44"/>
        <v>-1684.1232000000002</v>
      </c>
      <c r="Y76" s="515">
        <f t="shared" si="44"/>
        <v>-423.58639184000049</v>
      </c>
      <c r="Z76" s="515">
        <f t="shared" si="44"/>
        <v>772.82008696934327</v>
      </c>
      <c r="AA76" s="515">
        <f t="shared" si="44"/>
        <v>1979.6136228406904</v>
      </c>
      <c r="AB76" s="515">
        <f t="shared" si="44"/>
        <v>3219.451307517048</v>
      </c>
      <c r="AC76" s="515"/>
      <c r="AF76" s="516"/>
      <c r="AG76" s="516"/>
      <c r="AH76" s="516"/>
    </row>
    <row r="77" spans="1:34" s="503" customFormat="1">
      <c r="A77" s="510" t="s">
        <v>908</v>
      </c>
      <c r="B77" s="561"/>
      <c r="C77" s="561"/>
      <c r="D77" s="561">
        <f>1600</f>
        <v>1600</v>
      </c>
      <c r="E77" s="561">
        <v>1176</v>
      </c>
      <c r="F77" s="561">
        <v>1064</v>
      </c>
      <c r="G77" s="561">
        <v>1040</v>
      </c>
      <c r="H77" s="561">
        <v>1259</v>
      </c>
      <c r="I77" s="561">
        <v>1728</v>
      </c>
      <c r="J77" s="561">
        <v>182</v>
      </c>
      <c r="K77" s="561">
        <v>1550</v>
      </c>
      <c r="L77" s="561">
        <v>1710</v>
      </c>
      <c r="M77" s="561">
        <v>145</v>
      </c>
      <c r="N77" s="562">
        <v>894</v>
      </c>
      <c r="O77" s="562">
        <v>53</v>
      </c>
      <c r="P77" s="562">
        <v>101</v>
      </c>
      <c r="Q77" s="562">
        <v>560</v>
      </c>
      <c r="R77" s="562">
        <v>114</v>
      </c>
      <c r="S77" s="562">
        <v>85</v>
      </c>
      <c r="T77" s="562">
        <v>219</v>
      </c>
      <c r="U77" s="515">
        <f t="shared" ref="T77:AB78" si="45">T77</f>
        <v>219</v>
      </c>
      <c r="V77" s="515">
        <f t="shared" si="45"/>
        <v>219</v>
      </c>
      <c r="W77" s="515">
        <f t="shared" si="45"/>
        <v>219</v>
      </c>
      <c r="X77" s="515">
        <f t="shared" si="45"/>
        <v>219</v>
      </c>
      <c r="Y77" s="515">
        <f t="shared" si="45"/>
        <v>219</v>
      </c>
      <c r="Z77" s="515">
        <f t="shared" si="45"/>
        <v>219</v>
      </c>
      <c r="AA77" s="515">
        <f t="shared" si="45"/>
        <v>219</v>
      </c>
      <c r="AB77" s="515">
        <f t="shared" si="45"/>
        <v>219</v>
      </c>
      <c r="AC77" s="515"/>
      <c r="AF77" s="516"/>
      <c r="AG77" s="516"/>
      <c r="AH77" s="516"/>
    </row>
    <row r="78" spans="1:34" s="503" customFormat="1">
      <c r="A78" s="510" t="s">
        <v>909</v>
      </c>
      <c r="B78" s="563"/>
      <c r="C78" s="563"/>
      <c r="D78" s="563">
        <f>120-150</f>
        <v>-30</v>
      </c>
      <c r="E78" s="563">
        <f>404+376</f>
        <v>780</v>
      </c>
      <c r="F78" s="563">
        <f>519+84</f>
        <v>603</v>
      </c>
      <c r="G78" s="563">
        <v>490</v>
      </c>
      <c r="H78" s="563">
        <v>352</v>
      </c>
      <c r="I78" s="563">
        <v>890</v>
      </c>
      <c r="J78" s="563">
        <v>874</v>
      </c>
      <c r="K78" s="563">
        <v>512</v>
      </c>
      <c r="L78" s="563">
        <v>657</v>
      </c>
      <c r="M78" s="563">
        <v>0</v>
      </c>
      <c r="N78" s="526">
        <v>0</v>
      </c>
      <c r="O78" s="526">
        <v>0</v>
      </c>
      <c r="P78" s="526">
        <f>O78</f>
        <v>0</v>
      </c>
      <c r="Q78" s="565">
        <f>P78</f>
        <v>0</v>
      </c>
      <c r="R78" s="565">
        <f>Q78</f>
        <v>0</v>
      </c>
      <c r="S78" s="565">
        <f>R78</f>
        <v>0</v>
      </c>
      <c r="T78" s="565">
        <f t="shared" si="45"/>
        <v>0</v>
      </c>
      <c r="U78" s="565">
        <f t="shared" si="45"/>
        <v>0</v>
      </c>
      <c r="V78" s="565">
        <f t="shared" si="45"/>
        <v>0</v>
      </c>
      <c r="W78" s="565">
        <f t="shared" si="45"/>
        <v>0</v>
      </c>
      <c r="X78" s="565">
        <f t="shared" si="45"/>
        <v>0</v>
      </c>
      <c r="Y78" s="565">
        <f t="shared" si="45"/>
        <v>0</v>
      </c>
      <c r="Z78" s="565">
        <f t="shared" si="45"/>
        <v>0</v>
      </c>
      <c r="AA78" s="565">
        <f t="shared" si="45"/>
        <v>0</v>
      </c>
      <c r="AB78" s="565">
        <f t="shared" si="45"/>
        <v>0</v>
      </c>
      <c r="AC78" s="515"/>
      <c r="AF78" s="516"/>
      <c r="AG78" s="516"/>
      <c r="AH78" s="516"/>
    </row>
    <row r="79" spans="1:34" s="503" customFormat="1">
      <c r="A79" s="510" t="s">
        <v>910</v>
      </c>
      <c r="B79" s="520">
        <f t="shared" ref="B79:Y79" si="46">SUM(B76:B78)</f>
        <v>0</v>
      </c>
      <c r="C79" s="520">
        <f t="shared" si="46"/>
        <v>0</v>
      </c>
      <c r="D79" s="520">
        <f t="shared" si="46"/>
        <v>-1179</v>
      </c>
      <c r="E79" s="520">
        <f t="shared" si="46"/>
        <v>-1824</v>
      </c>
      <c r="F79" s="520">
        <f t="shared" si="46"/>
        <v>-1394</v>
      </c>
      <c r="G79" s="520">
        <f t="shared" si="46"/>
        <v>-1370</v>
      </c>
      <c r="H79" s="520">
        <f t="shared" si="46"/>
        <v>-1168</v>
      </c>
      <c r="I79" s="520">
        <f t="shared" si="46"/>
        <v>-4831</v>
      </c>
      <c r="J79" s="520">
        <f t="shared" si="46"/>
        <v>-4194</v>
      </c>
      <c r="K79" s="520">
        <f t="shared" si="46"/>
        <v>-3302</v>
      </c>
      <c r="L79" s="520">
        <f t="shared" si="46"/>
        <v>-3642</v>
      </c>
      <c r="M79" s="520">
        <f t="shared" si="46"/>
        <v>-7559</v>
      </c>
      <c r="N79" s="520">
        <f t="shared" si="46"/>
        <v>-4529</v>
      </c>
      <c r="O79" s="520">
        <f>SUM(O76:O78)</f>
        <v>-5675</v>
      </c>
      <c r="P79" s="520">
        <f>SUM(P76:P78)</f>
        <v>-5744</v>
      </c>
      <c r="Q79" s="520">
        <f t="shared" si="46"/>
        <v>-4770</v>
      </c>
      <c r="R79" s="520">
        <f t="shared" si="46"/>
        <v>-5965</v>
      </c>
      <c r="S79" s="520">
        <f t="shared" si="46"/>
        <v>-8989</v>
      </c>
      <c r="T79" s="520">
        <f t="shared" si="46"/>
        <v>-7008</v>
      </c>
      <c r="U79" s="520">
        <f t="shared" si="46"/>
        <v>-5416</v>
      </c>
      <c r="V79" s="520">
        <f t="shared" si="46"/>
        <v>-4059</v>
      </c>
      <c r="W79" s="520">
        <f t="shared" si="46"/>
        <v>-2639</v>
      </c>
      <c r="X79" s="520">
        <f t="shared" si="46"/>
        <v>-1465.1232000000002</v>
      </c>
      <c r="Y79" s="520">
        <f t="shared" si="46"/>
        <v>-204.58639184000049</v>
      </c>
      <c r="Z79" s="520">
        <f>SUM(Z76:Z78)</f>
        <v>991.82008696934327</v>
      </c>
      <c r="AA79" s="520">
        <f>SUM(AA76:AA78)</f>
        <v>2198.6136228406904</v>
      </c>
      <c r="AB79" s="520">
        <f>SUM(AB76:AB78)</f>
        <v>3438.451307517048</v>
      </c>
      <c r="AC79" s="521"/>
      <c r="AD79" s="516" t="s">
        <v>911</v>
      </c>
      <c r="AE79" s="516">
        <v>6</v>
      </c>
      <c r="AF79" s="516" t="s">
        <v>860</v>
      </c>
      <c r="AG79" s="516" t="b">
        <v>0</v>
      </c>
      <c r="AH79" s="516" t="b">
        <v>0</v>
      </c>
    </row>
    <row r="80" spans="1:34" s="598" customFormat="1">
      <c r="A80" s="596" t="s">
        <v>31</v>
      </c>
      <c r="B80" s="597">
        <f t="shared" ref="B80:Y80" si="47">ROUND(B72-B74-B76-B77-B78,6)</f>
        <v>-993</v>
      </c>
      <c r="C80" s="597">
        <f t="shared" si="47"/>
        <v>-624</v>
      </c>
      <c r="D80" s="597">
        <f t="shared" si="47"/>
        <v>0</v>
      </c>
      <c r="E80" s="597">
        <f t="shared" si="47"/>
        <v>0</v>
      </c>
      <c r="F80" s="597">
        <f t="shared" si="47"/>
        <v>0</v>
      </c>
      <c r="G80" s="597">
        <f t="shared" si="47"/>
        <v>0</v>
      </c>
      <c r="H80" s="597">
        <f t="shared" si="47"/>
        <v>0</v>
      </c>
      <c r="I80" s="597">
        <f t="shared" si="47"/>
        <v>0</v>
      </c>
      <c r="J80" s="597">
        <f t="shared" si="47"/>
        <v>0</v>
      </c>
      <c r="K80" s="597">
        <f t="shared" si="47"/>
        <v>0</v>
      </c>
      <c r="L80" s="597">
        <f t="shared" si="47"/>
        <v>0</v>
      </c>
      <c r="M80" s="597">
        <f t="shared" si="47"/>
        <v>0</v>
      </c>
      <c r="N80" s="597">
        <f t="shared" si="47"/>
        <v>0</v>
      </c>
      <c r="O80" s="597">
        <f>ROUND(O72-O74-O76-O77-O78,6)</f>
        <v>0</v>
      </c>
      <c r="P80" s="597">
        <f>ROUND(P72-P74-P76-P77-P78,6)</f>
        <v>0</v>
      </c>
      <c r="Q80" s="597">
        <f t="shared" si="47"/>
        <v>0</v>
      </c>
      <c r="R80" s="597">
        <f t="shared" si="47"/>
        <v>0</v>
      </c>
      <c r="S80" s="597">
        <f t="shared" si="47"/>
        <v>0</v>
      </c>
      <c r="T80" s="597">
        <f t="shared" si="47"/>
        <v>0</v>
      </c>
      <c r="U80" s="597">
        <f t="shared" si="47"/>
        <v>-1658.653133</v>
      </c>
      <c r="V80" s="597">
        <f t="shared" si="47"/>
        <v>-439</v>
      </c>
      <c r="W80" s="597">
        <f t="shared" si="47"/>
        <v>-2395.6029330000001</v>
      </c>
      <c r="X80" s="597">
        <f t="shared" si="47"/>
        <v>-2925.9839999999999</v>
      </c>
      <c r="Y80" s="597">
        <f t="shared" si="47"/>
        <v>-1307.191157</v>
      </c>
      <c r="Z80" s="597">
        <f>ROUND(Z72-Z74-Z76-Z77-Z78,6)</f>
        <v>-717.03076699999997</v>
      </c>
      <c r="AA80" s="597">
        <f>ROUND(AA72-AA74-AA76-AA77-AA78,6)</f>
        <v>-426.55032999999997</v>
      </c>
      <c r="AB80" s="597">
        <f>ROUND(AB72-AB74-AB76-AB77-AB78,6)</f>
        <v>-426.55032999999997</v>
      </c>
      <c r="AC80" s="597"/>
      <c r="AF80" s="599"/>
      <c r="AG80" s="599"/>
      <c r="AH80" s="599"/>
    </row>
    <row r="81" spans="1:34" s="503" customFormat="1">
      <c r="A81" s="510"/>
      <c r="B81" s="520"/>
      <c r="C81" s="520"/>
      <c r="D81" s="520"/>
      <c r="E81" s="520"/>
      <c r="F81" s="520"/>
      <c r="G81" s="520"/>
      <c r="H81" s="520"/>
      <c r="I81" s="520"/>
      <c r="J81" s="520"/>
      <c r="K81" s="520"/>
      <c r="L81" s="520"/>
      <c r="M81" s="520"/>
      <c r="N81" s="600"/>
      <c r="O81" s="600"/>
      <c r="P81" s="600"/>
      <c r="Q81" s="601"/>
      <c r="R81" s="601"/>
      <c r="S81" s="601"/>
      <c r="T81" s="601"/>
      <c r="U81" s="601"/>
      <c r="V81" s="601"/>
      <c r="W81" s="601"/>
      <c r="X81" s="601"/>
      <c r="Y81" s="601"/>
      <c r="Z81" s="601"/>
      <c r="AA81" s="601"/>
      <c r="AB81" s="601"/>
      <c r="AC81" s="535"/>
      <c r="AF81" s="516"/>
      <c r="AG81" s="516"/>
      <c r="AH81" s="516"/>
    </row>
    <row r="82" spans="1:34" s="503" customFormat="1">
      <c r="A82" s="602" t="s">
        <v>99</v>
      </c>
      <c r="B82" s="603">
        <v>0</v>
      </c>
      <c r="C82" s="603">
        <v>0</v>
      </c>
      <c r="D82" s="603">
        <v>0</v>
      </c>
      <c r="E82" s="603">
        <v>0</v>
      </c>
      <c r="F82" s="603">
        <v>0</v>
      </c>
      <c r="G82" s="603">
        <v>0</v>
      </c>
      <c r="H82" s="603">
        <v>0</v>
      </c>
      <c r="I82" s="603">
        <v>0</v>
      </c>
      <c r="J82" s="603">
        <v>0</v>
      </c>
      <c r="K82" s="603">
        <v>0</v>
      </c>
      <c r="L82" s="603">
        <v>0</v>
      </c>
      <c r="M82" s="603">
        <v>0</v>
      </c>
      <c r="N82" s="605">
        <f t="shared" ref="N82:AB82" si="48">M82-N83*(N79-M79)</f>
        <v>-1060.5</v>
      </c>
      <c r="O82" s="605">
        <f>N82-O83*(O79-N79)</f>
        <v>-659.40000000000009</v>
      </c>
      <c r="P82" s="605">
        <f>O82-P83*(P79-O79)</f>
        <v>-635.25000000000011</v>
      </c>
      <c r="Q82" s="605">
        <f t="shared" si="48"/>
        <v>-976.15000000000009</v>
      </c>
      <c r="R82" s="605">
        <f t="shared" si="48"/>
        <v>-557.90000000000009</v>
      </c>
      <c r="S82" s="605">
        <f t="shared" si="48"/>
        <v>500.49999999999977</v>
      </c>
      <c r="T82" s="605">
        <f t="shared" si="48"/>
        <v>-192.85000000000014</v>
      </c>
      <c r="U82" s="605">
        <f t="shared" si="48"/>
        <v>-750.05000000000007</v>
      </c>
      <c r="V82" s="605">
        <f t="shared" si="48"/>
        <v>-1225</v>
      </c>
      <c r="W82" s="605">
        <f t="shared" si="48"/>
        <v>-1722</v>
      </c>
      <c r="X82" s="605">
        <f t="shared" si="48"/>
        <v>-2132.8568799999998</v>
      </c>
      <c r="Y82" s="605">
        <f t="shared" si="48"/>
        <v>-2574.0447628559996</v>
      </c>
      <c r="Z82" s="605">
        <f t="shared" si="48"/>
        <v>-2992.78703043927</v>
      </c>
      <c r="AA82" s="605">
        <f t="shared" si="48"/>
        <v>-3415.1647679942416</v>
      </c>
      <c r="AB82" s="605">
        <f t="shared" si="48"/>
        <v>-3849.1079576309667</v>
      </c>
      <c r="AC82" s="504"/>
      <c r="AD82" s="606" t="s">
        <v>912</v>
      </c>
      <c r="AE82" s="606">
        <v>6</v>
      </c>
      <c r="AF82" s="516" t="s">
        <v>860</v>
      </c>
      <c r="AG82" s="516" t="b">
        <v>0</v>
      </c>
      <c r="AH82" s="516" t="b">
        <v>0</v>
      </c>
    </row>
    <row r="83" spans="1:34" s="503" customFormat="1">
      <c r="A83" s="602" t="s">
        <v>100</v>
      </c>
      <c r="B83" s="608">
        <v>0.35</v>
      </c>
      <c r="C83" s="608">
        <v>0.35</v>
      </c>
      <c r="D83" s="608">
        <v>0.35</v>
      </c>
      <c r="E83" s="608">
        <v>0.35</v>
      </c>
      <c r="F83" s="608">
        <v>0.35</v>
      </c>
      <c r="G83" s="608">
        <v>0.35</v>
      </c>
      <c r="H83" s="608">
        <v>0.35</v>
      </c>
      <c r="I83" s="608">
        <v>0</v>
      </c>
      <c r="J83" s="608">
        <v>0.35</v>
      </c>
      <c r="K83" s="608">
        <v>0.35</v>
      </c>
      <c r="L83" s="608">
        <v>0.35</v>
      </c>
      <c r="M83" s="608">
        <v>0.35</v>
      </c>
      <c r="N83" s="608">
        <v>0.35</v>
      </c>
      <c r="O83" s="608">
        <v>0.35</v>
      </c>
      <c r="P83" s="608">
        <v>0.35</v>
      </c>
      <c r="Q83" s="608">
        <v>0.35</v>
      </c>
      <c r="R83" s="608">
        <v>0.35</v>
      </c>
      <c r="S83" s="608">
        <v>0.35</v>
      </c>
      <c r="T83" s="608">
        <v>0.35</v>
      </c>
      <c r="U83" s="608">
        <v>0.35</v>
      </c>
      <c r="V83" s="608">
        <v>0.35</v>
      </c>
      <c r="W83" s="608">
        <v>0.35</v>
      </c>
      <c r="X83" s="608">
        <v>0.35</v>
      </c>
      <c r="Y83" s="608">
        <v>0.35</v>
      </c>
      <c r="Z83" s="608">
        <v>0.35</v>
      </c>
      <c r="AA83" s="608">
        <v>0.35</v>
      </c>
      <c r="AB83" s="608">
        <v>0.35</v>
      </c>
      <c r="AC83" s="504"/>
      <c r="AD83" s="606"/>
      <c r="AE83" s="606"/>
      <c r="AF83" s="516"/>
      <c r="AG83" s="516"/>
      <c r="AH83" s="516"/>
    </row>
    <row r="84" spans="1:34" s="503" customFormat="1">
      <c r="AC84" s="504"/>
    </row>
    <row r="85" spans="1:34" s="609" customFormat="1">
      <c r="B85" s="610"/>
      <c r="C85" s="610"/>
      <c r="D85" s="610"/>
      <c r="E85" s="610"/>
      <c r="F85" s="610"/>
      <c r="G85" s="610"/>
      <c r="H85" s="610"/>
      <c r="J85" s="610"/>
      <c r="K85" s="610"/>
      <c r="L85" s="610"/>
      <c r="M85" s="610"/>
      <c r="N85" s="610"/>
      <c r="O85" s="610"/>
      <c r="P85" s="610"/>
      <c r="Q85" s="610"/>
      <c r="R85" s="610"/>
      <c r="S85" s="610"/>
      <c r="T85" s="610"/>
      <c r="U85" s="610"/>
      <c r="V85" s="610"/>
      <c r="W85" s="610"/>
      <c r="X85" s="610"/>
      <c r="Y85" s="610"/>
      <c r="Z85" s="610"/>
      <c r="AA85" s="610"/>
      <c r="AB85" s="610"/>
    </row>
    <row r="86" spans="1:34">
      <c r="B86" s="611">
        <f t="shared" ref="B86:AB86" si="49">B$3</f>
        <v>1995</v>
      </c>
      <c r="C86" s="611">
        <f t="shared" si="49"/>
        <v>1996</v>
      </c>
      <c r="D86" s="611">
        <f t="shared" si="49"/>
        <v>1997</v>
      </c>
      <c r="E86" s="611">
        <f t="shared" si="49"/>
        <v>1998</v>
      </c>
      <c r="F86" s="611">
        <f t="shared" si="49"/>
        <v>1999</v>
      </c>
      <c r="G86" s="611">
        <f t="shared" si="49"/>
        <v>2000</v>
      </c>
      <c r="H86" s="611">
        <f t="shared" si="49"/>
        <v>2001</v>
      </c>
      <c r="I86" s="611">
        <f t="shared" si="49"/>
        <v>2002</v>
      </c>
      <c r="J86" s="611">
        <f t="shared" si="49"/>
        <v>2003</v>
      </c>
      <c r="K86" s="611">
        <f t="shared" si="49"/>
        <v>2004</v>
      </c>
      <c r="L86" s="611">
        <f t="shared" si="49"/>
        <v>2005</v>
      </c>
      <c r="M86" s="611">
        <f t="shared" si="49"/>
        <v>2006</v>
      </c>
      <c r="N86" s="611">
        <f t="shared" si="49"/>
        <v>2007</v>
      </c>
      <c r="O86" s="611">
        <f t="shared" si="49"/>
        <v>2008</v>
      </c>
      <c r="P86" s="611">
        <f t="shared" si="49"/>
        <v>2009</v>
      </c>
      <c r="Q86" s="611">
        <f t="shared" si="49"/>
        <v>2010</v>
      </c>
      <c r="R86" s="611">
        <f t="shared" si="49"/>
        <v>2011</v>
      </c>
      <c r="S86" s="611">
        <f t="shared" si="49"/>
        <v>2012</v>
      </c>
      <c r="T86" s="611">
        <f t="shared" si="49"/>
        <v>2013</v>
      </c>
      <c r="U86" s="611">
        <f t="shared" si="49"/>
        <v>2014</v>
      </c>
      <c r="V86" s="611">
        <f t="shared" si="49"/>
        <v>2015</v>
      </c>
      <c r="W86" s="611">
        <f t="shared" si="49"/>
        <v>2016</v>
      </c>
      <c r="X86" s="611">
        <f t="shared" si="49"/>
        <v>2017</v>
      </c>
      <c r="Y86" s="611">
        <f t="shared" si="49"/>
        <v>2018</v>
      </c>
      <c r="Z86" s="611">
        <f t="shared" si="49"/>
        <v>2019</v>
      </c>
      <c r="AA86" s="611">
        <f t="shared" si="49"/>
        <v>2020</v>
      </c>
      <c r="AB86" s="611">
        <f t="shared" si="49"/>
        <v>2021</v>
      </c>
    </row>
    <row r="87" spans="1:34" s="503" customFormat="1">
      <c r="A87" s="693" t="s">
        <v>913</v>
      </c>
      <c r="B87" s="611"/>
      <c r="C87" s="611"/>
      <c r="D87" s="611"/>
      <c r="E87" s="611"/>
      <c r="F87" s="611"/>
      <c r="G87" s="611"/>
      <c r="H87" s="611"/>
      <c r="I87" s="611"/>
      <c r="J87" s="611"/>
      <c r="K87" s="611"/>
      <c r="L87" s="611"/>
      <c r="M87" s="611"/>
      <c r="N87" s="611"/>
      <c r="O87" s="611"/>
      <c r="P87" s="611"/>
      <c r="Q87" s="611"/>
      <c r="R87" s="611"/>
      <c r="S87" s="611"/>
      <c r="T87" s="611"/>
      <c r="U87" s="611"/>
      <c r="V87" s="611"/>
      <c r="W87" s="611"/>
      <c r="X87" s="611"/>
      <c r="Y87" s="611"/>
      <c r="Z87" s="611"/>
      <c r="AA87" s="611"/>
      <c r="AB87" s="611"/>
      <c r="AC87" s="504"/>
    </row>
    <row r="88" spans="1:34" s="503" customFormat="1" outlineLevel="1">
      <c r="A88" s="516" t="s">
        <v>914</v>
      </c>
      <c r="B88" s="613"/>
      <c r="C88" s="613"/>
      <c r="D88" s="613"/>
      <c r="E88" s="613"/>
      <c r="F88" s="613"/>
      <c r="G88" s="613">
        <f t="shared" ref="G88:M88" si="50">G7/G21</f>
        <v>13204.545454545456</v>
      </c>
      <c r="H88" s="613">
        <f t="shared" si="50"/>
        <v>13609.195402298852</v>
      </c>
      <c r="I88" s="613">
        <f t="shared" si="50"/>
        <v>15059.523809523809</v>
      </c>
      <c r="J88" s="613">
        <f t="shared" si="50"/>
        <v>16491.646778042959</v>
      </c>
      <c r="K88" s="613">
        <f t="shared" si="50"/>
        <v>21275.773195876289</v>
      </c>
      <c r="L88" s="613">
        <f t="shared" si="50"/>
        <v>20989.717223650387</v>
      </c>
      <c r="M88" s="613">
        <f t="shared" si="50"/>
        <v>21505.235602094242</v>
      </c>
      <c r="N88" s="613">
        <f t="shared" ref="N88:AB88" si="51">M94</f>
        <v>22974.188481675395</v>
      </c>
      <c r="O88" s="613">
        <f>N94</f>
        <v>25908.150785340316</v>
      </c>
      <c r="P88" s="613">
        <f>O94</f>
        <v>27084.120628272252</v>
      </c>
      <c r="Q88" s="613">
        <f t="shared" si="51"/>
        <v>25006.6965026178</v>
      </c>
      <c r="R88" s="613">
        <f t="shared" si="51"/>
        <v>24435.757202094239</v>
      </c>
      <c r="S88" s="613">
        <f t="shared" si="51"/>
        <v>24361.80576167539</v>
      </c>
      <c r="T88" s="613">
        <f t="shared" si="51"/>
        <v>24430.244609340312</v>
      </c>
      <c r="U88" s="613">
        <f t="shared" si="51"/>
        <v>25305.39568747225</v>
      </c>
      <c r="V88" s="613">
        <f t="shared" si="51"/>
        <v>26500.916549977799</v>
      </c>
      <c r="W88" s="613">
        <f t="shared" si="51"/>
        <v>27896.133239982239</v>
      </c>
      <c r="X88" s="613">
        <f t="shared" si="51"/>
        <v>28909.906591985789</v>
      </c>
      <c r="Y88" s="613">
        <f t="shared" si="51"/>
        <v>29878.449673588631</v>
      </c>
      <c r="Z88" s="613">
        <f t="shared" si="51"/>
        <v>30957.582175510906</v>
      </c>
      <c r="AA88" s="613">
        <f t="shared" si="51"/>
        <v>32142.105184525906</v>
      </c>
      <c r="AB88" s="613">
        <f t="shared" si="51"/>
        <v>33428.800264830825</v>
      </c>
      <c r="AC88" s="504"/>
    </row>
    <row r="89" spans="1:34" s="503" customFormat="1" outlineLevel="1">
      <c r="A89" s="516" t="s">
        <v>915</v>
      </c>
      <c r="B89" s="613"/>
      <c r="C89" s="613"/>
      <c r="D89" s="613"/>
      <c r="E89" s="613"/>
      <c r="F89" s="613"/>
      <c r="G89" s="613">
        <f>G7</f>
        <v>1162</v>
      </c>
      <c r="H89" s="613">
        <f>H7</f>
        <v>1184</v>
      </c>
      <c r="I89" s="613">
        <f t="shared" ref="I89:Y89" si="52">I7</f>
        <v>1265</v>
      </c>
      <c r="J89" s="613">
        <f t="shared" si="52"/>
        <v>1382</v>
      </c>
      <c r="K89" s="613">
        <f t="shared" si="52"/>
        <v>1651</v>
      </c>
      <c r="L89" s="613">
        <f t="shared" si="52"/>
        <v>1633</v>
      </c>
      <c r="M89" s="613">
        <f t="shared" si="52"/>
        <v>1643</v>
      </c>
      <c r="N89" s="613">
        <f t="shared" si="52"/>
        <v>1905</v>
      </c>
      <c r="O89" s="613">
        <f>O7</f>
        <v>1693</v>
      </c>
      <c r="P89" s="613">
        <f>P7</f>
        <v>1309</v>
      </c>
      <c r="Q89" s="613">
        <f t="shared" si="52"/>
        <v>1337</v>
      </c>
      <c r="R89" s="613">
        <f t="shared" si="52"/>
        <v>1404</v>
      </c>
      <c r="S89" s="613">
        <f t="shared" si="52"/>
        <v>1340</v>
      </c>
      <c r="T89" s="613">
        <f t="shared" si="52"/>
        <v>1382</v>
      </c>
      <c r="U89" s="613">
        <f t="shared" si="52"/>
        <v>1534</v>
      </c>
      <c r="V89" s="613">
        <f t="shared" si="52"/>
        <v>1480</v>
      </c>
      <c r="W89" s="613">
        <f t="shared" si="52"/>
        <v>1339</v>
      </c>
      <c r="X89" s="613">
        <f t="shared" si="52"/>
        <v>1420.5244</v>
      </c>
      <c r="Y89" s="613">
        <f t="shared" si="52"/>
        <v>1486.7175566399999</v>
      </c>
      <c r="Z89" s="613">
        <f>Z7</f>
        <v>1556.5910527891838</v>
      </c>
      <c r="AA89" s="613">
        <f>AA7</f>
        <v>1630.3495153242625</v>
      </c>
      <c r="AB89" s="613">
        <f>AB7</f>
        <v>1708.2089483762913</v>
      </c>
      <c r="AC89" s="504"/>
    </row>
    <row r="90" spans="1:34" s="503" customFormat="1" outlineLevel="1">
      <c r="A90" s="516" t="s">
        <v>916</v>
      </c>
      <c r="B90" s="613"/>
      <c r="C90" s="613"/>
      <c r="D90" s="613"/>
      <c r="E90" s="613"/>
      <c r="F90" s="613"/>
      <c r="G90" s="613">
        <f t="shared" ref="G90:Z92" si="53">G43</f>
        <v>185</v>
      </c>
      <c r="H90" s="613">
        <f t="shared" si="53"/>
        <v>380</v>
      </c>
      <c r="I90" s="613">
        <f t="shared" si="53"/>
        <v>611</v>
      </c>
      <c r="J90" s="613">
        <f t="shared" si="53"/>
        <v>1029</v>
      </c>
      <c r="K90" s="613">
        <f t="shared" si="53"/>
        <v>1775</v>
      </c>
      <c r="L90" s="613">
        <f t="shared" si="53"/>
        <v>1355</v>
      </c>
      <c r="M90" s="613">
        <f t="shared" si="53"/>
        <v>1025</v>
      </c>
      <c r="N90" s="613">
        <f t="shared" si="53"/>
        <v>1515</v>
      </c>
      <c r="O90" s="613">
        <f t="shared" si="53"/>
        <v>1209</v>
      </c>
      <c r="P90" s="613">
        <f t="shared" si="53"/>
        <v>962</v>
      </c>
      <c r="Q90" s="613">
        <f t="shared" si="53"/>
        <v>1236</v>
      </c>
      <c r="R90" s="613">
        <f t="shared" si="53"/>
        <v>1403</v>
      </c>
      <c r="S90" s="613">
        <f t="shared" si="53"/>
        <v>1629</v>
      </c>
      <c r="T90" s="613">
        <f t="shared" si="53"/>
        <v>1852</v>
      </c>
      <c r="U90" s="613">
        <f t="shared" si="53"/>
        <v>1715</v>
      </c>
      <c r="V90" s="613">
        <f t="shared" si="53"/>
        <v>1345</v>
      </c>
      <c r="W90" s="613">
        <f t="shared" si="53"/>
        <v>1346</v>
      </c>
      <c r="X90" s="613">
        <f t="shared" si="53"/>
        <v>1000</v>
      </c>
      <c r="Y90" s="613">
        <f t="shared" si="53"/>
        <v>1000</v>
      </c>
      <c r="Z90" s="613">
        <f t="shared" si="53"/>
        <v>1000</v>
      </c>
      <c r="AA90" s="613">
        <f t="shared" ref="AA90:AB92" si="54">AA43</f>
        <v>1000</v>
      </c>
      <c r="AB90" s="613">
        <f t="shared" si="54"/>
        <v>1000</v>
      </c>
      <c r="AC90" s="504"/>
    </row>
    <row r="91" spans="1:34" s="503" customFormat="1" outlineLevel="1">
      <c r="A91" s="516" t="s">
        <v>917</v>
      </c>
      <c r="B91" s="613"/>
      <c r="C91" s="613"/>
      <c r="D91" s="613"/>
      <c r="E91" s="613"/>
      <c r="F91" s="613"/>
      <c r="G91" s="613">
        <f t="shared" si="53"/>
        <v>-744</v>
      </c>
      <c r="H91" s="613">
        <f t="shared" si="53"/>
        <v>-768</v>
      </c>
      <c r="I91" s="613">
        <f t="shared" si="53"/>
        <v>-921</v>
      </c>
      <c r="J91" s="613">
        <f t="shared" si="53"/>
        <v>-1018</v>
      </c>
      <c r="K91" s="613">
        <f t="shared" si="53"/>
        <v>-1160</v>
      </c>
      <c r="L91" s="613">
        <f t="shared" si="53"/>
        <v>-1355</v>
      </c>
      <c r="M91" s="613">
        <f t="shared" si="53"/>
        <v>-1556</v>
      </c>
      <c r="N91" s="613">
        <f t="shared" si="53"/>
        <v>-1660</v>
      </c>
      <c r="O91" s="613">
        <f t="shared" si="53"/>
        <v>-1380</v>
      </c>
      <c r="P91" s="613">
        <f t="shared" si="53"/>
        <v>-1456</v>
      </c>
      <c r="Q91" s="613">
        <f t="shared" si="53"/>
        <v>-1281</v>
      </c>
      <c r="R91" s="613">
        <f t="shared" si="53"/>
        <v>-1373</v>
      </c>
      <c r="S91" s="613">
        <f t="shared" si="53"/>
        <v>-1420</v>
      </c>
      <c r="T91" s="613">
        <f t="shared" si="53"/>
        <v>-1416</v>
      </c>
      <c r="U91" s="613">
        <f t="shared" si="53"/>
        <v>-1423</v>
      </c>
      <c r="V91" s="613">
        <f t="shared" si="53"/>
        <v>-1350</v>
      </c>
      <c r="W91" s="613">
        <f t="shared" si="53"/>
        <v>-1252</v>
      </c>
      <c r="X91" s="613">
        <f t="shared" si="53"/>
        <v>-1252</v>
      </c>
      <c r="Y91" s="613">
        <f t="shared" si="53"/>
        <v>-1252</v>
      </c>
      <c r="Z91" s="613">
        <f t="shared" si="53"/>
        <v>-1252</v>
      </c>
      <c r="AA91" s="613">
        <f t="shared" si="54"/>
        <v>-1252</v>
      </c>
      <c r="AB91" s="613">
        <f t="shared" si="54"/>
        <v>-1252</v>
      </c>
      <c r="AC91" s="504"/>
    </row>
    <row r="92" spans="1:34" s="503" customFormat="1" outlineLevel="1">
      <c r="A92" s="516" t="s">
        <v>918</v>
      </c>
      <c r="B92" s="613"/>
      <c r="C92" s="613"/>
      <c r="D92" s="613"/>
      <c r="E92" s="613"/>
      <c r="F92" s="613"/>
      <c r="G92" s="613">
        <f t="shared" si="53"/>
        <v>71</v>
      </c>
      <c r="H92" s="613">
        <f t="shared" si="53"/>
        <v>83</v>
      </c>
      <c r="I92" s="613">
        <f t="shared" si="53"/>
        <v>95</v>
      </c>
      <c r="J92" s="613">
        <f t="shared" si="53"/>
        <v>134</v>
      </c>
      <c r="K92" s="613">
        <f t="shared" si="53"/>
        <v>144</v>
      </c>
      <c r="L92" s="613">
        <f t="shared" si="53"/>
        <v>150</v>
      </c>
      <c r="M92" s="613">
        <f t="shared" si="53"/>
        <v>144</v>
      </c>
      <c r="N92" s="613">
        <f t="shared" si="53"/>
        <v>99</v>
      </c>
      <c r="O92" s="613">
        <f t="shared" si="53"/>
        <v>101</v>
      </c>
      <c r="P92" s="613">
        <f t="shared" si="53"/>
        <v>80</v>
      </c>
      <c r="Q92" s="613">
        <f t="shared" si="53"/>
        <v>47</v>
      </c>
      <c r="R92" s="613">
        <f t="shared" si="53"/>
        <v>46</v>
      </c>
      <c r="S92" s="613">
        <f t="shared" si="53"/>
        <v>36</v>
      </c>
      <c r="T92" s="613">
        <f t="shared" si="53"/>
        <v>25</v>
      </c>
      <c r="U92" s="613">
        <f t="shared" si="53"/>
        <v>25</v>
      </c>
      <c r="V92" s="613">
        <f t="shared" si="53"/>
        <v>24</v>
      </c>
      <c r="W92" s="613">
        <f t="shared" si="53"/>
        <v>22</v>
      </c>
      <c r="X92" s="613">
        <f t="shared" si="53"/>
        <v>22</v>
      </c>
      <c r="Y92" s="613">
        <f t="shared" si="53"/>
        <v>22</v>
      </c>
      <c r="Z92" s="613">
        <f t="shared" si="53"/>
        <v>22</v>
      </c>
      <c r="AA92" s="613">
        <f t="shared" si="54"/>
        <v>22</v>
      </c>
      <c r="AB92" s="613">
        <f t="shared" si="54"/>
        <v>22</v>
      </c>
      <c r="AC92" s="504"/>
    </row>
    <row r="93" spans="1:34" s="503" customFormat="1" outlineLevel="1">
      <c r="A93" s="516" t="s">
        <v>919</v>
      </c>
      <c r="B93" s="615"/>
      <c r="C93" s="615"/>
      <c r="D93" s="615"/>
      <c r="E93" s="615"/>
      <c r="F93" s="615"/>
      <c r="G93" s="615">
        <f t="shared" ref="G93:L93" si="55">G94-G88-G89-G90-G91-G92</f>
        <v>-269.35005224660381</v>
      </c>
      <c r="H93" s="615">
        <f t="shared" si="55"/>
        <v>571.32840722495712</v>
      </c>
      <c r="I93" s="615">
        <f t="shared" si="55"/>
        <v>382.12296851915016</v>
      </c>
      <c r="J93" s="615">
        <f t="shared" si="55"/>
        <v>3257.1264178333295</v>
      </c>
      <c r="K93" s="615">
        <f t="shared" si="55"/>
        <v>-2696.0559722259022</v>
      </c>
      <c r="L93" s="615">
        <f t="shared" si="55"/>
        <v>-1267.4816215561441</v>
      </c>
      <c r="M93" s="615">
        <f>(L96+M98)/5</f>
        <v>212.95287958115151</v>
      </c>
      <c r="N93" s="615">
        <f>M$96/5+SUM($L$98:M98)/5</f>
        <v>1074.9623036649209</v>
      </c>
      <c r="O93" s="615">
        <f>N$96/5+SUM($L$98:N98)/5</f>
        <v>-447.03015706806326</v>
      </c>
      <c r="P93" s="615">
        <f>O$96/5+SUM($L$98:O98)/5</f>
        <v>-2972.4241256544506</v>
      </c>
      <c r="Q93" s="615">
        <f>P$96/5+SUM($L$98:P98)/5</f>
        <v>-1909.93930052356</v>
      </c>
      <c r="R93" s="615">
        <f>Q$96/5+SUM($L$98:Q98)/5</f>
        <v>-1553.9514404188478</v>
      </c>
      <c r="S93" s="615">
        <f>R$96/5+SUM($L$98:R98)/5</f>
        <v>-1516.5611523350781</v>
      </c>
      <c r="T93" s="615">
        <f>S$96/5+SUM($L$98:S98)/5</f>
        <v>-967.84892186806246</v>
      </c>
      <c r="U93" s="615">
        <f>T$96/5+SUM($L$98:T98)/5</f>
        <v>-655.47913749445001</v>
      </c>
      <c r="V93" s="615">
        <f>U$96/5+SUM($L$98:U98)/5</f>
        <v>-103.78330999555982</v>
      </c>
      <c r="W93" s="615">
        <f>V$96/5+SUM($L$98:V98)/5</f>
        <v>-441.22664799644775</v>
      </c>
      <c r="X93" s="615">
        <f>W$96/5+SUM($L$98:W98)/5</f>
        <v>-221.98131839715785</v>
      </c>
      <c r="Y93" s="615">
        <f>X$96/5+SUM($L$98:X98)/5</f>
        <v>-177.58505471772656</v>
      </c>
      <c r="Z93" s="615">
        <f>Y$96/5+SUM($L$98:Y98)/5</f>
        <v>-142.0680437741816</v>
      </c>
      <c r="AA93" s="615">
        <f>Z$96/5+SUM($L$98:Z98)/5</f>
        <v>-113.65443501934493</v>
      </c>
      <c r="AB93" s="615">
        <f>AA$96/5+SUM($L$98:AA98)/5</f>
        <v>-90.923548015476229</v>
      </c>
      <c r="AC93" s="504"/>
    </row>
    <row r="94" spans="1:34" s="503" customFormat="1" outlineLevel="1">
      <c r="A94" s="510" t="s">
        <v>920</v>
      </c>
      <c r="B94" s="694"/>
      <c r="C94" s="694"/>
      <c r="D94" s="694"/>
      <c r="E94" s="694"/>
      <c r="F94" s="694"/>
      <c r="G94" s="694">
        <f t="shared" ref="G94:L94" si="56">H7/H21</f>
        <v>13609.195402298852</v>
      </c>
      <c r="H94" s="694">
        <f t="shared" si="56"/>
        <v>15059.523809523809</v>
      </c>
      <c r="I94" s="694">
        <f t="shared" si="56"/>
        <v>16491.646778042959</v>
      </c>
      <c r="J94" s="694">
        <f t="shared" si="56"/>
        <v>21275.773195876289</v>
      </c>
      <c r="K94" s="694">
        <f t="shared" si="56"/>
        <v>20989.717223650387</v>
      </c>
      <c r="L94" s="694">
        <f t="shared" si="56"/>
        <v>21505.235602094242</v>
      </c>
      <c r="M94" s="694">
        <f t="shared" ref="M94:Y94" si="57">SUM(M88:M93)</f>
        <v>22974.188481675395</v>
      </c>
      <c r="N94" s="520">
        <f t="shared" si="57"/>
        <v>25908.150785340316</v>
      </c>
      <c r="O94" s="520">
        <f>SUM(O88:O93)</f>
        <v>27084.120628272252</v>
      </c>
      <c r="P94" s="520">
        <f>SUM(P88:P93)</f>
        <v>25006.6965026178</v>
      </c>
      <c r="Q94" s="520">
        <f t="shared" si="57"/>
        <v>24435.757202094239</v>
      </c>
      <c r="R94" s="520">
        <f t="shared" si="57"/>
        <v>24361.80576167539</v>
      </c>
      <c r="S94" s="520">
        <f t="shared" si="57"/>
        <v>24430.244609340312</v>
      </c>
      <c r="T94" s="520">
        <f t="shared" si="57"/>
        <v>25305.39568747225</v>
      </c>
      <c r="U94" s="520">
        <f t="shared" si="57"/>
        <v>26500.916549977799</v>
      </c>
      <c r="V94" s="520">
        <f t="shared" si="57"/>
        <v>27896.133239982239</v>
      </c>
      <c r="W94" s="520">
        <f t="shared" si="57"/>
        <v>28909.906591985789</v>
      </c>
      <c r="X94" s="520">
        <f t="shared" si="57"/>
        <v>29878.449673588631</v>
      </c>
      <c r="Y94" s="520">
        <f t="shared" si="57"/>
        <v>30957.582175510906</v>
      </c>
      <c r="Z94" s="520">
        <f>SUM(Z88:Z93)</f>
        <v>32142.105184525906</v>
      </c>
      <c r="AA94" s="520">
        <f>SUM(AA88:AA93)</f>
        <v>33428.800264830825</v>
      </c>
      <c r="AB94" s="520">
        <f>SUM(AB88:AB93)</f>
        <v>34816.08566519164</v>
      </c>
    </row>
    <row r="95" spans="1:34" s="503" customFormat="1" outlineLevel="1">
      <c r="A95" s="510"/>
      <c r="B95" s="521"/>
      <c r="C95" s="521"/>
      <c r="D95" s="521"/>
      <c r="E95" s="521"/>
      <c r="F95" s="521"/>
      <c r="G95" s="521"/>
      <c r="H95" s="521"/>
      <c r="I95" s="521"/>
      <c r="J95" s="521"/>
      <c r="K95" s="521"/>
      <c r="L95" s="521"/>
      <c r="M95" s="521"/>
      <c r="N95" s="521"/>
      <c r="O95" s="521"/>
      <c r="P95" s="521"/>
      <c r="Q95" s="521"/>
      <c r="R95" s="521"/>
      <c r="S95" s="521"/>
      <c r="T95" s="521"/>
      <c r="U95" s="521"/>
      <c r="V95" s="521"/>
      <c r="W95" s="521"/>
      <c r="X95" s="521"/>
      <c r="Y95" s="521"/>
      <c r="Z95" s="521"/>
      <c r="AA95" s="521"/>
      <c r="AB95" s="521"/>
    </row>
    <row r="96" spans="1:34" s="503" customFormat="1" outlineLevel="1">
      <c r="A96" s="510" t="s">
        <v>921</v>
      </c>
      <c r="B96" s="521"/>
      <c r="C96" s="521"/>
      <c r="D96" s="521"/>
      <c r="E96" s="521"/>
      <c r="F96" s="521"/>
      <c r="G96" s="521">
        <f>G50-G94</f>
        <v>1104.8045977011479</v>
      </c>
      <c r="H96" s="521">
        <f>H50-H94</f>
        <v>-2124.5238095238092</v>
      </c>
      <c r="I96" s="521">
        <f t="shared" ref="I96:Y96" si="58">I50-I94</f>
        <v>-4128.6467780429593</v>
      </c>
      <c r="J96" s="521">
        <f t="shared" si="58"/>
        <v>-4727.7731958762888</v>
      </c>
      <c r="K96" s="521">
        <f t="shared" si="58"/>
        <v>-394.71722365038659</v>
      </c>
      <c r="L96" s="521">
        <f t="shared" si="58"/>
        <v>421.76439790575751</v>
      </c>
      <c r="M96" s="521">
        <f t="shared" si="58"/>
        <v>3125.8115183246045</v>
      </c>
      <c r="N96" s="521">
        <f t="shared" si="58"/>
        <v>-3479.1507853403164</v>
      </c>
      <c r="O96" s="521">
        <f>O50-O94</f>
        <v>-12377.120628272252</v>
      </c>
      <c r="P96" s="521">
        <f>P50-P94</f>
        <v>-7450.6965026178004</v>
      </c>
      <c r="Q96" s="521">
        <f t="shared" si="58"/>
        <v>-5820.7572020942389</v>
      </c>
      <c r="R96" s="521">
        <f t="shared" si="58"/>
        <v>-5163.8057616753904</v>
      </c>
      <c r="S96" s="521">
        <f t="shared" si="58"/>
        <v>-2717.2446093403123</v>
      </c>
      <c r="T96" s="521">
        <f t="shared" si="58"/>
        <v>-1462.3956874722498</v>
      </c>
      <c r="U96" s="521">
        <f t="shared" si="58"/>
        <v>-825.91654997779915</v>
      </c>
      <c r="V96" s="521">
        <f t="shared" si="58"/>
        <v>-2755.1332399822386</v>
      </c>
      <c r="W96" s="521">
        <f t="shared" si="58"/>
        <v>-3360.9065919857894</v>
      </c>
      <c r="X96" s="521">
        <f t="shared" si="58"/>
        <v>-3138.925273588633</v>
      </c>
      <c r="Y96" s="521">
        <f t="shared" si="58"/>
        <v>-2961.3402188709078</v>
      </c>
      <c r="Z96" s="521">
        <f>Z50-Z94</f>
        <v>-2819.2721750967248</v>
      </c>
      <c r="AA96" s="521">
        <f>AA50-AA94</f>
        <v>-2705.6177400773813</v>
      </c>
      <c r="AB96" s="521">
        <f>AB50-AB94</f>
        <v>-2614.6941920619065</v>
      </c>
    </row>
    <row r="97" spans="1:29" s="503" customFormat="1" outlineLevel="1">
      <c r="A97" s="510"/>
      <c r="B97" s="521"/>
      <c r="C97" s="521"/>
      <c r="D97" s="521"/>
      <c r="E97" s="521"/>
      <c r="F97" s="521"/>
      <c r="G97" s="521"/>
      <c r="H97" s="521"/>
      <c r="I97" s="521"/>
      <c r="J97" s="521"/>
      <c r="K97" s="521"/>
      <c r="L97" s="521"/>
      <c r="M97" s="521"/>
      <c r="N97" s="520"/>
      <c r="O97" s="520"/>
      <c r="P97" s="520"/>
      <c r="Q97" s="520"/>
      <c r="R97" s="520"/>
      <c r="S97" s="520"/>
      <c r="T97" s="520"/>
      <c r="U97" s="520"/>
      <c r="V97" s="520"/>
      <c r="W97" s="520"/>
      <c r="X97" s="520"/>
      <c r="Y97" s="520"/>
      <c r="Z97" s="520"/>
      <c r="AA97" s="520"/>
      <c r="AB97" s="520"/>
    </row>
    <row r="98" spans="1:29" s="503" customFormat="1" outlineLevel="1">
      <c r="A98" s="510" t="s">
        <v>922</v>
      </c>
      <c r="B98" s="521"/>
      <c r="C98" s="521"/>
      <c r="D98" s="521"/>
      <c r="E98" s="521"/>
      <c r="F98" s="521"/>
      <c r="G98" s="521">
        <f>G42-G7</f>
        <v>-929</v>
      </c>
      <c r="H98" s="521">
        <f>H42-H7</f>
        <v>-2115</v>
      </c>
      <c r="I98" s="521">
        <f t="shared" ref="I98:Y98" si="59">I42-I7</f>
        <v>-2957</v>
      </c>
      <c r="J98" s="521">
        <f t="shared" si="59"/>
        <v>688</v>
      </c>
      <c r="K98" s="521">
        <f t="shared" si="59"/>
        <v>285</v>
      </c>
      <c r="L98" s="521">
        <f t="shared" si="59"/>
        <v>1606</v>
      </c>
      <c r="M98" s="521">
        <f t="shared" si="59"/>
        <v>643</v>
      </c>
      <c r="N98" s="521">
        <f t="shared" si="59"/>
        <v>-1005</v>
      </c>
      <c r="O98" s="521">
        <f>O42-O7</f>
        <v>-3729</v>
      </c>
      <c r="P98" s="521">
        <f>P42-P7</f>
        <v>386</v>
      </c>
      <c r="Q98" s="521">
        <f t="shared" si="59"/>
        <v>150</v>
      </c>
      <c r="R98" s="521">
        <f t="shared" si="59"/>
        <v>-470</v>
      </c>
      <c r="S98" s="521">
        <f t="shared" si="59"/>
        <v>297</v>
      </c>
      <c r="T98" s="521">
        <f t="shared" si="59"/>
        <v>307</v>
      </c>
      <c r="U98" s="521">
        <f t="shared" si="59"/>
        <v>2122</v>
      </c>
      <c r="V98" s="521">
        <f t="shared" si="59"/>
        <v>242</v>
      </c>
      <c r="W98" s="521">
        <f t="shared" si="59"/>
        <v>1702</v>
      </c>
      <c r="X98" s="521">
        <f t="shared" si="59"/>
        <v>0</v>
      </c>
      <c r="Y98" s="521">
        <f t="shared" si="59"/>
        <v>0</v>
      </c>
      <c r="Z98" s="521">
        <f>Z42-Z7</f>
        <v>0</v>
      </c>
      <c r="AA98" s="521">
        <f>AA42-AA7</f>
        <v>0</v>
      </c>
      <c r="AB98" s="521">
        <f>AB42-AB7</f>
        <v>0</v>
      </c>
    </row>
    <row r="99" spans="1:29" s="503" customFormat="1">
      <c r="A99" s="616"/>
      <c r="B99" s="511"/>
      <c r="C99" s="511"/>
      <c r="D99" s="511"/>
      <c r="E99" s="511"/>
      <c r="F99" s="511"/>
      <c r="G99" s="511"/>
      <c r="H99" s="511"/>
      <c r="I99" s="511"/>
      <c r="J99" s="511"/>
      <c r="K99" s="511"/>
      <c r="L99" s="511"/>
      <c r="M99" s="511"/>
      <c r="N99" s="572"/>
      <c r="O99" s="572"/>
      <c r="P99" s="572"/>
      <c r="Q99" s="572"/>
      <c r="R99" s="572"/>
      <c r="S99" s="572"/>
      <c r="T99" s="572"/>
      <c r="U99" s="572"/>
      <c r="V99" s="572"/>
      <c r="W99" s="572"/>
      <c r="X99" s="572"/>
      <c r="Y99" s="572"/>
      <c r="Z99" s="572"/>
      <c r="AA99" s="572"/>
      <c r="AB99" s="572"/>
    </row>
    <row r="100" spans="1:29" s="503" customFormat="1">
      <c r="A100" s="616"/>
      <c r="B100" s="511"/>
      <c r="C100" s="511"/>
      <c r="D100" s="511"/>
      <c r="E100" s="511"/>
      <c r="F100" s="511"/>
      <c r="G100" s="511"/>
      <c r="H100" s="511"/>
      <c r="I100" s="511"/>
      <c r="J100" s="511"/>
      <c r="K100" s="511"/>
      <c r="L100" s="511"/>
      <c r="M100" s="511"/>
      <c r="N100" s="572"/>
      <c r="O100" s="572"/>
      <c r="P100" s="572"/>
      <c r="Q100" s="572"/>
      <c r="R100" s="572"/>
      <c r="S100" s="572"/>
      <c r="T100" s="572"/>
      <c r="U100" s="572"/>
      <c r="V100" s="572"/>
      <c r="W100" s="572"/>
      <c r="X100" s="572"/>
      <c r="Y100" s="572"/>
      <c r="Z100" s="572"/>
      <c r="AA100" s="572"/>
      <c r="AB100" s="572"/>
    </row>
    <row r="101" spans="1:29" s="503" customFormat="1">
      <c r="A101" s="695" t="s">
        <v>923</v>
      </c>
      <c r="B101" s="611"/>
      <c r="C101" s="611"/>
      <c r="D101" s="611"/>
      <c r="E101" s="611"/>
      <c r="F101" s="611"/>
      <c r="G101" s="611"/>
      <c r="H101" s="611"/>
      <c r="I101" s="611"/>
      <c r="J101" s="611"/>
      <c r="K101" s="611"/>
      <c r="L101" s="611"/>
      <c r="M101" s="611"/>
      <c r="N101" s="611"/>
      <c r="O101" s="611"/>
      <c r="P101" s="611"/>
      <c r="Q101" s="611"/>
      <c r="R101" s="611"/>
      <c r="S101" s="611"/>
      <c r="T101" s="611"/>
      <c r="U101" s="611"/>
      <c r="V101" s="611"/>
      <c r="W101" s="611"/>
      <c r="X101" s="611"/>
      <c r="Y101" s="611"/>
      <c r="Z101" s="611"/>
      <c r="AA101" s="611"/>
      <c r="AB101" s="611"/>
    </row>
    <row r="102" spans="1:29" s="503" customFormat="1" outlineLevel="1">
      <c r="A102" s="618" t="s">
        <v>924</v>
      </c>
      <c r="B102" s="573"/>
      <c r="C102" s="573"/>
      <c r="D102" s="573"/>
      <c r="E102" s="573"/>
      <c r="F102" s="573"/>
      <c r="G102" s="573">
        <f>MAX((0.1*G94),(-G38*0.1))</f>
        <v>1691.8000000000002</v>
      </c>
      <c r="H102" s="573">
        <f>MAX((0.1*H94),(-H38*0.1))</f>
        <v>1599.1000000000001</v>
      </c>
      <c r="I102" s="573">
        <f t="shared" ref="I102:Y102" si="60">MAX((0.1*I94),(-I38*0.1))</f>
        <v>2069.8000000000002</v>
      </c>
      <c r="J102" s="573">
        <f t="shared" si="60"/>
        <v>2479</v>
      </c>
      <c r="K102" s="573">
        <f t="shared" si="60"/>
        <v>2945.2000000000003</v>
      </c>
      <c r="L102" s="573">
        <f t="shared" si="60"/>
        <v>3070</v>
      </c>
      <c r="M102" s="573">
        <f t="shared" si="60"/>
        <v>3365.9</v>
      </c>
      <c r="N102" s="573">
        <f t="shared" si="60"/>
        <v>2695.8</v>
      </c>
      <c r="O102" s="573">
        <f>MAX((0.1*O94),(-O38*0.1))</f>
        <v>2708.4120628272253</v>
      </c>
      <c r="P102" s="573">
        <f>MAX((0.1*P94),(-P38*0.1))</f>
        <v>2500.6696502617801</v>
      </c>
      <c r="Q102" s="573">
        <f t="shared" si="60"/>
        <v>2443.5757202094242</v>
      </c>
      <c r="R102" s="573">
        <f t="shared" si="60"/>
        <v>2516.3000000000002</v>
      </c>
      <c r="S102" s="573">
        <f t="shared" si="60"/>
        <v>3070.2000000000003</v>
      </c>
      <c r="T102" s="573">
        <f t="shared" si="60"/>
        <v>3085.1000000000004</v>
      </c>
      <c r="U102" s="573">
        <f t="shared" si="60"/>
        <v>3322.3</v>
      </c>
      <c r="V102" s="573">
        <f t="shared" si="60"/>
        <v>2963.9</v>
      </c>
      <c r="W102" s="573">
        <f t="shared" si="60"/>
        <v>3062.4</v>
      </c>
      <c r="X102" s="573">
        <f t="shared" si="60"/>
        <v>3113.0631600000002</v>
      </c>
      <c r="Y102" s="573">
        <f t="shared" si="60"/>
        <v>3095.7582175510906</v>
      </c>
      <c r="Z102" s="573">
        <f>MAX((0.1*Z94),(-Z38*0.1))</f>
        <v>3214.2105184525908</v>
      </c>
      <c r="AA102" s="573">
        <f>MAX((0.1*AA94),(-AA38*0.1))</f>
        <v>3342.8800264830825</v>
      </c>
      <c r="AB102" s="573">
        <f>MAX((0.1*AB94),(-AB38*0.1))</f>
        <v>3481.608566519164</v>
      </c>
    </row>
    <row r="103" spans="1:29" s="503" customFormat="1" outlineLevel="1">
      <c r="A103" s="510" t="s">
        <v>925</v>
      </c>
      <c r="B103" s="573"/>
      <c r="C103" s="573"/>
      <c r="D103" s="573"/>
      <c r="E103" s="573"/>
      <c r="F103" s="573"/>
      <c r="G103" s="573"/>
      <c r="H103" s="573"/>
      <c r="I103" s="573"/>
      <c r="J103" s="573"/>
      <c r="K103" s="573"/>
      <c r="L103" s="573"/>
      <c r="M103" s="573"/>
      <c r="N103" s="573"/>
      <c r="O103" s="573"/>
      <c r="P103" s="573"/>
      <c r="Q103" s="573"/>
      <c r="R103" s="573"/>
      <c r="S103" s="573"/>
      <c r="T103" s="573"/>
      <c r="U103" s="573"/>
      <c r="V103" s="573"/>
      <c r="W103" s="573"/>
      <c r="X103" s="573"/>
      <c r="Y103" s="573"/>
      <c r="Z103" s="573"/>
      <c r="AA103" s="573"/>
      <c r="AB103" s="573"/>
    </row>
    <row r="104" spans="1:29" s="503" customFormat="1" outlineLevel="1">
      <c r="A104" s="510" t="s">
        <v>921</v>
      </c>
      <c r="B104" s="619"/>
      <c r="C104" s="619"/>
      <c r="D104" s="619"/>
      <c r="E104" s="619"/>
      <c r="F104" s="619"/>
      <c r="G104" s="619">
        <f>G96</f>
        <v>1104.8045977011479</v>
      </c>
      <c r="H104" s="619">
        <f>H96</f>
        <v>-2124.5238095238092</v>
      </c>
      <c r="I104" s="619">
        <f t="shared" ref="I104:Y104" si="61">I96</f>
        <v>-4128.6467780429593</v>
      </c>
      <c r="J104" s="619">
        <f t="shared" si="61"/>
        <v>-4727.7731958762888</v>
      </c>
      <c r="K104" s="619">
        <f t="shared" si="61"/>
        <v>-394.71722365038659</v>
      </c>
      <c r="L104" s="619">
        <f t="shared" si="61"/>
        <v>421.76439790575751</v>
      </c>
      <c r="M104" s="619">
        <f t="shared" si="61"/>
        <v>3125.8115183246045</v>
      </c>
      <c r="N104" s="619">
        <f t="shared" si="61"/>
        <v>-3479.1507853403164</v>
      </c>
      <c r="O104" s="619">
        <f>O96</f>
        <v>-12377.120628272252</v>
      </c>
      <c r="P104" s="619">
        <f>P96</f>
        <v>-7450.6965026178004</v>
      </c>
      <c r="Q104" s="619">
        <f t="shared" si="61"/>
        <v>-5820.7572020942389</v>
      </c>
      <c r="R104" s="619">
        <f t="shared" si="61"/>
        <v>-5163.8057616753904</v>
      </c>
      <c r="S104" s="619">
        <f t="shared" si="61"/>
        <v>-2717.2446093403123</v>
      </c>
      <c r="T104" s="619">
        <f t="shared" si="61"/>
        <v>-1462.3956874722498</v>
      </c>
      <c r="U104" s="619">
        <f t="shared" si="61"/>
        <v>-825.91654997779915</v>
      </c>
      <c r="V104" s="619">
        <f t="shared" si="61"/>
        <v>-2755.1332399822386</v>
      </c>
      <c r="W104" s="619">
        <f t="shared" si="61"/>
        <v>-3360.9065919857894</v>
      </c>
      <c r="X104" s="619">
        <f t="shared" si="61"/>
        <v>-3138.925273588633</v>
      </c>
      <c r="Y104" s="619">
        <f t="shared" si="61"/>
        <v>-2961.3402188709078</v>
      </c>
      <c r="Z104" s="619">
        <f>Z96</f>
        <v>-2819.2721750967248</v>
      </c>
      <c r="AA104" s="619">
        <f>AA96</f>
        <v>-2705.6177400773813</v>
      </c>
      <c r="AB104" s="619">
        <f>AB96</f>
        <v>-2614.6941920619065</v>
      </c>
    </row>
    <row r="105" spans="1:29" s="503" customFormat="1" outlineLevel="1">
      <c r="A105" s="510" t="s">
        <v>926</v>
      </c>
      <c r="B105" s="620"/>
      <c r="C105" s="620"/>
      <c r="D105" s="620"/>
      <c r="E105" s="620"/>
      <c r="F105" s="620"/>
      <c r="G105" s="620">
        <f>-G67</f>
        <v>-430</v>
      </c>
      <c r="H105" s="620">
        <f>-H67</f>
        <v>-1642</v>
      </c>
      <c r="I105" s="620">
        <f t="shared" ref="I105:Y105" si="62">-I67</f>
        <v>-6874</v>
      </c>
      <c r="J105" s="620">
        <f t="shared" si="62"/>
        <v>-7122</v>
      </c>
      <c r="K105" s="620">
        <f t="shared" si="62"/>
        <v>-8794</v>
      </c>
      <c r="L105" s="620">
        <f t="shared" si="62"/>
        <v>-8609</v>
      </c>
      <c r="M105" s="620">
        <f t="shared" si="62"/>
        <v>0</v>
      </c>
      <c r="N105" s="620">
        <f t="shared" si="62"/>
        <v>0</v>
      </c>
      <c r="O105" s="620">
        <f>-O67</f>
        <v>0</v>
      </c>
      <c r="P105" s="620">
        <f>-P67</f>
        <v>0</v>
      </c>
      <c r="Q105" s="620">
        <f t="shared" si="62"/>
        <v>0</v>
      </c>
      <c r="R105" s="620">
        <f t="shared" si="62"/>
        <v>0</v>
      </c>
      <c r="S105" s="620">
        <f t="shared" si="62"/>
        <v>0</v>
      </c>
      <c r="T105" s="620">
        <f t="shared" si="62"/>
        <v>0</v>
      </c>
      <c r="U105" s="620">
        <f t="shared" si="62"/>
        <v>-473.34686666666755</v>
      </c>
      <c r="V105" s="620">
        <f t="shared" si="62"/>
        <v>0</v>
      </c>
      <c r="W105" s="620">
        <f t="shared" si="62"/>
        <v>-40.397066666666547</v>
      </c>
      <c r="X105" s="620">
        <f t="shared" si="62"/>
        <v>0</v>
      </c>
      <c r="Y105" s="620">
        <f t="shared" si="62"/>
        <v>0</v>
      </c>
      <c r="Z105" s="620">
        <f>-Z67</f>
        <v>0</v>
      </c>
      <c r="AA105" s="620">
        <f>-AA67</f>
        <v>0</v>
      </c>
      <c r="AB105" s="620">
        <f>-AB67</f>
        <v>0</v>
      </c>
    </row>
    <row r="106" spans="1:29" s="503" customFormat="1" outlineLevel="1">
      <c r="A106" s="618" t="s">
        <v>927</v>
      </c>
      <c r="B106" s="619">
        <f t="shared" ref="B106:Y106" si="63">B105-B104</f>
        <v>0</v>
      </c>
      <c r="C106" s="619">
        <f t="shared" si="63"/>
        <v>0</v>
      </c>
      <c r="D106" s="619">
        <f t="shared" si="63"/>
        <v>0</v>
      </c>
      <c r="E106" s="619">
        <f t="shared" si="63"/>
        <v>0</v>
      </c>
      <c r="F106" s="619">
        <f t="shared" si="63"/>
        <v>0</v>
      </c>
      <c r="G106" s="619">
        <f t="shared" si="63"/>
        <v>-1534.8045977011479</v>
      </c>
      <c r="H106" s="619">
        <f t="shared" si="63"/>
        <v>482.52380952380918</v>
      </c>
      <c r="I106" s="619">
        <f t="shared" si="63"/>
        <v>-2745.3532219570407</v>
      </c>
      <c r="J106" s="619">
        <f t="shared" si="63"/>
        <v>-2394.2268041237112</v>
      </c>
      <c r="K106" s="619">
        <f t="shared" si="63"/>
        <v>-8399.2827763496134</v>
      </c>
      <c r="L106" s="619">
        <f t="shared" si="63"/>
        <v>-9030.7643979057575</v>
      </c>
      <c r="M106" s="619">
        <f t="shared" si="63"/>
        <v>-3125.8115183246045</v>
      </c>
      <c r="N106" s="619">
        <f t="shared" si="63"/>
        <v>3479.1507853403164</v>
      </c>
      <c r="O106" s="619">
        <f>O105-O104</f>
        <v>12377.120628272252</v>
      </c>
      <c r="P106" s="619">
        <f>P105-P104</f>
        <v>7450.6965026178004</v>
      </c>
      <c r="Q106" s="619">
        <f t="shared" si="63"/>
        <v>5820.7572020942389</v>
      </c>
      <c r="R106" s="619">
        <f t="shared" si="63"/>
        <v>5163.8057616753904</v>
      </c>
      <c r="S106" s="619">
        <f t="shared" si="63"/>
        <v>2717.2446093403123</v>
      </c>
      <c r="T106" s="619">
        <f t="shared" si="63"/>
        <v>1462.3956874722498</v>
      </c>
      <c r="U106" s="619">
        <f t="shared" si="63"/>
        <v>352.5696833111316</v>
      </c>
      <c r="V106" s="619">
        <f t="shared" si="63"/>
        <v>2755.1332399822386</v>
      </c>
      <c r="W106" s="619">
        <f t="shared" si="63"/>
        <v>3320.509525319123</v>
      </c>
      <c r="X106" s="619">
        <f t="shared" si="63"/>
        <v>3138.925273588633</v>
      </c>
      <c r="Y106" s="619">
        <f t="shared" si="63"/>
        <v>2961.3402188709078</v>
      </c>
      <c r="Z106" s="619">
        <f>Z105-Z104</f>
        <v>2819.2721750967248</v>
      </c>
      <c r="AA106" s="619">
        <f>AA105-AA104</f>
        <v>2705.6177400773813</v>
      </c>
      <c r="AB106" s="619">
        <f>AB105-AB104</f>
        <v>2614.6941920619065</v>
      </c>
    </row>
    <row r="107" spans="1:29" s="503" customFormat="1" outlineLevel="1">
      <c r="A107" s="618" t="s">
        <v>928</v>
      </c>
      <c r="B107" s="619">
        <f t="shared" ref="B107:Y107" si="64">IF(B106&gt;0,MAX(B106-B102,0),MIN(B106+B102,0))</f>
        <v>0</v>
      </c>
      <c r="C107" s="619">
        <f t="shared" si="64"/>
        <v>0</v>
      </c>
      <c r="D107" s="619">
        <f t="shared" si="64"/>
        <v>0</v>
      </c>
      <c r="E107" s="619">
        <f t="shared" si="64"/>
        <v>0</v>
      </c>
      <c r="F107" s="619">
        <f t="shared" si="64"/>
        <v>0</v>
      </c>
      <c r="G107" s="619">
        <f t="shared" si="64"/>
        <v>0</v>
      </c>
      <c r="H107" s="619">
        <f t="shared" si="64"/>
        <v>0</v>
      </c>
      <c r="I107" s="619">
        <f t="shared" si="64"/>
        <v>-675.55322195704048</v>
      </c>
      <c r="J107" s="619">
        <f t="shared" si="64"/>
        <v>0</v>
      </c>
      <c r="K107" s="619">
        <f t="shared" si="64"/>
        <v>-5454.0827763496127</v>
      </c>
      <c r="L107" s="619">
        <f t="shared" si="64"/>
        <v>-5960.7643979057575</v>
      </c>
      <c r="M107" s="619">
        <f t="shared" si="64"/>
        <v>0</v>
      </c>
      <c r="N107" s="619">
        <f t="shared" si="64"/>
        <v>783.35078534031618</v>
      </c>
      <c r="O107" s="619">
        <f>IF(O106&gt;0,MAX(O106-O102,0),MIN(O106+O102,0))</f>
        <v>9668.7085654450275</v>
      </c>
      <c r="P107" s="619">
        <f>IF(P106&gt;0,MAX(P106-P102,0),MIN(P106+P102,0))</f>
        <v>4950.0268523560208</v>
      </c>
      <c r="Q107" s="619">
        <f t="shared" si="64"/>
        <v>3377.1814818848147</v>
      </c>
      <c r="R107" s="619">
        <f t="shared" si="64"/>
        <v>2647.5057616753902</v>
      </c>
      <c r="S107" s="619">
        <f t="shared" si="64"/>
        <v>0</v>
      </c>
      <c r="T107" s="619">
        <f t="shared" si="64"/>
        <v>0</v>
      </c>
      <c r="U107" s="619">
        <f t="shared" si="64"/>
        <v>0</v>
      </c>
      <c r="V107" s="619">
        <f t="shared" si="64"/>
        <v>0</v>
      </c>
      <c r="W107" s="619">
        <f t="shared" si="64"/>
        <v>258.10952531912289</v>
      </c>
      <c r="X107" s="619">
        <f t="shared" si="64"/>
        <v>25.862113588632837</v>
      </c>
      <c r="Y107" s="619">
        <f t="shared" si="64"/>
        <v>0</v>
      </c>
      <c r="Z107" s="619">
        <f>IF(Z106&gt;0,MAX(Z106-Z102,0),MIN(Z106+Z102,0))</f>
        <v>0</v>
      </c>
      <c r="AA107" s="619">
        <f>IF(AA106&gt;0,MAX(AA106-AA102,0),MIN(AA106+AA102,0))</f>
        <v>0</v>
      </c>
      <c r="AB107" s="619">
        <f>IF(AB106&gt;0,MAX(AB106-AB102,0),MIN(AB106+AB102,0))</f>
        <v>0</v>
      </c>
    </row>
    <row r="108" spans="1:29" s="503" customFormat="1" outlineLevel="1">
      <c r="A108" s="621" t="s">
        <v>929</v>
      </c>
      <c r="B108" s="622">
        <f t="shared" ref="B108:H108" si="65">B107/$P$23</f>
        <v>0</v>
      </c>
      <c r="C108" s="622">
        <f t="shared" si="65"/>
        <v>0</v>
      </c>
      <c r="D108" s="622">
        <f t="shared" si="65"/>
        <v>0</v>
      </c>
      <c r="E108" s="622">
        <f t="shared" si="65"/>
        <v>0</v>
      </c>
      <c r="F108" s="622">
        <f t="shared" si="65"/>
        <v>0</v>
      </c>
      <c r="G108" s="622">
        <f t="shared" si="65"/>
        <v>0</v>
      </c>
      <c r="H108" s="622">
        <f t="shared" si="65"/>
        <v>0</v>
      </c>
      <c r="I108" s="622">
        <f t="shared" ref="I108:X108" si="66">I107/$M$23</f>
        <v>-45.0368814638027</v>
      </c>
      <c r="J108" s="622">
        <f t="shared" si="66"/>
        <v>0</v>
      </c>
      <c r="K108" s="622">
        <f t="shared" si="66"/>
        <v>-363.6055184233075</v>
      </c>
      <c r="L108" s="622">
        <f t="shared" si="66"/>
        <v>-397.38429319371716</v>
      </c>
      <c r="M108" s="622">
        <f t="shared" si="66"/>
        <v>0</v>
      </c>
      <c r="N108" s="622">
        <f t="shared" si="66"/>
        <v>52.223385689354409</v>
      </c>
      <c r="O108" s="622">
        <f t="shared" si="66"/>
        <v>644.58057102966848</v>
      </c>
      <c r="P108" s="622">
        <f t="shared" si="66"/>
        <v>330.00179015706806</v>
      </c>
      <c r="Q108" s="622">
        <f t="shared" si="66"/>
        <v>225.14543212565431</v>
      </c>
      <c r="R108" s="622">
        <f t="shared" si="66"/>
        <v>176.50038411169268</v>
      </c>
      <c r="S108" s="622">
        <f t="shared" si="66"/>
        <v>0</v>
      </c>
      <c r="T108" s="622">
        <f t="shared" si="66"/>
        <v>0</v>
      </c>
      <c r="U108" s="622">
        <f t="shared" si="66"/>
        <v>0</v>
      </c>
      <c r="V108" s="622">
        <f t="shared" si="66"/>
        <v>0</v>
      </c>
      <c r="W108" s="622">
        <f t="shared" si="66"/>
        <v>17.207301687941527</v>
      </c>
      <c r="X108" s="622">
        <f t="shared" si="66"/>
        <v>1.7241409059088559</v>
      </c>
      <c r="Y108" s="622">
        <f>Y107/$M$23</f>
        <v>0</v>
      </c>
      <c r="Z108" s="622">
        <f>Z107/$M$23</f>
        <v>0</v>
      </c>
      <c r="AA108" s="622">
        <f>AA107/$M$23</f>
        <v>0</v>
      </c>
      <c r="AB108" s="622">
        <f>AB107/$M$23</f>
        <v>0</v>
      </c>
    </row>
    <row r="109" spans="1:29" s="503" customFormat="1">
      <c r="A109" s="616"/>
      <c r="B109" s="511"/>
      <c r="C109" s="511"/>
      <c r="D109" s="511"/>
      <c r="E109" s="511"/>
      <c r="F109" s="511"/>
      <c r="G109" s="511"/>
      <c r="H109" s="511"/>
      <c r="I109" s="511"/>
      <c r="J109" s="511"/>
      <c r="K109" s="511"/>
      <c r="L109" s="511"/>
      <c r="M109" s="511"/>
      <c r="N109" s="511"/>
      <c r="O109" s="511"/>
      <c r="P109" s="511"/>
      <c r="Q109" s="511"/>
      <c r="R109" s="511"/>
      <c r="S109" s="511"/>
      <c r="T109" s="511"/>
      <c r="U109" s="511"/>
      <c r="V109" s="511"/>
      <c r="W109" s="511"/>
      <c r="X109" s="511"/>
      <c r="Y109" s="511"/>
      <c r="Z109" s="511"/>
      <c r="AA109" s="511"/>
      <c r="AB109" s="511"/>
    </row>
    <row r="110" spans="1:29" s="503" customFormat="1">
      <c r="A110" s="616"/>
      <c r="B110" s="511"/>
      <c r="C110" s="511"/>
      <c r="D110" s="511"/>
      <c r="E110" s="511"/>
      <c r="F110" s="511"/>
      <c r="G110" s="511"/>
      <c r="H110" s="511"/>
      <c r="I110" s="511"/>
      <c r="J110" s="511"/>
      <c r="K110" s="511"/>
      <c r="L110" s="511"/>
      <c r="M110" s="511"/>
      <c r="N110" s="511"/>
      <c r="O110" s="511"/>
      <c r="P110" s="511"/>
      <c r="Q110" s="511"/>
      <c r="R110" s="511"/>
      <c r="S110" s="511"/>
      <c r="T110" s="511"/>
      <c r="U110" s="511"/>
      <c r="V110" s="511"/>
      <c r="W110" s="511"/>
      <c r="X110" s="511"/>
      <c r="Y110" s="511"/>
      <c r="Z110" s="511"/>
      <c r="AA110" s="511"/>
      <c r="AB110" s="511"/>
    </row>
    <row r="111" spans="1:29" s="503" customFormat="1">
      <c r="A111" s="696" t="s">
        <v>930</v>
      </c>
      <c r="B111" s="611"/>
      <c r="C111" s="611"/>
      <c r="D111" s="611"/>
      <c r="E111" s="611"/>
      <c r="F111" s="611"/>
      <c r="G111" s="611"/>
      <c r="H111" s="611"/>
      <c r="I111" s="611"/>
      <c r="J111" s="611"/>
      <c r="K111" s="611"/>
      <c r="L111" s="611"/>
      <c r="M111" s="611"/>
      <c r="N111" s="611"/>
      <c r="O111" s="611"/>
      <c r="P111" s="611"/>
      <c r="Q111" s="611"/>
      <c r="R111" s="611"/>
      <c r="S111" s="611"/>
      <c r="T111" s="611"/>
      <c r="U111" s="611"/>
      <c r="V111" s="611"/>
      <c r="W111" s="611"/>
      <c r="X111" s="611"/>
      <c r="Y111" s="611"/>
      <c r="Z111" s="611"/>
      <c r="AA111" s="611"/>
      <c r="AB111" s="611"/>
      <c r="AC111" s="504"/>
    </row>
    <row r="112" spans="1:29" s="503" customFormat="1" ht="12.75" customHeight="1" outlineLevel="1">
      <c r="A112" s="624"/>
      <c r="B112" s="625"/>
      <c r="C112" s="625"/>
      <c r="D112" s="625"/>
      <c r="E112" s="625"/>
      <c r="F112" s="625"/>
      <c r="G112" s="625"/>
      <c r="H112" s="625"/>
      <c r="I112" s="625"/>
      <c r="J112" s="625"/>
      <c r="K112" s="625"/>
      <c r="L112" s="625"/>
      <c r="M112" s="625"/>
      <c r="N112" s="626">
        <f t="shared" ref="N112:Y112" si="67">N115+N120+N124+N128+N132+N136</f>
        <v>-0.8</v>
      </c>
      <c r="O112" s="626">
        <f>O115+O120+O124+O128+O132+O136</f>
        <v>-0.8</v>
      </c>
      <c r="P112" s="626">
        <f>P115+P120+P124+P128+P132+P136</f>
        <v>-0.8</v>
      </c>
      <c r="Q112" s="626">
        <f t="shared" si="67"/>
        <v>-0.8</v>
      </c>
      <c r="R112" s="626">
        <f t="shared" si="67"/>
        <v>-0.8</v>
      </c>
      <c r="S112" s="626">
        <f t="shared" si="67"/>
        <v>-0.8</v>
      </c>
      <c r="T112" s="626">
        <f t="shared" si="67"/>
        <v>-0.8</v>
      </c>
      <c r="U112" s="626">
        <f t="shared" si="67"/>
        <v>-0.8</v>
      </c>
      <c r="V112" s="626">
        <f t="shared" si="67"/>
        <v>-0.8</v>
      </c>
      <c r="W112" s="626">
        <f t="shared" si="67"/>
        <v>-0.8</v>
      </c>
      <c r="X112" s="626">
        <f t="shared" si="67"/>
        <v>-0.8</v>
      </c>
      <c r="Y112" s="626">
        <f t="shared" si="67"/>
        <v>-0.8</v>
      </c>
      <c r="Z112" s="626">
        <f>Z115+Z120+Z124+Z128+Z132+Z136</f>
        <v>-0.8</v>
      </c>
      <c r="AA112" s="626">
        <f>AA115+AA120+AA124+AA128+AA132+AA136</f>
        <v>-0.8</v>
      </c>
      <c r="AB112" s="626">
        <f>AB115+AB120+AB124+AB128+AB132+AB136</f>
        <v>-0.8</v>
      </c>
      <c r="AC112" s="504"/>
    </row>
    <row r="113" spans="1:29" s="503" customFormat="1" ht="12.75" customHeight="1" outlineLevel="1">
      <c r="A113" s="627" t="s">
        <v>931</v>
      </c>
      <c r="B113" s="625"/>
      <c r="C113" s="625"/>
      <c r="D113" s="625"/>
      <c r="E113" s="625"/>
      <c r="F113" s="625"/>
      <c r="G113" s="625"/>
      <c r="H113" s="625"/>
      <c r="I113" s="625"/>
      <c r="J113" s="625"/>
      <c r="K113" s="625"/>
      <c r="L113" s="625"/>
      <c r="M113" s="628"/>
      <c r="N113" s="629">
        <f t="shared" ref="N113:AB114" si="68">M115</f>
        <v>0</v>
      </c>
      <c r="O113" s="629">
        <f>N115</f>
        <v>0</v>
      </c>
      <c r="P113" s="629">
        <f>O115</f>
        <v>0</v>
      </c>
      <c r="Q113" s="630">
        <f t="shared" si="68"/>
        <v>0</v>
      </c>
      <c r="R113" s="630">
        <f t="shared" si="68"/>
        <v>0</v>
      </c>
      <c r="S113" s="630">
        <f t="shared" si="68"/>
        <v>0</v>
      </c>
      <c r="T113" s="630">
        <f t="shared" si="68"/>
        <v>0</v>
      </c>
      <c r="U113" s="630">
        <f t="shared" si="68"/>
        <v>0</v>
      </c>
      <c r="V113" s="630">
        <f t="shared" si="68"/>
        <v>0</v>
      </c>
      <c r="W113" s="630">
        <f t="shared" si="68"/>
        <v>0</v>
      </c>
      <c r="X113" s="630">
        <f t="shared" si="68"/>
        <v>0</v>
      </c>
      <c r="Y113" s="630">
        <f t="shared" si="68"/>
        <v>0</v>
      </c>
      <c r="Z113" s="630">
        <f t="shared" si="68"/>
        <v>0</v>
      </c>
      <c r="AA113" s="630">
        <f t="shared" si="68"/>
        <v>0</v>
      </c>
      <c r="AB113" s="630">
        <f t="shared" si="68"/>
        <v>0</v>
      </c>
      <c r="AC113" s="504"/>
    </row>
    <row r="114" spans="1:29" s="503" customFormat="1" ht="12.75" customHeight="1" outlineLevel="1">
      <c r="A114" s="627" t="s">
        <v>932</v>
      </c>
      <c r="B114" s="625"/>
      <c r="C114" s="625"/>
      <c r="D114" s="625"/>
      <c r="E114" s="625"/>
      <c r="F114" s="625"/>
      <c r="G114" s="625"/>
      <c r="H114" s="625"/>
      <c r="I114" s="625"/>
      <c r="J114" s="625"/>
      <c r="K114" s="625"/>
      <c r="L114" s="625"/>
      <c r="M114" s="628"/>
      <c r="N114" s="629">
        <f t="shared" si="68"/>
        <v>0</v>
      </c>
      <c r="O114" s="629">
        <f>N116</f>
        <v>0</v>
      </c>
      <c r="P114" s="629">
        <f>O116</f>
        <v>0</v>
      </c>
      <c r="Q114" s="630">
        <f t="shared" si="68"/>
        <v>0</v>
      </c>
      <c r="R114" s="630">
        <f t="shared" si="68"/>
        <v>0</v>
      </c>
      <c r="S114" s="630">
        <f t="shared" si="68"/>
        <v>0</v>
      </c>
      <c r="T114" s="630">
        <f t="shared" si="68"/>
        <v>0</v>
      </c>
      <c r="U114" s="630">
        <f t="shared" si="68"/>
        <v>0</v>
      </c>
      <c r="V114" s="630">
        <f t="shared" si="68"/>
        <v>0</v>
      </c>
      <c r="W114" s="630">
        <f t="shared" si="68"/>
        <v>0</v>
      </c>
      <c r="X114" s="630">
        <f t="shared" si="68"/>
        <v>0</v>
      </c>
      <c r="Y114" s="630">
        <f t="shared" si="68"/>
        <v>0</v>
      </c>
      <c r="Z114" s="630">
        <f t="shared" si="68"/>
        <v>0</v>
      </c>
      <c r="AA114" s="630">
        <f t="shared" si="68"/>
        <v>0</v>
      </c>
      <c r="AB114" s="630">
        <f t="shared" si="68"/>
        <v>0</v>
      </c>
      <c r="AC114" s="504"/>
    </row>
    <row r="115" spans="1:29" s="503" customFormat="1" ht="12.75" customHeight="1" outlineLevel="1">
      <c r="A115" s="627" t="s">
        <v>933</v>
      </c>
      <c r="B115" s="625"/>
      <c r="C115" s="625"/>
      <c r="D115" s="625"/>
      <c r="E115" s="625"/>
      <c r="F115" s="625"/>
      <c r="G115" s="625"/>
      <c r="H115" s="625"/>
      <c r="I115" s="625"/>
      <c r="J115" s="625"/>
      <c r="K115" s="625"/>
      <c r="L115" s="625"/>
      <c r="M115" s="628"/>
      <c r="N115" s="631">
        <f t="shared" ref="N115:Y115" si="69">IF(ABS(N114)&lt;ABS(N113),-N114,N113)</f>
        <v>0</v>
      </c>
      <c r="O115" s="631">
        <f>IF(ABS(O114)&lt;ABS(O113),-O114,O113)</f>
        <v>0</v>
      </c>
      <c r="P115" s="631">
        <f>IF(ABS(P114)&lt;ABS(P113),-P114,P113)</f>
        <v>0</v>
      </c>
      <c r="Q115" s="632">
        <f t="shared" si="69"/>
        <v>0</v>
      </c>
      <c r="R115" s="632">
        <f t="shared" si="69"/>
        <v>0</v>
      </c>
      <c r="S115" s="632">
        <f t="shared" si="69"/>
        <v>0</v>
      </c>
      <c r="T115" s="632">
        <f t="shared" si="69"/>
        <v>0</v>
      </c>
      <c r="U115" s="632">
        <f t="shared" si="69"/>
        <v>0</v>
      </c>
      <c r="V115" s="632">
        <f t="shared" si="69"/>
        <v>0</v>
      </c>
      <c r="W115" s="632">
        <f t="shared" si="69"/>
        <v>0</v>
      </c>
      <c r="X115" s="632">
        <f t="shared" si="69"/>
        <v>0</v>
      </c>
      <c r="Y115" s="632">
        <f t="shared" si="69"/>
        <v>0</v>
      </c>
      <c r="Z115" s="632">
        <f>IF(ABS(Z114)&lt;ABS(Z113),-Z114,Z113)</f>
        <v>0</v>
      </c>
      <c r="AA115" s="632">
        <f>IF(ABS(AA114)&lt;ABS(AA113),-AA114,AA113)</f>
        <v>0</v>
      </c>
      <c r="AB115" s="632">
        <f>IF(ABS(AB114)&lt;ABS(AB113),-AB114,AB113)</f>
        <v>0</v>
      </c>
      <c r="AC115" s="504"/>
    </row>
    <row r="116" spans="1:29" s="503" customFormat="1" ht="12.75" customHeight="1" outlineLevel="1">
      <c r="A116" s="627" t="s">
        <v>934</v>
      </c>
      <c r="B116" s="625"/>
      <c r="C116" s="625"/>
      <c r="D116" s="625"/>
      <c r="E116" s="625"/>
      <c r="F116" s="625"/>
      <c r="G116" s="625"/>
      <c r="H116" s="625"/>
      <c r="I116" s="625"/>
      <c r="J116" s="625"/>
      <c r="K116" s="625"/>
      <c r="L116" s="625"/>
      <c r="M116" s="628"/>
      <c r="N116" s="629">
        <f t="shared" ref="N116:Y116" si="70">N114+N115</f>
        <v>0</v>
      </c>
      <c r="O116" s="629">
        <f>O114+O115</f>
        <v>0</v>
      </c>
      <c r="P116" s="629">
        <f>P114+P115</f>
        <v>0</v>
      </c>
      <c r="Q116" s="630">
        <f t="shared" si="70"/>
        <v>0</v>
      </c>
      <c r="R116" s="630">
        <f t="shared" si="70"/>
        <v>0</v>
      </c>
      <c r="S116" s="630">
        <f t="shared" si="70"/>
        <v>0</v>
      </c>
      <c r="T116" s="630">
        <f t="shared" si="70"/>
        <v>0</v>
      </c>
      <c r="U116" s="630">
        <f t="shared" si="70"/>
        <v>0</v>
      </c>
      <c r="V116" s="630">
        <f t="shared" si="70"/>
        <v>0</v>
      </c>
      <c r="W116" s="630">
        <f t="shared" si="70"/>
        <v>0</v>
      </c>
      <c r="X116" s="630">
        <f t="shared" si="70"/>
        <v>0</v>
      </c>
      <c r="Y116" s="630">
        <f t="shared" si="70"/>
        <v>0</v>
      </c>
      <c r="Z116" s="630">
        <f>Z114+Z115</f>
        <v>0</v>
      </c>
      <c r="AA116" s="630">
        <f>AA114+AA115</f>
        <v>0</v>
      </c>
      <c r="AB116" s="630">
        <f>AB114+AB115</f>
        <v>0</v>
      </c>
      <c r="AC116" s="504"/>
    </row>
    <row r="117" spans="1:29" s="503" customFormat="1" ht="12.75" customHeight="1" outlineLevel="1">
      <c r="A117" s="627"/>
      <c r="B117" s="625"/>
      <c r="C117" s="625"/>
      <c r="D117" s="625"/>
      <c r="E117" s="625"/>
      <c r="F117" s="625"/>
      <c r="G117" s="625"/>
      <c r="H117" s="625"/>
      <c r="I117" s="625"/>
      <c r="J117" s="625"/>
      <c r="K117" s="625"/>
      <c r="L117" s="625"/>
      <c r="M117" s="628"/>
      <c r="N117" s="629"/>
      <c r="O117" s="629"/>
      <c r="P117" s="629"/>
      <c r="Q117" s="630"/>
      <c r="R117" s="630"/>
      <c r="S117" s="630"/>
      <c r="T117" s="630"/>
      <c r="U117" s="630"/>
      <c r="V117" s="630"/>
      <c r="W117" s="630"/>
      <c r="X117" s="630"/>
      <c r="Y117" s="630"/>
      <c r="Z117" s="630"/>
      <c r="AA117" s="630"/>
      <c r="AB117" s="630"/>
    </row>
    <row r="118" spans="1:29" s="503" customFormat="1" ht="12.75" customHeight="1" outlineLevel="1">
      <c r="A118" s="624" t="s">
        <v>89</v>
      </c>
      <c r="B118" s="625"/>
      <c r="C118" s="625"/>
      <c r="D118" s="625"/>
      <c r="E118" s="625"/>
      <c r="F118" s="625"/>
      <c r="G118" s="625"/>
      <c r="H118" s="625"/>
      <c r="I118" s="625"/>
      <c r="J118" s="625"/>
      <c r="K118" s="625"/>
      <c r="L118" s="625"/>
      <c r="M118" s="628"/>
      <c r="N118" s="628"/>
      <c r="O118" s="628"/>
      <c r="P118" s="628"/>
      <c r="Q118" s="633"/>
      <c r="R118" s="633"/>
      <c r="S118" s="633"/>
      <c r="T118" s="633"/>
      <c r="U118" s="633"/>
      <c r="V118" s="633"/>
      <c r="W118" s="633"/>
      <c r="X118" s="633"/>
      <c r="Y118" s="633"/>
      <c r="Z118" s="633"/>
      <c r="AA118" s="633"/>
      <c r="AB118" s="633"/>
    </row>
    <row r="119" spans="1:29" s="503" customFormat="1" ht="12.75" customHeight="1" outlineLevel="1">
      <c r="A119" s="627" t="s">
        <v>935</v>
      </c>
      <c r="B119" s="625"/>
      <c r="C119" s="625"/>
      <c r="D119" s="625"/>
      <c r="E119" s="625"/>
      <c r="F119" s="625"/>
      <c r="G119" s="625"/>
      <c r="H119" s="625"/>
      <c r="I119" s="625"/>
      <c r="J119" s="625"/>
      <c r="K119" s="625"/>
      <c r="L119" s="625"/>
      <c r="M119" s="628"/>
      <c r="N119" s="628">
        <f t="shared" ref="N119:AB119" si="71">M121</f>
        <v>0</v>
      </c>
      <c r="O119" s="628">
        <f>N121</f>
        <v>0</v>
      </c>
      <c r="P119" s="628">
        <f>O121</f>
        <v>0</v>
      </c>
      <c r="Q119" s="633">
        <f t="shared" si="71"/>
        <v>0</v>
      </c>
      <c r="R119" s="633">
        <f t="shared" si="71"/>
        <v>0</v>
      </c>
      <c r="S119" s="633">
        <f t="shared" si="71"/>
        <v>0</v>
      </c>
      <c r="T119" s="633">
        <f t="shared" si="71"/>
        <v>0</v>
      </c>
      <c r="U119" s="633">
        <f t="shared" si="71"/>
        <v>0</v>
      </c>
      <c r="V119" s="633">
        <f t="shared" si="71"/>
        <v>0</v>
      </c>
      <c r="W119" s="633">
        <f t="shared" si="71"/>
        <v>0</v>
      </c>
      <c r="X119" s="633">
        <f t="shared" si="71"/>
        <v>0</v>
      </c>
      <c r="Y119" s="633">
        <f t="shared" si="71"/>
        <v>0</v>
      </c>
      <c r="Z119" s="633">
        <f t="shared" si="71"/>
        <v>0</v>
      </c>
      <c r="AA119" s="633">
        <f t="shared" si="71"/>
        <v>0</v>
      </c>
      <c r="AB119" s="633">
        <f t="shared" si="71"/>
        <v>0</v>
      </c>
    </row>
    <row r="120" spans="1:29" s="503" customFormat="1" ht="12.75" customHeight="1" outlineLevel="1">
      <c r="A120" s="627" t="s">
        <v>936</v>
      </c>
      <c r="B120" s="625"/>
      <c r="C120" s="625"/>
      <c r="D120" s="625"/>
      <c r="E120" s="625"/>
      <c r="F120" s="625"/>
      <c r="G120" s="625"/>
      <c r="H120" s="625"/>
      <c r="I120" s="625"/>
      <c r="J120" s="625"/>
      <c r="K120" s="625"/>
      <c r="L120" s="625"/>
      <c r="M120" s="628"/>
      <c r="N120" s="631">
        <f t="shared" ref="N120:Y120" si="72">IF(ABS(N119)&gt;ABS($M$119/$M$23),-$M$119/$M$23,-N119)</f>
        <v>0</v>
      </c>
      <c r="O120" s="631">
        <f>IF(ABS(O119)&gt;ABS($M$119/$M$23),-$M$119/$M$23,-O119)</f>
        <v>0</v>
      </c>
      <c r="P120" s="631">
        <f>IF(ABS(P119)&gt;ABS($M$119/$M$23),-$M$119/$M$23,-P119)</f>
        <v>0</v>
      </c>
      <c r="Q120" s="632">
        <f t="shared" si="72"/>
        <v>0</v>
      </c>
      <c r="R120" s="632">
        <f t="shared" si="72"/>
        <v>0</v>
      </c>
      <c r="S120" s="632">
        <f t="shared" si="72"/>
        <v>0</v>
      </c>
      <c r="T120" s="632">
        <f t="shared" si="72"/>
        <v>0</v>
      </c>
      <c r="U120" s="632">
        <f t="shared" si="72"/>
        <v>0</v>
      </c>
      <c r="V120" s="632">
        <f t="shared" si="72"/>
        <v>0</v>
      </c>
      <c r="W120" s="632">
        <f t="shared" si="72"/>
        <v>0</v>
      </c>
      <c r="X120" s="632">
        <f t="shared" si="72"/>
        <v>0</v>
      </c>
      <c r="Y120" s="632">
        <f t="shared" si="72"/>
        <v>0</v>
      </c>
      <c r="Z120" s="632">
        <f>IF(ABS(Z119)&gt;ABS($M$119/$M$23),-$M$119/$M$23,-Z119)</f>
        <v>0</v>
      </c>
      <c r="AA120" s="632">
        <f>IF(ABS(AA119)&gt;ABS($M$119/$M$23),-$M$119/$M$23,-AA119)</f>
        <v>0</v>
      </c>
      <c r="AB120" s="632">
        <f>IF(ABS(AB119)&gt;ABS($M$119/$M$23),-$M$119/$M$23,-AB119)</f>
        <v>0</v>
      </c>
    </row>
    <row r="121" spans="1:29" s="503" customFormat="1" ht="12.75" customHeight="1" outlineLevel="1">
      <c r="A121" s="627" t="s">
        <v>937</v>
      </c>
      <c r="B121" s="625"/>
      <c r="C121" s="625"/>
      <c r="D121" s="625"/>
      <c r="E121" s="625"/>
      <c r="F121" s="625"/>
      <c r="G121" s="625"/>
      <c r="H121" s="625"/>
      <c r="I121" s="625"/>
      <c r="J121" s="625"/>
      <c r="K121" s="625"/>
      <c r="L121" s="625"/>
      <c r="M121" s="628"/>
      <c r="N121" s="628">
        <f t="shared" ref="N121:Y121" si="73">N119+N120</f>
        <v>0</v>
      </c>
      <c r="O121" s="628">
        <f>O119+O120</f>
        <v>0</v>
      </c>
      <c r="P121" s="628">
        <f>P119+P120</f>
        <v>0</v>
      </c>
      <c r="Q121" s="633">
        <f t="shared" si="73"/>
        <v>0</v>
      </c>
      <c r="R121" s="633">
        <f t="shared" si="73"/>
        <v>0</v>
      </c>
      <c r="S121" s="633">
        <f t="shared" si="73"/>
        <v>0</v>
      </c>
      <c r="T121" s="633">
        <f t="shared" si="73"/>
        <v>0</v>
      </c>
      <c r="U121" s="633">
        <f t="shared" si="73"/>
        <v>0</v>
      </c>
      <c r="V121" s="633">
        <f t="shared" si="73"/>
        <v>0</v>
      </c>
      <c r="W121" s="633">
        <f t="shared" si="73"/>
        <v>0</v>
      </c>
      <c r="X121" s="633">
        <f t="shared" si="73"/>
        <v>0</v>
      </c>
      <c r="Y121" s="633">
        <f t="shared" si="73"/>
        <v>0</v>
      </c>
      <c r="Z121" s="633">
        <f>Z119+Z120</f>
        <v>0</v>
      </c>
      <c r="AA121" s="633">
        <f>AA119+AA120</f>
        <v>0</v>
      </c>
      <c r="AB121" s="633">
        <f>AB119+AB120</f>
        <v>0</v>
      </c>
    </row>
    <row r="122" spans="1:29" s="503" customFormat="1" ht="12.75" customHeight="1" outlineLevel="1">
      <c r="A122" s="627"/>
      <c r="B122" s="625"/>
      <c r="C122" s="625"/>
      <c r="D122" s="625"/>
      <c r="E122" s="625"/>
      <c r="F122" s="625"/>
      <c r="G122" s="625"/>
      <c r="H122" s="625"/>
      <c r="I122" s="625"/>
      <c r="J122" s="625"/>
      <c r="K122" s="625"/>
      <c r="L122" s="625"/>
      <c r="M122" s="628"/>
      <c r="N122" s="628"/>
      <c r="O122" s="628"/>
      <c r="P122" s="628"/>
      <c r="Q122" s="633"/>
      <c r="R122" s="633"/>
      <c r="S122" s="633"/>
      <c r="T122" s="633"/>
      <c r="U122" s="633"/>
      <c r="V122" s="633"/>
      <c r="W122" s="633"/>
      <c r="X122" s="633"/>
      <c r="Y122" s="633"/>
      <c r="Z122" s="633"/>
      <c r="AA122" s="633"/>
      <c r="AB122" s="633"/>
    </row>
    <row r="123" spans="1:29" s="503" customFormat="1" ht="12.75" customHeight="1" outlineLevel="1">
      <c r="A123" s="627" t="s">
        <v>935</v>
      </c>
      <c r="B123" s="625"/>
      <c r="C123" s="625"/>
      <c r="D123" s="625"/>
      <c r="E123" s="625"/>
      <c r="F123" s="625"/>
      <c r="G123" s="625"/>
      <c r="H123" s="625"/>
      <c r="I123" s="625"/>
      <c r="J123" s="625"/>
      <c r="K123" s="625"/>
      <c r="L123" s="625"/>
      <c r="M123" s="628"/>
      <c r="N123" s="628">
        <f t="shared" ref="N123:AB123" si="74">M125</f>
        <v>0</v>
      </c>
      <c r="O123" s="628">
        <f>N125</f>
        <v>0</v>
      </c>
      <c r="P123" s="628">
        <f>O125</f>
        <v>0</v>
      </c>
      <c r="Q123" s="633">
        <f t="shared" si="74"/>
        <v>0</v>
      </c>
      <c r="R123" s="633">
        <f t="shared" si="74"/>
        <v>0</v>
      </c>
      <c r="S123" s="633">
        <f t="shared" si="74"/>
        <v>0</v>
      </c>
      <c r="T123" s="633">
        <f t="shared" si="74"/>
        <v>0</v>
      </c>
      <c r="U123" s="633">
        <f t="shared" si="74"/>
        <v>0</v>
      </c>
      <c r="V123" s="633">
        <f t="shared" si="74"/>
        <v>0</v>
      </c>
      <c r="W123" s="633">
        <f t="shared" si="74"/>
        <v>0</v>
      </c>
      <c r="X123" s="633">
        <f t="shared" si="74"/>
        <v>0</v>
      </c>
      <c r="Y123" s="633">
        <f t="shared" si="74"/>
        <v>0</v>
      </c>
      <c r="Z123" s="633">
        <f t="shared" si="74"/>
        <v>0</v>
      </c>
      <c r="AA123" s="633">
        <f t="shared" si="74"/>
        <v>0</v>
      </c>
      <c r="AB123" s="633">
        <f t="shared" si="74"/>
        <v>0</v>
      </c>
    </row>
    <row r="124" spans="1:29" s="503" customFormat="1" ht="12.75" customHeight="1" outlineLevel="1">
      <c r="A124" s="627" t="s">
        <v>938</v>
      </c>
      <c r="B124" s="625"/>
      <c r="C124" s="625"/>
      <c r="D124" s="625"/>
      <c r="E124" s="625"/>
      <c r="F124" s="625"/>
      <c r="G124" s="625"/>
      <c r="H124" s="625"/>
      <c r="I124" s="625"/>
      <c r="J124" s="625"/>
      <c r="K124" s="625"/>
      <c r="L124" s="625"/>
      <c r="M124" s="628"/>
      <c r="N124" s="631">
        <f>IF(ABS(N123)&gt;ABS($M$123/$M$23),-$M$123/$M$23,-N123)</f>
        <v>0</v>
      </c>
      <c r="O124" s="631">
        <f>IF(ABS(O123)&gt;ABS($M$123/$M$23),-$M$123/$M$23,-O123)</f>
        <v>0</v>
      </c>
      <c r="P124" s="631">
        <v>0</v>
      </c>
      <c r="Q124" s="631">
        <v>0</v>
      </c>
      <c r="R124" s="631">
        <v>0</v>
      </c>
      <c r="S124" s="631">
        <v>0</v>
      </c>
      <c r="T124" s="631">
        <v>0</v>
      </c>
      <c r="U124" s="631">
        <v>0</v>
      </c>
      <c r="V124" s="631">
        <v>0</v>
      </c>
      <c r="W124" s="631">
        <v>0</v>
      </c>
      <c r="X124" s="631">
        <v>0</v>
      </c>
      <c r="Y124" s="631">
        <v>0</v>
      </c>
      <c r="Z124" s="631">
        <v>0</v>
      </c>
      <c r="AA124" s="631">
        <v>0</v>
      </c>
      <c r="AB124" s="631">
        <v>0</v>
      </c>
    </row>
    <row r="125" spans="1:29" s="503" customFormat="1" ht="12.75" customHeight="1" outlineLevel="1">
      <c r="A125" s="627" t="s">
        <v>937</v>
      </c>
      <c r="B125" s="625"/>
      <c r="C125" s="625"/>
      <c r="D125" s="625"/>
      <c r="E125" s="625"/>
      <c r="F125" s="625"/>
      <c r="G125" s="625"/>
      <c r="H125" s="625"/>
      <c r="I125" s="625"/>
      <c r="J125" s="625"/>
      <c r="K125" s="625"/>
      <c r="L125" s="625"/>
      <c r="M125" s="628"/>
      <c r="N125" s="628">
        <f t="shared" ref="N125:Y125" si="75">N123+N124</f>
        <v>0</v>
      </c>
      <c r="O125" s="628">
        <f>O123+O124</f>
        <v>0</v>
      </c>
      <c r="P125" s="628">
        <f>P123+P124</f>
        <v>0</v>
      </c>
      <c r="Q125" s="633">
        <f t="shared" si="75"/>
        <v>0</v>
      </c>
      <c r="R125" s="633">
        <f t="shared" si="75"/>
        <v>0</v>
      </c>
      <c r="S125" s="633">
        <f t="shared" si="75"/>
        <v>0</v>
      </c>
      <c r="T125" s="633">
        <f t="shared" si="75"/>
        <v>0</v>
      </c>
      <c r="U125" s="633">
        <f t="shared" si="75"/>
        <v>0</v>
      </c>
      <c r="V125" s="633">
        <f t="shared" si="75"/>
        <v>0</v>
      </c>
      <c r="W125" s="633">
        <f t="shared" si="75"/>
        <v>0</v>
      </c>
      <c r="X125" s="633">
        <f t="shared" si="75"/>
        <v>0</v>
      </c>
      <c r="Y125" s="633">
        <f t="shared" si="75"/>
        <v>0</v>
      </c>
      <c r="Z125" s="633">
        <f>Z123+Z124</f>
        <v>0</v>
      </c>
      <c r="AA125" s="633">
        <f>AA123+AA124</f>
        <v>0</v>
      </c>
      <c r="AB125" s="633">
        <f>AB123+AB124</f>
        <v>0</v>
      </c>
    </row>
    <row r="126" spans="1:29" s="503" customFormat="1" ht="12.75" customHeight="1" outlineLevel="1">
      <c r="A126" s="627"/>
      <c r="B126" s="625"/>
      <c r="C126" s="625"/>
      <c r="D126" s="625"/>
      <c r="E126" s="625"/>
      <c r="F126" s="625"/>
      <c r="G126" s="625"/>
      <c r="H126" s="625"/>
      <c r="I126" s="625"/>
      <c r="J126" s="625"/>
      <c r="K126" s="625"/>
      <c r="L126" s="625"/>
      <c r="M126" s="628"/>
      <c r="N126" s="628"/>
      <c r="O126" s="628"/>
      <c r="P126" s="628"/>
      <c r="Q126" s="633"/>
      <c r="R126" s="633"/>
      <c r="S126" s="633"/>
      <c r="T126" s="633"/>
      <c r="U126" s="633"/>
      <c r="V126" s="633"/>
      <c r="W126" s="633"/>
      <c r="X126" s="633"/>
      <c r="Y126" s="633"/>
      <c r="Z126" s="633"/>
      <c r="AA126" s="633"/>
      <c r="AB126" s="633"/>
    </row>
    <row r="127" spans="1:29" s="503" customFormat="1" ht="12.75" customHeight="1" outlineLevel="1">
      <c r="A127" s="627" t="s">
        <v>935</v>
      </c>
      <c r="B127" s="625"/>
      <c r="C127" s="625"/>
      <c r="D127" s="625"/>
      <c r="E127" s="625"/>
      <c r="F127" s="625"/>
      <c r="G127" s="625"/>
      <c r="H127" s="625"/>
      <c r="I127" s="625"/>
      <c r="J127" s="625"/>
      <c r="K127" s="625"/>
      <c r="L127" s="625"/>
      <c r="M127" s="628"/>
      <c r="N127" s="628">
        <f>N57</f>
        <v>12</v>
      </c>
      <c r="O127" s="628">
        <f>O57</f>
        <v>117</v>
      </c>
      <c r="P127" s="628">
        <f t="shared" ref="P127:AB127" si="76">O129</f>
        <v>116.2</v>
      </c>
      <c r="Q127" s="633">
        <f t="shared" si="76"/>
        <v>115.4</v>
      </c>
      <c r="R127" s="633">
        <f t="shared" si="76"/>
        <v>114.60000000000001</v>
      </c>
      <c r="S127" s="633">
        <f t="shared" si="76"/>
        <v>113.80000000000001</v>
      </c>
      <c r="T127" s="633">
        <f t="shared" si="76"/>
        <v>113.00000000000001</v>
      </c>
      <c r="U127" s="633">
        <f t="shared" si="76"/>
        <v>112.20000000000002</v>
      </c>
      <c r="V127" s="633">
        <f t="shared" si="76"/>
        <v>111.40000000000002</v>
      </c>
      <c r="W127" s="633">
        <f t="shared" si="76"/>
        <v>110.60000000000002</v>
      </c>
      <c r="X127" s="633">
        <f t="shared" si="76"/>
        <v>109.80000000000003</v>
      </c>
      <c r="Y127" s="633">
        <f t="shared" si="76"/>
        <v>109.00000000000003</v>
      </c>
      <c r="Z127" s="633">
        <f t="shared" si="76"/>
        <v>108.20000000000003</v>
      </c>
      <c r="AA127" s="633">
        <f t="shared" si="76"/>
        <v>107.40000000000003</v>
      </c>
      <c r="AB127" s="633">
        <f t="shared" si="76"/>
        <v>106.60000000000004</v>
      </c>
    </row>
    <row r="128" spans="1:29" s="503" customFormat="1" ht="12.75" customHeight="1" outlineLevel="1">
      <c r="A128" s="627" t="s">
        <v>939</v>
      </c>
      <c r="B128" s="625"/>
      <c r="C128" s="625"/>
      <c r="D128" s="625"/>
      <c r="E128" s="625"/>
      <c r="F128" s="625"/>
      <c r="G128" s="625"/>
      <c r="H128" s="625"/>
      <c r="I128" s="625"/>
      <c r="J128" s="625"/>
      <c r="K128" s="625"/>
      <c r="L128" s="625"/>
      <c r="M128" s="628"/>
      <c r="N128" s="631">
        <f t="shared" ref="N128:Y128" si="77">IF(ABS(N127)&gt;ABS($N$127/$N$23),-$N$127/$N$23,-N127)</f>
        <v>-0.8</v>
      </c>
      <c r="O128" s="631">
        <f>IF(ABS(O127)&gt;ABS($N$127/$N$23),-$N$127/$N$23,-O127)</f>
        <v>-0.8</v>
      </c>
      <c r="P128" s="631">
        <f>IF(ABS(P127)&gt;ABS($N$127/$N$23),-$N$127/$N$23,-P127)</f>
        <v>-0.8</v>
      </c>
      <c r="Q128" s="632">
        <f t="shared" si="77"/>
        <v>-0.8</v>
      </c>
      <c r="R128" s="632">
        <f t="shared" si="77"/>
        <v>-0.8</v>
      </c>
      <c r="S128" s="632">
        <f t="shared" si="77"/>
        <v>-0.8</v>
      </c>
      <c r="T128" s="632">
        <f t="shared" si="77"/>
        <v>-0.8</v>
      </c>
      <c r="U128" s="632">
        <f t="shared" si="77"/>
        <v>-0.8</v>
      </c>
      <c r="V128" s="632">
        <f t="shared" si="77"/>
        <v>-0.8</v>
      </c>
      <c r="W128" s="632">
        <f t="shared" si="77"/>
        <v>-0.8</v>
      </c>
      <c r="X128" s="632">
        <f t="shared" si="77"/>
        <v>-0.8</v>
      </c>
      <c r="Y128" s="632">
        <f t="shared" si="77"/>
        <v>-0.8</v>
      </c>
      <c r="Z128" s="632">
        <f>IF(ABS(Z127)&gt;ABS($N$127/$N$23),-$N$127/$N$23,-Z127)</f>
        <v>-0.8</v>
      </c>
      <c r="AA128" s="632">
        <f>IF(ABS(AA127)&gt;ABS($N$127/$N$23),-$N$127/$N$23,-AA127)</f>
        <v>-0.8</v>
      </c>
      <c r="AB128" s="632">
        <f>IF(ABS(AB127)&gt;ABS($N$127/$N$23),-$N$127/$N$23,-AB127)</f>
        <v>-0.8</v>
      </c>
    </row>
    <row r="129" spans="1:29" s="503" customFormat="1" ht="12.75" customHeight="1" outlineLevel="1">
      <c r="A129" s="627" t="s">
        <v>937</v>
      </c>
      <c r="B129" s="625"/>
      <c r="C129" s="625"/>
      <c r="D129" s="625"/>
      <c r="E129" s="625"/>
      <c r="F129" s="625"/>
      <c r="G129" s="625"/>
      <c r="H129" s="625"/>
      <c r="I129" s="625"/>
      <c r="J129" s="625"/>
      <c r="K129" s="625"/>
      <c r="L129" s="625"/>
      <c r="M129" s="628"/>
      <c r="N129" s="628">
        <f t="shared" ref="N129:Y129" si="78">N127+N128</f>
        <v>11.2</v>
      </c>
      <c r="O129" s="628">
        <f>O127+O128</f>
        <v>116.2</v>
      </c>
      <c r="P129" s="628">
        <f>P127+P128</f>
        <v>115.4</v>
      </c>
      <c r="Q129" s="633">
        <f t="shared" si="78"/>
        <v>114.60000000000001</v>
      </c>
      <c r="R129" s="633">
        <f t="shared" si="78"/>
        <v>113.80000000000001</v>
      </c>
      <c r="S129" s="633">
        <f t="shared" si="78"/>
        <v>113.00000000000001</v>
      </c>
      <c r="T129" s="633">
        <f t="shared" si="78"/>
        <v>112.20000000000002</v>
      </c>
      <c r="U129" s="633">
        <f t="shared" si="78"/>
        <v>111.40000000000002</v>
      </c>
      <c r="V129" s="633">
        <f t="shared" si="78"/>
        <v>110.60000000000002</v>
      </c>
      <c r="W129" s="633">
        <f t="shared" si="78"/>
        <v>109.80000000000003</v>
      </c>
      <c r="X129" s="633">
        <f t="shared" si="78"/>
        <v>109.00000000000003</v>
      </c>
      <c r="Y129" s="633">
        <f t="shared" si="78"/>
        <v>108.20000000000003</v>
      </c>
      <c r="Z129" s="633">
        <f>Z127+Z128</f>
        <v>107.40000000000003</v>
      </c>
      <c r="AA129" s="633">
        <f>AA127+AA128</f>
        <v>106.60000000000004</v>
      </c>
      <c r="AB129" s="633">
        <f>AB127+AB128</f>
        <v>105.80000000000004</v>
      </c>
    </row>
    <row r="130" spans="1:29" s="503" customFormat="1" ht="12.75" customHeight="1" outlineLevel="1">
      <c r="A130" s="627"/>
      <c r="B130" s="625"/>
      <c r="C130" s="625"/>
      <c r="D130" s="625"/>
      <c r="E130" s="625"/>
      <c r="F130" s="625"/>
      <c r="G130" s="625"/>
      <c r="H130" s="625"/>
      <c r="I130" s="625"/>
      <c r="J130" s="625"/>
      <c r="K130" s="625"/>
      <c r="L130" s="625"/>
      <c r="M130" s="628"/>
      <c r="N130" s="628"/>
      <c r="O130" s="628"/>
      <c r="P130" s="628"/>
      <c r="Q130" s="633"/>
      <c r="R130" s="633"/>
      <c r="S130" s="633"/>
      <c r="T130" s="633"/>
      <c r="U130" s="633"/>
      <c r="V130" s="633"/>
      <c r="W130" s="633"/>
      <c r="X130" s="633"/>
      <c r="Y130" s="633"/>
      <c r="Z130" s="633"/>
      <c r="AA130" s="633"/>
      <c r="AB130" s="633"/>
    </row>
    <row r="131" spans="1:29" s="503" customFormat="1" ht="12.75" customHeight="1" outlineLevel="1">
      <c r="A131" s="627" t="s">
        <v>935</v>
      </c>
      <c r="B131" s="625"/>
      <c r="C131" s="625"/>
      <c r="D131" s="625"/>
      <c r="E131" s="625"/>
      <c r="F131" s="625"/>
      <c r="G131" s="625"/>
      <c r="H131" s="625"/>
      <c r="I131" s="625"/>
      <c r="J131" s="625"/>
      <c r="K131" s="625"/>
      <c r="L131" s="625"/>
      <c r="M131" s="628"/>
      <c r="N131" s="628"/>
      <c r="O131" s="628"/>
      <c r="P131" s="628">
        <f>P57</f>
        <v>0</v>
      </c>
      <c r="Q131" s="633">
        <f t="shared" ref="Q131:AB131" si="79">P133</f>
        <v>0</v>
      </c>
      <c r="R131" s="633">
        <f t="shared" si="79"/>
        <v>0</v>
      </c>
      <c r="S131" s="633">
        <f t="shared" si="79"/>
        <v>0</v>
      </c>
      <c r="T131" s="633">
        <f t="shared" si="79"/>
        <v>0</v>
      </c>
      <c r="U131" s="633">
        <f t="shared" si="79"/>
        <v>0</v>
      </c>
      <c r="V131" s="633">
        <f t="shared" si="79"/>
        <v>0</v>
      </c>
      <c r="W131" s="633">
        <f t="shared" si="79"/>
        <v>0</v>
      </c>
      <c r="X131" s="633">
        <f t="shared" si="79"/>
        <v>0</v>
      </c>
      <c r="Y131" s="633">
        <f t="shared" si="79"/>
        <v>0</v>
      </c>
      <c r="Z131" s="633">
        <f t="shared" si="79"/>
        <v>0</v>
      </c>
      <c r="AA131" s="633">
        <f t="shared" si="79"/>
        <v>0</v>
      </c>
      <c r="AB131" s="633">
        <f t="shared" si="79"/>
        <v>0</v>
      </c>
    </row>
    <row r="132" spans="1:29" s="503" customFormat="1" ht="12.75" customHeight="1" outlineLevel="1">
      <c r="A132" s="627" t="s">
        <v>940</v>
      </c>
      <c r="B132" s="625"/>
      <c r="C132" s="625"/>
      <c r="D132" s="625"/>
      <c r="E132" s="625"/>
      <c r="F132" s="625"/>
      <c r="G132" s="625"/>
      <c r="H132" s="625"/>
      <c r="I132" s="625"/>
      <c r="J132" s="625"/>
      <c r="K132" s="625"/>
      <c r="L132" s="625"/>
      <c r="M132" s="628"/>
      <c r="N132" s="628"/>
      <c r="O132" s="628"/>
      <c r="P132" s="631">
        <f t="shared" ref="P132:X132" si="80">IF(ABS(P131)&gt;ABS($O$131/$O$23),-$O$131/$O$23,-P131)</f>
        <v>0</v>
      </c>
      <c r="Q132" s="632">
        <f t="shared" si="80"/>
        <v>0</v>
      </c>
      <c r="R132" s="632">
        <f t="shared" si="80"/>
        <v>0</v>
      </c>
      <c r="S132" s="632">
        <f t="shared" si="80"/>
        <v>0</v>
      </c>
      <c r="T132" s="632">
        <f t="shared" si="80"/>
        <v>0</v>
      </c>
      <c r="U132" s="632">
        <f t="shared" si="80"/>
        <v>0</v>
      </c>
      <c r="V132" s="632">
        <f t="shared" si="80"/>
        <v>0</v>
      </c>
      <c r="W132" s="632">
        <f t="shared" si="80"/>
        <v>0</v>
      </c>
      <c r="X132" s="632">
        <f t="shared" si="80"/>
        <v>0</v>
      </c>
      <c r="Y132" s="632">
        <f>IF(ABS(Y131)&gt;ABS($O$131/$O$23),-$O$131/$O$23,-Y131)</f>
        <v>0</v>
      </c>
      <c r="Z132" s="632">
        <f>IF(ABS(Z131)&gt;ABS($O$131/$O$23),-$O$131/$O$23,-Z131)</f>
        <v>0</v>
      </c>
      <c r="AA132" s="632">
        <f>IF(ABS(AA131)&gt;ABS($O$131/$O$23),-$O$131/$O$23,-AA131)</f>
        <v>0</v>
      </c>
      <c r="AB132" s="632">
        <f>IF(ABS(AB131)&gt;ABS($O$131/$O$23),-$O$131/$O$23,-AB131)</f>
        <v>0</v>
      </c>
    </row>
    <row r="133" spans="1:29" s="503" customFormat="1" ht="12.75" customHeight="1" outlineLevel="1">
      <c r="A133" s="627" t="s">
        <v>937</v>
      </c>
      <c r="B133" s="625"/>
      <c r="C133" s="625"/>
      <c r="D133" s="625"/>
      <c r="E133" s="625"/>
      <c r="F133" s="625"/>
      <c r="G133" s="625"/>
      <c r="H133" s="625"/>
      <c r="I133" s="625"/>
      <c r="J133" s="625"/>
      <c r="K133" s="625"/>
      <c r="L133" s="625"/>
      <c r="M133" s="628"/>
      <c r="N133" s="628"/>
      <c r="O133" s="628"/>
      <c r="P133" s="628">
        <f t="shared" ref="P133:X133" si="81">P131+P132</f>
        <v>0</v>
      </c>
      <c r="Q133" s="633">
        <f t="shared" si="81"/>
        <v>0</v>
      </c>
      <c r="R133" s="633">
        <f t="shared" si="81"/>
        <v>0</v>
      </c>
      <c r="S133" s="633">
        <f t="shared" si="81"/>
        <v>0</v>
      </c>
      <c r="T133" s="633">
        <f t="shared" si="81"/>
        <v>0</v>
      </c>
      <c r="U133" s="633">
        <f t="shared" si="81"/>
        <v>0</v>
      </c>
      <c r="V133" s="633">
        <f t="shared" si="81"/>
        <v>0</v>
      </c>
      <c r="W133" s="633">
        <f t="shared" si="81"/>
        <v>0</v>
      </c>
      <c r="X133" s="633">
        <f t="shared" si="81"/>
        <v>0</v>
      </c>
      <c r="Y133" s="633">
        <f>Y131+Y132</f>
        <v>0</v>
      </c>
      <c r="Z133" s="633">
        <f>Z131+Z132</f>
        <v>0</v>
      </c>
      <c r="AA133" s="633">
        <f>AA131+AA132</f>
        <v>0</v>
      </c>
      <c r="AB133" s="633">
        <f>AB131+AB132</f>
        <v>0</v>
      </c>
    </row>
    <row r="134" spans="1:29" s="503" customFormat="1" ht="12.75" customHeight="1" outlineLevel="1">
      <c r="A134" s="627"/>
      <c r="B134" s="625"/>
      <c r="C134" s="625"/>
      <c r="D134" s="625"/>
      <c r="E134" s="625"/>
      <c r="F134" s="625"/>
      <c r="G134" s="625"/>
      <c r="H134" s="625"/>
      <c r="I134" s="625"/>
      <c r="J134" s="625"/>
      <c r="K134" s="625"/>
      <c r="L134" s="625"/>
      <c r="M134" s="625"/>
      <c r="N134" s="628"/>
      <c r="O134" s="628"/>
      <c r="P134" s="628"/>
      <c r="Q134" s="633"/>
      <c r="R134" s="633"/>
      <c r="S134" s="633"/>
      <c r="T134" s="633"/>
      <c r="U134" s="633"/>
      <c r="V134" s="633"/>
      <c r="W134" s="633"/>
      <c r="X134" s="633"/>
      <c r="Y134" s="633"/>
      <c r="Z134" s="633"/>
      <c r="AA134" s="633"/>
      <c r="AB134" s="633"/>
    </row>
    <row r="135" spans="1:29" s="503" customFormat="1" ht="12.75" customHeight="1" outlineLevel="1">
      <c r="A135" s="627" t="s">
        <v>935</v>
      </c>
      <c r="B135" s="625"/>
      <c r="C135" s="625"/>
      <c r="D135" s="625"/>
      <c r="E135" s="625"/>
      <c r="F135" s="625"/>
      <c r="G135" s="625"/>
      <c r="H135" s="625"/>
      <c r="I135" s="625"/>
      <c r="J135" s="625"/>
      <c r="K135" s="625"/>
      <c r="L135" s="625"/>
      <c r="M135" s="625"/>
      <c r="N135" s="628"/>
      <c r="O135" s="628"/>
      <c r="P135" s="628"/>
      <c r="Q135" s="633">
        <f t="shared" ref="Q135:V135" si="82">Q57</f>
        <v>0</v>
      </c>
      <c r="R135" s="633">
        <f t="shared" si="82"/>
        <v>0</v>
      </c>
      <c r="S135" s="633">
        <f t="shared" si="82"/>
        <v>0</v>
      </c>
      <c r="T135" s="633">
        <f t="shared" si="82"/>
        <v>0</v>
      </c>
      <c r="U135" s="633">
        <f t="shared" si="82"/>
        <v>0</v>
      </c>
      <c r="V135" s="633">
        <f t="shared" si="82"/>
        <v>0</v>
      </c>
      <c r="W135" s="633">
        <f t="shared" ref="W135:AB135" si="83">W57</f>
        <v>0</v>
      </c>
      <c r="X135" s="633">
        <f t="shared" si="83"/>
        <v>0</v>
      </c>
      <c r="Y135" s="633">
        <f t="shared" si="83"/>
        <v>0</v>
      </c>
      <c r="Z135" s="633">
        <f t="shared" si="83"/>
        <v>0</v>
      </c>
      <c r="AA135" s="633">
        <f t="shared" si="83"/>
        <v>0</v>
      </c>
      <c r="AB135" s="633">
        <f t="shared" si="83"/>
        <v>0</v>
      </c>
    </row>
    <row r="136" spans="1:29" s="503" customFormat="1" ht="12.75" customHeight="1" outlineLevel="1">
      <c r="A136" s="627" t="s">
        <v>941</v>
      </c>
      <c r="B136" s="625"/>
      <c r="C136" s="625"/>
      <c r="D136" s="625"/>
      <c r="E136" s="625"/>
      <c r="F136" s="625"/>
      <c r="G136" s="625"/>
      <c r="H136" s="625"/>
      <c r="I136" s="625"/>
      <c r="J136" s="625"/>
      <c r="K136" s="625"/>
      <c r="L136" s="625"/>
      <c r="M136" s="625"/>
      <c r="N136" s="628"/>
      <c r="O136" s="628"/>
      <c r="P136" s="628"/>
      <c r="Q136" s="632">
        <f t="shared" ref="Q136:X136" si="84">IF(ABS(Q135)&gt;ABS($P$135/$P$23),-$P$135/$P$23,-Q135)</f>
        <v>0</v>
      </c>
      <c r="R136" s="632">
        <f t="shared" si="84"/>
        <v>0</v>
      </c>
      <c r="S136" s="632">
        <f t="shared" si="84"/>
        <v>0</v>
      </c>
      <c r="T136" s="632">
        <f t="shared" si="84"/>
        <v>0</v>
      </c>
      <c r="U136" s="632">
        <f t="shared" si="84"/>
        <v>0</v>
      </c>
      <c r="V136" s="632">
        <f t="shared" si="84"/>
        <v>0</v>
      </c>
      <c r="W136" s="632">
        <f t="shared" si="84"/>
        <v>0</v>
      </c>
      <c r="X136" s="632">
        <f t="shared" si="84"/>
        <v>0</v>
      </c>
      <c r="Y136" s="632">
        <f>IF(ABS(Y135)&gt;ABS($P$135/$P$23),-$P$135/$P$23,-Y135)</f>
        <v>0</v>
      </c>
      <c r="Z136" s="632">
        <f>IF(ABS(Z135)&gt;ABS($P$135/$P$23),-$P$135/$P$23,-Z135)</f>
        <v>0</v>
      </c>
      <c r="AA136" s="632">
        <f>IF(ABS(AA135)&gt;ABS($P$135/$P$23),-$P$135/$P$23,-AA135)</f>
        <v>0</v>
      </c>
      <c r="AB136" s="632">
        <f>IF(ABS(AB135)&gt;ABS($P$135/$P$23),-$P$135/$P$23,-AB135)</f>
        <v>0</v>
      </c>
    </row>
    <row r="137" spans="1:29" s="503" customFormat="1" ht="12.75" customHeight="1" outlineLevel="1">
      <c r="A137" s="634" t="s">
        <v>937</v>
      </c>
      <c r="B137" s="635"/>
      <c r="C137" s="635"/>
      <c r="D137" s="635"/>
      <c r="E137" s="635"/>
      <c r="F137" s="635"/>
      <c r="G137" s="635"/>
      <c r="H137" s="635"/>
      <c r="I137" s="635"/>
      <c r="J137" s="635"/>
      <c r="K137" s="635"/>
      <c r="L137" s="635"/>
      <c r="M137" s="635"/>
      <c r="N137" s="636"/>
      <c r="O137" s="636"/>
      <c r="P137" s="636"/>
      <c r="Q137" s="637">
        <f t="shared" ref="Q137:X137" si="85">Q135+Q136</f>
        <v>0</v>
      </c>
      <c r="R137" s="637">
        <f t="shared" si="85"/>
        <v>0</v>
      </c>
      <c r="S137" s="637">
        <f t="shared" si="85"/>
        <v>0</v>
      </c>
      <c r="T137" s="637">
        <f t="shared" si="85"/>
        <v>0</v>
      </c>
      <c r="U137" s="637">
        <f t="shared" si="85"/>
        <v>0</v>
      </c>
      <c r="V137" s="637">
        <f t="shared" si="85"/>
        <v>0</v>
      </c>
      <c r="W137" s="637">
        <f t="shared" si="85"/>
        <v>0</v>
      </c>
      <c r="X137" s="637">
        <f t="shared" si="85"/>
        <v>0</v>
      </c>
      <c r="Y137" s="637">
        <f>Y135+Y136</f>
        <v>0</v>
      </c>
      <c r="Z137" s="637">
        <f>Z135+Z136</f>
        <v>0</v>
      </c>
      <c r="AA137" s="637">
        <f>AA135+AA136</f>
        <v>0</v>
      </c>
      <c r="AB137" s="637">
        <f>AB135+AB136</f>
        <v>0</v>
      </c>
    </row>
    <row r="138" spans="1:29" s="503" customFormat="1">
      <c r="N138" s="638"/>
      <c r="O138" s="638"/>
      <c r="P138" s="638"/>
      <c r="Q138" s="638"/>
      <c r="R138" s="638"/>
      <c r="S138" s="638"/>
      <c r="T138" s="638"/>
      <c r="U138" s="638"/>
      <c r="V138" s="638"/>
      <c r="W138" s="638"/>
      <c r="X138" s="638"/>
      <c r="Y138" s="638"/>
      <c r="Z138" s="638"/>
      <c r="AA138" s="638"/>
      <c r="AB138" s="638"/>
    </row>
    <row r="139" spans="1:29" s="503" customFormat="1"/>
    <row r="140" spans="1:29" s="503" customFormat="1">
      <c r="A140" s="697" t="s">
        <v>942</v>
      </c>
      <c r="B140" s="640"/>
      <c r="C140" s="640"/>
      <c r="D140" s="640"/>
      <c r="E140" s="640"/>
      <c r="F140" s="640"/>
      <c r="G140" s="640"/>
      <c r="H140" s="640"/>
      <c r="I140" s="640"/>
      <c r="J140" s="640"/>
      <c r="K140" s="640"/>
      <c r="L140" s="640"/>
      <c r="M140" s="640"/>
      <c r="N140" s="640"/>
      <c r="O140" s="640"/>
      <c r="P140" s="640"/>
      <c r="Q140" s="640"/>
      <c r="R140" s="640"/>
      <c r="S140" s="640"/>
      <c r="T140" s="640"/>
      <c r="U140" s="640"/>
      <c r="V140" s="640"/>
      <c r="W140" s="640"/>
      <c r="X140" s="640"/>
      <c r="Y140" s="640"/>
      <c r="Z140" s="640"/>
      <c r="AA140" s="640"/>
      <c r="AB140" s="640"/>
      <c r="AC140" s="504"/>
    </row>
    <row r="141" spans="1:29" s="503" customFormat="1" outlineLevel="1">
      <c r="A141" s="641" t="s">
        <v>943</v>
      </c>
      <c r="B141" s="576">
        <f t="shared" ref="B141:Y141" si="86">B52</f>
        <v>-993</v>
      </c>
      <c r="C141" s="576">
        <f t="shared" si="86"/>
        <v>-624</v>
      </c>
      <c r="D141" s="576">
        <f t="shared" si="86"/>
        <v>-1624</v>
      </c>
      <c r="E141" s="576">
        <f t="shared" si="86"/>
        <v>-3081</v>
      </c>
      <c r="F141" s="576">
        <f t="shared" si="86"/>
        <v>-1052</v>
      </c>
      <c r="G141" s="576">
        <f t="shared" si="86"/>
        <v>-2204</v>
      </c>
      <c r="H141" s="576">
        <f t="shared" si="86"/>
        <v>-3056</v>
      </c>
      <c r="I141" s="576">
        <f t="shared" si="86"/>
        <v>-8335</v>
      </c>
      <c r="J141" s="576">
        <f t="shared" si="86"/>
        <v>-8242</v>
      </c>
      <c r="K141" s="576">
        <f t="shared" si="86"/>
        <v>-8857</v>
      </c>
      <c r="L141" s="576">
        <f t="shared" si="86"/>
        <v>-8773</v>
      </c>
      <c r="M141" s="576">
        <f t="shared" si="86"/>
        <v>-7559</v>
      </c>
      <c r="N141" s="576">
        <f t="shared" si="86"/>
        <v>-4529</v>
      </c>
      <c r="O141" s="576">
        <f>O52</f>
        <v>-5675</v>
      </c>
      <c r="P141" s="576">
        <f>P52</f>
        <v>-5744</v>
      </c>
      <c r="Q141" s="576">
        <f t="shared" si="86"/>
        <v>-4770</v>
      </c>
      <c r="R141" s="576">
        <f t="shared" si="86"/>
        <v>-5965</v>
      </c>
      <c r="S141" s="576">
        <f t="shared" si="86"/>
        <v>-8989</v>
      </c>
      <c r="T141" s="576">
        <f t="shared" si="86"/>
        <v>-7008</v>
      </c>
      <c r="U141" s="576">
        <f t="shared" si="86"/>
        <v>-7548</v>
      </c>
      <c r="V141" s="576">
        <f t="shared" si="86"/>
        <v>-4498</v>
      </c>
      <c r="W141" s="576">
        <f t="shared" si="86"/>
        <v>-5075</v>
      </c>
      <c r="X141" s="576">
        <f t="shared" si="86"/>
        <v>-4391.1072000000022</v>
      </c>
      <c r="Y141" s="576">
        <f t="shared" si="86"/>
        <v>-1511.7775486400024</v>
      </c>
      <c r="Z141" s="576">
        <f>Z52</f>
        <v>274.78932027494011</v>
      </c>
      <c r="AA141" s="576">
        <f>AA52</f>
        <v>1772.063293037827</v>
      </c>
      <c r="AB141" s="576">
        <f>AB52</f>
        <v>3011.9009777141837</v>
      </c>
      <c r="AC141" s="504"/>
    </row>
    <row r="142" spans="1:29" s="503" customFormat="1" outlineLevel="1">
      <c r="A142" s="641" t="s">
        <v>944</v>
      </c>
      <c r="B142" s="642">
        <f t="shared" ref="B142:Y142" si="87">B50/-B38</f>
        <v>0</v>
      </c>
      <c r="C142" s="642">
        <f t="shared" si="87"/>
        <v>0</v>
      </c>
      <c r="D142" s="642">
        <f t="shared" si="87"/>
        <v>0.87799564270152508</v>
      </c>
      <c r="E142" s="642">
        <f t="shared" si="87"/>
        <v>0.811398139079334</v>
      </c>
      <c r="F142" s="642">
        <f t="shared" si="87"/>
        <v>0.93618053870419804</v>
      </c>
      <c r="G142" s="642">
        <f t="shared" si="87"/>
        <v>0.86972455372975532</v>
      </c>
      <c r="H142" s="642">
        <f t="shared" si="87"/>
        <v>0.80889250203239327</v>
      </c>
      <c r="I142" s="642">
        <f t="shared" si="87"/>
        <v>0.59730408735143492</v>
      </c>
      <c r="J142" s="642">
        <f t="shared" si="87"/>
        <v>0.66752722872125858</v>
      </c>
      <c r="K142" s="642">
        <f t="shared" si="87"/>
        <v>0.69927339399701205</v>
      </c>
      <c r="L142" s="642">
        <f t="shared" si="87"/>
        <v>0.71423452768729645</v>
      </c>
      <c r="M142" s="642">
        <f t="shared" si="87"/>
        <v>0.7754241064796934</v>
      </c>
      <c r="N142" s="642">
        <f t="shared" si="87"/>
        <v>0.83199792269456196</v>
      </c>
      <c r="O142" s="642">
        <f>O50/-O38</f>
        <v>0.72156805024040815</v>
      </c>
      <c r="P142" s="642">
        <f>P50/-P38</f>
        <v>0.75347639484978546</v>
      </c>
      <c r="Q142" s="642">
        <f t="shared" si="87"/>
        <v>0.79602309172546504</v>
      </c>
      <c r="R142" s="642">
        <f t="shared" si="87"/>
        <v>0.76294559472240986</v>
      </c>
      <c r="S142" s="642">
        <f t="shared" si="87"/>
        <v>0.70721777082926196</v>
      </c>
      <c r="T142" s="642">
        <f t="shared" si="87"/>
        <v>0.77284366795241644</v>
      </c>
      <c r="U142" s="642">
        <f t="shared" si="87"/>
        <v>0.77280799446166815</v>
      </c>
      <c r="V142" s="642">
        <f t="shared" si="87"/>
        <v>0.84824049394379031</v>
      </c>
      <c r="W142" s="642">
        <f t="shared" si="87"/>
        <v>0.83428030303030298</v>
      </c>
      <c r="X142" s="642">
        <f t="shared" si="87"/>
        <v>0.85894577224061197</v>
      </c>
      <c r="Y142" s="642">
        <f t="shared" si="87"/>
        <v>0.94876723094311721</v>
      </c>
      <c r="Z142" s="642">
        <f>Z50/-Z38</f>
        <v>1.009459821914876</v>
      </c>
      <c r="AA142" s="642">
        <f>AA50/-AA38</f>
        <v>1.0612088009052358</v>
      </c>
      <c r="AB142" s="642">
        <f>AB50/-AB38</f>
        <v>1.103184431334532</v>
      </c>
      <c r="AC142" s="504"/>
    </row>
    <row r="143" spans="1:29" s="503" customFormat="1" outlineLevel="1">
      <c r="A143" s="641"/>
      <c r="B143" s="516"/>
      <c r="C143" s="516"/>
      <c r="D143" s="516"/>
      <c r="E143" s="516"/>
      <c r="F143" s="516"/>
      <c r="G143" s="516"/>
      <c r="H143" s="516"/>
      <c r="I143" s="516"/>
      <c r="J143" s="516"/>
      <c r="K143" s="516"/>
      <c r="L143" s="516"/>
      <c r="M143" s="516"/>
      <c r="N143" s="516"/>
      <c r="O143" s="516"/>
      <c r="P143" s="516"/>
      <c r="Q143" s="516"/>
      <c r="R143" s="516"/>
      <c r="S143" s="516"/>
      <c r="T143" s="516"/>
      <c r="U143" s="516"/>
      <c r="V143" s="516"/>
      <c r="W143" s="516"/>
      <c r="X143" s="516"/>
      <c r="Y143" s="516"/>
      <c r="Z143" s="516"/>
      <c r="AA143" s="516"/>
      <c r="AB143" s="516"/>
      <c r="AC143" s="504"/>
    </row>
    <row r="144" spans="1:29" s="503" customFormat="1" outlineLevel="1">
      <c r="A144" s="643" t="s">
        <v>945</v>
      </c>
      <c r="B144" s="516"/>
      <c r="C144" s="516"/>
      <c r="D144" s="516"/>
      <c r="E144" s="516"/>
      <c r="F144" s="516"/>
      <c r="G144" s="516"/>
      <c r="H144" s="516"/>
      <c r="I144" s="516"/>
      <c r="J144" s="516"/>
      <c r="K144" s="516"/>
      <c r="L144" s="516"/>
      <c r="M144" s="556"/>
      <c r="N144" s="556">
        <f t="shared" ref="N144:AB144" si="88">IF(M142&gt;65%,IF(M142&gt;72%,IF(M142&gt;80%,IF(M142&gt;90%,0,IF(AVERAGE(L142:M142)&gt;90%,0,22%)),22%),25%),30%)</f>
        <v>0.22</v>
      </c>
      <c r="O144" s="556">
        <f>IF(N142&gt;65%,IF(N142&gt;72%,IF(N142&gt;80%,IF(N142&gt;90%,0,IF(AVERAGE(M142:N142)&gt;90%,0,22%)),22%),25%),30%)</f>
        <v>0.22</v>
      </c>
      <c r="P144" s="556">
        <f>IF(O142&gt;65%,IF(O142&gt;72%,IF(O142&gt;80%,IF(O142&gt;90%,0,IF(AVERAGE(N142:O142)&gt;90%,0,22%)),22%),25%),30%)</f>
        <v>0.22</v>
      </c>
      <c r="Q144" s="556">
        <f t="shared" si="88"/>
        <v>0.22</v>
      </c>
      <c r="R144" s="556">
        <f t="shared" si="88"/>
        <v>0.22</v>
      </c>
      <c r="S144" s="556">
        <f t="shared" si="88"/>
        <v>0.22</v>
      </c>
      <c r="T144" s="556">
        <f t="shared" si="88"/>
        <v>0.25</v>
      </c>
      <c r="U144" s="556">
        <f t="shared" si="88"/>
        <v>0.22</v>
      </c>
      <c r="V144" s="556">
        <f t="shared" si="88"/>
        <v>0.22</v>
      </c>
      <c r="W144" s="556">
        <f t="shared" si="88"/>
        <v>0.22</v>
      </c>
      <c r="X144" s="556">
        <f t="shared" si="88"/>
        <v>0.22</v>
      </c>
      <c r="Y144" s="556">
        <f t="shared" si="88"/>
        <v>0.22</v>
      </c>
      <c r="Z144" s="556">
        <f t="shared" si="88"/>
        <v>0</v>
      </c>
      <c r="AA144" s="556">
        <f t="shared" si="88"/>
        <v>0</v>
      </c>
      <c r="AB144" s="556">
        <f t="shared" si="88"/>
        <v>0</v>
      </c>
      <c r="AC144" s="504"/>
    </row>
    <row r="145" spans="1:29" s="503" customFormat="1" outlineLevel="1">
      <c r="A145" s="641" t="s">
        <v>946</v>
      </c>
      <c r="B145" s="516"/>
      <c r="C145" s="516"/>
      <c r="D145" s="516"/>
      <c r="E145" s="516"/>
      <c r="F145" s="516"/>
      <c r="G145" s="516"/>
      <c r="H145" s="516"/>
      <c r="I145" s="516"/>
      <c r="J145" s="516"/>
      <c r="K145" s="516"/>
      <c r="L145" s="516"/>
      <c r="M145" s="576"/>
      <c r="N145" s="576">
        <f t="shared" ref="N145:AB145" si="89">N144*-M141</f>
        <v>1662.98</v>
      </c>
      <c r="O145" s="576">
        <f>O144*-N141</f>
        <v>996.38</v>
      </c>
      <c r="P145" s="576">
        <f>P144*-O141</f>
        <v>1248.5</v>
      </c>
      <c r="Q145" s="576">
        <f t="shared" si="89"/>
        <v>1263.68</v>
      </c>
      <c r="R145" s="576">
        <f t="shared" si="89"/>
        <v>1049.4000000000001</v>
      </c>
      <c r="S145" s="576">
        <f t="shared" si="89"/>
        <v>1312.3</v>
      </c>
      <c r="T145" s="576">
        <f t="shared" si="89"/>
        <v>2247.25</v>
      </c>
      <c r="U145" s="576">
        <f t="shared" si="89"/>
        <v>1541.76</v>
      </c>
      <c r="V145" s="576">
        <f t="shared" si="89"/>
        <v>1660.56</v>
      </c>
      <c r="W145" s="576">
        <f t="shared" si="89"/>
        <v>989.56000000000006</v>
      </c>
      <c r="X145" s="576">
        <f t="shared" si="89"/>
        <v>1116.5</v>
      </c>
      <c r="Y145" s="576">
        <f t="shared" si="89"/>
        <v>966.04358400000046</v>
      </c>
      <c r="Z145" s="576">
        <f t="shared" si="89"/>
        <v>0</v>
      </c>
      <c r="AA145" s="576">
        <f t="shared" si="89"/>
        <v>0</v>
      </c>
      <c r="AB145" s="576">
        <f t="shared" si="89"/>
        <v>0</v>
      </c>
      <c r="AC145" s="504"/>
    </row>
    <row r="146" spans="1:29" s="503" customFormat="1">
      <c r="A146" s="644"/>
      <c r="B146" s="516"/>
      <c r="C146" s="516"/>
      <c r="D146" s="516"/>
      <c r="E146" s="516"/>
      <c r="F146" s="516"/>
      <c r="G146" s="516"/>
      <c r="H146" s="516"/>
      <c r="I146" s="516"/>
      <c r="J146" s="516"/>
      <c r="K146" s="516"/>
      <c r="L146" s="516"/>
      <c r="M146" s="516"/>
      <c r="N146" s="516"/>
      <c r="O146" s="516"/>
      <c r="P146" s="516"/>
      <c r="Q146" s="516"/>
      <c r="R146" s="516"/>
      <c r="S146" s="516"/>
      <c r="T146" s="516"/>
      <c r="U146" s="516"/>
      <c r="V146" s="516"/>
      <c r="W146" s="516"/>
      <c r="X146" s="516"/>
      <c r="Y146" s="516"/>
      <c r="Z146" s="516"/>
      <c r="AA146" s="516"/>
      <c r="AB146" s="516"/>
      <c r="AC146" s="504"/>
    </row>
    <row r="147" spans="1:29" s="503" customFormat="1">
      <c r="A147" s="504"/>
      <c r="B147" s="504"/>
      <c r="C147" s="504"/>
      <c r="D147" s="504"/>
      <c r="E147" s="504"/>
      <c r="F147" s="504"/>
      <c r="G147" s="504"/>
      <c r="H147" s="504"/>
      <c r="I147" s="504"/>
      <c r="J147" s="504"/>
      <c r="K147" s="504"/>
      <c r="L147" s="504"/>
      <c r="M147" s="504"/>
      <c r="N147" s="504"/>
      <c r="O147" s="504"/>
      <c r="P147" s="504"/>
      <c r="Q147" s="504"/>
      <c r="R147" s="504"/>
      <c r="S147" s="504"/>
      <c r="T147" s="504"/>
      <c r="U147" s="504"/>
      <c r="V147" s="504"/>
      <c r="W147" s="504"/>
      <c r="X147" s="504"/>
      <c r="Y147" s="504"/>
      <c r="Z147" s="504"/>
      <c r="AA147" s="504"/>
      <c r="AB147" s="504"/>
      <c r="AC147" s="504"/>
    </row>
    <row r="148" spans="1:29" s="516" customFormat="1" ht="11.25">
      <c r="A148" s="698" t="s">
        <v>101</v>
      </c>
      <c r="B148" s="646"/>
      <c r="C148" s="646"/>
      <c r="D148" s="646"/>
      <c r="E148" s="646"/>
      <c r="F148" s="646"/>
      <c r="G148" s="646"/>
      <c r="H148" s="646"/>
      <c r="I148" s="646"/>
      <c r="J148" s="646"/>
      <c r="K148" s="646"/>
      <c r="L148" s="646"/>
      <c r="M148" s="646"/>
      <c r="N148" s="646"/>
      <c r="O148" s="646"/>
    </row>
    <row r="149" spans="1:29" s="516" customFormat="1" ht="11.25">
      <c r="A149" s="645"/>
      <c r="B149" s="646"/>
      <c r="C149" s="646"/>
      <c r="D149" s="646"/>
      <c r="E149" s="646"/>
      <c r="F149" s="646"/>
      <c r="G149" s="646"/>
      <c r="H149" s="646"/>
      <c r="I149" s="646"/>
      <c r="J149" s="646"/>
      <c r="K149" s="646"/>
      <c r="L149" s="646"/>
      <c r="M149" s="646"/>
      <c r="N149" s="646"/>
      <c r="O149" s="646"/>
    </row>
    <row r="150" spans="1:29" s="516" customFormat="1" ht="11.25">
      <c r="A150" s="647" t="s">
        <v>947</v>
      </c>
      <c r="B150" s="648">
        <f t="shared" ref="B150:AB150" si="90">B$3</f>
        <v>1995</v>
      </c>
      <c r="C150" s="648">
        <f t="shared" si="90"/>
        <v>1996</v>
      </c>
      <c r="D150" s="648">
        <f t="shared" si="90"/>
        <v>1997</v>
      </c>
      <c r="E150" s="648">
        <f t="shared" si="90"/>
        <v>1998</v>
      </c>
      <c r="F150" s="648">
        <f t="shared" si="90"/>
        <v>1999</v>
      </c>
      <c r="G150" s="648">
        <f t="shared" si="90"/>
        <v>2000</v>
      </c>
      <c r="H150" s="648">
        <f t="shared" si="90"/>
        <v>2001</v>
      </c>
      <c r="I150" s="648">
        <f t="shared" si="90"/>
        <v>2002</v>
      </c>
      <c r="J150" s="648">
        <f t="shared" si="90"/>
        <v>2003</v>
      </c>
      <c r="K150" s="648">
        <f t="shared" si="90"/>
        <v>2004</v>
      </c>
      <c r="L150" s="648">
        <f t="shared" si="90"/>
        <v>2005</v>
      </c>
      <c r="M150" s="648">
        <f t="shared" si="90"/>
        <v>2006</v>
      </c>
      <c r="N150" s="648">
        <f t="shared" si="90"/>
        <v>2007</v>
      </c>
      <c r="O150" s="648">
        <f t="shared" si="90"/>
        <v>2008</v>
      </c>
      <c r="P150" s="648">
        <f t="shared" si="90"/>
        <v>2009</v>
      </c>
      <c r="Q150" s="648">
        <f t="shared" si="90"/>
        <v>2010</v>
      </c>
      <c r="R150" s="648">
        <f t="shared" si="90"/>
        <v>2011</v>
      </c>
      <c r="S150" s="648">
        <f t="shared" si="90"/>
        <v>2012</v>
      </c>
      <c r="T150" s="648">
        <f t="shared" si="90"/>
        <v>2013</v>
      </c>
      <c r="U150" s="648">
        <f t="shared" si="90"/>
        <v>2014</v>
      </c>
      <c r="V150" s="648">
        <f t="shared" si="90"/>
        <v>2015</v>
      </c>
      <c r="W150" s="648">
        <f t="shared" si="90"/>
        <v>2016</v>
      </c>
      <c r="X150" s="648">
        <f t="shared" si="90"/>
        <v>2017</v>
      </c>
      <c r="Y150" s="648">
        <f t="shared" si="90"/>
        <v>2018</v>
      </c>
      <c r="Z150" s="648">
        <f t="shared" si="90"/>
        <v>2019</v>
      </c>
      <c r="AA150" s="648">
        <f t="shared" si="90"/>
        <v>2020</v>
      </c>
      <c r="AB150" s="648">
        <f t="shared" si="90"/>
        <v>2021</v>
      </c>
    </row>
    <row r="151" spans="1:29" s="516" customFormat="1" ht="11.25">
      <c r="A151" s="649" t="s">
        <v>948</v>
      </c>
      <c r="B151" s="640"/>
      <c r="C151" s="640"/>
      <c r="D151" s="640"/>
      <c r="E151" s="640"/>
      <c r="F151" s="640"/>
      <c r="G151" s="640"/>
      <c r="H151" s="640"/>
      <c r="I151" s="640"/>
      <c r="J151" s="640"/>
      <c r="K151" s="640"/>
      <c r="L151" s="640"/>
      <c r="M151" s="640"/>
      <c r="N151" s="640"/>
      <c r="O151" s="640"/>
      <c r="P151" s="640"/>
      <c r="Q151" s="640"/>
      <c r="R151" s="611"/>
      <c r="S151" s="611"/>
      <c r="T151" s="640"/>
      <c r="U151" s="640"/>
      <c r="V151" s="640"/>
      <c r="W151" s="640"/>
      <c r="X151" s="640"/>
      <c r="Y151" s="640"/>
      <c r="Z151" s="640"/>
      <c r="AA151" s="640"/>
      <c r="AB151" s="640"/>
    </row>
    <row r="152" spans="1:29" s="516" customFormat="1" ht="11.25">
      <c r="A152" s="650" t="s">
        <v>949</v>
      </c>
      <c r="B152" s="576"/>
      <c r="C152" s="576"/>
      <c r="D152" s="576"/>
      <c r="E152" s="576"/>
      <c r="F152" s="576"/>
      <c r="G152" s="576"/>
      <c r="H152" s="576"/>
      <c r="I152" s="576"/>
      <c r="J152" s="576"/>
      <c r="K152" s="576"/>
      <c r="L152" s="576"/>
      <c r="M152" s="576"/>
      <c r="N152" s="576"/>
      <c r="O152" s="576"/>
      <c r="P152" s="576"/>
      <c r="Q152" s="699"/>
      <c r="R152" s="573"/>
      <c r="S152" s="573"/>
      <c r="T152" s="576">
        <f t="shared" ref="T152:Y152" si="91">T13</f>
        <v>-1238</v>
      </c>
      <c r="U152" s="576">
        <f t="shared" si="91"/>
        <v>-3075</v>
      </c>
      <c r="V152" s="576">
        <f t="shared" si="91"/>
        <v>900</v>
      </c>
      <c r="W152" s="576">
        <f t="shared" si="91"/>
        <v>-1923</v>
      </c>
      <c r="X152" s="576">
        <f t="shared" si="91"/>
        <v>135.87679999999978</v>
      </c>
      <c r="Y152" s="576">
        <f t="shared" si="91"/>
        <v>222.53680815999974</v>
      </c>
      <c r="Z152" s="576">
        <f>Z13</f>
        <v>158.40647880934375</v>
      </c>
      <c r="AA152" s="576">
        <f>AA13</f>
        <v>168.7935358713471</v>
      </c>
      <c r="AB152" s="576">
        <f>AB13</f>
        <v>201.83768467635741</v>
      </c>
    </row>
    <row r="153" spans="1:29" s="516" customFormat="1" ht="11.25">
      <c r="A153" s="650" t="s">
        <v>950</v>
      </c>
      <c r="K153" s="576"/>
      <c r="L153" s="576"/>
      <c r="M153" s="576"/>
      <c r="N153" s="576"/>
      <c r="O153" s="576"/>
      <c r="P153" s="576"/>
      <c r="Q153" s="699"/>
      <c r="R153" s="573"/>
      <c r="S153" s="573"/>
      <c r="T153" s="576">
        <f t="shared" ref="T153:AB153" si="92">S153</f>
        <v>0</v>
      </c>
      <c r="U153" s="576">
        <f t="shared" si="92"/>
        <v>0</v>
      </c>
      <c r="V153" s="576">
        <f t="shared" si="92"/>
        <v>0</v>
      </c>
      <c r="W153" s="576">
        <f t="shared" si="92"/>
        <v>0</v>
      </c>
      <c r="X153" s="576">
        <f t="shared" si="92"/>
        <v>0</v>
      </c>
      <c r="Y153" s="576">
        <f t="shared" si="92"/>
        <v>0</v>
      </c>
      <c r="Z153" s="576">
        <f t="shared" si="92"/>
        <v>0</v>
      </c>
      <c r="AA153" s="576">
        <f t="shared" si="92"/>
        <v>0</v>
      </c>
      <c r="AB153" s="576">
        <f t="shared" si="92"/>
        <v>0</v>
      </c>
    </row>
    <row r="154" spans="1:29" s="554" customFormat="1" ht="11.25">
      <c r="A154" s="651" t="s">
        <v>951</v>
      </c>
      <c r="K154" s="652"/>
      <c r="L154" s="652"/>
      <c r="M154" s="652"/>
      <c r="N154" s="652"/>
      <c r="O154" s="652"/>
      <c r="P154" s="652"/>
      <c r="Q154" s="700"/>
      <c r="R154" s="622"/>
      <c r="S154" s="622"/>
      <c r="T154" s="652">
        <f t="shared" ref="T154:Y154" si="93">T152-T153</f>
        <v>-1238</v>
      </c>
      <c r="U154" s="652">
        <f t="shared" si="93"/>
        <v>-3075</v>
      </c>
      <c r="V154" s="652">
        <f t="shared" si="93"/>
        <v>900</v>
      </c>
      <c r="W154" s="652">
        <f t="shared" si="93"/>
        <v>-1923</v>
      </c>
      <c r="X154" s="652">
        <f t="shared" si="93"/>
        <v>135.87679999999978</v>
      </c>
      <c r="Y154" s="652">
        <f t="shared" si="93"/>
        <v>222.53680815999974</v>
      </c>
      <c r="Z154" s="652">
        <f>Z152-Z153</f>
        <v>158.40647880934375</v>
      </c>
      <c r="AA154" s="652">
        <f>AA152-AA153</f>
        <v>168.7935358713471</v>
      </c>
      <c r="AB154" s="652">
        <f>AB152-AB153</f>
        <v>201.83768467635741</v>
      </c>
    </row>
    <row r="155" spans="1:29" s="516" customFormat="1" ht="11.25">
      <c r="A155" s="653"/>
      <c r="B155" s="576"/>
      <c r="C155" s="576"/>
      <c r="D155" s="576"/>
      <c r="E155" s="576"/>
      <c r="F155" s="576"/>
      <c r="G155" s="576"/>
      <c r="H155" s="576"/>
      <c r="I155" s="576"/>
      <c r="J155" s="576"/>
      <c r="K155" s="576"/>
      <c r="L155" s="576"/>
      <c r="M155" s="576"/>
      <c r="N155" s="576"/>
      <c r="O155" s="576"/>
      <c r="P155" s="576"/>
      <c r="Q155" s="699"/>
      <c r="R155" s="573"/>
      <c r="S155" s="573"/>
      <c r="T155" s="576"/>
      <c r="U155" s="576"/>
      <c r="V155" s="576"/>
      <c r="W155" s="576"/>
      <c r="X155" s="576"/>
      <c r="Y155" s="576"/>
      <c r="Z155" s="576"/>
      <c r="AA155" s="576"/>
      <c r="AB155" s="576"/>
    </row>
    <row r="156" spans="1:29" s="516" customFormat="1" ht="11.25">
      <c r="A156" s="649" t="s">
        <v>952</v>
      </c>
      <c r="B156" s="576"/>
      <c r="C156" s="576"/>
      <c r="D156" s="576"/>
      <c r="E156" s="576"/>
      <c r="F156" s="576"/>
      <c r="G156" s="576"/>
      <c r="H156" s="576"/>
      <c r="I156" s="576"/>
      <c r="J156" s="576"/>
      <c r="K156" s="576"/>
      <c r="L156" s="576"/>
      <c r="M156" s="576"/>
      <c r="N156" s="576"/>
      <c r="O156" s="576"/>
      <c r="P156" s="576"/>
      <c r="Q156" s="699"/>
      <c r="R156" s="573"/>
      <c r="S156" s="573"/>
      <c r="T156" s="576"/>
      <c r="U156" s="576"/>
      <c r="V156" s="576"/>
      <c r="W156" s="576"/>
      <c r="X156" s="576"/>
      <c r="Y156" s="576"/>
      <c r="Z156" s="576"/>
      <c r="AA156" s="576"/>
      <c r="AB156" s="576"/>
    </row>
    <row r="157" spans="1:29" s="516" customFormat="1" ht="11.25">
      <c r="A157" s="650" t="s">
        <v>949</v>
      </c>
      <c r="K157" s="576"/>
      <c r="L157" s="576"/>
      <c r="M157" s="576"/>
      <c r="N157" s="576"/>
      <c r="O157" s="576"/>
      <c r="P157" s="576"/>
      <c r="Q157" s="699"/>
      <c r="R157" s="573"/>
      <c r="S157" s="573"/>
      <c r="T157" s="576">
        <f t="shared" ref="T157:Y157" si="94">T13</f>
        <v>-1238</v>
      </c>
      <c r="U157" s="576">
        <f t="shared" si="94"/>
        <v>-3075</v>
      </c>
      <c r="V157" s="576">
        <f t="shared" si="94"/>
        <v>900</v>
      </c>
      <c r="W157" s="576">
        <f t="shared" si="94"/>
        <v>-1923</v>
      </c>
      <c r="X157" s="576">
        <f t="shared" si="94"/>
        <v>135.87679999999978</v>
      </c>
      <c r="Y157" s="576">
        <f t="shared" si="94"/>
        <v>222.53680815999974</v>
      </c>
      <c r="Z157" s="576">
        <f>Z13</f>
        <v>158.40647880934375</v>
      </c>
      <c r="AA157" s="576">
        <f>AA13</f>
        <v>168.7935358713471</v>
      </c>
      <c r="AB157" s="576">
        <f>AB13</f>
        <v>201.83768467635741</v>
      </c>
    </row>
    <row r="158" spans="1:29" s="516" customFormat="1" ht="11.25">
      <c r="A158" s="650" t="s">
        <v>950</v>
      </c>
      <c r="K158" s="576"/>
      <c r="L158" s="576"/>
      <c r="M158" s="576"/>
      <c r="Q158" s="625"/>
      <c r="R158" s="559"/>
      <c r="S158" s="559"/>
    </row>
    <row r="159" spans="1:29" s="642" customFormat="1" ht="11.25">
      <c r="A159" s="650" t="s">
        <v>953</v>
      </c>
      <c r="M159" s="654"/>
      <c r="N159" s="654"/>
      <c r="O159" s="654"/>
      <c r="P159" s="654"/>
      <c r="Q159" s="701"/>
      <c r="R159" s="655"/>
      <c r="S159" s="655"/>
      <c r="T159" s="656">
        <v>0</v>
      </c>
      <c r="U159" s="656">
        <v>0</v>
      </c>
      <c r="V159" s="656">
        <v>0</v>
      </c>
      <c r="W159" s="656">
        <v>0</v>
      </c>
      <c r="X159" s="656">
        <v>0</v>
      </c>
      <c r="Y159" s="656">
        <v>0</v>
      </c>
      <c r="Z159" s="656">
        <v>0</v>
      </c>
      <c r="AA159" s="656">
        <v>0</v>
      </c>
      <c r="AB159" s="656">
        <v>0</v>
      </c>
    </row>
    <row r="160" spans="1:29" s="516" customFormat="1" ht="11.25">
      <c r="A160" s="644" t="s">
        <v>954</v>
      </c>
      <c r="K160" s="576"/>
      <c r="L160" s="576"/>
      <c r="M160" s="576"/>
      <c r="N160" s="576"/>
      <c r="O160" s="576"/>
      <c r="P160" s="576"/>
      <c r="Q160" s="699"/>
      <c r="R160" s="573"/>
      <c r="S160" s="573"/>
      <c r="T160" s="576">
        <f t="shared" ref="T160:AB160" si="95">S160*(1+T159)</f>
        <v>0</v>
      </c>
      <c r="U160" s="576">
        <f t="shared" si="95"/>
        <v>0</v>
      </c>
      <c r="V160" s="576">
        <f t="shared" si="95"/>
        <v>0</v>
      </c>
      <c r="W160" s="576">
        <f t="shared" si="95"/>
        <v>0</v>
      </c>
      <c r="X160" s="576">
        <f t="shared" si="95"/>
        <v>0</v>
      </c>
      <c r="Y160" s="576">
        <f t="shared" si="95"/>
        <v>0</v>
      </c>
      <c r="Z160" s="576">
        <f t="shared" si="95"/>
        <v>0</v>
      </c>
      <c r="AA160" s="576">
        <f t="shared" si="95"/>
        <v>0</v>
      </c>
      <c r="AB160" s="576">
        <f t="shared" si="95"/>
        <v>0</v>
      </c>
    </row>
    <row r="161" spans="1:28" s="554" customFormat="1" ht="11.25">
      <c r="A161" s="651" t="s">
        <v>951</v>
      </c>
      <c r="K161" s="652"/>
      <c r="L161" s="652"/>
      <c r="M161" s="652"/>
      <c r="N161" s="652"/>
      <c r="O161" s="652"/>
      <c r="P161" s="652"/>
      <c r="Q161" s="700"/>
      <c r="R161" s="622"/>
      <c r="S161" s="622"/>
      <c r="T161" s="652">
        <f t="shared" ref="T161:Y161" si="96">T157-T160</f>
        <v>-1238</v>
      </c>
      <c r="U161" s="652">
        <f t="shared" si="96"/>
        <v>-3075</v>
      </c>
      <c r="V161" s="652">
        <f t="shared" si="96"/>
        <v>900</v>
      </c>
      <c r="W161" s="652">
        <f t="shared" si="96"/>
        <v>-1923</v>
      </c>
      <c r="X161" s="652">
        <f t="shared" si="96"/>
        <v>135.87679999999978</v>
      </c>
      <c r="Y161" s="652">
        <f t="shared" si="96"/>
        <v>222.53680815999974</v>
      </c>
      <c r="Z161" s="652">
        <f>Z157-Z160</f>
        <v>158.40647880934375</v>
      </c>
      <c r="AA161" s="652">
        <f>AA157-AA160</f>
        <v>168.7935358713471</v>
      </c>
      <c r="AB161" s="652">
        <f>AB157-AB160</f>
        <v>201.83768467635741</v>
      </c>
    </row>
    <row r="162" spans="1:28" s="516" customFormat="1" ht="11.25">
      <c r="A162" s="644"/>
      <c r="R162" s="559"/>
      <c r="S162" s="559"/>
    </row>
    <row r="163" spans="1:28" s="516" customFormat="1" ht="11.25">
      <c r="A163" s="644"/>
      <c r="R163" s="559"/>
      <c r="S163" s="559"/>
    </row>
    <row r="164" spans="1:28" s="516" customFormat="1" ht="11.25">
      <c r="A164" s="647" t="s">
        <v>102</v>
      </c>
      <c r="B164" s="648">
        <f t="shared" ref="B164:AB164" si="97">B$3</f>
        <v>1995</v>
      </c>
      <c r="C164" s="648">
        <f t="shared" si="97"/>
        <v>1996</v>
      </c>
      <c r="D164" s="648">
        <f t="shared" si="97"/>
        <v>1997</v>
      </c>
      <c r="E164" s="648">
        <f t="shared" si="97"/>
        <v>1998</v>
      </c>
      <c r="F164" s="648">
        <f t="shared" si="97"/>
        <v>1999</v>
      </c>
      <c r="G164" s="648">
        <f t="shared" si="97"/>
        <v>2000</v>
      </c>
      <c r="H164" s="648">
        <f t="shared" si="97"/>
        <v>2001</v>
      </c>
      <c r="I164" s="648">
        <f t="shared" si="97"/>
        <v>2002</v>
      </c>
      <c r="J164" s="648">
        <f t="shared" si="97"/>
        <v>2003</v>
      </c>
      <c r="K164" s="648">
        <f t="shared" si="97"/>
        <v>2004</v>
      </c>
      <c r="L164" s="648">
        <f t="shared" si="97"/>
        <v>2005</v>
      </c>
      <c r="M164" s="648">
        <f t="shared" si="97"/>
        <v>2006</v>
      </c>
      <c r="N164" s="648">
        <f t="shared" si="97"/>
        <v>2007</v>
      </c>
      <c r="O164" s="648">
        <f t="shared" si="97"/>
        <v>2008</v>
      </c>
      <c r="P164" s="648">
        <f t="shared" si="97"/>
        <v>2009</v>
      </c>
      <c r="Q164" s="648">
        <f t="shared" si="97"/>
        <v>2010</v>
      </c>
      <c r="R164" s="658">
        <f t="shared" si="97"/>
        <v>2011</v>
      </c>
      <c r="S164" s="658">
        <f t="shared" si="97"/>
        <v>2012</v>
      </c>
      <c r="T164" s="648">
        <f t="shared" si="97"/>
        <v>2013</v>
      </c>
      <c r="U164" s="648">
        <f t="shared" si="97"/>
        <v>2014</v>
      </c>
      <c r="V164" s="648">
        <f t="shared" si="97"/>
        <v>2015</v>
      </c>
      <c r="W164" s="648">
        <f t="shared" si="97"/>
        <v>2016</v>
      </c>
      <c r="X164" s="648">
        <f t="shared" si="97"/>
        <v>2017</v>
      </c>
      <c r="Y164" s="648">
        <f t="shared" si="97"/>
        <v>2018</v>
      </c>
      <c r="Z164" s="648">
        <f t="shared" si="97"/>
        <v>2019</v>
      </c>
      <c r="AA164" s="648">
        <f t="shared" si="97"/>
        <v>2020</v>
      </c>
      <c r="AB164" s="648">
        <f t="shared" si="97"/>
        <v>2021</v>
      </c>
    </row>
    <row r="165" spans="1:28" s="516" customFormat="1" ht="11.25">
      <c r="A165" s="659" t="s">
        <v>103</v>
      </c>
      <c r="B165" s="640"/>
      <c r="C165" s="640"/>
      <c r="D165" s="640"/>
      <c r="E165" s="640"/>
      <c r="F165" s="640"/>
      <c r="G165" s="640"/>
      <c r="H165" s="640"/>
      <c r="I165" s="640"/>
      <c r="J165" s="640"/>
      <c r="K165" s="640"/>
      <c r="L165" s="640"/>
      <c r="M165" s="640"/>
      <c r="N165" s="640"/>
      <c r="O165" s="640"/>
      <c r="P165" s="640"/>
      <c r="Q165" s="640"/>
      <c r="R165" s="611"/>
      <c r="S165" s="611"/>
      <c r="T165" s="640"/>
      <c r="U165" s="640"/>
      <c r="V165" s="640"/>
      <c r="W165" s="640"/>
      <c r="X165" s="640"/>
      <c r="Y165" s="640"/>
      <c r="Z165" s="640"/>
      <c r="AA165" s="640"/>
      <c r="AB165" s="640"/>
    </row>
    <row r="166" spans="1:28" s="576" customFormat="1" ht="11.25">
      <c r="A166" s="510" t="s">
        <v>105</v>
      </c>
      <c r="N166" s="573"/>
      <c r="O166" s="573"/>
      <c r="P166" s="573"/>
      <c r="Q166" s="573"/>
      <c r="R166" s="573"/>
      <c r="S166" s="573"/>
      <c r="T166" s="702">
        <f t="shared" ref="T166:AB166" si="98">-(T76-S76)-(T5+T8)*(1-T83)</f>
        <v>-1358.2</v>
      </c>
      <c r="U166" s="702">
        <f t="shared" si="98"/>
        <v>264.40000000000009</v>
      </c>
      <c r="V166" s="702">
        <f t="shared" si="98"/>
        <v>-1959.5500000000002</v>
      </c>
      <c r="W166" s="702">
        <f t="shared" si="98"/>
        <v>-175.89999999999986</v>
      </c>
      <c r="X166" s="702">
        <f t="shared" si="98"/>
        <v>-1149.1767999999997</v>
      </c>
      <c r="Y166" s="702">
        <f t="shared" si="98"/>
        <v>-1235.8368081599997</v>
      </c>
      <c r="Z166" s="702">
        <f t="shared" si="98"/>
        <v>-1171.7064788093437</v>
      </c>
      <c r="AA166" s="702">
        <f t="shared" si="98"/>
        <v>-1182.0935358713471</v>
      </c>
      <c r="AB166" s="702">
        <f t="shared" si="98"/>
        <v>-1215.1376846763576</v>
      </c>
    </row>
    <row r="167" spans="1:28" s="576" customFormat="1" ht="11.25">
      <c r="A167" s="644" t="s">
        <v>106</v>
      </c>
      <c r="N167" s="573"/>
      <c r="O167" s="573"/>
      <c r="P167" s="573"/>
      <c r="Q167" s="573"/>
      <c r="R167" s="573"/>
      <c r="S167" s="573"/>
      <c r="T167" s="702">
        <f t="shared" ref="T167:AB167" si="99">T82-S82</f>
        <v>-693.34999999999991</v>
      </c>
      <c r="U167" s="702">
        <f t="shared" si="99"/>
        <v>-557.19999999999993</v>
      </c>
      <c r="V167" s="702">
        <f t="shared" si="99"/>
        <v>-474.94999999999993</v>
      </c>
      <c r="W167" s="702">
        <f t="shared" si="99"/>
        <v>-497</v>
      </c>
      <c r="X167" s="702">
        <f t="shared" si="99"/>
        <v>-410.85687999999982</v>
      </c>
      <c r="Y167" s="702">
        <f t="shared" si="99"/>
        <v>-441.18788285599976</v>
      </c>
      <c r="Z167" s="702">
        <f t="shared" si="99"/>
        <v>-418.7422675832704</v>
      </c>
      <c r="AA167" s="702">
        <f t="shared" si="99"/>
        <v>-422.37773755497165</v>
      </c>
      <c r="AB167" s="702">
        <f t="shared" si="99"/>
        <v>-433.94318963672504</v>
      </c>
    </row>
    <row r="168" spans="1:28" s="576" customFormat="1" ht="11.25">
      <c r="A168" s="644"/>
      <c r="P168" s="573"/>
      <c r="R168" s="573"/>
      <c r="S168" s="573"/>
    </row>
    <row r="169" spans="1:28" s="576" customFormat="1" ht="11.25">
      <c r="A169" s="644"/>
      <c r="R169" s="573"/>
      <c r="S169" s="573"/>
    </row>
    <row r="170" spans="1:28" s="576" customFormat="1" ht="11.25">
      <c r="A170" s="644"/>
      <c r="R170" s="573"/>
      <c r="S170" s="573"/>
    </row>
    <row r="171" spans="1:28" s="576" customFormat="1" ht="11.25">
      <c r="A171" s="663" t="s">
        <v>107</v>
      </c>
      <c r="B171" s="648">
        <f t="shared" ref="B171:AB171" si="100">B$3</f>
        <v>1995</v>
      </c>
      <c r="C171" s="648">
        <f t="shared" si="100"/>
        <v>1996</v>
      </c>
      <c r="D171" s="648">
        <f t="shared" si="100"/>
        <v>1997</v>
      </c>
      <c r="E171" s="648">
        <f t="shared" si="100"/>
        <v>1998</v>
      </c>
      <c r="F171" s="648">
        <f t="shared" si="100"/>
        <v>1999</v>
      </c>
      <c r="G171" s="648">
        <f t="shared" si="100"/>
        <v>2000</v>
      </c>
      <c r="H171" s="648">
        <f t="shared" si="100"/>
        <v>2001</v>
      </c>
      <c r="I171" s="648">
        <f t="shared" si="100"/>
        <v>2002</v>
      </c>
      <c r="J171" s="648">
        <f t="shared" si="100"/>
        <v>2003</v>
      </c>
      <c r="K171" s="648">
        <f t="shared" si="100"/>
        <v>2004</v>
      </c>
      <c r="L171" s="648">
        <f t="shared" si="100"/>
        <v>2005</v>
      </c>
      <c r="M171" s="648">
        <f t="shared" si="100"/>
        <v>2006</v>
      </c>
      <c r="N171" s="648">
        <f t="shared" si="100"/>
        <v>2007</v>
      </c>
      <c r="O171" s="648">
        <f t="shared" si="100"/>
        <v>2008</v>
      </c>
      <c r="P171" s="648">
        <f t="shared" si="100"/>
        <v>2009</v>
      </c>
      <c r="Q171" s="648">
        <f t="shared" si="100"/>
        <v>2010</v>
      </c>
      <c r="R171" s="658">
        <f t="shared" si="100"/>
        <v>2011</v>
      </c>
      <c r="S171" s="658">
        <f t="shared" si="100"/>
        <v>2012</v>
      </c>
      <c r="T171" s="648">
        <f t="shared" si="100"/>
        <v>2013</v>
      </c>
      <c r="U171" s="648">
        <f t="shared" si="100"/>
        <v>2014</v>
      </c>
      <c r="V171" s="648">
        <f t="shared" si="100"/>
        <v>2015</v>
      </c>
      <c r="W171" s="648">
        <f t="shared" si="100"/>
        <v>2016</v>
      </c>
      <c r="X171" s="648">
        <f t="shared" si="100"/>
        <v>2017</v>
      </c>
      <c r="Y171" s="648">
        <f t="shared" si="100"/>
        <v>2018</v>
      </c>
      <c r="Z171" s="648">
        <f t="shared" si="100"/>
        <v>2019</v>
      </c>
      <c r="AA171" s="648">
        <f t="shared" si="100"/>
        <v>2020</v>
      </c>
      <c r="AB171" s="648">
        <f t="shared" si="100"/>
        <v>2021</v>
      </c>
    </row>
    <row r="172" spans="1:28" s="576" customFormat="1" ht="11.25">
      <c r="A172" s="644" t="s">
        <v>108</v>
      </c>
      <c r="Q172" s="573"/>
      <c r="R172" s="573"/>
      <c r="S172" s="573"/>
      <c r="T172" s="702">
        <f t="shared" ref="T172:Y172" si="101">(-T43-T32-T44)*(1-T83)</f>
        <v>-1203.8</v>
      </c>
      <c r="U172" s="702">
        <f t="shared" si="101"/>
        <v>-1114.75</v>
      </c>
      <c r="V172" s="702">
        <f t="shared" si="101"/>
        <v>-874.25</v>
      </c>
      <c r="W172" s="702">
        <f>(-W43-W32-W44)*(1-W83)</f>
        <v>-874.9</v>
      </c>
      <c r="X172" s="702">
        <f t="shared" si="101"/>
        <v>-650</v>
      </c>
      <c r="Y172" s="702">
        <f t="shared" si="101"/>
        <v>-650</v>
      </c>
      <c r="Z172" s="702">
        <f>(-Z43-Z32-Z44)*(1-Z83)</f>
        <v>-650</v>
      </c>
      <c r="AA172" s="702">
        <f>(-AA43-AA32-AA44)*(1-AA83)</f>
        <v>-650</v>
      </c>
      <c r="AB172" s="702">
        <f>(-AB43-AB32-AB44)*(1-AB83)</f>
        <v>-650</v>
      </c>
    </row>
    <row r="173" spans="1:28" s="516" customFormat="1" ht="11.25">
      <c r="A173" s="644" t="s">
        <v>109</v>
      </c>
      <c r="Q173" s="573"/>
      <c r="R173" s="573"/>
      <c r="S173" s="573"/>
      <c r="T173" s="702">
        <f t="shared" ref="T173:Y173" si="102">-T13*(1-T83)</f>
        <v>804.7</v>
      </c>
      <c r="U173" s="702">
        <f t="shared" si="102"/>
        <v>1998.75</v>
      </c>
      <c r="V173" s="702">
        <f t="shared" si="102"/>
        <v>-585</v>
      </c>
      <c r="W173" s="702">
        <f>-W13*(1-W83)</f>
        <v>1249.95</v>
      </c>
      <c r="X173" s="702">
        <f t="shared" si="102"/>
        <v>-88.319919999999854</v>
      </c>
      <c r="Y173" s="702">
        <f t="shared" si="102"/>
        <v>-144.64892530399985</v>
      </c>
      <c r="Z173" s="702">
        <f>-Z13*(1-Z83)</f>
        <v>-102.96421122607345</v>
      </c>
      <c r="AA173" s="702">
        <f>-AA13*(1-AA83)</f>
        <v>-109.71579831637563</v>
      </c>
      <c r="AB173" s="702">
        <f>-AB13*(1-AB83)</f>
        <v>-131.19449503963233</v>
      </c>
    </row>
    <row r="174" spans="1:28" s="516" customFormat="1" ht="11.25">
      <c r="A174" s="644"/>
      <c r="N174" s="559"/>
      <c r="O174" s="559"/>
      <c r="R174" s="559"/>
    </row>
    <row r="175" spans="1:28" s="666" customFormat="1" ht="11.25">
      <c r="A175" s="665" t="s">
        <v>97</v>
      </c>
      <c r="B175" s="665"/>
      <c r="C175" s="665"/>
      <c r="D175" s="665"/>
      <c r="E175" s="665"/>
      <c r="F175" s="665"/>
      <c r="G175" s="665"/>
      <c r="H175" s="665"/>
      <c r="N175" s="666">
        <f t="shared" ref="N175:Y175" si="103">ROUND(-N166+N167+N172+N173,6)</f>
        <v>0</v>
      </c>
      <c r="O175" s="666">
        <f>ROUND(-O166+O167+O172+O173,6)</f>
        <v>0</v>
      </c>
      <c r="P175" s="666">
        <f>ROUND(-P166+P167+P172+P173,6)</f>
        <v>0</v>
      </c>
      <c r="Q175" s="666">
        <f t="shared" si="103"/>
        <v>0</v>
      </c>
      <c r="R175" s="667"/>
      <c r="S175" s="666">
        <f t="shared" si="103"/>
        <v>0</v>
      </c>
      <c r="T175" s="666">
        <f t="shared" si="103"/>
        <v>265.75</v>
      </c>
      <c r="U175" s="666">
        <f t="shared" si="103"/>
        <v>62.4</v>
      </c>
      <c r="V175" s="666">
        <f t="shared" si="103"/>
        <v>25.35</v>
      </c>
      <c r="W175" s="666">
        <f>ROUND(-W166+W167+W172+W173,6)</f>
        <v>53.95</v>
      </c>
      <c r="X175" s="666">
        <f t="shared" si="103"/>
        <v>0</v>
      </c>
      <c r="Y175" s="666">
        <f t="shared" si="103"/>
        <v>0</v>
      </c>
      <c r="Z175" s="666">
        <f>ROUND(-Z166+Z167+Z172+Z173,6)</f>
        <v>0</v>
      </c>
      <c r="AA175" s="666">
        <f>ROUND(-AA166+AA167+AA172+AA173,6)</f>
        <v>0</v>
      </c>
      <c r="AB175" s="666">
        <f>ROUND(-AB166+AB167+AB172+AB173,6)</f>
        <v>0</v>
      </c>
    </row>
  </sheetData>
  <pageMargins left="0.75" right="0.75" top="1" bottom="1" header="0.5" footer="0.5"/>
  <pageSetup paperSize="9" scale="52" fitToHeight="100" orientation="landscape" horizontalDpi="300" verticalDpi="300" r:id="rId1"/>
  <headerFooter alignWithMargins="0"/>
  <rowBreaks count="1" manualBreakCount="1">
    <brk id="80" max="16383" man="1"/>
  </rowBreaks>
  <colBreaks count="1" manualBreakCount="1">
    <brk id="11" max="1048575" man="1"/>
  </col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22"/>
  </sheetPr>
  <dimension ref="A1:IO140"/>
  <sheetViews>
    <sheetView showGridLines="0" zoomScaleNormal="100" workbookViewId="0">
      <pane xSplit="1" ySplit="3" topLeftCell="K4" activePane="bottomRight" state="frozen"/>
      <selection pane="topRight" activeCell="B1" sqref="B1"/>
      <selection pane="bottomLeft" activeCell="A4" sqref="A4"/>
      <selection pane="bottomRight" activeCell="V33" sqref="V33"/>
    </sheetView>
  </sheetViews>
  <sheetFormatPr defaultRowHeight="11.25" outlineLevelRow="1" outlineLevelCol="1"/>
  <cols>
    <col min="1" max="1" width="31.7109375" style="711" customWidth="1"/>
    <col min="2" max="6" width="9.7109375" style="711" hidden="1" customWidth="1" outlineLevel="1"/>
    <col min="7" max="10" width="9.7109375" style="704" hidden="1" customWidth="1" outlineLevel="1"/>
    <col min="11" max="11" width="9.7109375" style="704" customWidth="1" collapsed="1"/>
    <col min="12" max="28" width="9.7109375" style="704" customWidth="1"/>
    <col min="29" max="29" width="9.140625" style="704" customWidth="1"/>
    <col min="30" max="30" width="3.85546875" style="704" customWidth="1"/>
    <col min="31" max="31" width="35" style="704" customWidth="1"/>
    <col min="32" max="16384" width="9.140625" style="704"/>
  </cols>
  <sheetData>
    <row r="1" spans="1:41" ht="12">
      <c r="A1" s="703" t="s">
        <v>955</v>
      </c>
      <c r="B1" s="703"/>
      <c r="C1" s="703"/>
      <c r="D1" s="703"/>
      <c r="E1" s="703"/>
      <c r="F1" s="703"/>
      <c r="J1" s="705"/>
      <c r="K1" s="556"/>
      <c r="L1" s="556"/>
      <c r="M1" s="556"/>
      <c r="N1" s="706"/>
      <c r="O1" s="706"/>
      <c r="P1" s="706"/>
      <c r="Q1" s="706"/>
      <c r="R1" s="706"/>
      <c r="S1" s="706"/>
      <c r="T1" s="706"/>
      <c r="U1" s="706"/>
      <c r="V1" s="706"/>
      <c r="W1" s="706"/>
      <c r="X1" s="706"/>
      <c r="Y1" s="706"/>
      <c r="Z1" s="706"/>
      <c r="AA1" s="706"/>
      <c r="AB1" s="706"/>
      <c r="AE1" s="704" t="s">
        <v>956</v>
      </c>
      <c r="AF1" s="704" t="s">
        <v>957</v>
      </c>
      <c r="AG1" s="704" t="s">
        <v>958</v>
      </c>
      <c r="AH1" s="704" t="s">
        <v>959</v>
      </c>
      <c r="AI1" s="704" t="s">
        <v>960</v>
      </c>
      <c r="AJ1" s="704" t="s">
        <v>961</v>
      </c>
    </row>
    <row r="2" spans="1:41">
      <c r="A2" s="707"/>
      <c r="B2" s="707"/>
      <c r="C2" s="707"/>
      <c r="D2" s="707"/>
      <c r="E2" s="707"/>
      <c r="F2" s="707"/>
      <c r="I2" s="556"/>
      <c r="J2" s="556"/>
      <c r="K2" s="708"/>
      <c r="L2" s="556"/>
      <c r="M2" s="556"/>
    </row>
    <row r="3" spans="1:41" s="710" customFormat="1">
      <c r="A3" s="709" t="s">
        <v>39</v>
      </c>
      <c r="B3" s="507">
        <f>C3-1</f>
        <v>1995</v>
      </c>
      <c r="C3" s="507">
        <f>D3-1</f>
        <v>1996</v>
      </c>
      <c r="D3" s="507">
        <f>E3-1</f>
        <v>1997</v>
      </c>
      <c r="E3" s="507">
        <f>F3-1</f>
        <v>1998</v>
      </c>
      <c r="F3" s="507">
        <f>G3-1</f>
        <v>1999</v>
      </c>
      <c r="G3" s="507">
        <v>2000</v>
      </c>
      <c r="H3" s="507">
        <f t="shared" ref="H3:W3" si="0">G3+1</f>
        <v>2001</v>
      </c>
      <c r="I3" s="507">
        <f t="shared" si="0"/>
        <v>2002</v>
      </c>
      <c r="J3" s="507">
        <f t="shared" si="0"/>
        <v>2003</v>
      </c>
      <c r="K3" s="507">
        <f t="shared" si="0"/>
        <v>2004</v>
      </c>
      <c r="L3" s="507">
        <f t="shared" si="0"/>
        <v>2005</v>
      </c>
      <c r="M3" s="507">
        <f>L3+1</f>
        <v>2006</v>
      </c>
      <c r="N3" s="507">
        <f t="shared" si="0"/>
        <v>2007</v>
      </c>
      <c r="O3" s="507">
        <f t="shared" si="0"/>
        <v>2008</v>
      </c>
      <c r="P3" s="507">
        <f t="shared" si="0"/>
        <v>2009</v>
      </c>
      <c r="Q3" s="507">
        <f t="shared" si="0"/>
        <v>2010</v>
      </c>
      <c r="R3" s="507">
        <f t="shared" si="0"/>
        <v>2011</v>
      </c>
      <c r="S3" s="507">
        <f t="shared" si="0"/>
        <v>2012</v>
      </c>
      <c r="T3" s="507">
        <f t="shared" si="0"/>
        <v>2013</v>
      </c>
      <c r="U3" s="507">
        <f t="shared" si="0"/>
        <v>2014</v>
      </c>
      <c r="V3" s="507">
        <f t="shared" si="0"/>
        <v>2015</v>
      </c>
      <c r="W3" s="507">
        <f t="shared" si="0"/>
        <v>2016</v>
      </c>
      <c r="X3" s="508">
        <f>W3+1</f>
        <v>2017</v>
      </c>
      <c r="Y3" s="508">
        <f>X3+1</f>
        <v>2018</v>
      </c>
      <c r="Z3" s="508">
        <f>Y3+1</f>
        <v>2019</v>
      </c>
      <c r="AA3" s="508">
        <f>Z3+1</f>
        <v>2020</v>
      </c>
      <c r="AB3" s="508">
        <f>AA3+1</f>
        <v>2021</v>
      </c>
    </row>
    <row r="4" spans="1:41" s="714" customFormat="1">
      <c r="A4" s="711" t="s">
        <v>129</v>
      </c>
      <c r="B4" s="671"/>
      <c r="C4" s="671">
        <v>-268</v>
      </c>
      <c r="D4" s="671">
        <v>-242</v>
      </c>
      <c r="E4" s="671">
        <v>-265</v>
      </c>
      <c r="F4" s="671">
        <v>-275</v>
      </c>
      <c r="G4" s="671">
        <v>-320</v>
      </c>
      <c r="H4" s="671">
        <v>-374</v>
      </c>
      <c r="I4" s="671">
        <v>-427</v>
      </c>
      <c r="J4" s="671">
        <v>-521</v>
      </c>
      <c r="K4" s="671">
        <v>-542</v>
      </c>
      <c r="L4" s="671">
        <v>-710</v>
      </c>
      <c r="M4" s="671">
        <v>-617</v>
      </c>
      <c r="N4" s="712">
        <v>-369</v>
      </c>
      <c r="O4" s="712">
        <v>-326</v>
      </c>
      <c r="P4" s="712">
        <v>-408</v>
      </c>
      <c r="Q4" s="712">
        <v>-54</v>
      </c>
      <c r="R4" s="712">
        <v>-63</v>
      </c>
      <c r="S4" s="712">
        <v>-67</v>
      </c>
      <c r="T4" s="712">
        <v>-64</v>
      </c>
      <c r="U4" s="712">
        <v>-54</v>
      </c>
      <c r="V4" s="712">
        <f>-60</f>
        <v>-60</v>
      </c>
      <c r="W4" s="712">
        <v>-49</v>
      </c>
      <c r="X4" s="713">
        <f>W4*(1+X64)+X92+X93</f>
        <v>-50.719899999999996</v>
      </c>
      <c r="Y4" s="713">
        <f>X4*(1+Y64)+Y92+Y93</f>
        <v>-52.500168489999993</v>
      </c>
      <c r="Z4" s="713">
        <f>Y4*(1+Z64)+Z92+Z93</f>
        <v>-54.342924403998985</v>
      </c>
      <c r="AA4" s="713">
        <f>Z4*(1+AA64)+AA92+AA93</f>
        <v>-56.250361050579343</v>
      </c>
      <c r="AB4" s="713">
        <f>AA4*(1+AB64)+AB92+AB93</f>
        <v>-58.224748723454674</v>
      </c>
      <c r="AE4" s="714" t="s">
        <v>962</v>
      </c>
      <c r="AF4" s="714">
        <v>6</v>
      </c>
      <c r="AG4" s="714" t="s">
        <v>860</v>
      </c>
      <c r="AH4" s="715" t="b">
        <v>1</v>
      </c>
      <c r="AI4" s="714" t="b">
        <v>0</v>
      </c>
    </row>
    <row r="5" spans="1:41" s="714" customFormat="1">
      <c r="A5" s="711" t="s">
        <v>130</v>
      </c>
      <c r="B5" s="671"/>
      <c r="C5" s="671"/>
      <c r="D5" s="671"/>
      <c r="E5" s="671"/>
      <c r="F5" s="671"/>
      <c r="G5" s="671">
        <v>38</v>
      </c>
      <c r="H5" s="671">
        <v>114</v>
      </c>
      <c r="I5" s="671">
        <v>145</v>
      </c>
      <c r="J5" s="671">
        <v>179</v>
      </c>
      <c r="K5" s="671">
        <v>220</v>
      </c>
      <c r="L5" s="671">
        <v>245</v>
      </c>
      <c r="M5" s="671">
        <v>815</v>
      </c>
      <c r="N5" s="671">
        <v>996</v>
      </c>
      <c r="O5" s="671">
        <v>900</v>
      </c>
      <c r="P5" s="671">
        <v>913</v>
      </c>
      <c r="Q5" s="671">
        <v>617</v>
      </c>
      <c r="R5" s="671">
        <v>612</v>
      </c>
      <c r="S5" s="671">
        <v>545</v>
      </c>
      <c r="T5" s="671">
        <v>283</v>
      </c>
      <c r="U5" s="671">
        <v>229</v>
      </c>
      <c r="V5" s="671">
        <v>204</v>
      </c>
      <c r="W5" s="671">
        <v>142</v>
      </c>
      <c r="X5" s="716">
        <f>W5</f>
        <v>142</v>
      </c>
      <c r="Y5" s="716">
        <f>X5</f>
        <v>142</v>
      </c>
      <c r="Z5" s="716">
        <f>Y5</f>
        <v>142</v>
      </c>
      <c r="AA5" s="716">
        <f>Z5</f>
        <v>142</v>
      </c>
      <c r="AB5" s="716">
        <f>AA5</f>
        <v>142</v>
      </c>
      <c r="AE5" s="714" t="s">
        <v>963</v>
      </c>
      <c r="AF5" s="714">
        <v>6</v>
      </c>
      <c r="AG5" s="714" t="s">
        <v>860</v>
      </c>
      <c r="AH5" s="715" t="b">
        <v>1</v>
      </c>
      <c r="AI5" s="714" t="b">
        <v>0</v>
      </c>
    </row>
    <row r="6" spans="1:41" s="714" customFormat="1">
      <c r="A6" s="711" t="s">
        <v>131</v>
      </c>
      <c r="B6" s="671"/>
      <c r="C6" s="671">
        <v>-1195</v>
      </c>
      <c r="D6" s="671">
        <v>-1161</v>
      </c>
      <c r="E6" s="671">
        <f>-1183</f>
        <v>-1183</v>
      </c>
      <c r="F6" s="671">
        <v>-972</v>
      </c>
      <c r="G6" s="671">
        <v>-1483</v>
      </c>
      <c r="H6" s="671">
        <v>-1697</v>
      </c>
      <c r="I6" s="671">
        <v>-1801</v>
      </c>
      <c r="J6" s="671">
        <v>-2004</v>
      </c>
      <c r="K6" s="671">
        <v>-1964</v>
      </c>
      <c r="L6" s="671">
        <v>-2188</v>
      </c>
      <c r="M6" s="671">
        <v>-2004</v>
      </c>
      <c r="N6" s="712">
        <v>-1805</v>
      </c>
      <c r="O6" s="712">
        <v>-1456</v>
      </c>
      <c r="P6" s="712">
        <v>-899</v>
      </c>
      <c r="Q6" s="712">
        <v>-338</v>
      </c>
      <c r="R6" s="712">
        <v>-327</v>
      </c>
      <c r="S6" s="712">
        <v>-290</v>
      </c>
      <c r="T6" s="712">
        <v>-256</v>
      </c>
      <c r="U6" s="712">
        <v>-269</v>
      </c>
      <c r="V6" s="712">
        <f>-236</f>
        <v>-236</v>
      </c>
      <c r="W6" s="712">
        <v>-194</v>
      </c>
      <c r="X6" s="713">
        <f>(X17+(0.5*X20))*X63</f>
        <v>-226.96</v>
      </c>
      <c r="Y6" s="713">
        <f>(Y17+(0.5*Y20))*Y63</f>
        <v>-221.61815629999998</v>
      </c>
      <c r="Z6" s="713">
        <f>(Z17+(0.5*Z20))*Z63</f>
        <v>-236.0719289916</v>
      </c>
      <c r="AA6" s="713">
        <f>(AA17+(0.5*AA20))*AA63</f>
        <v>-244.86894928379516</v>
      </c>
      <c r="AB6" s="713">
        <f>(AB17+(0.5*AB20))*AB63</f>
        <v>-248.08129270635879</v>
      </c>
      <c r="AE6" s="714" t="s">
        <v>964</v>
      </c>
      <c r="AF6" s="714">
        <v>6</v>
      </c>
      <c r="AG6" s="714" t="s">
        <v>860</v>
      </c>
      <c r="AH6" s="715" t="b">
        <v>1</v>
      </c>
      <c r="AI6" s="714" t="b">
        <v>0</v>
      </c>
    </row>
    <row r="7" spans="1:41" s="714" customFormat="1">
      <c r="A7" s="711" t="s">
        <v>132</v>
      </c>
      <c r="B7" s="671"/>
      <c r="C7" s="671"/>
      <c r="D7" s="671"/>
      <c r="E7" s="671">
        <v>45</v>
      </c>
      <c r="F7" s="671">
        <v>82</v>
      </c>
      <c r="G7" s="671">
        <v>135</v>
      </c>
      <c r="H7" s="671">
        <v>161</v>
      </c>
      <c r="I7" s="671">
        <v>85</v>
      </c>
      <c r="J7" s="671">
        <v>37</v>
      </c>
      <c r="K7" s="671">
        <v>289</v>
      </c>
      <c r="L7" s="671">
        <v>500</v>
      </c>
      <c r="M7" s="671">
        <v>479</v>
      </c>
      <c r="N7" s="717">
        <v>256</v>
      </c>
      <c r="O7" s="717">
        <v>265</v>
      </c>
      <c r="P7" s="717">
        <v>130</v>
      </c>
      <c r="Q7" s="717">
        <v>0</v>
      </c>
      <c r="R7" s="717">
        <v>0</v>
      </c>
      <c r="S7" s="717">
        <f>(S28+0.5*S30+0.5*S32)*S65</f>
        <v>0</v>
      </c>
      <c r="T7" s="717">
        <f>(T28+0.5*T30+0.5*T32)*T65</f>
        <v>0</v>
      </c>
      <c r="U7" s="717">
        <v>0</v>
      </c>
      <c r="V7" s="718">
        <v>0</v>
      </c>
      <c r="W7" s="718">
        <v>0</v>
      </c>
      <c r="X7" s="718">
        <v>0</v>
      </c>
      <c r="Y7" s="718">
        <v>0</v>
      </c>
      <c r="Z7" s="718">
        <v>0</v>
      </c>
      <c r="AA7" s="718">
        <v>0</v>
      </c>
      <c r="AB7" s="718">
        <v>0</v>
      </c>
      <c r="AE7" s="714" t="s">
        <v>965</v>
      </c>
      <c r="AF7" s="714">
        <v>6</v>
      </c>
      <c r="AG7" s="714" t="s">
        <v>860</v>
      </c>
      <c r="AH7" s="714" t="b">
        <v>0</v>
      </c>
      <c r="AI7" s="714" t="b">
        <v>0</v>
      </c>
    </row>
    <row r="8" spans="1:41" s="714" customFormat="1">
      <c r="A8" s="711" t="s">
        <v>966</v>
      </c>
      <c r="B8" s="671"/>
      <c r="C8" s="671">
        <v>21</v>
      </c>
      <c r="D8" s="671">
        <v>-13</v>
      </c>
      <c r="E8" s="671">
        <v>-95</v>
      </c>
      <c r="F8" s="671"/>
      <c r="G8" s="671"/>
      <c r="H8" s="671"/>
      <c r="I8" s="671">
        <v>0</v>
      </c>
      <c r="J8" s="671">
        <v>0</v>
      </c>
      <c r="K8" s="671">
        <v>0</v>
      </c>
      <c r="L8" s="671">
        <v>0</v>
      </c>
      <c r="M8" s="671">
        <v>0</v>
      </c>
      <c r="N8" s="712">
        <v>0</v>
      </c>
      <c r="O8" s="712">
        <f t="shared" ref="O8:AB8" si="1">IF(ABS(N8)&gt;ABS(N43),N43,N8)</f>
        <v>0</v>
      </c>
      <c r="P8" s="712">
        <f t="shared" si="1"/>
        <v>0</v>
      </c>
      <c r="Q8" s="712">
        <f t="shared" si="1"/>
        <v>0</v>
      </c>
      <c r="R8" s="712">
        <v>0</v>
      </c>
      <c r="S8" s="712">
        <f t="shared" si="1"/>
        <v>0</v>
      </c>
      <c r="T8" s="712">
        <f t="shared" si="1"/>
        <v>0</v>
      </c>
      <c r="U8" s="712">
        <f t="shared" si="1"/>
        <v>0</v>
      </c>
      <c r="V8" s="713">
        <f t="shared" si="1"/>
        <v>0</v>
      </c>
      <c r="W8" s="713">
        <f t="shared" si="1"/>
        <v>0</v>
      </c>
      <c r="X8" s="713">
        <f t="shared" si="1"/>
        <v>0</v>
      </c>
      <c r="Y8" s="713">
        <f t="shared" si="1"/>
        <v>0</v>
      </c>
      <c r="Z8" s="713">
        <f t="shared" si="1"/>
        <v>0</v>
      </c>
      <c r="AA8" s="713">
        <f t="shared" si="1"/>
        <v>0</v>
      </c>
      <c r="AB8" s="713">
        <f t="shared" si="1"/>
        <v>0</v>
      </c>
      <c r="AE8" s="714" t="s">
        <v>967</v>
      </c>
      <c r="AF8" s="714">
        <v>6</v>
      </c>
      <c r="AG8" s="714" t="s">
        <v>860</v>
      </c>
      <c r="AH8" s="715" t="b">
        <v>1</v>
      </c>
      <c r="AI8" s="714" t="b">
        <v>0</v>
      </c>
    </row>
    <row r="9" spans="1:41" s="714" customFormat="1">
      <c r="A9" s="711" t="s">
        <v>133</v>
      </c>
      <c r="B9" s="675"/>
      <c r="C9" s="675">
        <v>48</v>
      </c>
      <c r="D9" s="675">
        <v>44</v>
      </c>
      <c r="E9" s="675">
        <v>42</v>
      </c>
      <c r="F9" s="675">
        <f>-77+35</f>
        <v>-42</v>
      </c>
      <c r="G9" s="675">
        <v>-28</v>
      </c>
      <c r="H9" s="675">
        <v>-161</v>
      </c>
      <c r="I9" s="675">
        <v>-310</v>
      </c>
      <c r="J9" s="675">
        <v>-532</v>
      </c>
      <c r="K9" s="675">
        <v>-610</v>
      </c>
      <c r="L9" s="675">
        <v>-893</v>
      </c>
      <c r="M9" s="675">
        <v>-763</v>
      </c>
      <c r="N9" s="675">
        <v>-817</v>
      </c>
      <c r="O9" s="675">
        <v>-267</v>
      </c>
      <c r="P9" s="675">
        <v>-82</v>
      </c>
      <c r="Q9" s="675">
        <v>-96</v>
      </c>
      <c r="R9" s="675">
        <v>-94</v>
      </c>
      <c r="S9" s="675">
        <v>-129</v>
      </c>
      <c r="T9" s="675">
        <v>-158</v>
      </c>
      <c r="U9" s="675">
        <v>-681</v>
      </c>
      <c r="V9" s="675">
        <v>292</v>
      </c>
      <c r="W9" s="675">
        <v>-220</v>
      </c>
      <c r="X9" s="719">
        <f>W9</f>
        <v>-220</v>
      </c>
      <c r="Y9" s="719">
        <f>X9</f>
        <v>-220</v>
      </c>
      <c r="Z9" s="719">
        <f>Y9</f>
        <v>-220</v>
      </c>
      <c r="AA9" s="719">
        <f>Z9</f>
        <v>-220</v>
      </c>
      <c r="AB9" s="719">
        <f>AA9</f>
        <v>-220</v>
      </c>
      <c r="AE9" s="714" t="s">
        <v>968</v>
      </c>
      <c r="AF9" s="714">
        <v>6</v>
      </c>
      <c r="AG9" s="714" t="s">
        <v>860</v>
      </c>
      <c r="AH9" s="714" t="b">
        <v>0</v>
      </c>
      <c r="AI9" s="714" t="b">
        <v>0</v>
      </c>
    </row>
    <row r="10" spans="1:41" s="714" customFormat="1">
      <c r="A10" s="711" t="s">
        <v>870</v>
      </c>
      <c r="B10" s="716">
        <f t="shared" ref="B10:Y10" si="2">SUM(B4:B9)</f>
        <v>0</v>
      </c>
      <c r="C10" s="716">
        <f t="shared" si="2"/>
        <v>-1394</v>
      </c>
      <c r="D10" s="716">
        <f t="shared" si="2"/>
        <v>-1372</v>
      </c>
      <c r="E10" s="716">
        <f t="shared" si="2"/>
        <v>-1456</v>
      </c>
      <c r="F10" s="716">
        <f t="shared" si="2"/>
        <v>-1207</v>
      </c>
      <c r="G10" s="716">
        <f t="shared" si="2"/>
        <v>-1658</v>
      </c>
      <c r="H10" s="716">
        <f t="shared" si="2"/>
        <v>-1957</v>
      </c>
      <c r="I10" s="716">
        <f t="shared" si="2"/>
        <v>-2308</v>
      </c>
      <c r="J10" s="716">
        <f t="shared" si="2"/>
        <v>-2841</v>
      </c>
      <c r="K10" s="716">
        <f t="shared" si="2"/>
        <v>-2607</v>
      </c>
      <c r="L10" s="716">
        <f t="shared" si="2"/>
        <v>-3046</v>
      </c>
      <c r="M10" s="716">
        <f t="shared" si="2"/>
        <v>-2090</v>
      </c>
      <c r="N10" s="716">
        <f t="shared" si="2"/>
        <v>-1739</v>
      </c>
      <c r="O10" s="716">
        <f t="shared" si="2"/>
        <v>-884</v>
      </c>
      <c r="P10" s="716">
        <f t="shared" si="2"/>
        <v>-346</v>
      </c>
      <c r="Q10" s="716">
        <f t="shared" si="2"/>
        <v>129</v>
      </c>
      <c r="R10" s="716">
        <f t="shared" si="2"/>
        <v>128</v>
      </c>
      <c r="S10" s="716">
        <f t="shared" si="2"/>
        <v>59</v>
      </c>
      <c r="T10" s="716">
        <f t="shared" si="2"/>
        <v>-195</v>
      </c>
      <c r="U10" s="716">
        <f t="shared" si="2"/>
        <v>-775</v>
      </c>
      <c r="V10" s="716">
        <f t="shared" si="2"/>
        <v>200</v>
      </c>
      <c r="W10" s="716">
        <f t="shared" si="2"/>
        <v>-321</v>
      </c>
      <c r="X10" s="716">
        <f t="shared" si="2"/>
        <v>-355.67989999999998</v>
      </c>
      <c r="Y10" s="716">
        <f t="shared" si="2"/>
        <v>-352.11832478999997</v>
      </c>
      <c r="Z10" s="716">
        <f>SUM(Z4:Z9)</f>
        <v>-368.41485339559898</v>
      </c>
      <c r="AA10" s="716">
        <f>SUM(AA4:AA9)</f>
        <v>-379.11931033437452</v>
      </c>
      <c r="AB10" s="716">
        <f>SUM(AB4:AB9)</f>
        <v>-384.30604142981349</v>
      </c>
    </row>
    <row r="11" spans="1:41" s="714" customFormat="1">
      <c r="A11" s="711"/>
      <c r="B11" s="716"/>
      <c r="C11" s="716"/>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row>
    <row r="12" spans="1:41" s="715" customFormat="1">
      <c r="A12" s="711" t="s">
        <v>969</v>
      </c>
      <c r="B12" s="675"/>
      <c r="C12" s="675"/>
      <c r="D12" s="675"/>
      <c r="E12" s="675"/>
      <c r="F12" s="675"/>
      <c r="G12" s="675">
        <f>-54+159</f>
        <v>105</v>
      </c>
      <c r="H12" s="675">
        <f>-114+149</f>
        <v>35</v>
      </c>
      <c r="I12" s="675">
        <f>228-16</f>
        <v>212</v>
      </c>
      <c r="J12" s="675">
        <f>-1646+314</f>
        <v>-1332</v>
      </c>
      <c r="K12" s="675">
        <v>228</v>
      </c>
      <c r="L12" s="675">
        <f>-1+246</f>
        <v>245</v>
      </c>
      <c r="M12" s="675">
        <f>-84-3-6</f>
        <v>-93</v>
      </c>
      <c r="N12" s="675">
        <f>-7+1332</f>
        <v>1325</v>
      </c>
      <c r="O12" s="675">
        <f>-13+2714</f>
        <v>2701</v>
      </c>
      <c r="P12" s="675">
        <f>-2-244</f>
        <v>-246</v>
      </c>
      <c r="Q12" s="675">
        <f>-1+30</f>
        <v>29</v>
      </c>
      <c r="R12" s="675">
        <f>-10+26</f>
        <v>16</v>
      </c>
      <c r="S12" s="675">
        <f>-2+11</f>
        <v>9</v>
      </c>
      <c r="T12" s="675">
        <v>2</v>
      </c>
      <c r="U12" s="675">
        <v>0</v>
      </c>
      <c r="V12" s="675">
        <f>-1</f>
        <v>-1</v>
      </c>
      <c r="W12" s="675">
        <v>0</v>
      </c>
      <c r="X12" s="720">
        <v>0</v>
      </c>
      <c r="Y12" s="720">
        <v>0</v>
      </c>
      <c r="Z12" s="720">
        <v>0</v>
      </c>
      <c r="AA12" s="720">
        <v>0</v>
      </c>
      <c r="AB12" s="720">
        <v>0</v>
      </c>
      <c r="AE12" s="714" t="s">
        <v>970</v>
      </c>
      <c r="AF12" s="714">
        <v>6</v>
      </c>
      <c r="AG12" s="714" t="s">
        <v>860</v>
      </c>
      <c r="AH12" s="715" t="b">
        <v>1</v>
      </c>
      <c r="AI12" s="714" t="b">
        <v>0</v>
      </c>
      <c r="AJ12" s="714"/>
      <c r="AK12" s="714"/>
      <c r="AL12" s="714"/>
      <c r="AM12" s="714"/>
      <c r="AN12" s="714"/>
      <c r="AO12" s="714"/>
    </row>
    <row r="13" spans="1:41" s="714" customFormat="1">
      <c r="A13" s="711" t="s">
        <v>971</v>
      </c>
      <c r="B13" s="714">
        <f t="shared" ref="B13:Y13" si="3">B10+B12</f>
        <v>0</v>
      </c>
      <c r="C13" s="714">
        <f t="shared" si="3"/>
        <v>-1394</v>
      </c>
      <c r="D13" s="714">
        <f t="shared" si="3"/>
        <v>-1372</v>
      </c>
      <c r="E13" s="714">
        <f t="shared" si="3"/>
        <v>-1456</v>
      </c>
      <c r="F13" s="714">
        <f t="shared" si="3"/>
        <v>-1207</v>
      </c>
      <c r="G13" s="714">
        <f t="shared" si="3"/>
        <v>-1553</v>
      </c>
      <c r="H13" s="714">
        <f t="shared" si="3"/>
        <v>-1922</v>
      </c>
      <c r="I13" s="714">
        <f t="shared" si="3"/>
        <v>-2096</v>
      </c>
      <c r="J13" s="714">
        <f t="shared" si="3"/>
        <v>-4173</v>
      </c>
      <c r="K13" s="714">
        <f t="shared" si="3"/>
        <v>-2379</v>
      </c>
      <c r="L13" s="714">
        <f t="shared" si="3"/>
        <v>-2801</v>
      </c>
      <c r="M13" s="714">
        <f t="shared" si="3"/>
        <v>-2183</v>
      </c>
      <c r="N13" s="714">
        <f t="shared" si="3"/>
        <v>-414</v>
      </c>
      <c r="O13" s="714">
        <f t="shared" si="3"/>
        <v>1817</v>
      </c>
      <c r="P13" s="714">
        <f t="shared" si="3"/>
        <v>-592</v>
      </c>
      <c r="Q13" s="714">
        <f t="shared" si="3"/>
        <v>158</v>
      </c>
      <c r="R13" s="714">
        <f t="shared" si="3"/>
        <v>144</v>
      </c>
      <c r="S13" s="714">
        <f t="shared" si="3"/>
        <v>68</v>
      </c>
      <c r="T13" s="714">
        <f t="shared" si="3"/>
        <v>-193</v>
      </c>
      <c r="U13" s="714">
        <f t="shared" si="3"/>
        <v>-775</v>
      </c>
      <c r="V13" s="714">
        <f t="shared" si="3"/>
        <v>199</v>
      </c>
      <c r="W13" s="714">
        <f t="shared" si="3"/>
        <v>-321</v>
      </c>
      <c r="X13" s="714">
        <f t="shared" si="3"/>
        <v>-355.67989999999998</v>
      </c>
      <c r="Y13" s="714">
        <f t="shared" si="3"/>
        <v>-352.11832478999997</v>
      </c>
      <c r="Z13" s="714">
        <f>Z10+Z12</f>
        <v>-368.41485339559898</v>
      </c>
      <c r="AA13" s="714">
        <f>AA10+AA12</f>
        <v>-379.11931033437452</v>
      </c>
      <c r="AB13" s="714">
        <f>AB10+AB12</f>
        <v>-384.30604142981349</v>
      </c>
    </row>
    <row r="14" spans="1:41" s="714" customFormat="1">
      <c r="A14" s="711"/>
      <c r="S14" s="531">
        <f t="shared" ref="S14:X14" si="4">SUM(S5:S9)</f>
        <v>126</v>
      </c>
      <c r="T14" s="531">
        <f t="shared" si="4"/>
        <v>-131</v>
      </c>
      <c r="U14" s="531">
        <f t="shared" si="4"/>
        <v>-721</v>
      </c>
      <c r="V14" s="531">
        <f t="shared" si="4"/>
        <v>260</v>
      </c>
      <c r="W14" s="531">
        <f t="shared" si="4"/>
        <v>-272</v>
      </c>
      <c r="X14" s="531">
        <f t="shared" si="4"/>
        <v>-304.96000000000004</v>
      </c>
      <c r="Y14" s="531">
        <f>SUM(Y5:Y9)</f>
        <v>-299.61815630000001</v>
      </c>
      <c r="Z14" s="531">
        <f>SUM(Z5:Z9)</f>
        <v>-314.07192899159998</v>
      </c>
      <c r="AA14" s="531">
        <f>SUM(AA5:AA9)</f>
        <v>-322.86894928379513</v>
      </c>
      <c r="AB14" s="531">
        <f>SUM(AB5:AB9)</f>
        <v>-326.08129270635879</v>
      </c>
    </row>
    <row r="15" spans="1:41">
      <c r="B15" s="586"/>
      <c r="C15" s="586"/>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row>
    <row r="16" spans="1:41" s="710" customFormat="1">
      <c r="A16" s="709" t="s">
        <v>335</v>
      </c>
      <c r="B16" s="721">
        <f t="shared" ref="B16:AB16" si="5">B$3</f>
        <v>1995</v>
      </c>
      <c r="C16" s="721">
        <f t="shared" si="5"/>
        <v>1996</v>
      </c>
      <c r="D16" s="721">
        <f t="shared" si="5"/>
        <v>1997</v>
      </c>
      <c r="E16" s="721">
        <f t="shared" si="5"/>
        <v>1998</v>
      </c>
      <c r="F16" s="721">
        <f t="shared" si="5"/>
        <v>1999</v>
      </c>
      <c r="G16" s="721">
        <f t="shared" si="5"/>
        <v>2000</v>
      </c>
      <c r="H16" s="721">
        <f t="shared" si="5"/>
        <v>2001</v>
      </c>
      <c r="I16" s="721">
        <f t="shared" si="5"/>
        <v>2002</v>
      </c>
      <c r="J16" s="721">
        <f t="shared" si="5"/>
        <v>2003</v>
      </c>
      <c r="K16" s="721">
        <f t="shared" si="5"/>
        <v>2004</v>
      </c>
      <c r="L16" s="721">
        <f t="shared" si="5"/>
        <v>2005</v>
      </c>
      <c r="M16" s="721">
        <f t="shared" si="5"/>
        <v>2006</v>
      </c>
      <c r="N16" s="721">
        <f t="shared" si="5"/>
        <v>2007</v>
      </c>
      <c r="O16" s="721">
        <f t="shared" si="5"/>
        <v>2008</v>
      </c>
      <c r="P16" s="721">
        <f t="shared" si="5"/>
        <v>2009</v>
      </c>
      <c r="Q16" s="721">
        <f t="shared" si="5"/>
        <v>2010</v>
      </c>
      <c r="R16" s="721">
        <f t="shared" si="5"/>
        <v>2011</v>
      </c>
      <c r="S16" s="721">
        <f t="shared" si="5"/>
        <v>2012</v>
      </c>
      <c r="T16" s="721">
        <f t="shared" si="5"/>
        <v>2013</v>
      </c>
      <c r="U16" s="721">
        <f t="shared" si="5"/>
        <v>2014</v>
      </c>
      <c r="V16" s="721">
        <f t="shared" si="5"/>
        <v>2015</v>
      </c>
      <c r="W16" s="721">
        <f t="shared" si="5"/>
        <v>2016</v>
      </c>
      <c r="X16" s="722">
        <f t="shared" si="5"/>
        <v>2017</v>
      </c>
      <c r="Y16" s="722">
        <f t="shared" si="5"/>
        <v>2018</v>
      </c>
      <c r="Z16" s="722">
        <f t="shared" si="5"/>
        <v>2019</v>
      </c>
      <c r="AA16" s="722">
        <f t="shared" si="5"/>
        <v>2020</v>
      </c>
      <c r="AB16" s="722">
        <f t="shared" si="5"/>
        <v>2021</v>
      </c>
    </row>
    <row r="17" spans="1:35">
      <c r="A17" s="711" t="s">
        <v>144</v>
      </c>
      <c r="B17" s="723"/>
      <c r="C17" s="724">
        <v>-25433</v>
      </c>
      <c r="D17" s="724">
        <v>-16503</v>
      </c>
      <c r="E17" s="723">
        <f>D26</f>
        <v>-17522</v>
      </c>
      <c r="F17" s="723">
        <v>-15230</v>
      </c>
      <c r="G17" s="723">
        <f>F26</f>
        <v>-15744</v>
      </c>
      <c r="H17" s="723">
        <f>G26</f>
        <v>-23374</v>
      </c>
      <c r="I17" s="725">
        <v>-25433</v>
      </c>
      <c r="J17" s="723">
        <f t="shared" ref="J17:AB17" si="6">I26</f>
        <v>-30263</v>
      </c>
      <c r="K17" s="723">
        <f>J26</f>
        <v>-32362</v>
      </c>
      <c r="L17" s="723">
        <f t="shared" si="6"/>
        <v>-39115</v>
      </c>
      <c r="M17" s="723">
        <f t="shared" si="6"/>
        <v>-39274</v>
      </c>
      <c r="N17" s="723">
        <f t="shared" si="6"/>
        <v>-30863</v>
      </c>
      <c r="O17" s="723">
        <f t="shared" si="6"/>
        <v>-28096</v>
      </c>
      <c r="P17" s="723">
        <f t="shared" si="6"/>
        <v>-19065</v>
      </c>
      <c r="Q17" s="723">
        <f t="shared" si="6"/>
        <v>-6053</v>
      </c>
      <c r="R17" s="723">
        <f t="shared" si="6"/>
        <v>-6423</v>
      </c>
      <c r="S17" s="723">
        <f t="shared" si="6"/>
        <v>-6593</v>
      </c>
      <c r="T17" s="723">
        <f t="shared" si="6"/>
        <v>-6810</v>
      </c>
      <c r="U17" s="723">
        <f t="shared" si="6"/>
        <v>-5889</v>
      </c>
      <c r="V17" s="723">
        <f t="shared" si="6"/>
        <v>-6375</v>
      </c>
      <c r="W17" s="723">
        <f t="shared" si="6"/>
        <v>-5701</v>
      </c>
      <c r="X17" s="723">
        <f t="shared" si="6"/>
        <v>-5865</v>
      </c>
      <c r="Y17" s="723">
        <f t="shared" si="6"/>
        <v>-6180.6799000000001</v>
      </c>
      <c r="Z17" s="723">
        <f t="shared" si="6"/>
        <v>-6092.7982247899999</v>
      </c>
      <c r="AA17" s="723">
        <f t="shared" si="6"/>
        <v>-6021.2130781855985</v>
      </c>
      <c r="AB17" s="723">
        <f t="shared" si="6"/>
        <v>-5960.3323885199725</v>
      </c>
    </row>
    <row r="18" spans="1:35">
      <c r="A18" s="726" t="s">
        <v>129</v>
      </c>
      <c r="B18" s="708"/>
      <c r="C18" s="708">
        <f t="shared" ref="C18:W18" si="7">C4</f>
        <v>-268</v>
      </c>
      <c r="D18" s="708">
        <f t="shared" si="7"/>
        <v>-242</v>
      </c>
      <c r="E18" s="708">
        <f t="shared" si="7"/>
        <v>-265</v>
      </c>
      <c r="F18" s="708">
        <f t="shared" si="7"/>
        <v>-275</v>
      </c>
      <c r="G18" s="708">
        <f t="shared" si="7"/>
        <v>-320</v>
      </c>
      <c r="H18" s="708">
        <f t="shared" si="7"/>
        <v>-374</v>
      </c>
      <c r="I18" s="708">
        <f t="shared" si="7"/>
        <v>-427</v>
      </c>
      <c r="J18" s="708">
        <f t="shared" si="7"/>
        <v>-521</v>
      </c>
      <c r="K18" s="708">
        <f t="shared" si="7"/>
        <v>-542</v>
      </c>
      <c r="L18" s="708">
        <f t="shared" si="7"/>
        <v>-710</v>
      </c>
      <c r="M18" s="708">
        <f>M4</f>
        <v>-617</v>
      </c>
      <c r="N18" s="708">
        <f t="shared" si="7"/>
        <v>-369</v>
      </c>
      <c r="O18" s="708">
        <f t="shared" si="7"/>
        <v>-326</v>
      </c>
      <c r="P18" s="708">
        <f t="shared" si="7"/>
        <v>-408</v>
      </c>
      <c r="Q18" s="708">
        <f t="shared" si="7"/>
        <v>-54</v>
      </c>
      <c r="R18" s="708">
        <f t="shared" si="7"/>
        <v>-63</v>
      </c>
      <c r="S18" s="708">
        <f t="shared" si="7"/>
        <v>-67</v>
      </c>
      <c r="T18" s="708">
        <f t="shared" si="7"/>
        <v>-64</v>
      </c>
      <c r="U18" s="708">
        <f t="shared" si="7"/>
        <v>-54</v>
      </c>
      <c r="V18" s="708">
        <f t="shared" si="7"/>
        <v>-60</v>
      </c>
      <c r="W18" s="708">
        <f t="shared" si="7"/>
        <v>-49</v>
      </c>
      <c r="X18" s="708">
        <f>X4</f>
        <v>-50.719899999999996</v>
      </c>
      <c r="Y18" s="708">
        <f>Y4</f>
        <v>-52.500168489999993</v>
      </c>
      <c r="Z18" s="708">
        <f>Z4</f>
        <v>-54.342924403998985</v>
      </c>
      <c r="AA18" s="708">
        <f>AA4</f>
        <v>-56.250361050579343</v>
      </c>
      <c r="AB18" s="708">
        <f>AB4</f>
        <v>-58.224748723454674</v>
      </c>
    </row>
    <row r="19" spans="1:35">
      <c r="A19" s="726" t="s">
        <v>131</v>
      </c>
      <c r="B19" s="708"/>
      <c r="C19" s="708">
        <f>C6</f>
        <v>-1195</v>
      </c>
      <c r="D19" s="708">
        <f>D6</f>
        <v>-1161</v>
      </c>
      <c r="E19" s="708">
        <f>E6</f>
        <v>-1183</v>
      </c>
      <c r="F19" s="708">
        <v>-971</v>
      </c>
      <c r="G19" s="708">
        <f>G6</f>
        <v>-1483</v>
      </c>
      <c r="H19" s="708">
        <f>H6</f>
        <v>-1697</v>
      </c>
      <c r="I19" s="708">
        <f t="shared" ref="I19:W19" si="8">I6</f>
        <v>-1801</v>
      </c>
      <c r="J19" s="708">
        <f t="shared" si="8"/>
        <v>-2004</v>
      </c>
      <c r="K19" s="708">
        <v>-1965</v>
      </c>
      <c r="L19" s="727">
        <f t="shared" si="8"/>
        <v>-2188</v>
      </c>
      <c r="M19" s="727">
        <f>M6</f>
        <v>-2004</v>
      </c>
      <c r="N19" s="727">
        <f t="shared" si="8"/>
        <v>-1805</v>
      </c>
      <c r="O19" s="727">
        <f t="shared" si="8"/>
        <v>-1456</v>
      </c>
      <c r="P19" s="727">
        <f t="shared" si="8"/>
        <v>-899</v>
      </c>
      <c r="Q19" s="727">
        <f t="shared" si="8"/>
        <v>-338</v>
      </c>
      <c r="R19" s="727">
        <f t="shared" si="8"/>
        <v>-327</v>
      </c>
      <c r="S19" s="727">
        <f t="shared" si="8"/>
        <v>-290</v>
      </c>
      <c r="T19" s="727">
        <f t="shared" si="8"/>
        <v>-256</v>
      </c>
      <c r="U19" s="727">
        <f t="shared" si="8"/>
        <v>-269</v>
      </c>
      <c r="V19" s="727">
        <f t="shared" si="8"/>
        <v>-236</v>
      </c>
      <c r="W19" s="727">
        <f t="shared" si="8"/>
        <v>-194</v>
      </c>
      <c r="X19" s="727">
        <f>X6</f>
        <v>-226.96</v>
      </c>
      <c r="Y19" s="727">
        <f>Y6</f>
        <v>-221.61815629999998</v>
      </c>
      <c r="Z19" s="727">
        <f>Z6</f>
        <v>-236.0719289916</v>
      </c>
      <c r="AA19" s="727">
        <f>AA6</f>
        <v>-244.86894928379516</v>
      </c>
      <c r="AB19" s="727">
        <f>AB6</f>
        <v>-248.08129270635879</v>
      </c>
    </row>
    <row r="20" spans="1:35">
      <c r="A20" s="726" t="s">
        <v>145</v>
      </c>
      <c r="B20" s="728"/>
      <c r="C20" s="728"/>
      <c r="D20" s="728">
        <v>794</v>
      </c>
      <c r="E20" s="728">
        <v>846</v>
      </c>
      <c r="F20" s="728">
        <v>742</v>
      </c>
      <c r="G20" s="728">
        <v>1055</v>
      </c>
      <c r="H20" s="728">
        <v>1145</v>
      </c>
      <c r="I20" s="728">
        <v>1232</v>
      </c>
      <c r="J20" s="728">
        <v>1419</v>
      </c>
      <c r="K20" s="728">
        <v>1540</v>
      </c>
      <c r="L20" s="728">
        <v>1576</v>
      </c>
      <c r="M20" s="728">
        <v>1547</v>
      </c>
      <c r="N20" s="728">
        <v>1699</v>
      </c>
      <c r="O20" s="728">
        <v>1628</v>
      </c>
      <c r="P20" s="728">
        <v>1673</v>
      </c>
      <c r="Q20" s="729">
        <v>458</v>
      </c>
      <c r="R20" s="729">
        <v>473</v>
      </c>
      <c r="S20" s="729">
        <v>454</v>
      </c>
      <c r="T20" s="729">
        <v>421</v>
      </c>
      <c r="U20" s="729">
        <v>406</v>
      </c>
      <c r="V20" s="729">
        <f>402</f>
        <v>402</v>
      </c>
      <c r="W20" s="729">
        <v>382</v>
      </c>
      <c r="X20" s="729">
        <f t="shared" ref="X20:AB21" si="9">W20</f>
        <v>382</v>
      </c>
      <c r="Y20" s="729">
        <f t="shared" si="9"/>
        <v>382</v>
      </c>
      <c r="Z20" s="729">
        <f t="shared" si="9"/>
        <v>382</v>
      </c>
      <c r="AA20" s="729">
        <f t="shared" si="9"/>
        <v>382</v>
      </c>
      <c r="AB20" s="729">
        <f t="shared" si="9"/>
        <v>382</v>
      </c>
      <c r="AE20" s="704" t="s">
        <v>972</v>
      </c>
      <c r="AF20" s="704">
        <v>6</v>
      </c>
      <c r="AG20" s="704" t="s">
        <v>860</v>
      </c>
      <c r="AH20" s="704" t="b">
        <v>0</v>
      </c>
      <c r="AI20" s="704" t="b">
        <v>0</v>
      </c>
    </row>
    <row r="21" spans="1:35">
      <c r="A21" s="726" t="s">
        <v>150</v>
      </c>
      <c r="B21" s="728"/>
      <c r="C21" s="728"/>
      <c r="D21" s="728"/>
      <c r="E21" s="728"/>
      <c r="F21" s="728"/>
      <c r="G21" s="728"/>
      <c r="H21" s="728"/>
      <c r="I21" s="728">
        <v>-14</v>
      </c>
      <c r="J21" s="728">
        <v>-28</v>
      </c>
      <c r="K21" s="728">
        <v>-31</v>
      </c>
      <c r="L21" s="728">
        <v>-33</v>
      </c>
      <c r="M21" s="728">
        <v>-44</v>
      </c>
      <c r="N21" s="728">
        <v>-64</v>
      </c>
      <c r="O21" s="728">
        <v>-42</v>
      </c>
      <c r="P21" s="728">
        <v>-40</v>
      </c>
      <c r="Q21" s="728">
        <v>-18</v>
      </c>
      <c r="R21" s="728">
        <v>-29</v>
      </c>
      <c r="S21" s="728">
        <v>-29</v>
      </c>
      <c r="T21" s="728">
        <v>-27</v>
      </c>
      <c r="U21" s="728">
        <v>-23</v>
      </c>
      <c r="V21" s="728">
        <v>-23</v>
      </c>
      <c r="W21" s="728">
        <v>-20</v>
      </c>
      <c r="X21" s="730">
        <f t="shared" si="9"/>
        <v>-20</v>
      </c>
      <c r="Y21" s="730">
        <f t="shared" si="9"/>
        <v>-20</v>
      </c>
      <c r="Z21" s="730">
        <f t="shared" si="9"/>
        <v>-20</v>
      </c>
      <c r="AA21" s="730">
        <f t="shared" si="9"/>
        <v>-20</v>
      </c>
      <c r="AB21" s="730">
        <f t="shared" si="9"/>
        <v>-20</v>
      </c>
    </row>
    <row r="22" spans="1:35">
      <c r="A22" s="726" t="s">
        <v>973</v>
      </c>
      <c r="B22" s="728"/>
      <c r="C22" s="728"/>
      <c r="D22" s="728">
        <v>-425</v>
      </c>
      <c r="E22" s="728">
        <v>-1180</v>
      </c>
      <c r="F22" s="728">
        <v>103</v>
      </c>
      <c r="G22" s="728">
        <v>-3338</v>
      </c>
      <c r="H22" s="728">
        <v>-1968</v>
      </c>
      <c r="I22" s="728">
        <v>-4064</v>
      </c>
      <c r="J22" s="728">
        <v>-1325</v>
      </c>
      <c r="K22" s="728">
        <v>-5667</v>
      </c>
      <c r="L22" s="728">
        <v>-1868</v>
      </c>
      <c r="M22" s="728">
        <v>4300</v>
      </c>
      <c r="N22" s="671">
        <v>3782</v>
      </c>
      <c r="O22" s="671">
        <v>7901</v>
      </c>
      <c r="P22" s="671">
        <v>-804</v>
      </c>
      <c r="Q22" s="671">
        <v>-391</v>
      </c>
      <c r="R22" s="671">
        <v>-388</v>
      </c>
      <c r="S22" s="671">
        <v>-391</v>
      </c>
      <c r="T22" s="671">
        <v>705</v>
      </c>
      <c r="U22" s="671">
        <f>-681</f>
        <v>-681</v>
      </c>
      <c r="V22" s="671">
        <v>292</v>
      </c>
      <c r="W22" s="671">
        <v>-220</v>
      </c>
      <c r="X22" s="1076">
        <v>-400</v>
      </c>
      <c r="Y22" s="716">
        <f>Y84+Y85</f>
        <v>0</v>
      </c>
      <c r="Z22" s="716">
        <f>Z84+Z85</f>
        <v>0</v>
      </c>
      <c r="AA22" s="716">
        <f>AA84+AA85</f>
        <v>0</v>
      </c>
      <c r="AB22" s="716">
        <f>AB84+AB85</f>
        <v>0</v>
      </c>
    </row>
    <row r="23" spans="1:35">
      <c r="A23" s="726" t="s">
        <v>974</v>
      </c>
      <c r="B23" s="728"/>
      <c r="C23" s="728"/>
      <c r="D23" s="728"/>
      <c r="E23" s="728"/>
      <c r="F23" s="728">
        <v>-8</v>
      </c>
      <c r="G23" s="728">
        <v>226</v>
      </c>
      <c r="H23" s="728">
        <v>923</v>
      </c>
      <c r="I23" s="728">
        <v>264</v>
      </c>
      <c r="J23" s="728">
        <v>372</v>
      </c>
      <c r="K23" s="728">
        <v>-2</v>
      </c>
      <c r="L23" s="728">
        <v>3155</v>
      </c>
      <c r="M23" s="728">
        <v>5268</v>
      </c>
      <c r="N23" s="671">
        <v>20</v>
      </c>
      <c r="O23" s="671">
        <v>928</v>
      </c>
      <c r="P23" s="671">
        <v>175</v>
      </c>
      <c r="Q23" s="716">
        <v>71</v>
      </c>
      <c r="R23" s="716">
        <v>62</v>
      </c>
      <c r="S23" s="716">
        <v>156</v>
      </c>
      <c r="T23" s="716">
        <v>0</v>
      </c>
      <c r="U23" s="716">
        <v>0</v>
      </c>
      <c r="V23" s="716">
        <f>-1</f>
        <v>-1</v>
      </c>
      <c r="W23" s="716">
        <v>-14</v>
      </c>
      <c r="X23" s="716">
        <v>0</v>
      </c>
      <c r="Y23" s="716">
        <v>0</v>
      </c>
      <c r="Z23" s="716">
        <v>0</v>
      </c>
      <c r="AA23" s="716">
        <v>0</v>
      </c>
      <c r="AB23" s="716">
        <v>0</v>
      </c>
    </row>
    <row r="24" spans="1:35">
      <c r="A24" s="726" t="s">
        <v>975</v>
      </c>
      <c r="B24" s="728"/>
      <c r="C24" s="728"/>
      <c r="D24" s="728"/>
      <c r="E24" s="728"/>
      <c r="F24" s="728"/>
      <c r="G24" s="728"/>
      <c r="H24" s="728"/>
      <c r="I24" s="728">
        <v>-16</v>
      </c>
      <c r="J24" s="728">
        <v>0</v>
      </c>
      <c r="K24" s="728">
        <v>0</v>
      </c>
      <c r="L24" s="728">
        <v>0</v>
      </c>
      <c r="M24" s="728">
        <v>0</v>
      </c>
      <c r="N24" s="671">
        <v>0</v>
      </c>
      <c r="O24" s="671">
        <f>1</f>
        <v>1</v>
      </c>
      <c r="P24" s="671">
        <v>13637</v>
      </c>
      <c r="Q24" s="671">
        <v>0</v>
      </c>
      <c r="R24" s="671">
        <f>50-10</f>
        <v>40</v>
      </c>
      <c r="S24" s="671">
        <v>0</v>
      </c>
      <c r="T24" s="671">
        <v>0</v>
      </c>
      <c r="U24" s="671">
        <v>0</v>
      </c>
      <c r="V24" s="716">
        <v>0</v>
      </c>
      <c r="W24" s="716">
        <v>0</v>
      </c>
      <c r="X24" s="716">
        <v>0</v>
      </c>
      <c r="Y24" s="716">
        <v>0</v>
      </c>
      <c r="Z24" s="716">
        <v>0</v>
      </c>
      <c r="AA24" s="716">
        <v>0</v>
      </c>
      <c r="AB24" s="716">
        <v>0</v>
      </c>
    </row>
    <row r="25" spans="1:35">
      <c r="A25" s="726" t="s">
        <v>72</v>
      </c>
      <c r="B25" s="728"/>
      <c r="C25" s="728"/>
      <c r="D25" s="728">
        <v>15</v>
      </c>
      <c r="E25" s="728">
        <f>22+130-63</f>
        <v>89</v>
      </c>
      <c r="F25" s="728">
        <f>-46-37-22</f>
        <v>-105</v>
      </c>
      <c r="G25" s="728">
        <f>-2-3714-54</f>
        <v>-3770</v>
      </c>
      <c r="H25" s="728">
        <f>-114+26</f>
        <v>-88</v>
      </c>
      <c r="I25" s="728">
        <v>-4</v>
      </c>
      <c r="J25" s="728">
        <v>-12</v>
      </c>
      <c r="K25" s="728">
        <v>-86</v>
      </c>
      <c r="L25" s="728">
        <f>-1-110+20</f>
        <v>-91</v>
      </c>
      <c r="M25" s="728">
        <f>-84+47-2</f>
        <v>-39</v>
      </c>
      <c r="N25" s="671">
        <f>-7-6-85-398</f>
        <v>-496</v>
      </c>
      <c r="O25" s="671">
        <f>-13-68+478</f>
        <v>397</v>
      </c>
      <c r="P25" s="671">
        <f>-253-67-2</f>
        <v>-322</v>
      </c>
      <c r="Q25" s="671">
        <f>-1-97</f>
        <v>-98</v>
      </c>
      <c r="R25" s="671">
        <v>62</v>
      </c>
      <c r="S25" s="671">
        <f>-47-3</f>
        <v>-50</v>
      </c>
      <c r="T25" s="671">
        <f>131+11</f>
        <v>142</v>
      </c>
      <c r="U25" s="671">
        <v>135</v>
      </c>
      <c r="V25" s="671">
        <f>-1+301</f>
        <v>300</v>
      </c>
      <c r="W25" s="671">
        <v>-49</v>
      </c>
      <c r="X25" s="716">
        <v>0</v>
      </c>
      <c r="Y25" s="716">
        <v>0</v>
      </c>
      <c r="Z25" s="716">
        <v>0</v>
      </c>
      <c r="AA25" s="716">
        <v>0</v>
      </c>
      <c r="AB25" s="716">
        <v>0</v>
      </c>
    </row>
    <row r="26" spans="1:35">
      <c r="A26" s="711" t="s">
        <v>146</v>
      </c>
      <c r="B26" s="723"/>
      <c r="C26" s="723">
        <f t="shared" ref="C26:Y26" si="10">SUM(C17:C25)</f>
        <v>-26896</v>
      </c>
      <c r="D26" s="723">
        <f t="shared" si="10"/>
        <v>-17522</v>
      </c>
      <c r="E26" s="723">
        <f t="shared" si="10"/>
        <v>-19215</v>
      </c>
      <c r="F26" s="723">
        <f t="shared" si="10"/>
        <v>-15744</v>
      </c>
      <c r="G26" s="723">
        <f t="shared" si="10"/>
        <v>-23374</v>
      </c>
      <c r="H26" s="723">
        <f t="shared" si="10"/>
        <v>-25433</v>
      </c>
      <c r="I26" s="723">
        <f t="shared" si="10"/>
        <v>-30263</v>
      </c>
      <c r="J26" s="723">
        <f t="shared" si="10"/>
        <v>-32362</v>
      </c>
      <c r="K26" s="731">
        <f t="shared" si="10"/>
        <v>-39115</v>
      </c>
      <c r="L26" s="731">
        <f t="shared" si="10"/>
        <v>-39274</v>
      </c>
      <c r="M26" s="731">
        <f t="shared" si="10"/>
        <v>-30863</v>
      </c>
      <c r="N26" s="723">
        <f t="shared" si="10"/>
        <v>-28096</v>
      </c>
      <c r="O26" s="723">
        <f t="shared" si="10"/>
        <v>-19065</v>
      </c>
      <c r="P26" s="723">
        <f t="shared" si="10"/>
        <v>-6053</v>
      </c>
      <c r="Q26" s="723">
        <f t="shared" si="10"/>
        <v>-6423</v>
      </c>
      <c r="R26" s="723">
        <f t="shared" si="10"/>
        <v>-6593</v>
      </c>
      <c r="S26" s="723">
        <f t="shared" si="10"/>
        <v>-6810</v>
      </c>
      <c r="T26" s="723">
        <f t="shared" si="10"/>
        <v>-5889</v>
      </c>
      <c r="U26" s="723">
        <f t="shared" si="10"/>
        <v>-6375</v>
      </c>
      <c r="V26" s="723">
        <f t="shared" si="10"/>
        <v>-5701</v>
      </c>
      <c r="W26" s="723">
        <f t="shared" si="10"/>
        <v>-5865</v>
      </c>
      <c r="X26" s="1075">
        <f>SUM(X17:X25)</f>
        <v>-6180.6799000000001</v>
      </c>
      <c r="Y26" s="723">
        <f t="shared" si="10"/>
        <v>-6092.7982247899999</v>
      </c>
      <c r="Z26" s="723">
        <f>SUM(Z17:Z25)</f>
        <v>-6021.2130781855985</v>
      </c>
      <c r="AA26" s="723">
        <f>SUM(AA17:AA25)</f>
        <v>-5960.3323885199725</v>
      </c>
      <c r="AB26" s="723">
        <f>SUM(AB17:AB25)</f>
        <v>-5904.6384299497859</v>
      </c>
      <c r="AE26" s="704" t="s">
        <v>976</v>
      </c>
      <c r="AF26" s="704">
        <v>6</v>
      </c>
      <c r="AG26" s="704" t="s">
        <v>860</v>
      </c>
      <c r="AH26" s="732" t="b">
        <v>1</v>
      </c>
      <c r="AI26" s="704" t="b">
        <v>0</v>
      </c>
    </row>
    <row r="27" spans="1:35">
      <c r="B27" s="733"/>
      <c r="C27" s="733"/>
      <c r="D27" s="733"/>
      <c r="E27" s="733"/>
      <c r="F27" s="733"/>
      <c r="G27" s="733"/>
      <c r="H27" s="733"/>
      <c r="I27" s="733"/>
      <c r="J27" s="733"/>
      <c r="K27" s="708"/>
      <c r="L27" s="708"/>
      <c r="M27" s="708"/>
      <c r="N27" s="708"/>
      <c r="O27" s="708"/>
      <c r="P27" s="708"/>
      <c r="Q27" s="708"/>
      <c r="R27" s="708"/>
      <c r="S27" s="708"/>
      <c r="T27" s="708"/>
      <c r="U27" s="708"/>
      <c r="V27" s="708"/>
      <c r="W27" s="708"/>
      <c r="X27" s="708"/>
      <c r="Y27" s="708"/>
      <c r="Z27" s="708"/>
      <c r="AA27" s="708"/>
      <c r="AB27" s="708"/>
    </row>
    <row r="28" spans="1:35" s="714" customFormat="1">
      <c r="A28" s="711" t="s">
        <v>147</v>
      </c>
      <c r="B28" s="734"/>
      <c r="C28" s="734">
        <v>0</v>
      </c>
      <c r="D28" s="734">
        <v>0</v>
      </c>
      <c r="E28" s="734">
        <f>D35</f>
        <v>736</v>
      </c>
      <c r="F28" s="734">
        <v>1501</v>
      </c>
      <c r="G28" s="734">
        <f>F35</f>
        <v>1258</v>
      </c>
      <c r="H28" s="734">
        <f>G35</f>
        <v>3135</v>
      </c>
      <c r="I28" s="735">
        <v>2692</v>
      </c>
      <c r="J28" s="734">
        <f t="shared" ref="J28:AB28" si="11">I35</f>
        <v>2834</v>
      </c>
      <c r="K28" s="734">
        <f>J35</f>
        <v>3565</v>
      </c>
      <c r="L28" s="734">
        <f t="shared" si="11"/>
        <v>6762</v>
      </c>
      <c r="M28" s="734">
        <f t="shared" si="11"/>
        <v>6497</v>
      </c>
      <c r="N28" s="734">
        <f t="shared" si="11"/>
        <v>4921</v>
      </c>
      <c r="O28" s="734">
        <f t="shared" si="11"/>
        <v>3875</v>
      </c>
      <c r="P28" s="734">
        <f t="shared" si="11"/>
        <v>2786</v>
      </c>
      <c r="Q28" s="734">
        <f t="shared" si="11"/>
        <v>0</v>
      </c>
      <c r="R28" s="734">
        <f t="shared" si="11"/>
        <v>0</v>
      </c>
      <c r="S28" s="734">
        <f t="shared" si="11"/>
        <v>0</v>
      </c>
      <c r="T28" s="734">
        <f t="shared" si="11"/>
        <v>0</v>
      </c>
      <c r="U28" s="734">
        <f t="shared" si="11"/>
        <v>0</v>
      </c>
      <c r="V28" s="734">
        <f t="shared" si="11"/>
        <v>0</v>
      </c>
      <c r="W28" s="734">
        <f t="shared" si="11"/>
        <v>0</v>
      </c>
      <c r="X28" s="734">
        <f t="shared" si="11"/>
        <v>0</v>
      </c>
      <c r="Y28" s="734">
        <f t="shared" si="11"/>
        <v>0</v>
      </c>
      <c r="Z28" s="734">
        <f t="shared" si="11"/>
        <v>0</v>
      </c>
      <c r="AA28" s="734">
        <f t="shared" si="11"/>
        <v>0</v>
      </c>
      <c r="AB28" s="734">
        <f t="shared" si="11"/>
        <v>0</v>
      </c>
    </row>
    <row r="29" spans="1:35" s="714" customFormat="1">
      <c r="A29" s="726" t="s">
        <v>148</v>
      </c>
      <c r="B29" s="671"/>
      <c r="C29" s="671"/>
      <c r="D29" s="671"/>
      <c r="E29" s="671">
        <v>45</v>
      </c>
      <c r="F29" s="671">
        <v>55</v>
      </c>
      <c r="G29" s="671">
        <v>168</v>
      </c>
      <c r="H29" s="671">
        <v>200</v>
      </c>
      <c r="I29" s="671">
        <v>64</v>
      </c>
      <c r="J29" s="671">
        <v>10</v>
      </c>
      <c r="K29" s="671">
        <v>397</v>
      </c>
      <c r="L29" s="671">
        <v>621</v>
      </c>
      <c r="M29" s="671">
        <v>510</v>
      </c>
      <c r="N29" s="671">
        <v>79</v>
      </c>
      <c r="O29" s="671">
        <v>-1011</v>
      </c>
      <c r="P29" s="671">
        <v>792</v>
      </c>
      <c r="Q29" s="716">
        <f t="shared" ref="Q29:X29" si="12">(Q28+(0.5*Q32+0.5*Q30))*Q66</f>
        <v>0</v>
      </c>
      <c r="R29" s="716">
        <f t="shared" si="12"/>
        <v>0</v>
      </c>
      <c r="S29" s="716">
        <f t="shared" si="12"/>
        <v>0</v>
      </c>
      <c r="T29" s="716">
        <f t="shared" si="12"/>
        <v>0</v>
      </c>
      <c r="U29" s="716">
        <f t="shared" si="12"/>
        <v>0</v>
      </c>
      <c r="V29" s="716">
        <f t="shared" si="12"/>
        <v>0</v>
      </c>
      <c r="W29" s="716">
        <f t="shared" si="12"/>
        <v>0</v>
      </c>
      <c r="X29" s="716">
        <f t="shared" si="12"/>
        <v>0</v>
      </c>
      <c r="Y29" s="716">
        <f>(Y28+(0.5*Y32+0.5*Y30))*Y66</f>
        <v>0</v>
      </c>
      <c r="Z29" s="716">
        <f>(Z28+(0.5*Z32+0.5*Z30))*Z66</f>
        <v>0</v>
      </c>
      <c r="AA29" s="716">
        <f>(AA28+(0.5*AA32+0.5*AA30))*AA66</f>
        <v>0</v>
      </c>
      <c r="AB29" s="716">
        <f>(AB28+(0.5*AB32+0.5*AB30))*AB66</f>
        <v>0</v>
      </c>
      <c r="AE29" s="714" t="s">
        <v>977</v>
      </c>
      <c r="AF29" s="714">
        <v>6</v>
      </c>
      <c r="AG29" s="714" t="s">
        <v>860</v>
      </c>
      <c r="AH29" s="714" t="b">
        <v>0</v>
      </c>
      <c r="AI29" s="714" t="b">
        <v>0</v>
      </c>
    </row>
    <row r="30" spans="1:35" s="714" customFormat="1">
      <c r="A30" s="726" t="s">
        <v>149</v>
      </c>
      <c r="B30" s="671"/>
      <c r="C30" s="671"/>
      <c r="D30" s="671">
        <v>736</v>
      </c>
      <c r="E30" s="671">
        <v>1700</v>
      </c>
      <c r="F30" s="671">
        <v>99</v>
      </c>
      <c r="G30" s="671">
        <v>1935</v>
      </c>
      <c r="H30" s="671">
        <v>529</v>
      </c>
      <c r="I30" s="671">
        <v>1310</v>
      </c>
      <c r="J30" s="671">
        <v>3500</v>
      </c>
      <c r="K30" s="671">
        <v>2800</v>
      </c>
      <c r="L30" s="671">
        <v>200</v>
      </c>
      <c r="M30" s="671">
        <v>0</v>
      </c>
      <c r="N30" s="671">
        <v>0</v>
      </c>
      <c r="O30" s="671"/>
      <c r="P30" s="671"/>
      <c r="Q30" s="736">
        <v>0</v>
      </c>
      <c r="R30" s="736">
        <v>0</v>
      </c>
      <c r="S30" s="736">
        <v>0</v>
      </c>
      <c r="T30" s="736">
        <v>0</v>
      </c>
      <c r="U30" s="737">
        <v>0</v>
      </c>
      <c r="V30" s="737">
        <v>0</v>
      </c>
      <c r="W30" s="737">
        <v>0</v>
      </c>
      <c r="X30" s="737">
        <v>0</v>
      </c>
      <c r="Y30" s="737">
        <v>0</v>
      </c>
      <c r="Z30" s="737">
        <v>0</v>
      </c>
      <c r="AA30" s="737">
        <v>0</v>
      </c>
      <c r="AB30" s="737">
        <v>0</v>
      </c>
      <c r="AE30" s="714" t="s">
        <v>978</v>
      </c>
      <c r="AF30" s="714">
        <v>6</v>
      </c>
      <c r="AG30" s="714" t="s">
        <v>860</v>
      </c>
      <c r="AH30" s="714" t="b">
        <v>0</v>
      </c>
      <c r="AI30" s="714" t="b">
        <v>0</v>
      </c>
    </row>
    <row r="31" spans="1:35" s="714" customFormat="1">
      <c r="A31" s="726" t="s">
        <v>150</v>
      </c>
      <c r="B31" s="671"/>
      <c r="C31" s="671">
        <v>0</v>
      </c>
      <c r="D31" s="671">
        <v>0</v>
      </c>
      <c r="E31" s="671">
        <v>0</v>
      </c>
      <c r="F31" s="671">
        <v>0</v>
      </c>
      <c r="G31" s="671">
        <v>0</v>
      </c>
      <c r="H31" s="671">
        <v>0</v>
      </c>
      <c r="I31" s="671">
        <v>0</v>
      </c>
      <c r="J31" s="671">
        <v>0</v>
      </c>
      <c r="K31" s="671">
        <v>0</v>
      </c>
      <c r="L31" s="671">
        <v>0</v>
      </c>
      <c r="M31" s="671">
        <v>0</v>
      </c>
      <c r="N31" s="671">
        <v>0</v>
      </c>
      <c r="O31" s="671"/>
      <c r="P31" s="671"/>
      <c r="Q31" s="716">
        <v>0</v>
      </c>
      <c r="R31" s="716">
        <v>0</v>
      </c>
      <c r="S31" s="716">
        <v>0</v>
      </c>
      <c r="T31" s="716">
        <v>0</v>
      </c>
      <c r="U31" s="716">
        <v>0</v>
      </c>
      <c r="V31" s="716">
        <v>0</v>
      </c>
      <c r="W31" s="716">
        <v>0</v>
      </c>
      <c r="X31" s="716">
        <v>0</v>
      </c>
      <c r="Y31" s="716">
        <v>0</v>
      </c>
      <c r="Z31" s="716">
        <v>0</v>
      </c>
      <c r="AA31" s="716">
        <v>0</v>
      </c>
      <c r="AB31" s="716">
        <v>0</v>
      </c>
    </row>
    <row r="32" spans="1:35" s="714" customFormat="1">
      <c r="A32" s="726" t="s">
        <v>145</v>
      </c>
      <c r="B32" s="671"/>
      <c r="C32" s="671"/>
      <c r="D32" s="671"/>
      <c r="E32" s="671">
        <v>-480</v>
      </c>
      <c r="F32" s="671">
        <v>-397</v>
      </c>
      <c r="G32" s="671">
        <v>-651</v>
      </c>
      <c r="H32" s="671">
        <v>-1145</v>
      </c>
      <c r="I32" s="671">
        <v>-1232</v>
      </c>
      <c r="J32" s="671">
        <v>-877</v>
      </c>
      <c r="K32" s="671">
        <v>0</v>
      </c>
      <c r="L32" s="671">
        <v>-1111</v>
      </c>
      <c r="M32" s="671">
        <v>-2086</v>
      </c>
      <c r="N32" s="712">
        <v>-1125</v>
      </c>
      <c r="O32" s="712">
        <v>-77</v>
      </c>
      <c r="P32" s="712">
        <v>-62</v>
      </c>
      <c r="Q32" s="738">
        <v>0</v>
      </c>
      <c r="R32" s="738">
        <v>0</v>
      </c>
      <c r="S32" s="738">
        <v>0</v>
      </c>
      <c r="T32" s="738">
        <v>0</v>
      </c>
      <c r="U32" s="738">
        <v>0</v>
      </c>
      <c r="V32" s="738">
        <v>0</v>
      </c>
      <c r="W32" s="738">
        <v>0</v>
      </c>
      <c r="X32" s="738">
        <v>0</v>
      </c>
      <c r="Y32" s="738">
        <v>0</v>
      </c>
      <c r="Z32" s="738">
        <v>0</v>
      </c>
      <c r="AA32" s="738">
        <v>0</v>
      </c>
      <c r="AB32" s="738">
        <v>0</v>
      </c>
      <c r="AE32" s="714" t="s">
        <v>979</v>
      </c>
      <c r="AF32" s="714">
        <v>6</v>
      </c>
      <c r="AG32" s="714" t="s">
        <v>860</v>
      </c>
      <c r="AH32" s="715" t="b">
        <v>1</v>
      </c>
      <c r="AI32" s="714" t="b">
        <v>0</v>
      </c>
    </row>
    <row r="33" spans="1:35" s="714" customFormat="1">
      <c r="A33" s="726" t="s">
        <v>975</v>
      </c>
      <c r="B33" s="671"/>
      <c r="C33" s="671">
        <v>0</v>
      </c>
      <c r="D33" s="671">
        <v>0</v>
      </c>
      <c r="E33" s="671">
        <v>0</v>
      </c>
      <c r="F33" s="671">
        <v>0</v>
      </c>
      <c r="G33" s="671">
        <v>0</v>
      </c>
      <c r="H33" s="671">
        <v>0</v>
      </c>
      <c r="I33" s="671">
        <v>0</v>
      </c>
      <c r="J33" s="671">
        <v>0</v>
      </c>
      <c r="K33" s="671">
        <v>0</v>
      </c>
      <c r="L33" s="671">
        <v>0</v>
      </c>
      <c r="M33" s="671">
        <v>0</v>
      </c>
      <c r="N33" s="671">
        <v>0</v>
      </c>
      <c r="O33" s="671">
        <v>0</v>
      </c>
      <c r="P33" s="671">
        <v>-3517</v>
      </c>
      <c r="Q33" s="716">
        <v>0</v>
      </c>
      <c r="R33" s="716">
        <v>0</v>
      </c>
      <c r="S33" s="716">
        <v>0</v>
      </c>
      <c r="T33" s="716">
        <v>0</v>
      </c>
      <c r="U33" s="716">
        <v>0</v>
      </c>
      <c r="V33" s="716">
        <v>0</v>
      </c>
      <c r="W33" s="716">
        <v>0</v>
      </c>
      <c r="X33" s="716">
        <v>0</v>
      </c>
      <c r="Y33" s="716">
        <v>0</v>
      </c>
      <c r="Z33" s="716">
        <v>0</v>
      </c>
      <c r="AA33" s="716">
        <v>0</v>
      </c>
      <c r="AB33" s="716">
        <v>0</v>
      </c>
    </row>
    <row r="34" spans="1:35" s="714" customFormat="1">
      <c r="A34" s="726" t="s">
        <v>72</v>
      </c>
      <c r="B34" s="671"/>
      <c r="C34" s="671">
        <v>0</v>
      </c>
      <c r="D34" s="671">
        <v>0</v>
      </c>
      <c r="E34" s="671">
        <v>0</v>
      </c>
      <c r="F34" s="671">
        <v>0</v>
      </c>
      <c r="G34" s="671">
        <v>425</v>
      </c>
      <c r="H34" s="671">
        <v>-27</v>
      </c>
      <c r="I34" s="671">
        <v>0</v>
      </c>
      <c r="J34" s="671">
        <v>-1902</v>
      </c>
      <c r="K34" s="671">
        <v>0</v>
      </c>
      <c r="L34" s="671">
        <v>25</v>
      </c>
      <c r="M34" s="671">
        <v>0</v>
      </c>
      <c r="N34" s="671">
        <v>0</v>
      </c>
      <c r="O34" s="671">
        <v>-1</v>
      </c>
      <c r="P34" s="671">
        <v>1</v>
      </c>
      <c r="Q34" s="716">
        <v>0</v>
      </c>
      <c r="R34" s="716">
        <v>0</v>
      </c>
      <c r="S34" s="716">
        <v>0</v>
      </c>
      <c r="T34" s="716">
        <v>0</v>
      </c>
      <c r="U34" s="716">
        <v>0</v>
      </c>
      <c r="V34" s="716">
        <v>0</v>
      </c>
      <c r="W34" s="716">
        <v>0</v>
      </c>
      <c r="X34" s="716">
        <v>0</v>
      </c>
      <c r="Y34" s="716">
        <v>0</v>
      </c>
      <c r="Z34" s="716">
        <v>0</v>
      </c>
      <c r="AA34" s="716">
        <v>0</v>
      </c>
      <c r="AB34" s="716">
        <v>0</v>
      </c>
    </row>
    <row r="35" spans="1:35" s="714" customFormat="1">
      <c r="A35" s="711" t="s">
        <v>151</v>
      </c>
      <c r="B35" s="734"/>
      <c r="C35" s="734">
        <f t="shared" ref="C35:Y35" si="13">SUM(C28:C34)</f>
        <v>0</v>
      </c>
      <c r="D35" s="734">
        <f t="shared" si="13"/>
        <v>736</v>
      </c>
      <c r="E35" s="734">
        <f t="shared" si="13"/>
        <v>2001</v>
      </c>
      <c r="F35" s="734">
        <f t="shared" si="13"/>
        <v>1258</v>
      </c>
      <c r="G35" s="734">
        <f t="shared" si="13"/>
        <v>3135</v>
      </c>
      <c r="H35" s="734">
        <f t="shared" si="13"/>
        <v>2692</v>
      </c>
      <c r="I35" s="734">
        <f t="shared" si="13"/>
        <v>2834</v>
      </c>
      <c r="J35" s="734">
        <f t="shared" si="13"/>
        <v>3565</v>
      </c>
      <c r="K35" s="734">
        <f t="shared" si="13"/>
        <v>6762</v>
      </c>
      <c r="L35" s="734">
        <f t="shared" si="13"/>
        <v>6497</v>
      </c>
      <c r="M35" s="734">
        <f t="shared" si="13"/>
        <v>4921</v>
      </c>
      <c r="N35" s="734">
        <f t="shared" si="13"/>
        <v>3875</v>
      </c>
      <c r="O35" s="734">
        <f t="shared" si="13"/>
        <v>2786</v>
      </c>
      <c r="P35" s="734">
        <f t="shared" si="13"/>
        <v>0</v>
      </c>
      <c r="Q35" s="734">
        <f t="shared" si="13"/>
        <v>0</v>
      </c>
      <c r="R35" s="734">
        <f t="shared" si="13"/>
        <v>0</v>
      </c>
      <c r="S35" s="734">
        <f t="shared" si="13"/>
        <v>0</v>
      </c>
      <c r="T35" s="734">
        <f t="shared" si="13"/>
        <v>0</v>
      </c>
      <c r="U35" s="734">
        <f t="shared" si="13"/>
        <v>0</v>
      </c>
      <c r="V35" s="734">
        <f t="shared" si="13"/>
        <v>0</v>
      </c>
      <c r="W35" s="734">
        <f t="shared" si="13"/>
        <v>0</v>
      </c>
      <c r="X35" s="734">
        <f t="shared" si="13"/>
        <v>0</v>
      </c>
      <c r="Y35" s="734">
        <f t="shared" si="13"/>
        <v>0</v>
      </c>
      <c r="Z35" s="734">
        <f>SUM(Z28:Z34)</f>
        <v>0</v>
      </c>
      <c r="AA35" s="734">
        <f>SUM(AA28:AA34)</f>
        <v>0</v>
      </c>
      <c r="AB35" s="734">
        <f>SUM(AB28:AB34)</f>
        <v>0</v>
      </c>
      <c r="AE35" s="714" t="s">
        <v>980</v>
      </c>
      <c r="AF35" s="714">
        <v>6</v>
      </c>
      <c r="AG35" s="714" t="s">
        <v>860</v>
      </c>
      <c r="AH35" s="714" t="b">
        <v>0</v>
      </c>
      <c r="AI35" s="714" t="b">
        <v>0</v>
      </c>
    </row>
    <row r="36" spans="1:35">
      <c r="A36" s="739" t="s">
        <v>152</v>
      </c>
      <c r="B36" s="740"/>
      <c r="C36" s="740">
        <v>-16503</v>
      </c>
      <c r="D36" s="741">
        <f>D26+D35</f>
        <v>-16786</v>
      </c>
      <c r="E36" s="741">
        <f>E26+E35</f>
        <v>-17214</v>
      </c>
      <c r="F36" s="741">
        <f>F26+F35</f>
        <v>-14486</v>
      </c>
      <c r="G36" s="741">
        <f>G26+G35</f>
        <v>-20239</v>
      </c>
      <c r="H36" s="741">
        <f>H26+H35</f>
        <v>-22741</v>
      </c>
      <c r="I36" s="742">
        <f t="shared" ref="I36:Y36" si="14">I26+I35</f>
        <v>-27429</v>
      </c>
      <c r="J36" s="742">
        <f t="shared" si="14"/>
        <v>-28797</v>
      </c>
      <c r="K36" s="742">
        <f>K26+K35</f>
        <v>-32353</v>
      </c>
      <c r="L36" s="742">
        <f t="shared" si="14"/>
        <v>-32777</v>
      </c>
      <c r="M36" s="742">
        <f t="shared" si="14"/>
        <v>-25942</v>
      </c>
      <c r="N36" s="742">
        <f t="shared" si="14"/>
        <v>-24221</v>
      </c>
      <c r="O36" s="742">
        <f t="shared" si="14"/>
        <v>-16279</v>
      </c>
      <c r="P36" s="742">
        <f t="shared" si="14"/>
        <v>-6053</v>
      </c>
      <c r="Q36" s="742">
        <f t="shared" si="14"/>
        <v>-6423</v>
      </c>
      <c r="R36" s="742">
        <f t="shared" si="14"/>
        <v>-6593</v>
      </c>
      <c r="S36" s="742">
        <f t="shared" si="14"/>
        <v>-6810</v>
      </c>
      <c r="T36" s="742">
        <f t="shared" si="14"/>
        <v>-5889</v>
      </c>
      <c r="U36" s="742">
        <f t="shared" si="14"/>
        <v>-6375</v>
      </c>
      <c r="V36" s="742">
        <f t="shared" si="14"/>
        <v>-5701</v>
      </c>
      <c r="W36" s="742">
        <f t="shared" si="14"/>
        <v>-5865</v>
      </c>
      <c r="X36" s="742">
        <f t="shared" si="14"/>
        <v>-6180.6799000000001</v>
      </c>
      <c r="Y36" s="742">
        <f t="shared" si="14"/>
        <v>-6092.7982247899999</v>
      </c>
      <c r="Z36" s="742">
        <f>Z26+Z35</f>
        <v>-6021.2130781855985</v>
      </c>
      <c r="AA36" s="742">
        <f>AA26+AA35</f>
        <v>-5960.3323885199725</v>
      </c>
      <c r="AB36" s="742">
        <f>AB26+AB35</f>
        <v>-5904.6384299497859</v>
      </c>
    </row>
    <row r="37" spans="1:35">
      <c r="A37" s="739" t="s">
        <v>153</v>
      </c>
      <c r="B37" s="743"/>
      <c r="C37" s="743">
        <f t="shared" ref="C37:W37" si="15">C35/-C26</f>
        <v>0</v>
      </c>
      <c r="D37" s="743">
        <f t="shared" si="15"/>
        <v>4.2004337404405886E-2</v>
      </c>
      <c r="E37" s="743">
        <f t="shared" si="15"/>
        <v>0.10413739266198282</v>
      </c>
      <c r="F37" s="743">
        <f t="shared" si="15"/>
        <v>7.9903455284552852E-2</v>
      </c>
      <c r="G37" s="743">
        <f t="shared" si="15"/>
        <v>0.13412338495764525</v>
      </c>
      <c r="H37" s="743">
        <f t="shared" si="15"/>
        <v>0.10584673455746471</v>
      </c>
      <c r="I37" s="743">
        <f t="shared" si="15"/>
        <v>9.3645705977596402E-2</v>
      </c>
      <c r="J37" s="743">
        <f t="shared" si="15"/>
        <v>0.11016006427291268</v>
      </c>
      <c r="K37" s="743">
        <f t="shared" si="15"/>
        <v>0.17287485619327625</v>
      </c>
      <c r="L37" s="743">
        <f t="shared" si="15"/>
        <v>0.1654275092936803</v>
      </c>
      <c r="M37" s="743">
        <f>M35/-M26</f>
        <v>0.15944658652755728</v>
      </c>
      <c r="N37" s="743">
        <f t="shared" si="15"/>
        <v>0.13791998861047836</v>
      </c>
      <c r="O37" s="743">
        <f t="shared" si="15"/>
        <v>0.14613165486493573</v>
      </c>
      <c r="P37" s="743">
        <f t="shared" si="15"/>
        <v>0</v>
      </c>
      <c r="Q37" s="743">
        <f t="shared" si="15"/>
        <v>0</v>
      </c>
      <c r="R37" s="743">
        <f t="shared" si="15"/>
        <v>0</v>
      </c>
      <c r="S37" s="743">
        <f t="shared" si="15"/>
        <v>0</v>
      </c>
      <c r="T37" s="743">
        <f t="shared" si="15"/>
        <v>0</v>
      </c>
      <c r="U37" s="743">
        <f t="shared" si="15"/>
        <v>0</v>
      </c>
      <c r="V37" s="743">
        <f t="shared" si="15"/>
        <v>0</v>
      </c>
      <c r="W37" s="743">
        <f t="shared" si="15"/>
        <v>0</v>
      </c>
      <c r="X37" s="743">
        <f>X35/-X26</f>
        <v>0</v>
      </c>
      <c r="Y37" s="743">
        <f>Y35/-Y26</f>
        <v>0</v>
      </c>
      <c r="Z37" s="743">
        <f>Z35/-Z26</f>
        <v>0</v>
      </c>
      <c r="AA37" s="743">
        <f>AA35/-AA26</f>
        <v>0</v>
      </c>
      <c r="AB37" s="743">
        <f>AB35/-AB26</f>
        <v>0</v>
      </c>
    </row>
    <row r="38" spans="1:35">
      <c r="A38" s="739"/>
      <c r="B38" s="743"/>
      <c r="C38" s="743"/>
      <c r="D38" s="743"/>
      <c r="E38" s="743"/>
      <c r="F38" s="743"/>
      <c r="G38" s="743"/>
      <c r="H38" s="743"/>
      <c r="I38" s="743"/>
      <c r="J38" s="743"/>
      <c r="K38" s="743"/>
      <c r="L38" s="743"/>
      <c r="M38" s="743"/>
      <c r="N38" s="743"/>
      <c r="O38" s="743"/>
      <c r="P38" s="743"/>
      <c r="Q38" s="743"/>
      <c r="R38" s="743"/>
      <c r="S38" s="743"/>
      <c r="T38" s="743"/>
      <c r="U38" s="743"/>
      <c r="V38" s="743"/>
      <c r="W38" s="743"/>
      <c r="X38" s="743"/>
      <c r="Y38" s="743"/>
      <c r="Z38" s="743"/>
      <c r="AA38" s="743"/>
      <c r="AB38" s="743"/>
    </row>
    <row r="39" spans="1:35" s="714" customFormat="1">
      <c r="A39" s="711"/>
    </row>
    <row r="40" spans="1:35" s="710" customFormat="1">
      <c r="A40" s="709" t="s">
        <v>96</v>
      </c>
      <c r="B40" s="721">
        <f t="shared" ref="B40:AB40" si="16">B$3</f>
        <v>1995</v>
      </c>
      <c r="C40" s="721">
        <f t="shared" si="16"/>
        <v>1996</v>
      </c>
      <c r="D40" s="721">
        <f t="shared" si="16"/>
        <v>1997</v>
      </c>
      <c r="E40" s="721">
        <f t="shared" si="16"/>
        <v>1998</v>
      </c>
      <c r="F40" s="721">
        <f t="shared" si="16"/>
        <v>1999</v>
      </c>
      <c r="G40" s="721">
        <f t="shared" si="16"/>
        <v>2000</v>
      </c>
      <c r="H40" s="721">
        <f t="shared" si="16"/>
        <v>2001</v>
      </c>
      <c r="I40" s="721">
        <f t="shared" si="16"/>
        <v>2002</v>
      </c>
      <c r="J40" s="721">
        <f t="shared" si="16"/>
        <v>2003</v>
      </c>
      <c r="K40" s="721">
        <f t="shared" si="16"/>
        <v>2004</v>
      </c>
      <c r="L40" s="721">
        <f t="shared" si="16"/>
        <v>2005</v>
      </c>
      <c r="M40" s="721">
        <f t="shared" si="16"/>
        <v>2006</v>
      </c>
      <c r="N40" s="721">
        <f t="shared" si="16"/>
        <v>2007</v>
      </c>
      <c r="O40" s="721">
        <f t="shared" si="16"/>
        <v>2008</v>
      </c>
      <c r="P40" s="721">
        <f t="shared" si="16"/>
        <v>2009</v>
      </c>
      <c r="Q40" s="721">
        <f t="shared" si="16"/>
        <v>2010</v>
      </c>
      <c r="R40" s="721">
        <f t="shared" si="16"/>
        <v>2011</v>
      </c>
      <c r="S40" s="721">
        <f t="shared" si="16"/>
        <v>2012</v>
      </c>
      <c r="T40" s="721">
        <f t="shared" si="16"/>
        <v>2013</v>
      </c>
      <c r="U40" s="721">
        <f t="shared" si="16"/>
        <v>2014</v>
      </c>
      <c r="V40" s="721">
        <f t="shared" si="16"/>
        <v>2015</v>
      </c>
      <c r="W40" s="721">
        <f t="shared" si="16"/>
        <v>2016</v>
      </c>
      <c r="X40" s="722">
        <f t="shared" si="16"/>
        <v>2017</v>
      </c>
      <c r="Y40" s="722">
        <f t="shared" si="16"/>
        <v>2018</v>
      </c>
      <c r="Z40" s="722">
        <f t="shared" si="16"/>
        <v>2019</v>
      </c>
      <c r="AA40" s="722">
        <f t="shared" si="16"/>
        <v>2020</v>
      </c>
      <c r="AB40" s="722">
        <f t="shared" si="16"/>
        <v>2021</v>
      </c>
    </row>
    <row r="41" spans="1:35" s="714" customFormat="1">
      <c r="A41" s="711" t="s">
        <v>981</v>
      </c>
      <c r="B41" s="716"/>
      <c r="C41" s="716"/>
      <c r="D41" s="716"/>
      <c r="E41" s="716"/>
      <c r="F41" s="716"/>
      <c r="G41" s="716"/>
      <c r="H41" s="716"/>
      <c r="I41" s="716"/>
    </row>
    <row r="42" spans="1:35" s="714" customFormat="1">
      <c r="A42" s="726" t="s">
        <v>154</v>
      </c>
      <c r="B42" s="671"/>
      <c r="C42" s="671"/>
      <c r="D42" s="671">
        <v>162</v>
      </c>
      <c r="E42" s="671">
        <v>119</v>
      </c>
      <c r="F42" s="671">
        <v>46</v>
      </c>
      <c r="G42" s="671">
        <v>231</v>
      </c>
      <c r="H42" s="671">
        <v>1043</v>
      </c>
      <c r="I42" s="671">
        <v>1161</v>
      </c>
      <c r="J42" s="671">
        <v>1352</v>
      </c>
      <c r="K42" s="671">
        <v>1128</v>
      </c>
      <c r="L42" s="671">
        <v>4054</v>
      </c>
      <c r="M42" s="671">
        <v>0</v>
      </c>
      <c r="N42" s="716">
        <f t="shared" ref="N42:AB44" si="17">M42</f>
        <v>0</v>
      </c>
      <c r="O42" s="716">
        <f t="shared" si="17"/>
        <v>0</v>
      </c>
      <c r="P42" s="716">
        <f t="shared" si="17"/>
        <v>0</v>
      </c>
      <c r="Q42" s="716">
        <f t="shared" si="17"/>
        <v>0</v>
      </c>
      <c r="R42" s="716">
        <f t="shared" si="17"/>
        <v>0</v>
      </c>
      <c r="S42" s="716">
        <f t="shared" si="17"/>
        <v>0</v>
      </c>
      <c r="T42" s="716">
        <f t="shared" si="17"/>
        <v>0</v>
      </c>
      <c r="U42" s="716">
        <f t="shared" si="17"/>
        <v>0</v>
      </c>
      <c r="V42" s="716">
        <f t="shared" si="17"/>
        <v>0</v>
      </c>
      <c r="W42" s="716">
        <f t="shared" si="17"/>
        <v>0</v>
      </c>
      <c r="X42" s="716">
        <f t="shared" si="17"/>
        <v>0</v>
      </c>
      <c r="Y42" s="716">
        <f t="shared" si="17"/>
        <v>0</v>
      </c>
      <c r="Z42" s="716">
        <f t="shared" si="17"/>
        <v>0</v>
      </c>
      <c r="AA42" s="716">
        <f t="shared" si="17"/>
        <v>0</v>
      </c>
      <c r="AB42" s="716">
        <f t="shared" si="17"/>
        <v>0</v>
      </c>
    </row>
    <row r="43" spans="1:35" s="714" customFormat="1">
      <c r="A43" s="726" t="s">
        <v>982</v>
      </c>
      <c r="B43" s="671"/>
      <c r="C43" s="671"/>
      <c r="D43" s="671"/>
      <c r="E43" s="671"/>
      <c r="F43" s="671"/>
      <c r="G43" s="671"/>
      <c r="H43" s="671"/>
      <c r="I43" s="671">
        <v>0</v>
      </c>
      <c r="J43" s="671">
        <v>0</v>
      </c>
      <c r="K43" s="671">
        <v>0</v>
      </c>
      <c r="L43" s="671">
        <v>0</v>
      </c>
      <c r="M43" s="671">
        <v>0</v>
      </c>
      <c r="N43" s="716">
        <f t="shared" si="17"/>
        <v>0</v>
      </c>
      <c r="O43" s="716">
        <f t="shared" si="17"/>
        <v>0</v>
      </c>
      <c r="P43" s="716">
        <f t="shared" si="17"/>
        <v>0</v>
      </c>
      <c r="Q43" s="716">
        <f t="shared" si="17"/>
        <v>0</v>
      </c>
      <c r="R43" s="716">
        <f t="shared" si="17"/>
        <v>0</v>
      </c>
      <c r="S43" s="716">
        <f t="shared" si="17"/>
        <v>0</v>
      </c>
      <c r="T43" s="716">
        <f t="shared" si="17"/>
        <v>0</v>
      </c>
      <c r="U43" s="716">
        <f t="shared" si="17"/>
        <v>0</v>
      </c>
      <c r="V43" s="716">
        <f t="shared" si="17"/>
        <v>0</v>
      </c>
      <c r="W43" s="716">
        <f t="shared" si="17"/>
        <v>0</v>
      </c>
      <c r="X43" s="716">
        <f t="shared" si="17"/>
        <v>0</v>
      </c>
      <c r="Y43" s="716">
        <f t="shared" si="17"/>
        <v>0</v>
      </c>
      <c r="Z43" s="716">
        <f t="shared" si="17"/>
        <v>0</v>
      </c>
      <c r="AA43" s="716">
        <f t="shared" si="17"/>
        <v>0</v>
      </c>
      <c r="AB43" s="716">
        <f t="shared" si="17"/>
        <v>0</v>
      </c>
    </row>
    <row r="44" spans="1:35" s="714" customFormat="1">
      <c r="A44" s="726" t="s">
        <v>155</v>
      </c>
      <c r="B44" s="675"/>
      <c r="C44" s="675"/>
      <c r="D44" s="675">
        <v>-757</v>
      </c>
      <c r="E44" s="675">
        <v>-1900</v>
      </c>
      <c r="F44" s="675">
        <v>-1330</v>
      </c>
      <c r="G44" s="675">
        <v>-4850</v>
      </c>
      <c r="H44" s="675">
        <v>-6655</v>
      </c>
      <c r="I44" s="675">
        <v>-10423</v>
      </c>
      <c r="J44" s="675">
        <v>-11075</v>
      </c>
      <c r="K44" s="675">
        <v>-16054</v>
      </c>
      <c r="L44" s="675">
        <v>-17009</v>
      </c>
      <c r="M44" s="675">
        <v>0</v>
      </c>
      <c r="N44" s="719">
        <f t="shared" si="17"/>
        <v>0</v>
      </c>
      <c r="O44" s="719">
        <f t="shared" si="17"/>
        <v>0</v>
      </c>
      <c r="P44" s="719">
        <f t="shared" si="17"/>
        <v>0</v>
      </c>
      <c r="Q44" s="719">
        <f t="shared" si="17"/>
        <v>0</v>
      </c>
      <c r="R44" s="719">
        <f t="shared" si="17"/>
        <v>0</v>
      </c>
      <c r="S44" s="719">
        <f t="shared" si="17"/>
        <v>0</v>
      </c>
      <c r="T44" s="719">
        <f t="shared" si="17"/>
        <v>0</v>
      </c>
      <c r="U44" s="719">
        <f t="shared" si="17"/>
        <v>0</v>
      </c>
      <c r="V44" s="719">
        <f t="shared" si="17"/>
        <v>0</v>
      </c>
      <c r="W44" s="719">
        <f t="shared" si="17"/>
        <v>0</v>
      </c>
      <c r="X44" s="719">
        <f t="shared" si="17"/>
        <v>0</v>
      </c>
      <c r="Y44" s="719">
        <f t="shared" si="17"/>
        <v>0</v>
      </c>
      <c r="Z44" s="719">
        <f t="shared" si="17"/>
        <v>0</v>
      </c>
      <c r="AA44" s="719">
        <f t="shared" si="17"/>
        <v>0</v>
      </c>
      <c r="AB44" s="719">
        <f t="shared" si="17"/>
        <v>0</v>
      </c>
    </row>
    <row r="45" spans="1:35" s="744" customFormat="1">
      <c r="A45" s="707" t="s">
        <v>156</v>
      </c>
      <c r="B45" s="734">
        <f t="shared" ref="B45:Y45" si="18">B36-B42-B43-B44</f>
        <v>0</v>
      </c>
      <c r="C45" s="734">
        <f t="shared" si="18"/>
        <v>-16503</v>
      </c>
      <c r="D45" s="734">
        <f t="shared" si="18"/>
        <v>-16191</v>
      </c>
      <c r="E45" s="734">
        <f t="shared" si="18"/>
        <v>-15433</v>
      </c>
      <c r="F45" s="734">
        <f t="shared" si="18"/>
        <v>-13202</v>
      </c>
      <c r="G45" s="734">
        <f t="shared" si="18"/>
        <v>-15620</v>
      </c>
      <c r="H45" s="734">
        <f t="shared" si="18"/>
        <v>-17129</v>
      </c>
      <c r="I45" s="734">
        <f t="shared" si="18"/>
        <v>-18167</v>
      </c>
      <c r="J45" s="734">
        <f t="shared" si="18"/>
        <v>-19074</v>
      </c>
      <c r="K45" s="734">
        <f t="shared" si="18"/>
        <v>-17427</v>
      </c>
      <c r="L45" s="734">
        <f>L36-L42-L43-L44</f>
        <v>-19822</v>
      </c>
      <c r="M45" s="734">
        <f t="shared" si="18"/>
        <v>-25942</v>
      </c>
      <c r="N45" s="734">
        <f t="shared" si="18"/>
        <v>-24221</v>
      </c>
      <c r="O45" s="734">
        <f t="shared" si="18"/>
        <v>-16279</v>
      </c>
      <c r="P45" s="734">
        <f t="shared" si="18"/>
        <v>-6053</v>
      </c>
      <c r="Q45" s="734">
        <f t="shared" si="18"/>
        <v>-6423</v>
      </c>
      <c r="R45" s="734">
        <f t="shared" si="18"/>
        <v>-6593</v>
      </c>
      <c r="S45" s="734">
        <f t="shared" si="18"/>
        <v>-6810</v>
      </c>
      <c r="T45" s="734">
        <f t="shared" si="18"/>
        <v>-5889</v>
      </c>
      <c r="U45" s="734">
        <f t="shared" si="18"/>
        <v>-6375</v>
      </c>
      <c r="V45" s="734">
        <f>V36-V42-V43-V44</f>
        <v>-5701</v>
      </c>
      <c r="W45" s="734">
        <f>W36-W42-W43-W44</f>
        <v>-5865</v>
      </c>
      <c r="X45" s="734">
        <f t="shared" si="18"/>
        <v>-6180.6799000000001</v>
      </c>
      <c r="Y45" s="734">
        <f t="shared" si="18"/>
        <v>-6092.7982247899999</v>
      </c>
      <c r="Z45" s="734">
        <f>Z36-Z42-Z43-Z44</f>
        <v>-6021.2130781855985</v>
      </c>
      <c r="AA45" s="734">
        <f>AA36-AA42-AA43-AA44</f>
        <v>-5960.3323885199725</v>
      </c>
      <c r="AB45" s="734">
        <f>AB36-AB42-AB43-AB44</f>
        <v>-5904.6384299497859</v>
      </c>
    </row>
    <row r="46" spans="1:35" s="744" customFormat="1">
      <c r="A46" s="707"/>
      <c r="B46" s="734"/>
      <c r="C46" s="734"/>
      <c r="D46" s="734"/>
      <c r="E46" s="734"/>
      <c r="F46" s="734"/>
      <c r="G46" s="734"/>
      <c r="H46" s="734"/>
      <c r="I46" s="734"/>
      <c r="J46" s="734"/>
      <c r="K46" s="734"/>
      <c r="L46" s="734"/>
      <c r="M46" s="734"/>
      <c r="N46" s="734"/>
      <c r="O46" s="734"/>
      <c r="P46" s="734"/>
      <c r="Q46" s="734"/>
      <c r="R46" s="734"/>
      <c r="S46" s="734"/>
      <c r="T46" s="734"/>
      <c r="U46" s="734"/>
      <c r="V46" s="734"/>
      <c r="W46" s="734"/>
      <c r="X46" s="734"/>
      <c r="Y46" s="734"/>
      <c r="Z46" s="734"/>
      <c r="AA46" s="734"/>
      <c r="AB46" s="734"/>
    </row>
    <row r="47" spans="1:35" outlineLevel="1">
      <c r="A47" s="707" t="s">
        <v>983</v>
      </c>
      <c r="B47" s="704"/>
      <c r="C47" s="704"/>
      <c r="D47" s="704"/>
      <c r="E47" s="704"/>
      <c r="F47" s="704"/>
    </row>
    <row r="48" spans="1:35" s="714" customFormat="1" outlineLevel="1">
      <c r="A48" s="711" t="s">
        <v>984</v>
      </c>
      <c r="B48" s="714" t="str">
        <f t="shared" ref="B48:AB48" si="19">A57</f>
        <v>Total Net Assets / (Liabilities) Recognized in the Balance Sheet</v>
      </c>
      <c r="C48" s="714">
        <f t="shared" si="19"/>
        <v>0</v>
      </c>
      <c r="D48" s="714">
        <f t="shared" si="19"/>
        <v>0</v>
      </c>
      <c r="E48" s="714">
        <f t="shared" si="19"/>
        <v>-16191</v>
      </c>
      <c r="F48" s="714">
        <f t="shared" si="19"/>
        <v>-15433</v>
      </c>
      <c r="G48" s="714">
        <f t="shared" si="19"/>
        <v>-13202</v>
      </c>
      <c r="H48" s="714">
        <f t="shared" si="19"/>
        <v>-15620</v>
      </c>
      <c r="I48" s="714">
        <f t="shared" si="19"/>
        <v>-17129</v>
      </c>
      <c r="J48" s="714">
        <f t="shared" si="19"/>
        <v>-18167</v>
      </c>
      <c r="K48" s="714">
        <f t="shared" si="19"/>
        <v>-19074</v>
      </c>
      <c r="L48" s="714">
        <f t="shared" si="19"/>
        <v>-17427</v>
      </c>
      <c r="M48" s="714">
        <f t="shared" si="19"/>
        <v>-19822</v>
      </c>
      <c r="N48" s="714">
        <f t="shared" si="19"/>
        <v>-25942</v>
      </c>
      <c r="O48" s="714">
        <f t="shared" si="19"/>
        <v>-24221</v>
      </c>
      <c r="P48" s="714">
        <f t="shared" si="19"/>
        <v>-16279</v>
      </c>
      <c r="Q48" s="714">
        <f t="shared" si="19"/>
        <v>-6053</v>
      </c>
      <c r="R48" s="714">
        <f t="shared" si="19"/>
        <v>-6423</v>
      </c>
      <c r="S48" s="714">
        <f t="shared" si="19"/>
        <v>-6593</v>
      </c>
      <c r="T48" s="714">
        <f t="shared" si="19"/>
        <v>-6810</v>
      </c>
      <c r="U48" s="714">
        <f t="shared" si="19"/>
        <v>-5889</v>
      </c>
      <c r="V48" s="714">
        <f t="shared" si="19"/>
        <v>-6375</v>
      </c>
      <c r="W48" s="714">
        <f t="shared" si="19"/>
        <v>-5701</v>
      </c>
      <c r="X48" s="714">
        <f t="shared" si="19"/>
        <v>-5865</v>
      </c>
      <c r="Y48" s="714">
        <f t="shared" si="19"/>
        <v>-6180.6799000000001</v>
      </c>
      <c r="Z48" s="714">
        <f t="shared" si="19"/>
        <v>-6092.7982247899999</v>
      </c>
      <c r="AA48" s="714">
        <f t="shared" si="19"/>
        <v>-6021.2130781855985</v>
      </c>
      <c r="AB48" s="714">
        <f t="shared" si="19"/>
        <v>-5960.3323885199725</v>
      </c>
    </row>
    <row r="49" spans="1:249" s="714" customFormat="1" outlineLevel="1">
      <c r="A49" s="726" t="s">
        <v>985</v>
      </c>
      <c r="B49" s="714">
        <f t="shared" ref="B49:W49" si="20">B13</f>
        <v>0</v>
      </c>
      <c r="C49" s="714">
        <f t="shared" si="20"/>
        <v>-1394</v>
      </c>
      <c r="D49" s="714">
        <f t="shared" si="20"/>
        <v>-1372</v>
      </c>
      <c r="E49" s="714">
        <f t="shared" si="20"/>
        <v>-1456</v>
      </c>
      <c r="F49" s="714">
        <f t="shared" si="20"/>
        <v>-1207</v>
      </c>
      <c r="G49" s="714">
        <f t="shared" si="20"/>
        <v>-1553</v>
      </c>
      <c r="H49" s="714">
        <f t="shared" si="20"/>
        <v>-1922</v>
      </c>
      <c r="I49" s="714">
        <f t="shared" si="20"/>
        <v>-2096</v>
      </c>
      <c r="J49" s="714">
        <f t="shared" si="20"/>
        <v>-4173</v>
      </c>
      <c r="K49" s="714">
        <f t="shared" si="20"/>
        <v>-2379</v>
      </c>
      <c r="L49" s="714">
        <f t="shared" si="20"/>
        <v>-2801</v>
      </c>
      <c r="M49" s="714">
        <f>M13</f>
        <v>-2183</v>
      </c>
      <c r="N49" s="714">
        <f t="shared" si="20"/>
        <v>-414</v>
      </c>
      <c r="O49" s="714">
        <f t="shared" si="20"/>
        <v>1817</v>
      </c>
      <c r="P49" s="714">
        <f t="shared" si="20"/>
        <v>-592</v>
      </c>
      <c r="Q49" s="714">
        <f t="shared" si="20"/>
        <v>158</v>
      </c>
      <c r="R49" s="714">
        <f t="shared" si="20"/>
        <v>144</v>
      </c>
      <c r="S49" s="714">
        <f t="shared" si="20"/>
        <v>68</v>
      </c>
      <c r="T49" s="714">
        <f t="shared" si="20"/>
        <v>-193</v>
      </c>
      <c r="U49" s="714">
        <f t="shared" si="20"/>
        <v>-775</v>
      </c>
      <c r="V49" s="714">
        <f t="shared" si="20"/>
        <v>199</v>
      </c>
      <c r="W49" s="714">
        <f t="shared" si="20"/>
        <v>-321</v>
      </c>
      <c r="X49" s="714">
        <f>X13</f>
        <v>-355.67989999999998</v>
      </c>
      <c r="Y49" s="714">
        <f>Y13</f>
        <v>-352.11832478999997</v>
      </c>
      <c r="Z49" s="714">
        <f>Z13</f>
        <v>-368.41485339559898</v>
      </c>
      <c r="AA49" s="714">
        <f>AA13</f>
        <v>-379.11931033437452</v>
      </c>
      <c r="AB49" s="714">
        <f>AB13</f>
        <v>-384.30604142981349</v>
      </c>
    </row>
    <row r="50" spans="1:249" s="714" customFormat="1" outlineLevel="1">
      <c r="A50" s="726" t="s">
        <v>986</v>
      </c>
      <c r="B50" s="714">
        <f t="shared" ref="B50:V50" si="21">B30+(B20+B32)</f>
        <v>0</v>
      </c>
      <c r="C50" s="714">
        <f t="shared" si="21"/>
        <v>0</v>
      </c>
      <c r="D50" s="714">
        <f t="shared" si="21"/>
        <v>1530</v>
      </c>
      <c r="E50" s="714">
        <f t="shared" si="21"/>
        <v>2066</v>
      </c>
      <c r="F50" s="714">
        <f t="shared" si="21"/>
        <v>444</v>
      </c>
      <c r="G50" s="714">
        <f t="shared" si="21"/>
        <v>2339</v>
      </c>
      <c r="H50" s="714">
        <f t="shared" si="21"/>
        <v>529</v>
      </c>
      <c r="I50" s="714">
        <f t="shared" si="21"/>
        <v>1310</v>
      </c>
      <c r="J50" s="714">
        <f t="shared" si="21"/>
        <v>4042</v>
      </c>
      <c r="K50" s="714">
        <f t="shared" si="21"/>
        <v>4340</v>
      </c>
      <c r="L50" s="714">
        <f t="shared" si="21"/>
        <v>665</v>
      </c>
      <c r="M50" s="714">
        <f>M30+(M20+M32)</f>
        <v>-539</v>
      </c>
      <c r="N50" s="714">
        <f t="shared" si="21"/>
        <v>574</v>
      </c>
      <c r="O50" s="714">
        <f t="shared" si="21"/>
        <v>1551</v>
      </c>
      <c r="P50" s="714">
        <f t="shared" si="21"/>
        <v>1611</v>
      </c>
      <c r="Q50" s="714">
        <f t="shared" si="21"/>
        <v>458</v>
      </c>
      <c r="R50" s="714">
        <f t="shared" si="21"/>
        <v>473</v>
      </c>
      <c r="S50" s="714">
        <f t="shared" si="21"/>
        <v>454</v>
      </c>
      <c r="T50" s="714">
        <f t="shared" si="21"/>
        <v>421</v>
      </c>
      <c r="U50" s="714">
        <f t="shared" si="21"/>
        <v>406</v>
      </c>
      <c r="V50" s="714">
        <f t="shared" si="21"/>
        <v>402</v>
      </c>
      <c r="W50" s="714">
        <f t="shared" ref="W50:AB50" si="22">W30+(W20+W32)</f>
        <v>382</v>
      </c>
      <c r="X50" s="714">
        <f t="shared" si="22"/>
        <v>382</v>
      </c>
      <c r="Y50" s="714">
        <f t="shared" si="22"/>
        <v>382</v>
      </c>
      <c r="Z50" s="714">
        <f t="shared" si="22"/>
        <v>382</v>
      </c>
      <c r="AA50" s="714">
        <f t="shared" si="22"/>
        <v>382</v>
      </c>
      <c r="AB50" s="714">
        <f t="shared" si="22"/>
        <v>382</v>
      </c>
    </row>
    <row r="51" spans="1:249" s="714" customFormat="1" outlineLevel="1">
      <c r="A51" s="745" t="s">
        <v>987</v>
      </c>
      <c r="B51" s="746">
        <f t="shared" ref="B51:H51" si="23">B52-SUM(B48:B50)</f>
        <v>0</v>
      </c>
      <c r="C51" s="746">
        <f t="shared" si="23"/>
        <v>-15109</v>
      </c>
      <c r="D51" s="746">
        <f t="shared" si="23"/>
        <v>-16349</v>
      </c>
      <c r="E51" s="746">
        <f t="shared" si="23"/>
        <v>148</v>
      </c>
      <c r="F51" s="746">
        <f t="shared" si="23"/>
        <v>2994</v>
      </c>
      <c r="G51" s="746">
        <f t="shared" si="23"/>
        <v>-3204</v>
      </c>
      <c r="H51" s="746">
        <f t="shared" si="23"/>
        <v>-116</v>
      </c>
      <c r="I51" s="746">
        <f>I52-SUM(I48:I50)</f>
        <v>-252</v>
      </c>
      <c r="J51" s="746">
        <f>J52-SUM(J48:J50)</f>
        <v>-776</v>
      </c>
      <c r="K51" s="746">
        <f>K52-SUM(K48:K50)</f>
        <v>-314</v>
      </c>
      <c r="L51" s="746">
        <f>L52-SUM(L48:L50)</f>
        <v>-259</v>
      </c>
      <c r="M51" s="746">
        <f>M52-SUM(M48:M50)</f>
        <v>-3398</v>
      </c>
      <c r="N51" s="746">
        <f t="shared" ref="N51:Y51" si="24">-N5+N23-N9</f>
        <v>-159</v>
      </c>
      <c r="O51" s="746">
        <f t="shared" si="24"/>
        <v>295</v>
      </c>
      <c r="P51" s="746">
        <f t="shared" si="24"/>
        <v>-656</v>
      </c>
      <c r="Q51" s="746">
        <f t="shared" si="24"/>
        <v>-450</v>
      </c>
      <c r="R51" s="746">
        <f t="shared" si="24"/>
        <v>-456</v>
      </c>
      <c r="S51" s="746">
        <f t="shared" si="24"/>
        <v>-260</v>
      </c>
      <c r="T51" s="746">
        <f t="shared" si="24"/>
        <v>-125</v>
      </c>
      <c r="U51" s="746">
        <f t="shared" si="24"/>
        <v>452</v>
      </c>
      <c r="V51" s="746">
        <f t="shared" si="24"/>
        <v>-497</v>
      </c>
      <c r="W51" s="746">
        <f t="shared" si="24"/>
        <v>64</v>
      </c>
      <c r="X51" s="746">
        <f t="shared" si="24"/>
        <v>78</v>
      </c>
      <c r="Y51" s="746">
        <f t="shared" si="24"/>
        <v>78</v>
      </c>
      <c r="Z51" s="746">
        <f>-Z5+Z23-Z9</f>
        <v>78</v>
      </c>
      <c r="AA51" s="746">
        <f>-AA5+AA23-AA9</f>
        <v>78</v>
      </c>
      <c r="AB51" s="746">
        <f>-AB5+AB23-AB9</f>
        <v>78</v>
      </c>
    </row>
    <row r="52" spans="1:249" s="714" customFormat="1" outlineLevel="1">
      <c r="A52" s="711" t="s">
        <v>988</v>
      </c>
      <c r="B52" s="714">
        <f t="shared" ref="B52:H52" si="25">B45</f>
        <v>0</v>
      </c>
      <c r="C52" s="714">
        <f t="shared" si="25"/>
        <v>-16503</v>
      </c>
      <c r="D52" s="714">
        <f t="shared" si="25"/>
        <v>-16191</v>
      </c>
      <c r="E52" s="714">
        <f t="shared" si="25"/>
        <v>-15433</v>
      </c>
      <c r="F52" s="714">
        <f t="shared" si="25"/>
        <v>-13202</v>
      </c>
      <c r="G52" s="714">
        <f t="shared" si="25"/>
        <v>-15620</v>
      </c>
      <c r="H52" s="714">
        <f t="shared" si="25"/>
        <v>-17129</v>
      </c>
      <c r="I52" s="714">
        <f>I45</f>
        <v>-18167</v>
      </c>
      <c r="J52" s="747">
        <f>J45</f>
        <v>-19074</v>
      </c>
      <c r="K52" s="714">
        <f>K45</f>
        <v>-17427</v>
      </c>
      <c r="L52" s="714">
        <f>L45</f>
        <v>-19822</v>
      </c>
      <c r="M52" s="714">
        <f>M45</f>
        <v>-25942</v>
      </c>
      <c r="N52" s="714">
        <f t="shared" ref="N52:Y52" si="26">SUM(N48:N51)</f>
        <v>-25941</v>
      </c>
      <c r="O52" s="714">
        <f t="shared" si="26"/>
        <v>-20558</v>
      </c>
      <c r="P52" s="714">
        <f t="shared" si="26"/>
        <v>-15916</v>
      </c>
      <c r="Q52" s="714">
        <f t="shared" si="26"/>
        <v>-5887</v>
      </c>
      <c r="R52" s="714">
        <f t="shared" si="26"/>
        <v>-6262</v>
      </c>
      <c r="S52" s="714">
        <f t="shared" si="26"/>
        <v>-6331</v>
      </c>
      <c r="T52" s="714">
        <f t="shared" si="26"/>
        <v>-6707</v>
      </c>
      <c r="U52" s="714">
        <f t="shared" si="26"/>
        <v>-5806</v>
      </c>
      <c r="V52" s="714">
        <f t="shared" si="26"/>
        <v>-6271</v>
      </c>
      <c r="W52" s="714">
        <f t="shared" si="26"/>
        <v>-5576</v>
      </c>
      <c r="X52" s="714">
        <f t="shared" si="26"/>
        <v>-5760.6799000000001</v>
      </c>
      <c r="Y52" s="714">
        <f t="shared" si="26"/>
        <v>-6072.7982247899999</v>
      </c>
      <c r="Z52" s="714">
        <f>SUM(Z48:Z51)</f>
        <v>-6001.2130781855985</v>
      </c>
      <c r="AA52" s="714">
        <f>SUM(AA48:AA51)</f>
        <v>-5940.3323885199734</v>
      </c>
      <c r="AB52" s="714">
        <f>SUM(AB48:AB51)</f>
        <v>-5884.6384299497859</v>
      </c>
    </row>
    <row r="53" spans="1:249" s="714" customFormat="1">
      <c r="A53" s="711"/>
      <c r="B53" s="716"/>
      <c r="C53" s="716"/>
      <c r="D53" s="716"/>
      <c r="E53" s="716"/>
      <c r="F53" s="716"/>
      <c r="G53" s="716"/>
      <c r="H53" s="716"/>
      <c r="I53" s="716"/>
    </row>
    <row r="54" spans="1:249" s="710" customFormat="1">
      <c r="A54" s="709" t="s">
        <v>98</v>
      </c>
      <c r="B54" s="721">
        <f t="shared" ref="B54:AB54" si="27">B$3</f>
        <v>1995</v>
      </c>
      <c r="C54" s="721">
        <f t="shared" si="27"/>
        <v>1996</v>
      </c>
      <c r="D54" s="721">
        <f t="shared" si="27"/>
        <v>1997</v>
      </c>
      <c r="E54" s="721">
        <f t="shared" si="27"/>
        <v>1998</v>
      </c>
      <c r="F54" s="721">
        <f t="shared" si="27"/>
        <v>1999</v>
      </c>
      <c r="G54" s="721">
        <f t="shared" si="27"/>
        <v>2000</v>
      </c>
      <c r="H54" s="721">
        <f t="shared" si="27"/>
        <v>2001</v>
      </c>
      <c r="I54" s="721">
        <f t="shared" si="27"/>
        <v>2002</v>
      </c>
      <c r="J54" s="721">
        <f t="shared" si="27"/>
        <v>2003</v>
      </c>
      <c r="K54" s="721">
        <f t="shared" si="27"/>
        <v>2004</v>
      </c>
      <c r="L54" s="721">
        <f t="shared" si="27"/>
        <v>2005</v>
      </c>
      <c r="M54" s="721">
        <f t="shared" si="27"/>
        <v>2006</v>
      </c>
      <c r="N54" s="721">
        <f t="shared" si="27"/>
        <v>2007</v>
      </c>
      <c r="O54" s="721">
        <f t="shared" si="27"/>
        <v>2008</v>
      </c>
      <c r="P54" s="721">
        <f t="shared" si="27"/>
        <v>2009</v>
      </c>
      <c r="Q54" s="721">
        <f t="shared" si="27"/>
        <v>2010</v>
      </c>
      <c r="R54" s="721">
        <f t="shared" si="27"/>
        <v>2011</v>
      </c>
      <c r="S54" s="721">
        <f t="shared" si="27"/>
        <v>2012</v>
      </c>
      <c r="T54" s="721">
        <f t="shared" si="27"/>
        <v>2013</v>
      </c>
      <c r="U54" s="721">
        <f>U$3</f>
        <v>2014</v>
      </c>
      <c r="V54" s="721">
        <f>V$3</f>
        <v>2015</v>
      </c>
      <c r="W54" s="721">
        <f t="shared" si="27"/>
        <v>2016</v>
      </c>
      <c r="X54" s="722">
        <f t="shared" si="27"/>
        <v>2017</v>
      </c>
      <c r="Y54" s="722">
        <f t="shared" si="27"/>
        <v>2018</v>
      </c>
      <c r="Z54" s="722">
        <f t="shared" si="27"/>
        <v>2019</v>
      </c>
      <c r="AA54" s="722">
        <f t="shared" si="27"/>
        <v>2020</v>
      </c>
      <c r="AB54" s="722">
        <f t="shared" si="27"/>
        <v>2021</v>
      </c>
    </row>
    <row r="55" spans="1:249" s="715" customFormat="1">
      <c r="A55" s="711" t="s">
        <v>157</v>
      </c>
      <c r="B55" s="748"/>
      <c r="C55" s="748"/>
      <c r="D55" s="748">
        <v>-15407</v>
      </c>
      <c r="E55" s="748">
        <v>-15433</v>
      </c>
      <c r="F55" s="748">
        <v>-13202</v>
      </c>
      <c r="G55" s="748">
        <v>-15620</v>
      </c>
      <c r="H55" s="748">
        <v>-17129</v>
      </c>
      <c r="I55" s="748">
        <v>-18167</v>
      </c>
      <c r="J55" s="748">
        <v>-19074</v>
      </c>
      <c r="K55" s="748">
        <v>-17427</v>
      </c>
      <c r="L55" s="748">
        <v>-19822</v>
      </c>
      <c r="M55" s="748">
        <v>-25942</v>
      </c>
      <c r="N55" s="748">
        <v>-24221</v>
      </c>
      <c r="O55" s="748">
        <v>-16279</v>
      </c>
      <c r="P55" s="748">
        <v>-6053</v>
      </c>
      <c r="Q55" s="748">
        <v>-6423</v>
      </c>
      <c r="R55" s="748">
        <v>-6593</v>
      </c>
      <c r="S55" s="748">
        <f t="shared" ref="S55:X55" si="28">S45</f>
        <v>-6810</v>
      </c>
      <c r="T55" s="748">
        <f t="shared" si="28"/>
        <v>-5889</v>
      </c>
      <c r="U55" s="748">
        <f t="shared" si="28"/>
        <v>-6375</v>
      </c>
      <c r="V55" s="748">
        <f t="shared" si="28"/>
        <v>-5701</v>
      </c>
      <c r="W55" s="748">
        <f t="shared" si="28"/>
        <v>-5865</v>
      </c>
      <c r="X55" s="715">
        <f t="shared" si="28"/>
        <v>-6180.6799000000001</v>
      </c>
      <c r="Y55" s="715">
        <f>Y45</f>
        <v>-6092.7982247899999</v>
      </c>
      <c r="Z55" s="715">
        <f>Z45</f>
        <v>-6021.2130781855985</v>
      </c>
      <c r="AA55" s="715">
        <f>AA45</f>
        <v>-5960.3323885199725</v>
      </c>
      <c r="AB55" s="715">
        <f>AB45</f>
        <v>-5904.6384299497859</v>
      </c>
      <c r="AE55" s="714"/>
      <c r="AF55" s="714"/>
      <c r="AG55" s="714"/>
      <c r="AH55" s="714"/>
      <c r="AI55" s="714"/>
      <c r="AJ55" s="714"/>
      <c r="AK55" s="714"/>
      <c r="AL55" s="714"/>
      <c r="AM55" s="714"/>
      <c r="AN55" s="714"/>
      <c r="AO55" s="714"/>
    </row>
    <row r="56" spans="1:249" s="750" customFormat="1">
      <c r="A56" s="711" t="s">
        <v>158</v>
      </c>
      <c r="B56" s="749">
        <v>0</v>
      </c>
      <c r="C56" s="749">
        <v>0</v>
      </c>
      <c r="D56" s="749">
        <v>-784</v>
      </c>
      <c r="E56" s="749">
        <v>0</v>
      </c>
      <c r="F56" s="749">
        <v>0</v>
      </c>
      <c r="G56" s="749">
        <v>0</v>
      </c>
      <c r="H56" s="749">
        <v>0</v>
      </c>
      <c r="I56" s="749">
        <v>0</v>
      </c>
      <c r="J56" s="749">
        <v>0</v>
      </c>
      <c r="K56" s="749">
        <v>0</v>
      </c>
      <c r="L56" s="749">
        <v>0</v>
      </c>
      <c r="M56" s="749">
        <v>0</v>
      </c>
      <c r="N56" s="749">
        <v>0</v>
      </c>
      <c r="O56" s="749"/>
      <c r="P56" s="749"/>
      <c r="Q56" s="749"/>
      <c r="R56" s="749"/>
      <c r="S56" s="749"/>
      <c r="T56" s="749"/>
      <c r="U56" s="749"/>
      <c r="V56" s="749"/>
      <c r="W56" s="749"/>
      <c r="X56" s="749"/>
      <c r="Y56" s="749"/>
      <c r="Z56" s="749"/>
      <c r="AA56" s="749"/>
      <c r="AB56" s="749"/>
      <c r="AE56" s="751"/>
      <c r="AF56" s="751"/>
      <c r="AG56" s="751"/>
      <c r="AH56" s="751"/>
      <c r="AI56" s="751"/>
      <c r="AJ56" s="751"/>
      <c r="AK56" s="751"/>
      <c r="AL56" s="751"/>
      <c r="AM56" s="751"/>
      <c r="AN56" s="751"/>
      <c r="AO56" s="751"/>
    </row>
    <row r="57" spans="1:249" s="744" customFormat="1">
      <c r="A57" s="707" t="s">
        <v>159</v>
      </c>
      <c r="B57" s="744">
        <f t="shared" ref="B57:X57" si="29">SUM(B55:B56)</f>
        <v>0</v>
      </c>
      <c r="C57" s="744">
        <f t="shared" si="29"/>
        <v>0</v>
      </c>
      <c r="D57" s="744">
        <f t="shared" si="29"/>
        <v>-16191</v>
      </c>
      <c r="E57" s="744">
        <f t="shared" si="29"/>
        <v>-15433</v>
      </c>
      <c r="F57" s="744">
        <f t="shared" si="29"/>
        <v>-13202</v>
      </c>
      <c r="G57" s="744">
        <f t="shared" si="29"/>
        <v>-15620</v>
      </c>
      <c r="H57" s="744">
        <f t="shared" si="29"/>
        <v>-17129</v>
      </c>
      <c r="I57" s="744">
        <f t="shared" si="29"/>
        <v>-18167</v>
      </c>
      <c r="J57" s="744">
        <f t="shared" si="29"/>
        <v>-19074</v>
      </c>
      <c r="K57" s="744">
        <f t="shared" si="29"/>
        <v>-17427</v>
      </c>
      <c r="L57" s="744">
        <f t="shared" si="29"/>
        <v>-19822</v>
      </c>
      <c r="M57" s="744">
        <f t="shared" si="29"/>
        <v>-25942</v>
      </c>
      <c r="N57" s="744">
        <f t="shared" si="29"/>
        <v>-24221</v>
      </c>
      <c r="O57" s="744">
        <f t="shared" si="29"/>
        <v>-16279</v>
      </c>
      <c r="P57" s="744">
        <f t="shared" si="29"/>
        <v>-6053</v>
      </c>
      <c r="Q57" s="744">
        <f t="shared" si="29"/>
        <v>-6423</v>
      </c>
      <c r="R57" s="744">
        <f t="shared" si="29"/>
        <v>-6593</v>
      </c>
      <c r="S57" s="744">
        <f t="shared" si="29"/>
        <v>-6810</v>
      </c>
      <c r="T57" s="744">
        <f t="shared" si="29"/>
        <v>-5889</v>
      </c>
      <c r="U57" s="744">
        <f t="shared" si="29"/>
        <v>-6375</v>
      </c>
      <c r="V57" s="744">
        <f t="shared" si="29"/>
        <v>-5701</v>
      </c>
      <c r="W57" s="744">
        <f t="shared" si="29"/>
        <v>-5865</v>
      </c>
      <c r="X57" s="744">
        <f t="shared" si="29"/>
        <v>-6180.6799000000001</v>
      </c>
      <c r="Y57" s="744">
        <f>SUM(Y55:Y56)</f>
        <v>-6092.7982247899999</v>
      </c>
      <c r="Z57" s="744">
        <f>SUM(Z55:Z56)</f>
        <v>-6021.2130781855985</v>
      </c>
      <c r="AA57" s="744">
        <f>SUM(AA55:AA56)</f>
        <v>-5960.3323885199725</v>
      </c>
      <c r="AB57" s="744">
        <f>SUM(AB55:AB56)</f>
        <v>-5904.6384299497859</v>
      </c>
      <c r="AE57" s="714" t="s">
        <v>989</v>
      </c>
      <c r="AF57" s="714">
        <v>6</v>
      </c>
      <c r="AG57" s="714" t="s">
        <v>860</v>
      </c>
      <c r="AH57" s="714" t="b">
        <v>0</v>
      </c>
      <c r="AI57" s="714" t="b">
        <v>0</v>
      </c>
    </row>
    <row r="58" spans="1:249" s="754" customFormat="1">
      <c r="A58" s="752" t="s">
        <v>160</v>
      </c>
      <c r="B58" s="753">
        <f t="shared" ref="B58:Y58" si="30">B45-B57</f>
        <v>0</v>
      </c>
      <c r="C58" s="753">
        <f t="shared" si="30"/>
        <v>-16503</v>
      </c>
      <c r="D58" s="753">
        <f t="shared" si="30"/>
        <v>0</v>
      </c>
      <c r="E58" s="753">
        <f t="shared" si="30"/>
        <v>0</v>
      </c>
      <c r="F58" s="753">
        <f t="shared" si="30"/>
        <v>0</v>
      </c>
      <c r="G58" s="753">
        <f t="shared" si="30"/>
        <v>0</v>
      </c>
      <c r="H58" s="753">
        <f t="shared" si="30"/>
        <v>0</v>
      </c>
      <c r="I58" s="753">
        <f t="shared" si="30"/>
        <v>0</v>
      </c>
      <c r="J58" s="753">
        <f t="shared" si="30"/>
        <v>0</v>
      </c>
      <c r="K58" s="753">
        <f t="shared" si="30"/>
        <v>0</v>
      </c>
      <c r="L58" s="753">
        <f t="shared" si="30"/>
        <v>0</v>
      </c>
      <c r="M58" s="753">
        <f t="shared" si="30"/>
        <v>0</v>
      </c>
      <c r="N58" s="753">
        <f t="shared" si="30"/>
        <v>0</v>
      </c>
      <c r="O58" s="753"/>
      <c r="P58" s="753"/>
      <c r="Q58" s="753">
        <f t="shared" si="30"/>
        <v>0</v>
      </c>
      <c r="R58" s="753">
        <f t="shared" si="30"/>
        <v>0</v>
      </c>
      <c r="S58" s="753">
        <f t="shared" si="30"/>
        <v>0</v>
      </c>
      <c r="T58" s="753">
        <f t="shared" si="30"/>
        <v>0</v>
      </c>
      <c r="U58" s="753">
        <f t="shared" si="30"/>
        <v>0</v>
      </c>
      <c r="V58" s="753">
        <f t="shared" si="30"/>
        <v>0</v>
      </c>
      <c r="W58" s="753">
        <f t="shared" si="30"/>
        <v>0</v>
      </c>
      <c r="X58" s="753">
        <f t="shared" si="30"/>
        <v>0</v>
      </c>
      <c r="Y58" s="753">
        <f t="shared" si="30"/>
        <v>0</v>
      </c>
      <c r="Z58" s="753">
        <f>Z45-Z57</f>
        <v>0</v>
      </c>
      <c r="AA58" s="753">
        <f>AA45-AA57</f>
        <v>0</v>
      </c>
      <c r="AB58" s="753">
        <f>AB45-AB57</f>
        <v>0</v>
      </c>
      <c r="AE58" s="755"/>
      <c r="AF58" s="755"/>
      <c r="AG58" s="755"/>
      <c r="AH58" s="755"/>
      <c r="AI58" s="755"/>
      <c r="AJ58" s="755"/>
      <c r="AK58" s="755"/>
      <c r="AL58" s="755"/>
      <c r="AM58" s="755"/>
      <c r="AN58" s="755"/>
      <c r="AO58" s="755"/>
    </row>
    <row r="59" spans="1:249">
      <c r="A59" s="756"/>
      <c r="B59" s="757"/>
      <c r="C59" s="757"/>
      <c r="D59" s="757"/>
      <c r="E59" s="757"/>
      <c r="F59" s="757"/>
      <c r="G59" s="757"/>
      <c r="H59" s="757"/>
      <c r="I59" s="757"/>
      <c r="J59" s="757"/>
      <c r="K59" s="757"/>
      <c r="L59" s="757"/>
      <c r="M59" s="757"/>
      <c r="N59" s="757"/>
      <c r="O59" s="757"/>
      <c r="P59" s="757"/>
      <c r="Q59" s="757"/>
      <c r="R59" s="757"/>
      <c r="S59" s="757"/>
      <c r="T59" s="757"/>
      <c r="U59" s="757"/>
      <c r="V59" s="757"/>
      <c r="W59" s="757"/>
      <c r="X59" s="757"/>
      <c r="Y59" s="757"/>
      <c r="Z59" s="757"/>
      <c r="AA59" s="757"/>
      <c r="AB59" s="757"/>
    </row>
    <row r="60" spans="1:249">
      <c r="A60" s="756"/>
      <c r="B60" s="757"/>
      <c r="C60" s="757"/>
      <c r="D60" s="757"/>
      <c r="E60" s="757"/>
      <c r="F60" s="757"/>
      <c r="G60" s="757"/>
      <c r="H60" s="757"/>
      <c r="I60" s="757"/>
      <c r="J60" s="757"/>
      <c r="K60" s="757"/>
      <c r="L60" s="757"/>
      <c r="M60" s="757"/>
      <c r="N60" s="757"/>
      <c r="O60" s="757"/>
      <c r="P60" s="757"/>
      <c r="Q60" s="757"/>
      <c r="R60" s="757"/>
      <c r="S60" s="757"/>
      <c r="T60" s="757"/>
      <c r="U60" s="757"/>
      <c r="V60" s="757"/>
      <c r="W60" s="757"/>
      <c r="X60" s="757"/>
      <c r="Y60" s="757"/>
      <c r="Z60" s="757"/>
      <c r="AA60" s="757"/>
      <c r="AB60" s="757"/>
    </row>
    <row r="61" spans="1:249" s="710" customFormat="1">
      <c r="A61" s="709" t="s">
        <v>990</v>
      </c>
      <c r="B61" s="721">
        <f t="shared" ref="B61:AB61" si="31">B$3</f>
        <v>1995</v>
      </c>
      <c r="C61" s="721">
        <f t="shared" si="31"/>
        <v>1996</v>
      </c>
      <c r="D61" s="721">
        <f t="shared" si="31"/>
        <v>1997</v>
      </c>
      <c r="E61" s="721">
        <f t="shared" si="31"/>
        <v>1998</v>
      </c>
      <c r="F61" s="721">
        <f t="shared" si="31"/>
        <v>1999</v>
      </c>
      <c r="G61" s="721">
        <f t="shared" si="31"/>
        <v>2000</v>
      </c>
      <c r="H61" s="721">
        <f t="shared" si="31"/>
        <v>2001</v>
      </c>
      <c r="I61" s="721">
        <f t="shared" si="31"/>
        <v>2002</v>
      </c>
      <c r="J61" s="721">
        <f t="shared" si="31"/>
        <v>2003</v>
      </c>
      <c r="K61" s="721">
        <f t="shared" si="31"/>
        <v>2004</v>
      </c>
      <c r="L61" s="721">
        <f t="shared" si="31"/>
        <v>2005</v>
      </c>
      <c r="M61" s="721">
        <f t="shared" si="31"/>
        <v>2006</v>
      </c>
      <c r="N61" s="721">
        <f t="shared" si="31"/>
        <v>2007</v>
      </c>
      <c r="O61" s="721">
        <f t="shared" si="31"/>
        <v>2008</v>
      </c>
      <c r="P61" s="721">
        <f t="shared" si="31"/>
        <v>2009</v>
      </c>
      <c r="Q61" s="721">
        <f t="shared" si="31"/>
        <v>2010</v>
      </c>
      <c r="R61" s="721">
        <f t="shared" si="31"/>
        <v>2011</v>
      </c>
      <c r="S61" s="721">
        <f t="shared" si="31"/>
        <v>2012</v>
      </c>
      <c r="T61" s="721">
        <f t="shared" si="31"/>
        <v>2013</v>
      </c>
      <c r="U61" s="721">
        <f t="shared" si="31"/>
        <v>2014</v>
      </c>
      <c r="V61" s="721">
        <f t="shared" si="31"/>
        <v>2015</v>
      </c>
      <c r="W61" s="721">
        <f>W3</f>
        <v>2016</v>
      </c>
      <c r="X61" s="722">
        <f t="shared" si="31"/>
        <v>2017</v>
      </c>
      <c r="Y61" s="722">
        <f t="shared" si="31"/>
        <v>2018</v>
      </c>
      <c r="Z61" s="722">
        <f t="shared" si="31"/>
        <v>2019</v>
      </c>
      <c r="AA61" s="722">
        <f t="shared" si="31"/>
        <v>2020</v>
      </c>
      <c r="AB61" s="722">
        <f t="shared" si="31"/>
        <v>2021</v>
      </c>
    </row>
    <row r="62" spans="1:249" s="760" customFormat="1">
      <c r="A62" s="711" t="s">
        <v>134</v>
      </c>
      <c r="B62" s="758"/>
      <c r="C62" s="758">
        <v>7.2499999999999995E-2</v>
      </c>
      <c r="D62" s="758">
        <v>7.4999999999999997E-2</v>
      </c>
      <c r="E62" s="758">
        <v>7.0000000000000007E-2</v>
      </c>
      <c r="F62" s="758">
        <v>6.5000000000000002E-2</v>
      </c>
      <c r="G62" s="758">
        <v>7.4999999999999997E-2</v>
      </c>
      <c r="H62" s="758">
        <v>7.2499999999999995E-2</v>
      </c>
      <c r="I62" s="758">
        <v>6.7500000000000004E-2</v>
      </c>
      <c r="J62" s="758">
        <v>6.25E-2</v>
      </c>
      <c r="K62" s="758">
        <v>5.7500000000000002E-2</v>
      </c>
      <c r="L62" s="758">
        <v>5.7299999999999997E-2</v>
      </c>
      <c r="M62" s="758">
        <v>5.9799999999999999E-2</v>
      </c>
      <c r="N62" s="758">
        <v>6.4500000000000002E-2</v>
      </c>
      <c r="O62" s="758">
        <v>4.9500000000000002E-2</v>
      </c>
      <c r="P62" s="758">
        <v>5.74E-2</v>
      </c>
      <c r="Q62" s="758">
        <v>5.1999999999999998E-2</v>
      </c>
      <c r="R62" s="758">
        <v>4.5999999999999999E-2</v>
      </c>
      <c r="S62" s="758">
        <v>3.7999999999999999E-2</v>
      </c>
      <c r="T62" s="758">
        <v>4.65E-2</v>
      </c>
      <c r="U62" s="758">
        <v>3.8600000000000002E-2</v>
      </c>
      <c r="V62" s="758">
        <v>4.2299999999999997E-2</v>
      </c>
      <c r="W62" s="758">
        <v>0.04</v>
      </c>
      <c r="X62" s="759">
        <v>3.6999999999999998E-2</v>
      </c>
      <c r="Y62" s="759">
        <v>0.04</v>
      </c>
      <c r="Z62" s="759">
        <v>4.2000000000000003E-2</v>
      </c>
      <c r="AA62" s="759">
        <v>4.2999999999999997E-2</v>
      </c>
      <c r="AB62" s="759">
        <v>4.2999999999999997E-2</v>
      </c>
      <c r="AE62" s="761" t="s">
        <v>991</v>
      </c>
      <c r="AF62" s="761">
        <v>0</v>
      </c>
      <c r="AG62" s="761" t="s">
        <v>874</v>
      </c>
      <c r="AH62" s="761" t="b">
        <v>0</v>
      </c>
      <c r="AI62" s="761" t="b">
        <v>0</v>
      </c>
      <c r="AJ62" s="761"/>
      <c r="AK62" s="761"/>
      <c r="AL62" s="761"/>
      <c r="AM62" s="761"/>
      <c r="AN62" s="761"/>
      <c r="AO62" s="761"/>
      <c r="IO62" s="762"/>
    </row>
    <row r="63" spans="1:249" s="761" customFormat="1">
      <c r="A63" s="711" t="s">
        <v>135</v>
      </c>
      <c r="B63" s="763"/>
      <c r="C63" s="763">
        <f t="shared" ref="C63:AB63" si="32">B62</f>
        <v>0</v>
      </c>
      <c r="D63" s="763">
        <f t="shared" si="32"/>
        <v>7.2499999999999995E-2</v>
      </c>
      <c r="E63" s="763">
        <f t="shared" si="32"/>
        <v>7.4999999999999997E-2</v>
      </c>
      <c r="F63" s="763">
        <f t="shared" si="32"/>
        <v>7.0000000000000007E-2</v>
      </c>
      <c r="G63" s="763">
        <f t="shared" si="32"/>
        <v>6.5000000000000002E-2</v>
      </c>
      <c r="H63" s="763">
        <f t="shared" si="32"/>
        <v>7.4999999999999997E-2</v>
      </c>
      <c r="I63" s="763">
        <f t="shared" si="32"/>
        <v>7.2499999999999995E-2</v>
      </c>
      <c r="J63" s="763">
        <f t="shared" si="32"/>
        <v>6.7500000000000004E-2</v>
      </c>
      <c r="K63" s="763">
        <f t="shared" si="32"/>
        <v>6.25E-2</v>
      </c>
      <c r="L63" s="763">
        <f t="shared" si="32"/>
        <v>5.7500000000000002E-2</v>
      </c>
      <c r="M63" s="763">
        <f t="shared" si="32"/>
        <v>5.7299999999999997E-2</v>
      </c>
      <c r="N63" s="763">
        <f t="shared" si="32"/>
        <v>5.9799999999999999E-2</v>
      </c>
      <c r="O63" s="763">
        <f t="shared" si="32"/>
        <v>6.4500000000000002E-2</v>
      </c>
      <c r="P63" s="763">
        <f t="shared" si="32"/>
        <v>4.9500000000000002E-2</v>
      </c>
      <c r="Q63" s="763">
        <f t="shared" si="32"/>
        <v>5.74E-2</v>
      </c>
      <c r="R63" s="763">
        <f t="shared" si="32"/>
        <v>5.1999999999999998E-2</v>
      </c>
      <c r="S63" s="763">
        <f t="shared" si="32"/>
        <v>4.5999999999999999E-2</v>
      </c>
      <c r="T63" s="763">
        <f t="shared" si="32"/>
        <v>3.7999999999999999E-2</v>
      </c>
      <c r="U63" s="763">
        <f t="shared" si="32"/>
        <v>4.65E-2</v>
      </c>
      <c r="V63" s="763">
        <f t="shared" si="32"/>
        <v>3.8600000000000002E-2</v>
      </c>
      <c r="W63" s="763">
        <f t="shared" si="32"/>
        <v>4.2299999999999997E-2</v>
      </c>
      <c r="X63" s="763">
        <f t="shared" si="32"/>
        <v>0.04</v>
      </c>
      <c r="Y63" s="763">
        <f t="shared" si="32"/>
        <v>3.6999999999999998E-2</v>
      </c>
      <c r="Z63" s="763">
        <f t="shared" si="32"/>
        <v>0.04</v>
      </c>
      <c r="AA63" s="763">
        <f t="shared" si="32"/>
        <v>4.2000000000000003E-2</v>
      </c>
      <c r="AB63" s="763">
        <f t="shared" si="32"/>
        <v>4.2999999999999997E-2</v>
      </c>
      <c r="IO63" s="763"/>
    </row>
    <row r="64" spans="1:249" s="760" customFormat="1">
      <c r="A64" s="711" t="s">
        <v>136</v>
      </c>
      <c r="B64" s="758"/>
      <c r="C64" s="758"/>
      <c r="D64" s="758"/>
      <c r="E64" s="758"/>
      <c r="F64" s="758"/>
      <c r="G64" s="758"/>
      <c r="H64" s="758"/>
      <c r="I64" s="758">
        <v>0</v>
      </c>
      <c r="J64" s="758">
        <v>4.4999999999999998E-2</v>
      </c>
      <c r="K64" s="758">
        <v>4.4999999999999998E-2</v>
      </c>
      <c r="L64" s="758">
        <v>0.04</v>
      </c>
      <c r="M64" s="758">
        <v>3.7999999999999999E-2</v>
      </c>
      <c r="N64" s="758">
        <f>M64</f>
        <v>3.7999999999999999E-2</v>
      </c>
      <c r="O64" s="758">
        <v>3.7999999999999999E-2</v>
      </c>
      <c r="P64" s="758">
        <v>3.7999999999999999E-2</v>
      </c>
      <c r="Q64" s="758">
        <v>3.7999999999999999E-2</v>
      </c>
      <c r="R64" s="758">
        <v>3.7999999999999999E-2</v>
      </c>
      <c r="S64" s="758">
        <v>3.7999999999999999E-2</v>
      </c>
      <c r="T64" s="758">
        <v>3.7999999999999999E-2</v>
      </c>
      <c r="U64" s="758">
        <v>3.7999999999999999E-2</v>
      </c>
      <c r="V64" s="758">
        <v>3.8100000000000002E-2</v>
      </c>
      <c r="W64" s="758">
        <v>3.5099999999999999E-2</v>
      </c>
      <c r="X64" s="759">
        <f>W64</f>
        <v>3.5099999999999999E-2</v>
      </c>
      <c r="Y64" s="759">
        <f>X64</f>
        <v>3.5099999999999999E-2</v>
      </c>
      <c r="Z64" s="759">
        <f>Y64</f>
        <v>3.5099999999999999E-2</v>
      </c>
      <c r="AA64" s="759">
        <f>Z64</f>
        <v>3.5099999999999999E-2</v>
      </c>
      <c r="AB64" s="759">
        <f>AA64</f>
        <v>3.5099999999999999E-2</v>
      </c>
      <c r="AE64" s="761"/>
      <c r="AF64" s="761"/>
      <c r="AG64" s="761"/>
      <c r="AH64" s="761"/>
      <c r="AI64" s="761"/>
      <c r="AJ64" s="761"/>
      <c r="AK64" s="761"/>
      <c r="AL64" s="761"/>
      <c r="AM64" s="761"/>
      <c r="AN64" s="761"/>
      <c r="AO64" s="761"/>
      <c r="IO64" s="762"/>
    </row>
    <row r="65" spans="1:249" s="760" customFormat="1">
      <c r="A65" s="711" t="s">
        <v>137</v>
      </c>
      <c r="B65" s="758"/>
      <c r="C65" s="758"/>
      <c r="D65" s="758"/>
      <c r="E65" s="758">
        <v>6.2E-2</v>
      </c>
      <c r="F65" s="758">
        <v>0.06</v>
      </c>
      <c r="G65" s="758">
        <v>0.06</v>
      </c>
      <c r="H65" s="758">
        <v>0.06</v>
      </c>
      <c r="I65" s="758">
        <v>0.06</v>
      </c>
      <c r="J65" s="758">
        <v>6.2E-2</v>
      </c>
      <c r="K65" s="758">
        <v>7.9299999999999995E-2</v>
      </c>
      <c r="L65" s="758">
        <v>8.2799999999999999E-2</v>
      </c>
      <c r="M65" s="758">
        <v>5.5E-2</v>
      </c>
      <c r="N65" s="758">
        <v>8.4000000000000005E-2</v>
      </c>
      <c r="O65" s="758">
        <v>5.5E-2</v>
      </c>
      <c r="P65" s="758">
        <v>5.5E-2</v>
      </c>
      <c r="Q65" s="759">
        <v>5.5E-2</v>
      </c>
      <c r="R65" s="759">
        <v>5.5E-2</v>
      </c>
      <c r="S65" s="759">
        <v>5.5E-2</v>
      </c>
      <c r="T65" s="759">
        <v>5.5E-2</v>
      </c>
      <c r="U65" s="759">
        <v>5.5E-2</v>
      </c>
      <c r="V65" s="759">
        <v>5.5E-2</v>
      </c>
      <c r="W65" s="759">
        <v>5.5E-2</v>
      </c>
      <c r="X65" s="759">
        <v>5.5E-2</v>
      </c>
      <c r="Y65" s="759">
        <v>5.5E-2</v>
      </c>
      <c r="Z65" s="759">
        <v>5.5E-2</v>
      </c>
      <c r="AA65" s="759">
        <v>5.5E-2</v>
      </c>
      <c r="AB65" s="759">
        <v>5.5E-2</v>
      </c>
      <c r="AE65" s="761" t="s">
        <v>992</v>
      </c>
      <c r="AF65" s="761">
        <v>0</v>
      </c>
      <c r="AG65" s="761" t="s">
        <v>874</v>
      </c>
      <c r="AH65" s="761" t="b">
        <v>0</v>
      </c>
      <c r="AI65" s="761" t="b">
        <v>0</v>
      </c>
      <c r="AJ65" s="761"/>
      <c r="AK65" s="761"/>
      <c r="AL65" s="761"/>
      <c r="AM65" s="761"/>
      <c r="AN65" s="761"/>
      <c r="AO65" s="761"/>
      <c r="IO65" s="762"/>
    </row>
    <row r="66" spans="1:249" s="761" customFormat="1">
      <c r="A66" s="711" t="s">
        <v>138</v>
      </c>
      <c r="B66" s="763"/>
      <c r="C66" s="763"/>
      <c r="D66" s="763"/>
      <c r="E66" s="763">
        <f>E29/E28</f>
        <v>6.1141304347826088E-2</v>
      </c>
      <c r="F66" s="763">
        <f>F29/F28</f>
        <v>3.6642238507661559E-2</v>
      </c>
      <c r="G66" s="763">
        <f>G29/G28</f>
        <v>0.13354531001589826</v>
      </c>
      <c r="H66" s="763">
        <f>H29/H28</f>
        <v>6.3795853269537475E-2</v>
      </c>
      <c r="I66" s="763">
        <f t="shared" ref="I66:P66" si="33">I29/I28</f>
        <v>2.3774145616641901E-2</v>
      </c>
      <c r="J66" s="763">
        <f t="shared" si="33"/>
        <v>3.5285815102328866E-3</v>
      </c>
      <c r="K66" s="763">
        <f t="shared" si="33"/>
        <v>0.11136044880785413</v>
      </c>
      <c r="L66" s="763">
        <f t="shared" si="33"/>
        <v>9.1836734693877556E-2</v>
      </c>
      <c r="M66" s="763">
        <f t="shared" si="33"/>
        <v>7.8497768200708015E-2</v>
      </c>
      <c r="N66" s="763">
        <f t="shared" si="33"/>
        <v>1.6053647632595001E-2</v>
      </c>
      <c r="O66" s="763">
        <f t="shared" si="33"/>
        <v>-0.26090322580645159</v>
      </c>
      <c r="P66" s="763">
        <f t="shared" si="33"/>
        <v>0.28427853553481697</v>
      </c>
      <c r="Q66" s="764">
        <f t="shared" ref="Q66:X66" si="34">Q65</f>
        <v>5.5E-2</v>
      </c>
      <c r="R66" s="764">
        <f t="shared" si="34"/>
        <v>5.5E-2</v>
      </c>
      <c r="S66" s="764">
        <f t="shared" si="34"/>
        <v>5.5E-2</v>
      </c>
      <c r="T66" s="764">
        <f>T65</f>
        <v>5.5E-2</v>
      </c>
      <c r="U66" s="764">
        <f t="shared" si="34"/>
        <v>5.5E-2</v>
      </c>
      <c r="V66" s="764">
        <f t="shared" si="34"/>
        <v>5.5E-2</v>
      </c>
      <c r="W66" s="764">
        <f t="shared" si="34"/>
        <v>5.5E-2</v>
      </c>
      <c r="X66" s="764">
        <f t="shared" si="34"/>
        <v>5.5E-2</v>
      </c>
      <c r="Y66" s="764">
        <f>Y65</f>
        <v>5.5E-2</v>
      </c>
      <c r="Z66" s="764">
        <f>Z65</f>
        <v>5.5E-2</v>
      </c>
      <c r="AA66" s="764">
        <f>AA65</f>
        <v>5.5E-2</v>
      </c>
      <c r="AB66" s="764">
        <f>AB65</f>
        <v>5.5E-2</v>
      </c>
      <c r="IO66" s="763"/>
    </row>
    <row r="67" spans="1:249" s="761" customFormat="1">
      <c r="A67" s="765" t="s">
        <v>139</v>
      </c>
      <c r="B67" s="758"/>
      <c r="C67" s="758"/>
      <c r="D67" s="758"/>
      <c r="E67" s="758"/>
      <c r="F67" s="758"/>
      <c r="G67" s="758"/>
      <c r="H67" s="758"/>
      <c r="I67" s="758">
        <v>0.11</v>
      </c>
      <c r="J67" s="758">
        <v>0.09</v>
      </c>
      <c r="K67" s="758">
        <v>0.09</v>
      </c>
      <c r="L67" s="758">
        <v>7.0000000000000007E-2</v>
      </c>
      <c r="M67" s="758">
        <v>0.06</v>
      </c>
      <c r="N67" s="766">
        <f t="shared" ref="N67:AB67" si="35">M67-($L$67-$L$69)/($L$70-$L$61)</f>
        <v>6.0010000000000001E-2</v>
      </c>
      <c r="O67" s="766">
        <v>0.05</v>
      </c>
      <c r="P67" s="766">
        <f t="shared" si="35"/>
        <v>5.0010000000000006E-2</v>
      </c>
      <c r="Q67" s="766">
        <f t="shared" si="35"/>
        <v>5.0020000000000009E-2</v>
      </c>
      <c r="R67" s="766">
        <f t="shared" si="35"/>
        <v>5.0030000000000012E-2</v>
      </c>
      <c r="S67" s="766">
        <f t="shared" si="35"/>
        <v>5.0040000000000015E-2</v>
      </c>
      <c r="T67" s="766">
        <f t="shared" si="35"/>
        <v>5.0050000000000018E-2</v>
      </c>
      <c r="U67" s="766">
        <f t="shared" si="35"/>
        <v>5.0060000000000021E-2</v>
      </c>
      <c r="V67" s="766">
        <f t="shared" si="35"/>
        <v>5.0070000000000024E-2</v>
      </c>
      <c r="W67" s="766">
        <f t="shared" si="35"/>
        <v>5.0080000000000027E-2</v>
      </c>
      <c r="X67" s="766">
        <f t="shared" si="35"/>
        <v>5.009000000000003E-2</v>
      </c>
      <c r="Y67" s="766">
        <f t="shared" si="35"/>
        <v>5.0100000000000033E-2</v>
      </c>
      <c r="Z67" s="766">
        <f t="shared" si="35"/>
        <v>5.0110000000000036E-2</v>
      </c>
      <c r="AA67" s="766">
        <f t="shared" si="35"/>
        <v>5.012000000000004E-2</v>
      </c>
      <c r="AB67" s="766">
        <f t="shared" si="35"/>
        <v>5.0130000000000043E-2</v>
      </c>
      <c r="AE67" s="761" t="s">
        <v>993</v>
      </c>
      <c r="AF67" s="761">
        <v>0</v>
      </c>
      <c r="AG67" s="761" t="s">
        <v>874</v>
      </c>
      <c r="AH67" s="761" t="b">
        <v>0</v>
      </c>
      <c r="AI67" s="761" t="b">
        <v>0</v>
      </c>
      <c r="IO67" s="763"/>
    </row>
    <row r="68" spans="1:249" s="761" customFormat="1">
      <c r="A68" s="765" t="s">
        <v>994</v>
      </c>
      <c r="B68" s="758"/>
      <c r="C68" s="758">
        <v>9.5000000000000001E-2</v>
      </c>
      <c r="D68" s="758">
        <v>6.6000000000000003E-2</v>
      </c>
      <c r="E68" s="758">
        <v>6.6000000000000003E-2</v>
      </c>
      <c r="F68" s="758">
        <v>7.0000000000000007E-2</v>
      </c>
      <c r="G68" s="758">
        <v>8.9700000000000002E-2</v>
      </c>
      <c r="H68" s="758">
        <v>9.4500000000000001E-2</v>
      </c>
      <c r="I68" s="758">
        <v>0.05</v>
      </c>
      <c r="J68" s="758">
        <v>0.05</v>
      </c>
      <c r="K68" s="758">
        <v>0.05</v>
      </c>
      <c r="L68" s="758">
        <v>0.05</v>
      </c>
      <c r="M68" s="758">
        <v>0.05</v>
      </c>
      <c r="N68" s="767">
        <v>0.03</v>
      </c>
      <c r="O68" s="767"/>
      <c r="P68" s="767"/>
      <c r="Q68" s="766"/>
      <c r="R68" s="766"/>
      <c r="S68" s="766"/>
      <c r="T68" s="766"/>
      <c r="U68" s="766"/>
      <c r="V68" s="766"/>
      <c r="W68" s="766"/>
      <c r="X68" s="766"/>
      <c r="Y68" s="766"/>
      <c r="Z68" s="766"/>
      <c r="AA68" s="766"/>
      <c r="AB68" s="766"/>
      <c r="IO68" s="763"/>
    </row>
    <row r="69" spans="1:249" s="761" customFormat="1">
      <c r="A69" s="765" t="s">
        <v>140</v>
      </c>
      <c r="B69" s="758"/>
      <c r="C69" s="758">
        <v>5.5E-2</v>
      </c>
      <c r="D69" s="758">
        <v>0.05</v>
      </c>
      <c r="E69" s="758">
        <v>0.05</v>
      </c>
      <c r="F69" s="758">
        <v>0.05</v>
      </c>
      <c r="G69" s="758">
        <v>0.05</v>
      </c>
      <c r="H69" s="758">
        <v>0.05</v>
      </c>
      <c r="I69" s="758">
        <v>0.05</v>
      </c>
      <c r="J69" s="758">
        <v>0.05</v>
      </c>
      <c r="K69" s="758">
        <v>0.05</v>
      </c>
      <c r="L69" s="758">
        <v>0.05</v>
      </c>
      <c r="M69" s="758">
        <v>0.05</v>
      </c>
      <c r="N69" s="767">
        <v>0.05</v>
      </c>
      <c r="O69" s="767"/>
      <c r="P69" s="767"/>
      <c r="Q69" s="766"/>
      <c r="R69" s="766"/>
      <c r="S69" s="766"/>
      <c r="T69" s="766"/>
      <c r="U69" s="766"/>
      <c r="V69" s="766"/>
      <c r="W69" s="766"/>
      <c r="X69" s="766"/>
      <c r="Y69" s="766"/>
      <c r="Z69" s="766"/>
      <c r="AA69" s="766"/>
      <c r="AB69" s="766"/>
      <c r="AE69" s="761" t="s">
        <v>995</v>
      </c>
      <c r="AF69" s="761">
        <v>0</v>
      </c>
      <c r="AG69" s="761" t="s">
        <v>874</v>
      </c>
      <c r="AH69" s="761" t="b">
        <v>0</v>
      </c>
      <c r="AI69" s="761" t="b">
        <v>0</v>
      </c>
      <c r="IO69" s="763"/>
    </row>
    <row r="70" spans="1:249" s="761" customFormat="1">
      <c r="A70" s="765" t="s">
        <v>143</v>
      </c>
      <c r="B70" s="768"/>
      <c r="C70" s="768">
        <v>10</v>
      </c>
      <c r="D70" s="768">
        <v>10</v>
      </c>
      <c r="E70" s="768">
        <v>10</v>
      </c>
      <c r="F70" s="768">
        <v>9</v>
      </c>
      <c r="G70" s="768"/>
      <c r="H70" s="768">
        <v>6</v>
      </c>
      <c r="I70" s="768">
        <v>5</v>
      </c>
      <c r="J70" s="768">
        <v>5</v>
      </c>
      <c r="K70" s="768">
        <v>5</v>
      </c>
      <c r="L70" s="768">
        <v>5</v>
      </c>
      <c r="M70" s="768">
        <v>5</v>
      </c>
      <c r="N70" s="769">
        <v>5</v>
      </c>
      <c r="O70" s="769">
        <v>5</v>
      </c>
      <c r="P70" s="769">
        <v>5</v>
      </c>
      <c r="Q70" s="769">
        <v>5</v>
      </c>
      <c r="R70" s="769">
        <v>5</v>
      </c>
      <c r="S70" s="769">
        <v>5</v>
      </c>
      <c r="T70" s="769">
        <v>5</v>
      </c>
      <c r="U70" s="769">
        <v>5</v>
      </c>
      <c r="V70" s="769">
        <v>5</v>
      </c>
      <c r="W70" s="769">
        <v>5</v>
      </c>
      <c r="X70" s="769">
        <v>5</v>
      </c>
      <c r="Y70" s="769">
        <v>5</v>
      </c>
      <c r="Z70" s="769">
        <v>5</v>
      </c>
      <c r="AA70" s="769">
        <v>5</v>
      </c>
      <c r="AB70" s="769">
        <v>5</v>
      </c>
      <c r="IO70" s="763"/>
    </row>
    <row r="71" spans="1:249">
      <c r="A71" s="711" t="s">
        <v>996</v>
      </c>
      <c r="B71" s="770">
        <v>0</v>
      </c>
      <c r="C71" s="770">
        <v>0</v>
      </c>
      <c r="D71" s="770">
        <v>0</v>
      </c>
      <c r="E71" s="770">
        <v>0</v>
      </c>
      <c r="F71" s="770">
        <v>0</v>
      </c>
      <c r="G71" s="770">
        <v>0</v>
      </c>
      <c r="H71" s="770">
        <v>0</v>
      </c>
      <c r="I71" s="770">
        <f>US_Pension!I23</f>
        <v>15</v>
      </c>
      <c r="J71" s="770">
        <f>US_Pension!J23</f>
        <v>15</v>
      </c>
      <c r="K71" s="770">
        <f>US_Pension!K23</f>
        <v>15</v>
      </c>
      <c r="L71" s="770">
        <f>US_Pension!L23</f>
        <v>15</v>
      </c>
      <c r="M71" s="770">
        <f>US_Pension!M23</f>
        <v>15</v>
      </c>
      <c r="N71" s="770">
        <f>US_Pension!N23</f>
        <v>15</v>
      </c>
      <c r="O71" s="770">
        <f>US_Pension!O23</f>
        <v>15</v>
      </c>
      <c r="P71" s="770">
        <f>US_Pension!P23</f>
        <v>15</v>
      </c>
      <c r="Q71" s="770">
        <f>US_Pension!Q23</f>
        <v>15</v>
      </c>
      <c r="R71" s="770">
        <f>US_Pension!R23</f>
        <v>15</v>
      </c>
      <c r="S71" s="770">
        <f>US_Pension!S23</f>
        <v>15</v>
      </c>
      <c r="T71" s="770">
        <f>US_Pension!T23</f>
        <v>15</v>
      </c>
      <c r="U71" s="770">
        <f>US_Pension!U23</f>
        <v>15</v>
      </c>
      <c r="V71" s="770">
        <f>US_Pension!V23</f>
        <v>15</v>
      </c>
      <c r="W71" s="770">
        <f>US_Pension!W23</f>
        <v>15</v>
      </c>
      <c r="X71" s="770">
        <f>US_Pension!X23</f>
        <v>15</v>
      </c>
      <c r="Y71" s="770">
        <f>US_Pension!Y23</f>
        <v>15</v>
      </c>
      <c r="Z71" s="770">
        <f>US_Pension!Z23</f>
        <v>15</v>
      </c>
      <c r="AA71" s="770">
        <f>US_Pension!AA23</f>
        <v>15</v>
      </c>
      <c r="AB71" s="770">
        <f>US_Pension!AB23</f>
        <v>15</v>
      </c>
    </row>
    <row r="72" spans="1:249">
      <c r="A72" s="711" t="s">
        <v>997</v>
      </c>
      <c r="B72" s="771">
        <v>0</v>
      </c>
      <c r="C72" s="771">
        <v>0</v>
      </c>
      <c r="D72" s="771">
        <v>0</v>
      </c>
      <c r="E72" s="771">
        <v>0</v>
      </c>
      <c r="F72" s="771">
        <v>0</v>
      </c>
      <c r="G72" s="771">
        <v>0</v>
      </c>
      <c r="H72" s="771">
        <v>0</v>
      </c>
      <c r="I72" s="771">
        <v>0</v>
      </c>
      <c r="J72" s="771">
        <v>0</v>
      </c>
      <c r="K72" s="771">
        <v>0</v>
      </c>
      <c r="L72" s="771">
        <v>0</v>
      </c>
      <c r="M72" s="771">
        <v>0</v>
      </c>
      <c r="N72" s="771"/>
      <c r="O72" s="771"/>
      <c r="P72" s="771"/>
      <c r="Q72" s="771"/>
      <c r="R72" s="771"/>
      <c r="S72" s="771"/>
      <c r="T72" s="771"/>
      <c r="U72" s="771"/>
      <c r="V72" s="771"/>
      <c r="W72" s="771"/>
      <c r="X72" s="771"/>
      <c r="Y72" s="771"/>
      <c r="Z72" s="771"/>
      <c r="AA72" s="771"/>
      <c r="AB72" s="771"/>
    </row>
    <row r="73" spans="1:249">
      <c r="B73" s="772"/>
      <c r="C73" s="772"/>
      <c r="D73" s="772"/>
      <c r="E73" s="772"/>
      <c r="F73" s="772"/>
      <c r="G73" s="772"/>
      <c r="H73" s="772"/>
      <c r="I73" s="772"/>
      <c r="J73" s="772"/>
      <c r="K73" s="772"/>
      <c r="L73" s="772"/>
      <c r="M73" s="772"/>
      <c r="N73" s="772"/>
      <c r="O73" s="772"/>
      <c r="P73" s="772"/>
      <c r="Q73" s="772"/>
      <c r="R73" s="772"/>
      <c r="S73" s="772"/>
      <c r="T73" s="772"/>
      <c r="U73" s="772"/>
      <c r="V73" s="772"/>
      <c r="W73" s="772"/>
      <c r="X73" s="772"/>
      <c r="Y73" s="772"/>
      <c r="Z73" s="772"/>
      <c r="AA73" s="772"/>
      <c r="AB73" s="772"/>
    </row>
    <row r="74" spans="1:249" s="710" customFormat="1">
      <c r="A74" s="709" t="s">
        <v>998</v>
      </c>
      <c r="B74" s="721">
        <f t="shared" ref="B74:AB74" si="36">B$3</f>
        <v>1995</v>
      </c>
      <c r="C74" s="721">
        <f t="shared" si="36"/>
        <v>1996</v>
      </c>
      <c r="D74" s="721">
        <f t="shared" si="36"/>
        <v>1997</v>
      </c>
      <c r="E74" s="721">
        <f t="shared" si="36"/>
        <v>1998</v>
      </c>
      <c r="F74" s="721">
        <f t="shared" si="36"/>
        <v>1999</v>
      </c>
      <c r="G74" s="721">
        <f t="shared" si="36"/>
        <v>2000</v>
      </c>
      <c r="H74" s="721">
        <f t="shared" si="36"/>
        <v>2001</v>
      </c>
      <c r="I74" s="721">
        <f t="shared" si="36"/>
        <v>2002</v>
      </c>
      <c r="J74" s="721">
        <f t="shared" si="36"/>
        <v>2003</v>
      </c>
      <c r="K74" s="721">
        <f t="shared" si="36"/>
        <v>2004</v>
      </c>
      <c r="L74" s="721">
        <f t="shared" si="36"/>
        <v>2005</v>
      </c>
      <c r="M74" s="721">
        <f t="shared" si="36"/>
        <v>2006</v>
      </c>
      <c r="N74" s="721">
        <f t="shared" si="36"/>
        <v>2007</v>
      </c>
      <c r="O74" s="721">
        <f t="shared" si="36"/>
        <v>2008</v>
      </c>
      <c r="P74" s="721">
        <f t="shared" si="36"/>
        <v>2009</v>
      </c>
      <c r="Q74" s="721">
        <f t="shared" si="36"/>
        <v>2010</v>
      </c>
      <c r="R74" s="721">
        <f t="shared" si="36"/>
        <v>2011</v>
      </c>
      <c r="S74" s="721">
        <f t="shared" si="36"/>
        <v>2012</v>
      </c>
      <c r="T74" s="721">
        <f t="shared" si="36"/>
        <v>2013</v>
      </c>
      <c r="U74" s="721">
        <f t="shared" si="36"/>
        <v>2014</v>
      </c>
      <c r="V74" s="721">
        <f t="shared" si="36"/>
        <v>2015</v>
      </c>
      <c r="W74" s="721">
        <f t="shared" si="36"/>
        <v>2016</v>
      </c>
      <c r="X74" s="722">
        <f t="shared" si="36"/>
        <v>2017</v>
      </c>
      <c r="Y74" s="722">
        <f t="shared" si="36"/>
        <v>2018</v>
      </c>
      <c r="Z74" s="722">
        <f t="shared" si="36"/>
        <v>2019</v>
      </c>
      <c r="AA74" s="722">
        <f t="shared" si="36"/>
        <v>2020</v>
      </c>
      <c r="AB74" s="722">
        <f t="shared" si="36"/>
        <v>2021</v>
      </c>
    </row>
    <row r="75" spans="1:249" s="714" customFormat="1">
      <c r="A75" s="711" t="s">
        <v>999</v>
      </c>
      <c r="B75" s="713"/>
      <c r="C75" s="713"/>
      <c r="D75" s="713"/>
      <c r="E75" s="713"/>
      <c r="F75" s="713"/>
      <c r="G75" s="713"/>
      <c r="H75" s="713"/>
      <c r="I75" s="713"/>
      <c r="J75" s="713"/>
      <c r="K75" s="713"/>
      <c r="L75" s="773">
        <v>0</v>
      </c>
      <c r="M75" s="773">
        <v>0</v>
      </c>
      <c r="N75" s="713"/>
      <c r="O75" s="713"/>
      <c r="P75" s="713"/>
      <c r="Q75" s="713"/>
      <c r="R75" s="713"/>
      <c r="S75" s="713"/>
      <c r="T75" s="713"/>
      <c r="U75" s="713"/>
      <c r="V75" s="713"/>
      <c r="W75" s="713"/>
      <c r="X75" s="713"/>
      <c r="Y75" s="713"/>
      <c r="Z75" s="713"/>
      <c r="AA75" s="713"/>
      <c r="AB75" s="713"/>
    </row>
    <row r="76" spans="1:249" s="714" customFormat="1">
      <c r="A76" s="711" t="s">
        <v>1000</v>
      </c>
      <c r="B76" s="713"/>
      <c r="C76" s="713"/>
      <c r="D76" s="713"/>
      <c r="E76" s="713"/>
      <c r="F76" s="713"/>
      <c r="G76" s="713"/>
      <c r="H76" s="713"/>
      <c r="I76" s="713"/>
      <c r="J76" s="713"/>
      <c r="K76" s="713"/>
      <c r="L76" s="773">
        <v>0</v>
      </c>
      <c r="M76" s="773">
        <v>0</v>
      </c>
      <c r="N76" s="713"/>
      <c r="O76" s="713"/>
      <c r="P76" s="713"/>
      <c r="Q76" s="713"/>
      <c r="R76" s="713"/>
      <c r="S76" s="713"/>
      <c r="T76" s="713"/>
      <c r="U76" s="713"/>
      <c r="V76" s="713"/>
      <c r="W76" s="713"/>
      <c r="X76" s="713"/>
      <c r="Y76" s="713"/>
      <c r="Z76" s="713"/>
      <c r="AA76" s="713"/>
      <c r="AB76" s="713"/>
    </row>
    <row r="77" spans="1:249" s="714" customFormat="1">
      <c r="A77" s="711" t="s">
        <v>1001</v>
      </c>
      <c r="B77" s="713"/>
      <c r="C77" s="713"/>
      <c r="D77" s="713"/>
      <c r="E77" s="713"/>
      <c r="F77" s="713"/>
      <c r="G77" s="713"/>
      <c r="H77" s="713"/>
      <c r="I77" s="713"/>
      <c r="J77" s="713"/>
      <c r="K77" s="713"/>
      <c r="L77" s="773">
        <v>0</v>
      </c>
      <c r="M77" s="773">
        <v>0</v>
      </c>
      <c r="N77" s="713"/>
      <c r="O77" s="713"/>
      <c r="P77" s="713"/>
      <c r="Q77" s="713"/>
      <c r="R77" s="713"/>
      <c r="S77" s="713"/>
      <c r="T77" s="713"/>
      <c r="U77" s="713"/>
      <c r="V77" s="713"/>
      <c r="W77" s="713"/>
      <c r="X77" s="713"/>
      <c r="Y77" s="713"/>
      <c r="Z77" s="713"/>
      <c r="AA77" s="713"/>
      <c r="AB77" s="713"/>
    </row>
    <row r="78" spans="1:249" s="714" customFormat="1">
      <c r="A78" s="711" t="s">
        <v>1002</v>
      </c>
      <c r="B78" s="713"/>
      <c r="C78" s="713"/>
      <c r="D78" s="713"/>
      <c r="E78" s="713"/>
      <c r="F78" s="713"/>
      <c r="G78" s="713"/>
      <c r="H78" s="713"/>
      <c r="I78" s="713"/>
      <c r="J78" s="713"/>
      <c r="K78" s="713"/>
      <c r="L78" s="773">
        <v>0</v>
      </c>
      <c r="M78" s="773">
        <v>0</v>
      </c>
      <c r="N78" s="713"/>
      <c r="O78" s="713"/>
      <c r="P78" s="713"/>
      <c r="Q78" s="713"/>
      <c r="R78" s="713"/>
      <c r="S78" s="713"/>
      <c r="T78" s="713"/>
      <c r="U78" s="713"/>
      <c r="V78" s="713"/>
      <c r="W78" s="713"/>
      <c r="X78" s="713"/>
      <c r="Y78" s="713"/>
      <c r="Z78" s="713"/>
      <c r="AA78" s="713"/>
      <c r="AB78" s="713"/>
    </row>
    <row r="79" spans="1:249">
      <c r="A79" s="711" t="s">
        <v>1003</v>
      </c>
      <c r="B79" s="539"/>
      <c r="C79" s="539"/>
      <c r="D79" s="539"/>
      <c r="E79" s="539"/>
      <c r="F79" s="539"/>
      <c r="G79" s="539"/>
      <c r="H79" s="539"/>
      <c r="I79" s="539"/>
      <c r="J79" s="539"/>
      <c r="K79" s="556">
        <f>-K75/K$17</f>
        <v>0</v>
      </c>
      <c r="L79" s="774">
        <f t="shared" ref="L79:AB82" si="37">K79</f>
        <v>0</v>
      </c>
      <c r="M79" s="774">
        <f>L79</f>
        <v>0</v>
      </c>
      <c r="N79" s="774">
        <f t="shared" si="37"/>
        <v>0</v>
      </c>
      <c r="O79" s="774">
        <f t="shared" si="37"/>
        <v>0</v>
      </c>
      <c r="P79" s="774">
        <f t="shared" si="37"/>
        <v>0</v>
      </c>
      <c r="Q79" s="774">
        <f t="shared" si="37"/>
        <v>0</v>
      </c>
      <c r="R79" s="774">
        <f t="shared" si="37"/>
        <v>0</v>
      </c>
      <c r="S79" s="774">
        <f t="shared" si="37"/>
        <v>0</v>
      </c>
      <c r="T79" s="774">
        <f t="shared" si="37"/>
        <v>0</v>
      </c>
      <c r="U79" s="774">
        <f t="shared" si="37"/>
        <v>0</v>
      </c>
      <c r="V79" s="774">
        <f t="shared" si="37"/>
        <v>0</v>
      </c>
      <c r="W79" s="774">
        <f t="shared" si="37"/>
        <v>0</v>
      </c>
      <c r="X79" s="774">
        <f t="shared" si="37"/>
        <v>0</v>
      </c>
      <c r="Y79" s="774">
        <f t="shared" si="37"/>
        <v>0</v>
      </c>
      <c r="Z79" s="774">
        <f t="shared" si="37"/>
        <v>0</v>
      </c>
      <c r="AA79" s="774">
        <f t="shared" si="37"/>
        <v>0</v>
      </c>
      <c r="AB79" s="774">
        <f t="shared" si="37"/>
        <v>0</v>
      </c>
    </row>
    <row r="80" spans="1:249">
      <c r="A80" s="711" t="s">
        <v>1004</v>
      </c>
      <c r="B80" s="539"/>
      <c r="C80" s="539"/>
      <c r="D80" s="539"/>
      <c r="E80" s="539"/>
      <c r="F80" s="539"/>
      <c r="G80" s="539"/>
      <c r="H80" s="539"/>
      <c r="I80" s="539"/>
      <c r="J80" s="539"/>
      <c r="K80" s="556">
        <f>K76/K$17</f>
        <v>0</v>
      </c>
      <c r="L80" s="774">
        <f t="shared" si="37"/>
        <v>0</v>
      </c>
      <c r="M80" s="774">
        <f>L80</f>
        <v>0</v>
      </c>
      <c r="N80" s="774">
        <f t="shared" si="37"/>
        <v>0</v>
      </c>
      <c r="O80" s="774">
        <f t="shared" si="37"/>
        <v>0</v>
      </c>
      <c r="P80" s="774">
        <f t="shared" si="37"/>
        <v>0</v>
      </c>
      <c r="Q80" s="774">
        <f t="shared" si="37"/>
        <v>0</v>
      </c>
      <c r="R80" s="774">
        <f t="shared" si="37"/>
        <v>0</v>
      </c>
      <c r="S80" s="774">
        <f t="shared" si="37"/>
        <v>0</v>
      </c>
      <c r="T80" s="774">
        <f t="shared" si="37"/>
        <v>0</v>
      </c>
      <c r="U80" s="774">
        <f t="shared" si="37"/>
        <v>0</v>
      </c>
      <c r="V80" s="774">
        <f t="shared" si="37"/>
        <v>0</v>
      </c>
      <c r="W80" s="774">
        <f t="shared" si="37"/>
        <v>0</v>
      </c>
      <c r="X80" s="774">
        <f t="shared" si="37"/>
        <v>0</v>
      </c>
      <c r="Y80" s="774">
        <f t="shared" si="37"/>
        <v>0</v>
      </c>
      <c r="Z80" s="774">
        <f t="shared" si="37"/>
        <v>0</v>
      </c>
      <c r="AA80" s="774">
        <f t="shared" si="37"/>
        <v>0</v>
      </c>
      <c r="AB80" s="774">
        <f t="shared" si="37"/>
        <v>0</v>
      </c>
    </row>
    <row r="81" spans="1:29">
      <c r="A81" s="765" t="s">
        <v>1005</v>
      </c>
      <c r="B81" s="539"/>
      <c r="C81" s="539"/>
      <c r="D81" s="539"/>
      <c r="E81" s="539"/>
      <c r="F81" s="539"/>
      <c r="G81" s="539"/>
      <c r="H81" s="539"/>
      <c r="I81" s="539"/>
      <c r="J81" s="539"/>
      <c r="K81" s="556">
        <f>K77/K$17</f>
        <v>0</v>
      </c>
      <c r="L81" s="774">
        <f t="shared" si="37"/>
        <v>0</v>
      </c>
      <c r="M81" s="774">
        <f>L81</f>
        <v>0</v>
      </c>
      <c r="N81" s="774">
        <f t="shared" si="37"/>
        <v>0</v>
      </c>
      <c r="O81" s="774">
        <f t="shared" si="37"/>
        <v>0</v>
      </c>
      <c r="P81" s="774">
        <f t="shared" si="37"/>
        <v>0</v>
      </c>
      <c r="Q81" s="774">
        <f t="shared" si="37"/>
        <v>0</v>
      </c>
      <c r="R81" s="774">
        <f t="shared" si="37"/>
        <v>0</v>
      </c>
      <c r="S81" s="774">
        <f t="shared" si="37"/>
        <v>0</v>
      </c>
      <c r="T81" s="774">
        <f t="shared" si="37"/>
        <v>0</v>
      </c>
      <c r="U81" s="774">
        <f t="shared" si="37"/>
        <v>0</v>
      </c>
      <c r="V81" s="774">
        <f t="shared" si="37"/>
        <v>0</v>
      </c>
      <c r="W81" s="774">
        <f t="shared" si="37"/>
        <v>0</v>
      </c>
      <c r="X81" s="774">
        <f t="shared" si="37"/>
        <v>0</v>
      </c>
      <c r="Y81" s="774">
        <f t="shared" si="37"/>
        <v>0</v>
      </c>
      <c r="Z81" s="774">
        <f t="shared" si="37"/>
        <v>0</v>
      </c>
      <c r="AA81" s="774">
        <f t="shared" si="37"/>
        <v>0</v>
      </c>
      <c r="AB81" s="774">
        <f t="shared" si="37"/>
        <v>0</v>
      </c>
    </row>
    <row r="82" spans="1:29">
      <c r="A82" s="765" t="s">
        <v>1006</v>
      </c>
      <c r="B82" s="539"/>
      <c r="C82" s="539"/>
      <c r="D82" s="539"/>
      <c r="E82" s="539"/>
      <c r="F82" s="539"/>
      <c r="G82" s="539"/>
      <c r="H82" s="539"/>
      <c r="I82" s="539"/>
      <c r="J82" s="539"/>
      <c r="K82" s="556">
        <f>-K78/K$17</f>
        <v>0</v>
      </c>
      <c r="L82" s="774">
        <f t="shared" si="37"/>
        <v>0</v>
      </c>
      <c r="M82" s="774">
        <f>L82</f>
        <v>0</v>
      </c>
      <c r="N82" s="774">
        <f t="shared" si="37"/>
        <v>0</v>
      </c>
      <c r="O82" s="774">
        <f t="shared" si="37"/>
        <v>0</v>
      </c>
      <c r="P82" s="774">
        <f t="shared" si="37"/>
        <v>0</v>
      </c>
      <c r="Q82" s="774">
        <f t="shared" si="37"/>
        <v>0</v>
      </c>
      <c r="R82" s="774">
        <f t="shared" si="37"/>
        <v>0</v>
      </c>
      <c r="S82" s="774">
        <f t="shared" si="37"/>
        <v>0</v>
      </c>
      <c r="T82" s="774">
        <f t="shared" si="37"/>
        <v>0</v>
      </c>
      <c r="U82" s="774">
        <f t="shared" si="37"/>
        <v>0</v>
      </c>
      <c r="V82" s="774">
        <f t="shared" si="37"/>
        <v>0</v>
      </c>
      <c r="W82" s="774">
        <f t="shared" si="37"/>
        <v>0</v>
      </c>
      <c r="X82" s="774">
        <f t="shared" si="37"/>
        <v>0</v>
      </c>
      <c r="Y82" s="774">
        <f t="shared" si="37"/>
        <v>0</v>
      </c>
      <c r="Z82" s="774">
        <f t="shared" si="37"/>
        <v>0</v>
      </c>
      <c r="AA82" s="774">
        <f t="shared" si="37"/>
        <v>0</v>
      </c>
      <c r="AB82" s="774">
        <f t="shared" si="37"/>
        <v>0</v>
      </c>
    </row>
    <row r="83" spans="1:29">
      <c r="A83" s="765"/>
      <c r="B83" s="539"/>
      <c r="C83" s="539"/>
      <c r="D83" s="539"/>
      <c r="E83" s="539"/>
      <c r="F83" s="539"/>
      <c r="G83" s="539"/>
      <c r="H83" s="539"/>
      <c r="I83" s="539"/>
      <c r="J83" s="556"/>
      <c r="K83" s="556"/>
      <c r="L83" s="556"/>
      <c r="M83" s="556"/>
      <c r="N83" s="556"/>
      <c r="O83" s="556"/>
      <c r="P83" s="556"/>
      <c r="Q83" s="556"/>
      <c r="R83" s="556"/>
      <c r="S83" s="556"/>
      <c r="T83" s="556"/>
      <c r="U83" s="556"/>
      <c r="V83" s="556"/>
      <c r="W83" s="556"/>
      <c r="X83" s="556"/>
      <c r="Y83" s="556"/>
      <c r="Z83" s="556"/>
      <c r="AA83" s="556"/>
      <c r="AB83" s="556"/>
      <c r="AC83" s="556"/>
    </row>
    <row r="84" spans="1:29" s="714" customFormat="1">
      <c r="A84" s="765" t="s">
        <v>1007</v>
      </c>
      <c r="B84" s="775"/>
      <c r="C84" s="775"/>
      <c r="D84" s="775"/>
      <c r="E84" s="775"/>
      <c r="F84" s="775"/>
      <c r="G84" s="775"/>
      <c r="H84" s="775"/>
      <c r="I84" s="775"/>
      <c r="J84" s="776"/>
      <c r="K84" s="776">
        <f t="shared" ref="K84:W84" si="38">IF(K62=K63,0,IF(K62&gt;K63,K79*(K63-K62)*K17*100,IF(K62&lt;K63,K80*(K63-K62)*K17*100)))</f>
        <v>0</v>
      </c>
      <c r="L84" s="776">
        <f t="shared" si="38"/>
        <v>0</v>
      </c>
      <c r="M84" s="776">
        <f>IF(M62=M63,0,IF(M62&gt;M63,M79*(M63-M62)*M17*100,IF(M62&lt;M63,M80*(M63-M62)*M17*100)))</f>
        <v>0</v>
      </c>
      <c r="N84" s="776">
        <f t="shared" si="38"/>
        <v>0</v>
      </c>
      <c r="O84" s="776">
        <f t="shared" si="38"/>
        <v>0</v>
      </c>
      <c r="P84" s="776">
        <f t="shared" si="38"/>
        <v>0</v>
      </c>
      <c r="Q84" s="776">
        <f t="shared" si="38"/>
        <v>0</v>
      </c>
      <c r="R84" s="776">
        <f t="shared" si="38"/>
        <v>0</v>
      </c>
      <c r="S84" s="776">
        <f t="shared" si="38"/>
        <v>0</v>
      </c>
      <c r="T84" s="776">
        <f t="shared" si="38"/>
        <v>0</v>
      </c>
      <c r="U84" s="776">
        <f t="shared" si="38"/>
        <v>0</v>
      </c>
      <c r="V84" s="776">
        <f t="shared" si="38"/>
        <v>0</v>
      </c>
      <c r="W84" s="776">
        <f t="shared" si="38"/>
        <v>0</v>
      </c>
      <c r="X84" s="776">
        <f>IF(X62=X63,0,IF(X62&gt;X63,X79*(X63-X62)*X17*100,IF(X62&lt;X63,X80*(X63-X62)*X17*100)))</f>
        <v>0</v>
      </c>
      <c r="Y84" s="776">
        <f>IF(Y62=Y63,0,IF(Y62&gt;Y63,Y79*(Y63-Y62)*Y17*100,IF(Y62&lt;Y63,Y80*(Y63-Y62)*Y17*100)))</f>
        <v>0</v>
      </c>
      <c r="Z84" s="776">
        <f>IF(Z62=Z63,0,IF(Z62&gt;Z63,Z79*(Z63-Z62)*Z17*100,IF(Z62&lt;Z63,Z80*(Z63-Z62)*Z17*100)))</f>
        <v>0</v>
      </c>
      <c r="AA84" s="776">
        <f>IF(AA62=AA63,0,IF(AA62&gt;AA63,AA79*(AA63-AA62)*AA17*100,IF(AA62&lt;AA63,AA80*(AA63-AA62)*AA17*100)))</f>
        <v>0</v>
      </c>
      <c r="AB84" s="776">
        <f>IF(AB62=AB63,0,IF(AB62&gt;AB63,AB79*(AB63-AB62)*AB17*100,IF(AB62&lt;AB63,AB80*(AB63-AB62)*AB17*100)))</f>
        <v>0</v>
      </c>
      <c r="AC84" s="776"/>
    </row>
    <row r="85" spans="1:29" s="714" customFormat="1">
      <c r="A85" s="765" t="s">
        <v>1008</v>
      </c>
      <c r="B85" s="775"/>
      <c r="C85" s="775"/>
      <c r="D85" s="775"/>
      <c r="E85" s="775"/>
      <c r="F85" s="775"/>
      <c r="G85" s="775"/>
      <c r="H85" s="775"/>
      <c r="I85" s="775"/>
      <c r="J85" s="776"/>
      <c r="K85" s="776"/>
      <c r="L85" s="776">
        <f>IF(K68&gt;K67,(K68-K67)*L81*L17*100,(K68-K67)*L82*L17*100)</f>
        <v>0</v>
      </c>
      <c r="M85" s="776">
        <f>IF(L68&gt;L67,(L68-L67)*M81*M17*100,(L68-L67)*M82*M17*100)</f>
        <v>0</v>
      </c>
      <c r="N85" s="776"/>
      <c r="O85" s="776"/>
      <c r="P85" s="776"/>
      <c r="Q85" s="776"/>
      <c r="R85" s="776"/>
      <c r="S85" s="776"/>
      <c r="T85" s="776"/>
      <c r="U85" s="776"/>
      <c r="V85" s="776"/>
      <c r="W85" s="776"/>
      <c r="X85" s="776"/>
      <c r="Y85" s="776"/>
      <c r="Z85" s="776"/>
      <c r="AA85" s="776"/>
      <c r="AB85" s="776"/>
      <c r="AC85" s="776"/>
    </row>
    <row r="86" spans="1:29">
      <c r="A86" s="765"/>
      <c r="B86" s="539"/>
      <c r="C86" s="539"/>
      <c r="D86" s="539"/>
      <c r="E86" s="539"/>
      <c r="F86" s="539"/>
      <c r="G86" s="539"/>
      <c r="H86" s="539"/>
      <c r="I86" s="539"/>
      <c r="J86" s="556"/>
      <c r="K86" s="539"/>
      <c r="L86" s="539"/>
      <c r="M86" s="539"/>
      <c r="N86" s="539"/>
      <c r="O86" s="539"/>
      <c r="P86" s="539"/>
      <c r="Q86" s="539"/>
      <c r="R86" s="539"/>
      <c r="S86" s="539"/>
      <c r="T86" s="539"/>
      <c r="U86" s="539"/>
      <c r="V86" s="539"/>
      <c r="W86" s="539"/>
      <c r="X86" s="539"/>
      <c r="Y86" s="539"/>
      <c r="Z86" s="539"/>
      <c r="AA86" s="539"/>
      <c r="AB86" s="539"/>
    </row>
    <row r="87" spans="1:29">
      <c r="A87" s="765"/>
      <c r="B87" s="539"/>
      <c r="C87" s="539"/>
      <c r="D87" s="539"/>
      <c r="E87" s="539"/>
      <c r="F87" s="539"/>
      <c r="G87" s="539"/>
      <c r="H87" s="539"/>
      <c r="I87" s="539"/>
      <c r="J87" s="556"/>
      <c r="K87" s="539"/>
      <c r="L87" s="539"/>
      <c r="M87" s="539"/>
      <c r="N87" s="539"/>
      <c r="O87" s="539"/>
      <c r="P87" s="539"/>
      <c r="Q87" s="539"/>
      <c r="R87" s="539"/>
      <c r="S87" s="539"/>
      <c r="T87" s="539"/>
      <c r="U87" s="539"/>
      <c r="V87" s="539"/>
      <c r="W87" s="539"/>
      <c r="X87" s="539"/>
      <c r="Y87" s="539"/>
      <c r="Z87" s="539"/>
      <c r="AA87" s="539"/>
      <c r="AB87" s="539"/>
    </row>
    <row r="88" spans="1:29" s="710" customFormat="1">
      <c r="A88" s="709" t="s">
        <v>1009</v>
      </c>
      <c r="B88" s="721">
        <f t="shared" ref="B88:AB88" si="39">B$3</f>
        <v>1995</v>
      </c>
      <c r="C88" s="721">
        <f t="shared" si="39"/>
        <v>1996</v>
      </c>
      <c r="D88" s="721">
        <f t="shared" si="39"/>
        <v>1997</v>
      </c>
      <c r="E88" s="721">
        <f t="shared" si="39"/>
        <v>1998</v>
      </c>
      <c r="F88" s="721">
        <f t="shared" si="39"/>
        <v>1999</v>
      </c>
      <c r="G88" s="721">
        <f t="shared" si="39"/>
        <v>2000</v>
      </c>
      <c r="H88" s="721">
        <f t="shared" si="39"/>
        <v>2001</v>
      </c>
      <c r="I88" s="721">
        <f t="shared" si="39"/>
        <v>2002</v>
      </c>
      <c r="J88" s="721">
        <f t="shared" si="39"/>
        <v>2003</v>
      </c>
      <c r="K88" s="721">
        <f t="shared" si="39"/>
        <v>2004</v>
      </c>
      <c r="L88" s="721">
        <f t="shared" si="39"/>
        <v>2005</v>
      </c>
      <c r="M88" s="721">
        <f t="shared" si="39"/>
        <v>2006</v>
      </c>
      <c r="N88" s="721">
        <f t="shared" si="39"/>
        <v>2007</v>
      </c>
      <c r="O88" s="721">
        <f t="shared" si="39"/>
        <v>2008</v>
      </c>
      <c r="P88" s="721">
        <f t="shared" si="39"/>
        <v>2009</v>
      </c>
      <c r="Q88" s="721">
        <f t="shared" si="39"/>
        <v>2010</v>
      </c>
      <c r="R88" s="721">
        <f t="shared" si="39"/>
        <v>2011</v>
      </c>
      <c r="S88" s="721">
        <f t="shared" si="39"/>
        <v>2012</v>
      </c>
      <c r="T88" s="721">
        <f t="shared" si="39"/>
        <v>2013</v>
      </c>
      <c r="U88" s="721">
        <f t="shared" si="39"/>
        <v>2014</v>
      </c>
      <c r="V88" s="721">
        <f t="shared" si="39"/>
        <v>2015</v>
      </c>
      <c r="W88" s="721">
        <f t="shared" si="39"/>
        <v>2016</v>
      </c>
      <c r="X88" s="722">
        <f t="shared" si="39"/>
        <v>2017</v>
      </c>
      <c r="Y88" s="722">
        <f t="shared" si="39"/>
        <v>2018</v>
      </c>
      <c r="Z88" s="722">
        <f t="shared" si="39"/>
        <v>2019</v>
      </c>
      <c r="AA88" s="722">
        <f t="shared" si="39"/>
        <v>2020</v>
      </c>
      <c r="AB88" s="722">
        <f t="shared" si="39"/>
        <v>2021</v>
      </c>
    </row>
    <row r="89" spans="1:29">
      <c r="A89" s="777" t="s">
        <v>1010</v>
      </c>
      <c r="B89" s="539"/>
      <c r="C89" s="539"/>
      <c r="D89" s="539"/>
      <c r="E89" s="539"/>
      <c r="F89" s="539"/>
      <c r="G89" s="539"/>
      <c r="H89" s="539"/>
      <c r="I89" s="539"/>
      <c r="J89" s="556"/>
      <c r="K89" s="774"/>
      <c r="L89" s="774">
        <f t="shared" ref="L89:Y90" si="40">L79</f>
        <v>0</v>
      </c>
      <c r="M89" s="774">
        <f>M79</f>
        <v>0</v>
      </c>
      <c r="N89" s="774">
        <f t="shared" si="40"/>
        <v>0</v>
      </c>
      <c r="O89" s="774">
        <f t="shared" si="40"/>
        <v>0</v>
      </c>
      <c r="P89" s="774">
        <f t="shared" si="40"/>
        <v>0</v>
      </c>
      <c r="Q89" s="774">
        <f t="shared" si="40"/>
        <v>0</v>
      </c>
      <c r="R89" s="774">
        <f t="shared" si="40"/>
        <v>0</v>
      </c>
      <c r="S89" s="774">
        <f t="shared" si="40"/>
        <v>0</v>
      </c>
      <c r="T89" s="774">
        <f t="shared" si="40"/>
        <v>0</v>
      </c>
      <c r="U89" s="774">
        <f t="shared" si="40"/>
        <v>0</v>
      </c>
      <c r="V89" s="774">
        <f t="shared" si="40"/>
        <v>0</v>
      </c>
      <c r="W89" s="774">
        <f t="shared" si="40"/>
        <v>0</v>
      </c>
      <c r="X89" s="774">
        <f t="shared" si="40"/>
        <v>0</v>
      </c>
      <c r="Y89" s="774">
        <f t="shared" si="40"/>
        <v>0</v>
      </c>
      <c r="Z89" s="774">
        <f t="shared" ref="Z89:AB90" si="41">Z79</f>
        <v>0</v>
      </c>
      <c r="AA89" s="774">
        <f t="shared" si="41"/>
        <v>0</v>
      </c>
      <c r="AB89" s="774">
        <f t="shared" si="41"/>
        <v>0</v>
      </c>
    </row>
    <row r="90" spans="1:29">
      <c r="A90" s="777" t="s">
        <v>1011</v>
      </c>
      <c r="B90" s="757"/>
      <c r="C90" s="757"/>
      <c r="D90" s="757"/>
      <c r="E90" s="757"/>
      <c r="F90" s="757"/>
      <c r="G90" s="757"/>
      <c r="H90" s="757"/>
      <c r="I90" s="757"/>
      <c r="J90" s="757"/>
      <c r="K90" s="740"/>
      <c r="L90" s="774">
        <f t="shared" si="40"/>
        <v>0</v>
      </c>
      <c r="M90" s="774">
        <f>M80</f>
        <v>0</v>
      </c>
      <c r="N90" s="774">
        <f t="shared" si="40"/>
        <v>0</v>
      </c>
      <c r="O90" s="774">
        <f t="shared" si="40"/>
        <v>0</v>
      </c>
      <c r="P90" s="774">
        <f t="shared" si="40"/>
        <v>0</v>
      </c>
      <c r="Q90" s="774">
        <f t="shared" si="40"/>
        <v>0</v>
      </c>
      <c r="R90" s="774">
        <f t="shared" si="40"/>
        <v>0</v>
      </c>
      <c r="S90" s="774">
        <f t="shared" si="40"/>
        <v>0</v>
      </c>
      <c r="T90" s="774">
        <f t="shared" si="40"/>
        <v>0</v>
      </c>
      <c r="U90" s="774">
        <f t="shared" si="40"/>
        <v>0</v>
      </c>
      <c r="V90" s="774">
        <f t="shared" si="40"/>
        <v>0</v>
      </c>
      <c r="W90" s="774">
        <f t="shared" si="40"/>
        <v>0</v>
      </c>
      <c r="X90" s="774">
        <f t="shared" si="40"/>
        <v>0</v>
      </c>
      <c r="Y90" s="774">
        <f t="shared" si="40"/>
        <v>0</v>
      </c>
      <c r="Z90" s="774">
        <f t="shared" si="41"/>
        <v>0</v>
      </c>
      <c r="AA90" s="774">
        <f t="shared" si="41"/>
        <v>0</v>
      </c>
      <c r="AB90" s="774">
        <f t="shared" si="41"/>
        <v>0</v>
      </c>
    </row>
    <row r="91" spans="1:29">
      <c r="A91" s="777"/>
      <c r="B91" s="757"/>
      <c r="C91" s="757"/>
      <c r="D91" s="757"/>
      <c r="E91" s="757"/>
      <c r="F91" s="757"/>
      <c r="G91" s="757"/>
      <c r="H91" s="757"/>
      <c r="I91" s="757"/>
      <c r="J91" s="757"/>
      <c r="K91" s="740"/>
      <c r="L91" s="740"/>
      <c r="M91" s="740"/>
      <c r="N91" s="740"/>
      <c r="O91" s="740"/>
      <c r="P91" s="740"/>
      <c r="Q91" s="740"/>
      <c r="R91" s="740"/>
      <c r="S91" s="740"/>
      <c r="T91" s="740"/>
      <c r="U91" s="740"/>
      <c r="V91" s="740"/>
      <c r="W91" s="740"/>
      <c r="X91" s="740"/>
      <c r="Y91" s="740"/>
      <c r="Z91" s="740"/>
      <c r="AA91" s="740"/>
      <c r="AB91" s="740"/>
      <c r="AC91" s="757"/>
    </row>
    <row r="92" spans="1:29" s="714" customFormat="1">
      <c r="A92" s="765" t="s">
        <v>1012</v>
      </c>
      <c r="B92" s="775"/>
      <c r="C92" s="775"/>
      <c r="D92" s="775"/>
      <c r="E92" s="775"/>
      <c r="F92" s="775"/>
      <c r="G92" s="775"/>
      <c r="H92" s="775"/>
      <c r="I92" s="775"/>
      <c r="J92" s="776"/>
      <c r="K92" s="776"/>
      <c r="L92" s="776">
        <f>L89*(L63-L62)*K4*100</f>
        <v>0</v>
      </c>
      <c r="M92" s="776">
        <f>M89*(M63-M62)*L4*100</f>
        <v>0</v>
      </c>
      <c r="N92" s="776">
        <f>N89*(N63-N62)*M4*100</f>
        <v>0</v>
      </c>
      <c r="O92" s="776">
        <f>O89*(O63-O62)*N4*100</f>
        <v>0</v>
      </c>
      <c r="P92" s="776"/>
      <c r="Q92" s="776"/>
      <c r="R92" s="776"/>
      <c r="S92" s="776"/>
      <c r="T92" s="776"/>
      <c r="U92" s="776"/>
      <c r="V92" s="776"/>
      <c r="W92" s="776"/>
      <c r="X92" s="776"/>
      <c r="Y92" s="776"/>
      <c r="Z92" s="776"/>
      <c r="AA92" s="776"/>
      <c r="AB92" s="776"/>
      <c r="AC92" s="776"/>
    </row>
    <row r="93" spans="1:29" s="714" customFormat="1">
      <c r="A93" s="765" t="s">
        <v>1013</v>
      </c>
      <c r="B93" s="775"/>
      <c r="C93" s="775"/>
      <c r="D93" s="775"/>
      <c r="E93" s="775"/>
      <c r="F93" s="775"/>
      <c r="G93" s="775"/>
      <c r="H93" s="775"/>
      <c r="I93" s="775"/>
      <c r="J93" s="776"/>
      <c r="K93" s="776"/>
      <c r="L93" s="776">
        <f>(K68-K67)*L90*K4*100</f>
        <v>0</v>
      </c>
      <c r="M93" s="776">
        <f>(L68-L67)*M90*L4*100</f>
        <v>0</v>
      </c>
      <c r="N93" s="776"/>
      <c r="O93" s="776"/>
      <c r="P93" s="776"/>
      <c r="Q93" s="776"/>
      <c r="R93" s="776"/>
      <c r="S93" s="776"/>
      <c r="T93" s="776"/>
      <c r="U93" s="776"/>
      <c r="V93" s="776"/>
      <c r="W93" s="776"/>
      <c r="X93" s="776"/>
      <c r="Y93" s="776"/>
      <c r="Z93" s="776"/>
      <c r="AA93" s="776"/>
      <c r="AB93" s="776"/>
      <c r="AC93" s="776"/>
    </row>
    <row r="94" spans="1:29">
      <c r="A94" s="778"/>
      <c r="B94" s="757"/>
      <c r="C94" s="757"/>
      <c r="D94" s="757"/>
      <c r="E94" s="757"/>
      <c r="F94" s="757"/>
      <c r="G94" s="757"/>
      <c r="H94" s="757"/>
      <c r="I94" s="757"/>
      <c r="J94" s="757"/>
      <c r="K94" s="757"/>
      <c r="L94" s="757"/>
      <c r="M94" s="757"/>
      <c r="N94" s="757"/>
      <c r="O94" s="757"/>
      <c r="P94" s="757"/>
      <c r="Q94" s="757"/>
      <c r="R94" s="757"/>
      <c r="S94" s="757"/>
      <c r="T94" s="757"/>
      <c r="U94" s="757"/>
      <c r="V94" s="757"/>
      <c r="W94" s="757"/>
      <c r="X94" s="757"/>
      <c r="Y94" s="757"/>
      <c r="Z94" s="757"/>
      <c r="AA94" s="757"/>
      <c r="AB94" s="757"/>
    </row>
    <row r="95" spans="1:29">
      <c r="A95" s="778"/>
      <c r="B95" s="757"/>
      <c r="C95" s="757"/>
      <c r="D95" s="757"/>
      <c r="E95" s="757"/>
      <c r="F95" s="757"/>
      <c r="G95" s="757"/>
      <c r="H95" s="757"/>
      <c r="I95" s="757"/>
      <c r="J95" s="757"/>
      <c r="K95" s="757"/>
      <c r="L95" s="757"/>
      <c r="M95" s="757"/>
      <c r="N95" s="757"/>
      <c r="O95" s="757"/>
      <c r="P95" s="757"/>
      <c r="Q95" s="757"/>
      <c r="R95" s="757"/>
      <c r="S95" s="757"/>
      <c r="T95" s="757"/>
      <c r="U95" s="757"/>
      <c r="V95" s="757"/>
      <c r="W95" s="757"/>
      <c r="X95" s="757"/>
      <c r="Y95" s="757"/>
      <c r="Z95" s="757"/>
      <c r="AA95" s="757"/>
      <c r="AB95" s="757"/>
    </row>
    <row r="96" spans="1:29" s="710" customFormat="1" outlineLevel="1">
      <c r="A96" s="709" t="s">
        <v>1014</v>
      </c>
      <c r="B96" s="721">
        <f t="shared" ref="B96:AB96" si="42">B$3</f>
        <v>1995</v>
      </c>
      <c r="C96" s="721">
        <f t="shared" si="42"/>
        <v>1996</v>
      </c>
      <c r="D96" s="721">
        <f t="shared" si="42"/>
        <v>1997</v>
      </c>
      <c r="E96" s="721">
        <f t="shared" si="42"/>
        <v>1998</v>
      </c>
      <c r="F96" s="721">
        <f t="shared" si="42"/>
        <v>1999</v>
      </c>
      <c r="G96" s="721">
        <f t="shared" si="42"/>
        <v>2000</v>
      </c>
      <c r="H96" s="721">
        <f t="shared" si="42"/>
        <v>2001</v>
      </c>
      <c r="I96" s="721">
        <f t="shared" si="42"/>
        <v>2002</v>
      </c>
      <c r="J96" s="721">
        <f t="shared" si="42"/>
        <v>2003</v>
      </c>
      <c r="K96" s="721">
        <f t="shared" si="42"/>
        <v>2004</v>
      </c>
      <c r="L96" s="721">
        <f t="shared" si="42"/>
        <v>2005</v>
      </c>
      <c r="M96" s="721">
        <f t="shared" si="42"/>
        <v>2006</v>
      </c>
      <c r="N96" s="721">
        <f t="shared" si="42"/>
        <v>2007</v>
      </c>
      <c r="O96" s="721">
        <f t="shared" si="42"/>
        <v>2008</v>
      </c>
      <c r="P96" s="721">
        <f t="shared" si="42"/>
        <v>2009</v>
      </c>
      <c r="Q96" s="721">
        <f t="shared" si="42"/>
        <v>2010</v>
      </c>
      <c r="R96" s="721">
        <f t="shared" si="42"/>
        <v>2011</v>
      </c>
      <c r="S96" s="721">
        <f t="shared" si="42"/>
        <v>2012</v>
      </c>
      <c r="T96" s="721">
        <f t="shared" si="42"/>
        <v>2013</v>
      </c>
      <c r="U96" s="721">
        <f t="shared" si="42"/>
        <v>2014</v>
      </c>
      <c r="V96" s="721">
        <f t="shared" si="42"/>
        <v>2015</v>
      </c>
      <c r="W96" s="721">
        <f t="shared" si="42"/>
        <v>2016</v>
      </c>
      <c r="X96" s="722">
        <f t="shared" si="42"/>
        <v>2017</v>
      </c>
      <c r="Y96" s="722">
        <f t="shared" si="42"/>
        <v>2018</v>
      </c>
      <c r="Z96" s="722">
        <f t="shared" si="42"/>
        <v>2019</v>
      </c>
      <c r="AA96" s="722">
        <f t="shared" si="42"/>
        <v>2020</v>
      </c>
      <c r="AB96" s="722">
        <f t="shared" si="42"/>
        <v>2021</v>
      </c>
    </row>
    <row r="97" spans="1:28" s="714" customFormat="1" outlineLevel="1">
      <c r="A97" s="711" t="s">
        <v>924</v>
      </c>
      <c r="I97" s="714">
        <f t="shared" ref="I97:W97" si="43">MAX((0.1*I35),(-I26*0.1))</f>
        <v>3026.3</v>
      </c>
      <c r="J97" s="714">
        <f t="shared" si="43"/>
        <v>3236.2000000000003</v>
      </c>
      <c r="K97" s="714">
        <f t="shared" si="43"/>
        <v>3911.5</v>
      </c>
      <c r="L97" s="714">
        <f>MAX((0.1*L35),(-L26*0.1))</f>
        <v>3927.4</v>
      </c>
      <c r="M97" s="714">
        <f>MAX((0.1*M35),(-M26*0.1))</f>
        <v>3086.3</v>
      </c>
      <c r="N97" s="714">
        <f t="shared" si="43"/>
        <v>2809.6000000000004</v>
      </c>
      <c r="O97" s="714">
        <f t="shared" si="43"/>
        <v>1906.5</v>
      </c>
      <c r="P97" s="714">
        <f t="shared" si="43"/>
        <v>605.30000000000007</v>
      </c>
      <c r="Q97" s="714">
        <f t="shared" si="43"/>
        <v>642.30000000000007</v>
      </c>
      <c r="R97" s="714">
        <f t="shared" si="43"/>
        <v>659.30000000000007</v>
      </c>
      <c r="S97" s="714">
        <f t="shared" si="43"/>
        <v>681</v>
      </c>
      <c r="T97" s="714">
        <f t="shared" si="43"/>
        <v>588.9</v>
      </c>
      <c r="U97" s="714">
        <f t="shared" si="43"/>
        <v>637.5</v>
      </c>
      <c r="V97" s="714">
        <f t="shared" si="43"/>
        <v>570.1</v>
      </c>
      <c r="W97" s="714">
        <f t="shared" si="43"/>
        <v>586.5</v>
      </c>
      <c r="X97" s="714">
        <f>MAX((0.1*X35),(-X26*0.1))</f>
        <v>618.06799000000001</v>
      </c>
      <c r="Y97" s="714">
        <f>MAX((0.1*Y35),(-Y26*0.1))</f>
        <v>609.27982247900002</v>
      </c>
      <c r="Z97" s="714">
        <f>MAX((0.1*Z35),(-Z26*0.1))</f>
        <v>602.1213078185599</v>
      </c>
      <c r="AA97" s="714">
        <f>MAX((0.1*AA35),(-AA26*0.1))</f>
        <v>596.03323885199723</v>
      </c>
      <c r="AB97" s="714">
        <f>MAX((0.1*AB35),(-AB26*0.1))</f>
        <v>590.46384299497856</v>
      </c>
    </row>
    <row r="98" spans="1:28" s="744" customFormat="1" outlineLevel="1">
      <c r="A98" s="707" t="s">
        <v>1015</v>
      </c>
      <c r="B98" s="744">
        <f t="shared" ref="B98:H98" si="44">IF(ABS(B44)&gt;B97,IF(B44&lt;0,(B44+B97)/$O$71,(B44-B97)/$O$71),0)</f>
        <v>0</v>
      </c>
      <c r="C98" s="744">
        <f t="shared" si="44"/>
        <v>0</v>
      </c>
      <c r="D98" s="744">
        <f t="shared" si="44"/>
        <v>-50.466666666666669</v>
      </c>
      <c r="E98" s="744">
        <f t="shared" si="44"/>
        <v>-126.66666666666667</v>
      </c>
      <c r="F98" s="744">
        <f t="shared" si="44"/>
        <v>-88.666666666666671</v>
      </c>
      <c r="G98" s="744">
        <f t="shared" si="44"/>
        <v>-323.33333333333331</v>
      </c>
      <c r="H98" s="744">
        <f t="shared" si="44"/>
        <v>-443.66666666666669</v>
      </c>
      <c r="I98" s="744">
        <f>IF(ABS(I44)&gt;I97,IF(I44&lt;0,(I44+I97)/$L$71,(I44-I97)/$L$71),0)</f>
        <v>-493.11333333333334</v>
      </c>
      <c r="J98" s="744">
        <f>IF(ABS(J44)&gt;J97,IF(J44&lt;0,(J44+J97)/$L$71,(J44-J97)/$L$71),0)</f>
        <v>-522.58666666666659</v>
      </c>
      <c r="K98" s="744">
        <f>IF(ABS(K44)&gt;K97,IF(K44&lt;0,(K44+K97)/$L$71,(K44-K97)/$L$71),0)</f>
        <v>-809.5</v>
      </c>
      <c r="L98" s="744">
        <f>IF(ABS(L44)&gt;L97,IF(L44&lt;0,(L44+L97)/$L$71,(L44-L97)/$L$71),0)</f>
        <v>-872.10666666666668</v>
      </c>
      <c r="M98" s="744">
        <f>N9</f>
        <v>-817</v>
      </c>
      <c r="N98" s="744">
        <f t="shared" ref="N98:AB98" si="45">M98</f>
        <v>-817</v>
      </c>
      <c r="O98" s="744">
        <f t="shared" si="45"/>
        <v>-817</v>
      </c>
      <c r="P98" s="744">
        <f t="shared" si="45"/>
        <v>-817</v>
      </c>
      <c r="Q98" s="744">
        <f t="shared" si="45"/>
        <v>-817</v>
      </c>
      <c r="R98" s="744">
        <f t="shared" si="45"/>
        <v>-817</v>
      </c>
      <c r="S98" s="744">
        <f t="shared" si="45"/>
        <v>-817</v>
      </c>
      <c r="T98" s="744">
        <f t="shared" si="45"/>
        <v>-817</v>
      </c>
      <c r="U98" s="744">
        <f t="shared" si="45"/>
        <v>-817</v>
      </c>
      <c r="V98" s="744">
        <f t="shared" si="45"/>
        <v>-817</v>
      </c>
      <c r="W98" s="744">
        <f t="shared" si="45"/>
        <v>-817</v>
      </c>
      <c r="X98" s="744">
        <f t="shared" si="45"/>
        <v>-817</v>
      </c>
      <c r="Y98" s="744">
        <f t="shared" si="45"/>
        <v>-817</v>
      </c>
      <c r="Z98" s="744">
        <f t="shared" si="45"/>
        <v>-817</v>
      </c>
      <c r="AA98" s="744">
        <f t="shared" si="45"/>
        <v>-817</v>
      </c>
      <c r="AB98" s="744">
        <f t="shared" si="45"/>
        <v>-817</v>
      </c>
    </row>
    <row r="99" spans="1:28" s="714" customFormat="1" outlineLevel="1">
      <c r="A99" s="707"/>
    </row>
    <row r="100" spans="1:28" s="714" customFormat="1" outlineLevel="1">
      <c r="A100" s="711" t="s">
        <v>1016</v>
      </c>
      <c r="B100" s="714">
        <f t="shared" ref="B100:W100" si="46">B7</f>
        <v>0</v>
      </c>
      <c r="C100" s="714">
        <f t="shared" si="46"/>
        <v>0</v>
      </c>
      <c r="D100" s="714">
        <f t="shared" si="46"/>
        <v>0</v>
      </c>
      <c r="E100" s="714">
        <f t="shared" si="46"/>
        <v>45</v>
      </c>
      <c r="F100" s="714">
        <f t="shared" si="46"/>
        <v>82</v>
      </c>
      <c r="G100" s="714">
        <f t="shared" si="46"/>
        <v>135</v>
      </c>
      <c r="H100" s="714">
        <f t="shared" si="46"/>
        <v>161</v>
      </c>
      <c r="I100" s="714">
        <f t="shared" si="46"/>
        <v>85</v>
      </c>
      <c r="J100" s="714">
        <f t="shared" si="46"/>
        <v>37</v>
      </c>
      <c r="K100" s="714">
        <f t="shared" si="46"/>
        <v>289</v>
      </c>
      <c r="L100" s="714">
        <f>L7</f>
        <v>500</v>
      </c>
      <c r="M100" s="714">
        <f>M7</f>
        <v>479</v>
      </c>
      <c r="N100" s="714">
        <f t="shared" si="46"/>
        <v>256</v>
      </c>
      <c r="O100" s="714">
        <f t="shared" si="46"/>
        <v>265</v>
      </c>
      <c r="P100" s="714">
        <f t="shared" si="46"/>
        <v>130</v>
      </c>
      <c r="Q100" s="714">
        <f t="shared" si="46"/>
        <v>0</v>
      </c>
      <c r="R100" s="714">
        <f t="shared" si="46"/>
        <v>0</v>
      </c>
      <c r="S100" s="714">
        <f t="shared" si="46"/>
        <v>0</v>
      </c>
      <c r="T100" s="714">
        <f t="shared" si="46"/>
        <v>0</v>
      </c>
      <c r="U100" s="714">
        <f t="shared" si="46"/>
        <v>0</v>
      </c>
      <c r="V100" s="714">
        <f t="shared" si="46"/>
        <v>0</v>
      </c>
      <c r="W100" s="714">
        <f t="shared" si="46"/>
        <v>0</v>
      </c>
      <c r="X100" s="714">
        <f>X7</f>
        <v>0</v>
      </c>
      <c r="Y100" s="714">
        <f>Y7</f>
        <v>0</v>
      </c>
      <c r="Z100" s="714">
        <f>Z7</f>
        <v>0</v>
      </c>
      <c r="AA100" s="714">
        <f>AA7</f>
        <v>0</v>
      </c>
      <c r="AB100" s="714">
        <f>AB7</f>
        <v>0</v>
      </c>
    </row>
    <row r="101" spans="1:28" s="714" customFormat="1" outlineLevel="1">
      <c r="A101" s="711" t="s">
        <v>1017</v>
      </c>
      <c r="B101" s="714">
        <f t="shared" ref="B101:W101" si="47">B29</f>
        <v>0</v>
      </c>
      <c r="C101" s="714">
        <f t="shared" si="47"/>
        <v>0</v>
      </c>
      <c r="D101" s="714">
        <f t="shared" si="47"/>
        <v>0</v>
      </c>
      <c r="E101" s="714">
        <f t="shared" si="47"/>
        <v>45</v>
      </c>
      <c r="F101" s="714">
        <f t="shared" si="47"/>
        <v>55</v>
      </c>
      <c r="G101" s="714">
        <f t="shared" si="47"/>
        <v>168</v>
      </c>
      <c r="H101" s="714">
        <f t="shared" si="47"/>
        <v>200</v>
      </c>
      <c r="I101" s="714">
        <f t="shared" si="47"/>
        <v>64</v>
      </c>
      <c r="J101" s="714">
        <f t="shared" si="47"/>
        <v>10</v>
      </c>
      <c r="K101" s="714">
        <f t="shared" si="47"/>
        <v>397</v>
      </c>
      <c r="L101" s="714">
        <f>L29</f>
        <v>621</v>
      </c>
      <c r="M101" s="714">
        <f>M29</f>
        <v>510</v>
      </c>
      <c r="N101" s="714">
        <f t="shared" si="47"/>
        <v>79</v>
      </c>
      <c r="O101" s="714">
        <f t="shared" si="47"/>
        <v>-1011</v>
      </c>
      <c r="P101" s="714">
        <f t="shared" si="47"/>
        <v>792</v>
      </c>
      <c r="Q101" s="714">
        <f t="shared" si="47"/>
        <v>0</v>
      </c>
      <c r="R101" s="714">
        <f t="shared" si="47"/>
        <v>0</v>
      </c>
      <c r="S101" s="714">
        <f t="shared" si="47"/>
        <v>0</v>
      </c>
      <c r="T101" s="714">
        <f t="shared" si="47"/>
        <v>0</v>
      </c>
      <c r="U101" s="714">
        <f t="shared" si="47"/>
        <v>0</v>
      </c>
      <c r="V101" s="714">
        <f t="shared" si="47"/>
        <v>0</v>
      </c>
      <c r="W101" s="714">
        <f t="shared" si="47"/>
        <v>0</v>
      </c>
      <c r="X101" s="714">
        <f>X29</f>
        <v>0</v>
      </c>
      <c r="Y101" s="714">
        <f>Y29</f>
        <v>0</v>
      </c>
      <c r="Z101" s="714">
        <f>Z29</f>
        <v>0</v>
      </c>
      <c r="AA101" s="714">
        <f>AA29</f>
        <v>0</v>
      </c>
      <c r="AB101" s="714">
        <f>AB29</f>
        <v>0</v>
      </c>
    </row>
    <row r="102" spans="1:28" s="714" customFormat="1" outlineLevel="1">
      <c r="A102" s="779" t="s">
        <v>1018</v>
      </c>
      <c r="B102" s="714">
        <f t="shared" ref="B102:Y102" si="48">B101-B100</f>
        <v>0</v>
      </c>
      <c r="C102" s="714">
        <f t="shared" si="48"/>
        <v>0</v>
      </c>
      <c r="D102" s="714">
        <f t="shared" si="48"/>
        <v>0</v>
      </c>
      <c r="E102" s="714">
        <f t="shared" si="48"/>
        <v>0</v>
      </c>
      <c r="F102" s="714">
        <f t="shared" si="48"/>
        <v>-27</v>
      </c>
      <c r="G102" s="714">
        <f t="shared" si="48"/>
        <v>33</v>
      </c>
      <c r="H102" s="714">
        <f t="shared" si="48"/>
        <v>39</v>
      </c>
      <c r="I102" s="714">
        <f t="shared" si="48"/>
        <v>-21</v>
      </c>
      <c r="J102" s="714">
        <f t="shared" si="48"/>
        <v>-27</v>
      </c>
      <c r="K102" s="714">
        <f t="shared" si="48"/>
        <v>108</v>
      </c>
      <c r="L102" s="714">
        <f>L101-L100</f>
        <v>121</v>
      </c>
      <c r="M102" s="714">
        <f>M101-M100</f>
        <v>31</v>
      </c>
      <c r="N102" s="714">
        <f t="shared" si="48"/>
        <v>-177</v>
      </c>
      <c r="O102" s="714">
        <f t="shared" si="48"/>
        <v>-1276</v>
      </c>
      <c r="P102" s="714">
        <f t="shared" si="48"/>
        <v>662</v>
      </c>
      <c r="Q102" s="714">
        <f t="shared" si="48"/>
        <v>0</v>
      </c>
      <c r="R102" s="714">
        <f t="shared" si="48"/>
        <v>0</v>
      </c>
      <c r="S102" s="714">
        <f t="shared" si="48"/>
        <v>0</v>
      </c>
      <c r="T102" s="714">
        <f t="shared" si="48"/>
        <v>0</v>
      </c>
      <c r="U102" s="714">
        <f t="shared" si="48"/>
        <v>0</v>
      </c>
      <c r="V102" s="714">
        <f t="shared" si="48"/>
        <v>0</v>
      </c>
      <c r="W102" s="714">
        <f t="shared" si="48"/>
        <v>0</v>
      </c>
      <c r="X102" s="714">
        <f t="shared" si="48"/>
        <v>0</v>
      </c>
      <c r="Y102" s="714">
        <f t="shared" si="48"/>
        <v>0</v>
      </c>
      <c r="Z102" s="714">
        <f>Z101-Z100</f>
        <v>0</v>
      </c>
      <c r="AA102" s="714">
        <f>AA101-AA100</f>
        <v>0</v>
      </c>
      <c r="AB102" s="714">
        <f>AB101-AB100</f>
        <v>0</v>
      </c>
    </row>
    <row r="103" spans="1:28" s="714" customFormat="1" outlineLevel="1">
      <c r="A103" s="711"/>
    </row>
    <row r="104" spans="1:28" outlineLevel="1">
      <c r="B104" s="780"/>
      <c r="C104" s="780"/>
      <c r="D104" s="780"/>
      <c r="E104" s="780"/>
      <c r="F104" s="780"/>
      <c r="G104" s="780"/>
      <c r="H104" s="780"/>
      <c r="I104" s="780"/>
      <c r="J104" s="732"/>
      <c r="K104" s="732"/>
      <c r="L104" s="732"/>
      <c r="M104" s="732"/>
      <c r="N104" s="732"/>
      <c r="O104" s="732"/>
      <c r="P104" s="732"/>
      <c r="Q104" s="732"/>
      <c r="R104" s="732"/>
      <c r="S104" s="732"/>
      <c r="T104" s="732"/>
      <c r="U104" s="732"/>
      <c r="V104" s="732"/>
      <c r="W104" s="732"/>
      <c r="X104" s="732"/>
      <c r="Y104" s="732"/>
      <c r="Z104" s="732"/>
      <c r="AA104" s="732"/>
      <c r="AB104" s="732"/>
    </row>
    <row r="105" spans="1:28" s="710" customFormat="1" outlineLevel="1">
      <c r="A105" s="709" t="s">
        <v>1019</v>
      </c>
      <c r="B105" s="721">
        <f t="shared" ref="B105:AB105" si="49">B$3</f>
        <v>1995</v>
      </c>
      <c r="C105" s="721">
        <f t="shared" si="49"/>
        <v>1996</v>
      </c>
      <c r="D105" s="721">
        <f t="shared" si="49"/>
        <v>1997</v>
      </c>
      <c r="E105" s="721">
        <f t="shared" si="49"/>
        <v>1998</v>
      </c>
      <c r="F105" s="721">
        <f t="shared" si="49"/>
        <v>1999</v>
      </c>
      <c r="G105" s="721">
        <f t="shared" si="49"/>
        <v>2000</v>
      </c>
      <c r="H105" s="721">
        <f t="shared" si="49"/>
        <v>2001</v>
      </c>
      <c r="I105" s="721">
        <f t="shared" si="49"/>
        <v>2002</v>
      </c>
      <c r="J105" s="721">
        <f t="shared" si="49"/>
        <v>2003</v>
      </c>
      <c r="K105" s="721">
        <f t="shared" si="49"/>
        <v>2004</v>
      </c>
      <c r="L105" s="721">
        <f t="shared" si="49"/>
        <v>2005</v>
      </c>
      <c r="M105" s="721">
        <f t="shared" si="49"/>
        <v>2006</v>
      </c>
      <c r="N105" s="721">
        <f t="shared" si="49"/>
        <v>2007</v>
      </c>
      <c r="O105" s="721">
        <f t="shared" si="49"/>
        <v>2008</v>
      </c>
      <c r="P105" s="721">
        <f t="shared" si="49"/>
        <v>2009</v>
      </c>
      <c r="Q105" s="721">
        <f t="shared" si="49"/>
        <v>2010</v>
      </c>
      <c r="R105" s="721">
        <f t="shared" si="49"/>
        <v>2011</v>
      </c>
      <c r="S105" s="721">
        <f t="shared" si="49"/>
        <v>2012</v>
      </c>
      <c r="T105" s="721">
        <f t="shared" si="49"/>
        <v>2013</v>
      </c>
      <c r="U105" s="721">
        <f t="shared" si="49"/>
        <v>2014</v>
      </c>
      <c r="V105" s="721">
        <f t="shared" si="49"/>
        <v>2015</v>
      </c>
      <c r="W105" s="721">
        <f t="shared" si="49"/>
        <v>2016</v>
      </c>
      <c r="X105" s="722">
        <f t="shared" si="49"/>
        <v>2017</v>
      </c>
      <c r="Y105" s="722">
        <f t="shared" si="49"/>
        <v>2018</v>
      </c>
      <c r="Z105" s="722">
        <f t="shared" si="49"/>
        <v>2019</v>
      </c>
      <c r="AA105" s="722">
        <f t="shared" si="49"/>
        <v>2020</v>
      </c>
      <c r="AB105" s="722">
        <f t="shared" si="49"/>
        <v>2021</v>
      </c>
    </row>
    <row r="106" spans="1:28" s="714" customFormat="1" outlineLevel="1">
      <c r="A106" s="779" t="s">
        <v>1020</v>
      </c>
      <c r="C106" s="714">
        <f t="shared" ref="C106:N106" si="50">B42</f>
        <v>0</v>
      </c>
      <c r="D106" s="714">
        <f t="shared" si="50"/>
        <v>0</v>
      </c>
      <c r="E106" s="714">
        <f t="shared" si="50"/>
        <v>162</v>
      </c>
      <c r="F106" s="714">
        <f t="shared" si="50"/>
        <v>119</v>
      </c>
      <c r="G106" s="714">
        <f t="shared" si="50"/>
        <v>46</v>
      </c>
      <c r="H106" s="714">
        <f t="shared" si="50"/>
        <v>231</v>
      </c>
      <c r="I106" s="714">
        <f t="shared" si="50"/>
        <v>1043</v>
      </c>
      <c r="J106" s="714">
        <f t="shared" si="50"/>
        <v>1161</v>
      </c>
      <c r="K106" s="714">
        <f t="shared" si="50"/>
        <v>1352</v>
      </c>
      <c r="L106" s="714">
        <f t="shared" si="50"/>
        <v>1128</v>
      </c>
      <c r="M106" s="714">
        <f t="shared" si="50"/>
        <v>4054</v>
      </c>
      <c r="N106" s="714">
        <f t="shared" si="50"/>
        <v>0</v>
      </c>
      <c r="O106" s="714">
        <f t="shared" ref="O106:AB106" si="51">N109</f>
        <v>0</v>
      </c>
      <c r="P106" s="714">
        <f t="shared" si="51"/>
        <v>0</v>
      </c>
      <c r="Q106" s="714">
        <f t="shared" si="51"/>
        <v>0</v>
      </c>
      <c r="R106" s="714">
        <f t="shared" si="51"/>
        <v>0</v>
      </c>
      <c r="S106" s="714">
        <f t="shared" si="51"/>
        <v>0</v>
      </c>
      <c r="T106" s="714">
        <f t="shared" si="51"/>
        <v>0</v>
      </c>
      <c r="U106" s="714">
        <f t="shared" si="51"/>
        <v>0</v>
      </c>
      <c r="V106" s="714">
        <f t="shared" si="51"/>
        <v>0</v>
      </c>
      <c r="W106" s="714">
        <f t="shared" si="51"/>
        <v>0</v>
      </c>
      <c r="X106" s="714">
        <f t="shared" si="51"/>
        <v>0</v>
      </c>
      <c r="Y106" s="714">
        <f t="shared" si="51"/>
        <v>0</v>
      </c>
      <c r="Z106" s="714">
        <f t="shared" si="51"/>
        <v>0</v>
      </c>
      <c r="AA106" s="714">
        <f t="shared" si="51"/>
        <v>0</v>
      </c>
      <c r="AB106" s="714">
        <f t="shared" si="51"/>
        <v>0</v>
      </c>
    </row>
    <row r="107" spans="1:28" s="714" customFormat="1" outlineLevel="1">
      <c r="A107" s="781" t="s">
        <v>1021</v>
      </c>
      <c r="B107" s="782">
        <f t="shared" ref="B107:N107" si="52">B109-B106+B108</f>
        <v>0</v>
      </c>
      <c r="C107" s="782">
        <f t="shared" si="52"/>
        <v>0</v>
      </c>
      <c r="D107" s="782">
        <f t="shared" si="52"/>
        <v>162</v>
      </c>
      <c r="E107" s="782">
        <f t="shared" si="52"/>
        <v>-43</v>
      </c>
      <c r="F107" s="782">
        <f t="shared" si="52"/>
        <v>-73</v>
      </c>
      <c r="G107" s="782">
        <f t="shared" si="52"/>
        <v>223</v>
      </c>
      <c r="H107" s="782">
        <f t="shared" si="52"/>
        <v>926</v>
      </c>
      <c r="I107" s="782">
        <f t="shared" si="52"/>
        <v>263</v>
      </c>
      <c r="J107" s="782">
        <f t="shared" si="52"/>
        <v>370</v>
      </c>
      <c r="K107" s="782">
        <f t="shared" si="52"/>
        <v>-4</v>
      </c>
      <c r="L107" s="782">
        <f t="shared" si="52"/>
        <v>3171</v>
      </c>
      <c r="M107" s="782">
        <f t="shared" si="52"/>
        <v>-3239</v>
      </c>
      <c r="N107" s="782">
        <f t="shared" si="52"/>
        <v>996</v>
      </c>
      <c r="O107" s="782">
        <f t="shared" ref="O107:V107" si="53">O23</f>
        <v>928</v>
      </c>
      <c r="P107" s="782">
        <f t="shared" si="53"/>
        <v>175</v>
      </c>
      <c r="Q107" s="782">
        <f t="shared" si="53"/>
        <v>71</v>
      </c>
      <c r="R107" s="782">
        <f t="shared" si="53"/>
        <v>62</v>
      </c>
      <c r="S107" s="782">
        <f t="shared" si="53"/>
        <v>156</v>
      </c>
      <c r="T107" s="782">
        <f t="shared" si="53"/>
        <v>0</v>
      </c>
      <c r="U107" s="782">
        <f t="shared" si="53"/>
        <v>0</v>
      </c>
      <c r="V107" s="782">
        <f t="shared" si="53"/>
        <v>-1</v>
      </c>
      <c r="W107" s="782">
        <f t="shared" ref="W107:AB107" si="54">W23</f>
        <v>-14</v>
      </c>
      <c r="X107" s="782">
        <f t="shared" si="54"/>
        <v>0</v>
      </c>
      <c r="Y107" s="782">
        <f t="shared" si="54"/>
        <v>0</v>
      </c>
      <c r="Z107" s="782">
        <f t="shared" si="54"/>
        <v>0</v>
      </c>
      <c r="AA107" s="782">
        <f t="shared" si="54"/>
        <v>0</v>
      </c>
      <c r="AB107" s="782">
        <f t="shared" si="54"/>
        <v>0</v>
      </c>
    </row>
    <row r="108" spans="1:28" s="714" customFormat="1" outlineLevel="1">
      <c r="A108" s="781" t="s">
        <v>1022</v>
      </c>
      <c r="B108" s="751">
        <f t="shared" ref="B108:W108" si="55">B5</f>
        <v>0</v>
      </c>
      <c r="C108" s="751">
        <f t="shared" si="55"/>
        <v>0</v>
      </c>
      <c r="D108" s="751">
        <f t="shared" si="55"/>
        <v>0</v>
      </c>
      <c r="E108" s="751">
        <f t="shared" si="55"/>
        <v>0</v>
      </c>
      <c r="F108" s="751">
        <f t="shared" si="55"/>
        <v>0</v>
      </c>
      <c r="G108" s="751">
        <f t="shared" si="55"/>
        <v>38</v>
      </c>
      <c r="H108" s="751">
        <f t="shared" si="55"/>
        <v>114</v>
      </c>
      <c r="I108" s="751">
        <f t="shared" si="55"/>
        <v>145</v>
      </c>
      <c r="J108" s="751">
        <f t="shared" si="55"/>
        <v>179</v>
      </c>
      <c r="K108" s="751">
        <f t="shared" si="55"/>
        <v>220</v>
      </c>
      <c r="L108" s="751">
        <f>L5</f>
        <v>245</v>
      </c>
      <c r="M108" s="751">
        <f>M5</f>
        <v>815</v>
      </c>
      <c r="N108" s="751">
        <f>N5</f>
        <v>996</v>
      </c>
      <c r="O108" s="751">
        <f t="shared" si="55"/>
        <v>900</v>
      </c>
      <c r="P108" s="751">
        <f t="shared" si="55"/>
        <v>913</v>
      </c>
      <c r="Q108" s="751">
        <f t="shared" si="55"/>
        <v>617</v>
      </c>
      <c r="R108" s="751">
        <f t="shared" si="55"/>
        <v>612</v>
      </c>
      <c r="S108" s="751">
        <f t="shared" si="55"/>
        <v>545</v>
      </c>
      <c r="T108" s="751">
        <f t="shared" si="55"/>
        <v>283</v>
      </c>
      <c r="U108" s="751">
        <f t="shared" si="55"/>
        <v>229</v>
      </c>
      <c r="V108" s="751">
        <f t="shared" si="55"/>
        <v>204</v>
      </c>
      <c r="W108" s="751">
        <f t="shared" si="55"/>
        <v>142</v>
      </c>
      <c r="X108" s="751">
        <f>X5</f>
        <v>142</v>
      </c>
      <c r="Y108" s="751">
        <f>Y5</f>
        <v>142</v>
      </c>
      <c r="Z108" s="751">
        <f>Z5</f>
        <v>142</v>
      </c>
      <c r="AA108" s="751">
        <f>AA5</f>
        <v>142</v>
      </c>
      <c r="AB108" s="751">
        <f>AB5</f>
        <v>142</v>
      </c>
    </row>
    <row r="109" spans="1:28" s="714" customFormat="1" outlineLevel="1">
      <c r="A109" s="779" t="s">
        <v>1023</v>
      </c>
      <c r="B109" s="714">
        <f t="shared" ref="B109:W109" si="56">B42</f>
        <v>0</v>
      </c>
      <c r="C109" s="714">
        <f t="shared" si="56"/>
        <v>0</v>
      </c>
      <c r="D109" s="714">
        <f t="shared" si="56"/>
        <v>162</v>
      </c>
      <c r="E109" s="714">
        <f t="shared" si="56"/>
        <v>119</v>
      </c>
      <c r="F109" s="714">
        <f t="shared" si="56"/>
        <v>46</v>
      </c>
      <c r="G109" s="714">
        <f t="shared" si="56"/>
        <v>231</v>
      </c>
      <c r="H109" s="714">
        <f t="shared" si="56"/>
        <v>1043</v>
      </c>
      <c r="I109" s="714">
        <f t="shared" si="56"/>
        <v>1161</v>
      </c>
      <c r="J109" s="714">
        <f t="shared" si="56"/>
        <v>1352</v>
      </c>
      <c r="K109" s="714">
        <f t="shared" si="56"/>
        <v>1128</v>
      </c>
      <c r="L109" s="714">
        <f>L42</f>
        <v>4054</v>
      </c>
      <c r="M109" s="714">
        <f>M42</f>
        <v>0</v>
      </c>
      <c r="N109" s="714">
        <f>N42</f>
        <v>0</v>
      </c>
      <c r="O109" s="714">
        <f t="shared" si="56"/>
        <v>0</v>
      </c>
      <c r="P109" s="714">
        <f t="shared" si="56"/>
        <v>0</v>
      </c>
      <c r="Q109" s="714">
        <f t="shared" si="56"/>
        <v>0</v>
      </c>
      <c r="R109" s="714">
        <f t="shared" si="56"/>
        <v>0</v>
      </c>
      <c r="S109" s="714">
        <f t="shared" si="56"/>
        <v>0</v>
      </c>
      <c r="T109" s="714">
        <f t="shared" si="56"/>
        <v>0</v>
      </c>
      <c r="U109" s="714">
        <f t="shared" si="56"/>
        <v>0</v>
      </c>
      <c r="V109" s="714">
        <f t="shared" si="56"/>
        <v>0</v>
      </c>
      <c r="W109" s="714">
        <f t="shared" si="56"/>
        <v>0</v>
      </c>
      <c r="X109" s="714">
        <f>X42</f>
        <v>0</v>
      </c>
      <c r="Y109" s="714">
        <f>Y42</f>
        <v>0</v>
      </c>
      <c r="Z109" s="714">
        <f>Z42</f>
        <v>0</v>
      </c>
      <c r="AA109" s="714">
        <f>AA42</f>
        <v>0</v>
      </c>
      <c r="AB109" s="714">
        <f>AB42</f>
        <v>0</v>
      </c>
    </row>
    <row r="110" spans="1:28" s="714" customFormat="1" outlineLevel="1">
      <c r="A110" s="779"/>
    </row>
    <row r="111" spans="1:28" s="744" customFormat="1" outlineLevel="1">
      <c r="A111" s="779" t="s">
        <v>1024</v>
      </c>
      <c r="B111" s="714" t="str">
        <f t="shared" ref="B111:AB111" si="57">A108</f>
        <v>- Amortization of Prior Service Cost</v>
      </c>
      <c r="C111" s="714">
        <f t="shared" si="57"/>
        <v>0</v>
      </c>
      <c r="D111" s="714">
        <f t="shared" si="57"/>
        <v>0</v>
      </c>
      <c r="E111" s="714">
        <f t="shared" si="57"/>
        <v>0</v>
      </c>
      <c r="F111" s="714">
        <f t="shared" si="57"/>
        <v>0</v>
      </c>
      <c r="G111" s="714">
        <f t="shared" si="57"/>
        <v>0</v>
      </c>
      <c r="H111" s="714">
        <f t="shared" si="57"/>
        <v>38</v>
      </c>
      <c r="I111" s="714">
        <f t="shared" si="57"/>
        <v>114</v>
      </c>
      <c r="J111" s="714">
        <f t="shared" si="57"/>
        <v>145</v>
      </c>
      <c r="K111" s="714">
        <f t="shared" si="57"/>
        <v>179</v>
      </c>
      <c r="L111" s="714">
        <f>K108</f>
        <v>220</v>
      </c>
      <c r="M111" s="714">
        <f>L108</f>
        <v>245</v>
      </c>
      <c r="N111" s="714">
        <f>M108</f>
        <v>815</v>
      </c>
      <c r="O111" s="714">
        <f t="shared" si="57"/>
        <v>996</v>
      </c>
      <c r="P111" s="714">
        <f t="shared" si="57"/>
        <v>900</v>
      </c>
      <c r="Q111" s="714">
        <f t="shared" si="57"/>
        <v>913</v>
      </c>
      <c r="R111" s="714">
        <f t="shared" si="57"/>
        <v>617</v>
      </c>
      <c r="S111" s="714">
        <f t="shared" si="57"/>
        <v>612</v>
      </c>
      <c r="T111" s="714">
        <f t="shared" si="57"/>
        <v>545</v>
      </c>
      <c r="U111" s="714">
        <f t="shared" si="57"/>
        <v>283</v>
      </c>
      <c r="V111" s="714">
        <f t="shared" si="57"/>
        <v>229</v>
      </c>
      <c r="W111" s="714">
        <f t="shared" si="57"/>
        <v>204</v>
      </c>
      <c r="X111" s="714">
        <f t="shared" si="57"/>
        <v>142</v>
      </c>
      <c r="Y111" s="714">
        <f t="shared" si="57"/>
        <v>142</v>
      </c>
      <c r="Z111" s="714">
        <f t="shared" si="57"/>
        <v>142</v>
      </c>
      <c r="AA111" s="714">
        <f t="shared" si="57"/>
        <v>142</v>
      </c>
      <c r="AB111" s="714">
        <f t="shared" si="57"/>
        <v>142</v>
      </c>
    </row>
    <row r="112" spans="1:28" outlineLevel="1">
      <c r="A112" s="781" t="s">
        <v>1025</v>
      </c>
      <c r="B112" s="714"/>
      <c r="C112" s="714">
        <f t="shared" ref="C112:H112" si="58">C107/$O$71</f>
        <v>0</v>
      </c>
      <c r="D112" s="714">
        <f t="shared" si="58"/>
        <v>10.8</v>
      </c>
      <c r="E112" s="714">
        <f t="shared" si="58"/>
        <v>-2.8666666666666667</v>
      </c>
      <c r="F112" s="714">
        <f t="shared" si="58"/>
        <v>-4.8666666666666663</v>
      </c>
      <c r="G112" s="714">
        <f t="shared" si="58"/>
        <v>14.866666666666667</v>
      </c>
      <c r="H112" s="714">
        <f t="shared" si="58"/>
        <v>61.733333333333334</v>
      </c>
      <c r="I112" s="714">
        <f t="shared" ref="I112:X112" si="59">I107/$L$71</f>
        <v>17.533333333333335</v>
      </c>
      <c r="J112" s="714">
        <f t="shared" si="59"/>
        <v>24.666666666666668</v>
      </c>
      <c r="K112" s="714">
        <f t="shared" si="59"/>
        <v>-0.26666666666666666</v>
      </c>
      <c r="L112" s="714">
        <f t="shared" si="59"/>
        <v>211.4</v>
      </c>
      <c r="M112" s="714">
        <f t="shared" si="59"/>
        <v>-215.93333333333334</v>
      </c>
      <c r="N112" s="714">
        <f t="shared" si="59"/>
        <v>66.400000000000006</v>
      </c>
      <c r="O112" s="714">
        <f t="shared" si="59"/>
        <v>61.866666666666667</v>
      </c>
      <c r="P112" s="714">
        <f t="shared" si="59"/>
        <v>11.666666666666666</v>
      </c>
      <c r="Q112" s="714">
        <f t="shared" si="59"/>
        <v>4.7333333333333334</v>
      </c>
      <c r="R112" s="714">
        <f t="shared" si="59"/>
        <v>4.1333333333333337</v>
      </c>
      <c r="S112" s="714">
        <f t="shared" si="59"/>
        <v>10.4</v>
      </c>
      <c r="T112" s="714">
        <f t="shared" si="59"/>
        <v>0</v>
      </c>
      <c r="U112" s="714">
        <f t="shared" si="59"/>
        <v>0</v>
      </c>
      <c r="V112" s="714">
        <f t="shared" si="59"/>
        <v>-6.6666666666666666E-2</v>
      </c>
      <c r="W112" s="714">
        <f t="shared" si="59"/>
        <v>-0.93333333333333335</v>
      </c>
      <c r="X112" s="714">
        <f t="shared" si="59"/>
        <v>0</v>
      </c>
      <c r="Y112" s="714">
        <f>Y107/$L$71</f>
        <v>0</v>
      </c>
      <c r="Z112" s="714">
        <f>Z107/$L$71</f>
        <v>0</v>
      </c>
      <c r="AA112" s="714">
        <f>AA107/$L$71</f>
        <v>0</v>
      </c>
      <c r="AB112" s="714">
        <f>AB107/$L$71</f>
        <v>0</v>
      </c>
    </row>
    <row r="113" spans="1:41" outlineLevel="1">
      <c r="A113" s="781" t="s">
        <v>1026</v>
      </c>
      <c r="B113" s="783"/>
      <c r="C113" s="783">
        <f t="shared" ref="C113:N113" si="60">C115-C111-C112</f>
        <v>0</v>
      </c>
      <c r="D113" s="783">
        <f t="shared" si="60"/>
        <v>-10.8</v>
      </c>
      <c r="E113" s="783">
        <f t="shared" si="60"/>
        <v>2.8666666666666667</v>
      </c>
      <c r="F113" s="783">
        <f t="shared" si="60"/>
        <v>4.8666666666666663</v>
      </c>
      <c r="G113" s="783">
        <f t="shared" si="60"/>
        <v>23.133333333333333</v>
      </c>
      <c r="H113" s="783">
        <f t="shared" si="60"/>
        <v>14.266666666666666</v>
      </c>
      <c r="I113" s="783">
        <f t="shared" si="60"/>
        <v>13.466666666666665</v>
      </c>
      <c r="J113" s="783">
        <f t="shared" si="60"/>
        <v>9.3333333333333321</v>
      </c>
      <c r="K113" s="783">
        <f t="shared" si="60"/>
        <v>41.266666666666666</v>
      </c>
      <c r="L113" s="783">
        <f t="shared" si="60"/>
        <v>-186.4</v>
      </c>
      <c r="M113" s="783">
        <f t="shared" si="60"/>
        <v>785.93333333333339</v>
      </c>
      <c r="N113" s="783">
        <f t="shared" si="60"/>
        <v>114.6</v>
      </c>
      <c r="O113" s="783">
        <f>O115-O111-O112</f>
        <v>-157.86666666666667</v>
      </c>
      <c r="P113" s="783">
        <f>P115-P111-P112</f>
        <v>1.3333333333333339</v>
      </c>
      <c r="Q113" s="783">
        <f>Q115-Q111-Q112</f>
        <v>-300.73333333333335</v>
      </c>
      <c r="R113" s="783">
        <f>R115-R111-R112</f>
        <v>-9.1333333333333329</v>
      </c>
      <c r="S113" s="783">
        <f t="shared" ref="S113:X113" si="61">S111*S114</f>
        <v>61.2</v>
      </c>
      <c r="T113" s="783">
        <f t="shared" si="61"/>
        <v>54.5</v>
      </c>
      <c r="U113" s="783">
        <f t="shared" si="61"/>
        <v>28.3</v>
      </c>
      <c r="V113" s="783">
        <f t="shared" si="61"/>
        <v>22.900000000000002</v>
      </c>
      <c r="W113" s="783">
        <f t="shared" si="61"/>
        <v>20.400000000000002</v>
      </c>
      <c r="X113" s="783">
        <f t="shared" si="61"/>
        <v>14.200000000000001</v>
      </c>
      <c r="Y113" s="783">
        <f>Y111*Y114</f>
        <v>14.200000000000001</v>
      </c>
      <c r="Z113" s="783">
        <f>Z111*Z114</f>
        <v>14.200000000000001</v>
      </c>
      <c r="AA113" s="783">
        <f>AA111*AA114</f>
        <v>14.200000000000001</v>
      </c>
      <c r="AB113" s="783">
        <f>AB111*AB114</f>
        <v>14.200000000000001</v>
      </c>
    </row>
    <row r="114" spans="1:41" outlineLevel="1">
      <c r="A114" s="784" t="s">
        <v>1027</v>
      </c>
      <c r="B114" s="785"/>
      <c r="C114" s="785"/>
      <c r="D114" s="785"/>
      <c r="E114" s="785"/>
      <c r="F114" s="785"/>
      <c r="G114" s="785"/>
      <c r="H114" s="785"/>
      <c r="I114" s="785"/>
      <c r="J114" s="785">
        <f t="shared" ref="J114:R114" si="62">J113/J111</f>
        <v>6.4367816091954008E-2</v>
      </c>
      <c r="K114" s="785">
        <f t="shared" si="62"/>
        <v>0.23054003724394787</v>
      </c>
      <c r="L114" s="785">
        <f t="shared" si="62"/>
        <v>-0.84727272727272729</v>
      </c>
      <c r="M114" s="785">
        <f t="shared" si="62"/>
        <v>3.2078911564625852</v>
      </c>
      <c r="N114" s="785">
        <f t="shared" si="62"/>
        <v>0.14061349693251532</v>
      </c>
      <c r="O114" s="785">
        <f t="shared" si="62"/>
        <v>-0.15850066934404283</v>
      </c>
      <c r="P114" s="785">
        <f t="shared" si="62"/>
        <v>1.4814814814814821E-3</v>
      </c>
      <c r="Q114" s="785">
        <f t="shared" si="62"/>
        <v>-0.32939028842643303</v>
      </c>
      <c r="R114" s="785">
        <f t="shared" si="62"/>
        <v>-1.4802809292274446E-2</v>
      </c>
      <c r="S114" s="785">
        <v>0.1</v>
      </c>
      <c r="T114" s="786">
        <v>0.1</v>
      </c>
      <c r="U114" s="786">
        <v>0.1</v>
      </c>
      <c r="V114" s="786">
        <v>0.1</v>
      </c>
      <c r="W114" s="786">
        <v>0.1</v>
      </c>
      <c r="X114" s="786">
        <v>0.1</v>
      </c>
      <c r="Y114" s="786">
        <v>0.1</v>
      </c>
      <c r="Z114" s="786">
        <v>0.1</v>
      </c>
      <c r="AA114" s="786">
        <v>0.1</v>
      </c>
      <c r="AB114" s="786">
        <v>0.1</v>
      </c>
    </row>
    <row r="115" spans="1:41" outlineLevel="1">
      <c r="A115" s="779" t="s">
        <v>1028</v>
      </c>
      <c r="B115" s="744">
        <f t="shared" ref="B115:R115" si="63">B108</f>
        <v>0</v>
      </c>
      <c r="C115" s="744">
        <f t="shared" si="63"/>
        <v>0</v>
      </c>
      <c r="D115" s="744">
        <f t="shared" si="63"/>
        <v>0</v>
      </c>
      <c r="E115" s="744">
        <f t="shared" si="63"/>
        <v>0</v>
      </c>
      <c r="F115" s="744">
        <f t="shared" si="63"/>
        <v>0</v>
      </c>
      <c r="G115" s="744">
        <f t="shared" si="63"/>
        <v>38</v>
      </c>
      <c r="H115" s="744">
        <f t="shared" si="63"/>
        <v>114</v>
      </c>
      <c r="I115" s="744">
        <f t="shared" si="63"/>
        <v>145</v>
      </c>
      <c r="J115" s="744">
        <f t="shared" si="63"/>
        <v>179</v>
      </c>
      <c r="K115" s="744">
        <f t="shared" si="63"/>
        <v>220</v>
      </c>
      <c r="L115" s="744">
        <f t="shared" si="63"/>
        <v>245</v>
      </c>
      <c r="M115" s="744">
        <f t="shared" si="63"/>
        <v>815</v>
      </c>
      <c r="N115" s="744">
        <f t="shared" si="63"/>
        <v>996</v>
      </c>
      <c r="O115" s="744">
        <f t="shared" si="63"/>
        <v>900</v>
      </c>
      <c r="P115" s="744">
        <f t="shared" si="63"/>
        <v>913</v>
      </c>
      <c r="Q115" s="744">
        <f t="shared" si="63"/>
        <v>617</v>
      </c>
      <c r="R115" s="744">
        <f t="shared" si="63"/>
        <v>612</v>
      </c>
      <c r="S115" s="744">
        <f t="shared" ref="S115:X115" si="64">S111+S112-S113</f>
        <v>561.19999999999993</v>
      </c>
      <c r="T115" s="744">
        <f t="shared" si="64"/>
        <v>490.5</v>
      </c>
      <c r="U115" s="744">
        <f t="shared" si="64"/>
        <v>254.7</v>
      </c>
      <c r="V115" s="744">
        <f t="shared" si="64"/>
        <v>206.03333333333333</v>
      </c>
      <c r="W115" s="744">
        <f t="shared" si="64"/>
        <v>182.66666666666666</v>
      </c>
      <c r="X115" s="744">
        <f t="shared" si="64"/>
        <v>127.8</v>
      </c>
      <c r="Y115" s="744">
        <f>Y111+Y112-Y113</f>
        <v>127.8</v>
      </c>
      <c r="Z115" s="744">
        <f>Z111+Z112-Z113</f>
        <v>127.8</v>
      </c>
      <c r="AA115" s="744">
        <f>AA111+AA112-AA113</f>
        <v>127.8</v>
      </c>
      <c r="AB115" s="744">
        <f>AB111+AB112-AB113</f>
        <v>127.8</v>
      </c>
    </row>
    <row r="116" spans="1:41" s="788" customFormat="1" outlineLevel="1">
      <c r="A116" s="752" t="s">
        <v>160</v>
      </c>
      <c r="B116" s="787">
        <f t="shared" ref="B116:W116" si="65">B109-B42</f>
        <v>0</v>
      </c>
      <c r="C116" s="787">
        <f t="shared" si="65"/>
        <v>0</v>
      </c>
      <c r="D116" s="787">
        <f t="shared" si="65"/>
        <v>0</v>
      </c>
      <c r="E116" s="787">
        <f t="shared" si="65"/>
        <v>0</v>
      </c>
      <c r="F116" s="787">
        <f t="shared" si="65"/>
        <v>0</v>
      </c>
      <c r="G116" s="787">
        <f t="shared" si="65"/>
        <v>0</v>
      </c>
      <c r="H116" s="787">
        <f t="shared" si="65"/>
        <v>0</v>
      </c>
      <c r="I116" s="787">
        <f t="shared" si="65"/>
        <v>0</v>
      </c>
      <c r="J116" s="787">
        <f t="shared" si="65"/>
        <v>0</v>
      </c>
      <c r="K116" s="787">
        <f t="shared" si="65"/>
        <v>0</v>
      </c>
      <c r="L116" s="787">
        <f t="shared" si="65"/>
        <v>0</v>
      </c>
      <c r="M116" s="787">
        <f>M109-M42</f>
        <v>0</v>
      </c>
      <c r="N116" s="787">
        <f t="shared" si="65"/>
        <v>0</v>
      </c>
      <c r="O116" s="787">
        <f t="shared" si="65"/>
        <v>0</v>
      </c>
      <c r="P116" s="787">
        <f t="shared" si="65"/>
        <v>0</v>
      </c>
      <c r="Q116" s="787">
        <f t="shared" si="65"/>
        <v>0</v>
      </c>
      <c r="R116" s="787">
        <f t="shared" si="65"/>
        <v>0</v>
      </c>
      <c r="S116" s="787">
        <f t="shared" si="65"/>
        <v>0</v>
      </c>
      <c r="T116" s="787">
        <f t="shared" si="65"/>
        <v>0</v>
      </c>
      <c r="U116" s="787">
        <f t="shared" si="65"/>
        <v>0</v>
      </c>
      <c r="V116" s="787">
        <f t="shared" si="65"/>
        <v>0</v>
      </c>
      <c r="W116" s="787">
        <f t="shared" si="65"/>
        <v>0</v>
      </c>
      <c r="X116" s="787">
        <f>X109-X42</f>
        <v>0</v>
      </c>
      <c r="Y116" s="787">
        <f>Y109-Y42</f>
        <v>0</v>
      </c>
      <c r="Z116" s="787">
        <f>Z109-Z42</f>
        <v>0</v>
      </c>
      <c r="AA116" s="787">
        <f>AA109-AA42</f>
        <v>0</v>
      </c>
      <c r="AB116" s="787">
        <f>AB109-AB42</f>
        <v>0</v>
      </c>
      <c r="AE116" s="744"/>
      <c r="AF116" s="744"/>
      <c r="AG116" s="744"/>
      <c r="AH116" s="744"/>
      <c r="AI116" s="744"/>
      <c r="AJ116" s="744"/>
      <c r="AK116" s="744"/>
      <c r="AL116" s="744"/>
      <c r="AM116" s="744"/>
      <c r="AN116" s="744"/>
      <c r="AO116" s="744"/>
    </row>
    <row r="117" spans="1:41">
      <c r="B117" s="704"/>
      <c r="C117" s="704"/>
      <c r="D117" s="704"/>
      <c r="E117" s="704"/>
      <c r="F117" s="704"/>
    </row>
    <row r="118" spans="1:41">
      <c r="B118" s="704"/>
      <c r="C118" s="704"/>
      <c r="D118" s="704"/>
      <c r="E118" s="704"/>
      <c r="F118" s="704"/>
    </row>
    <row r="119" spans="1:41">
      <c r="A119" s="789" t="s">
        <v>161</v>
      </c>
      <c r="B119" s="704"/>
      <c r="C119" s="704"/>
      <c r="D119" s="704"/>
      <c r="E119" s="704"/>
      <c r="F119" s="704"/>
    </row>
    <row r="120" spans="1:41">
      <c r="B120" s="704"/>
      <c r="C120" s="704"/>
      <c r="D120" s="704"/>
      <c r="E120" s="704"/>
      <c r="F120" s="704"/>
      <c r="Q120" s="790"/>
      <c r="R120" s="790"/>
      <c r="S120" s="790"/>
    </row>
    <row r="121" spans="1:41">
      <c r="A121" s="791" t="s">
        <v>162</v>
      </c>
      <c r="B121" s="721">
        <f t="shared" ref="B121:AB121" si="66">B$3</f>
        <v>1995</v>
      </c>
      <c r="C121" s="721">
        <f t="shared" si="66"/>
        <v>1996</v>
      </c>
      <c r="D121" s="721">
        <f t="shared" si="66"/>
        <v>1997</v>
      </c>
      <c r="E121" s="721">
        <f t="shared" si="66"/>
        <v>1998</v>
      </c>
      <c r="F121" s="721">
        <f t="shared" si="66"/>
        <v>1999</v>
      </c>
      <c r="G121" s="721">
        <f t="shared" si="66"/>
        <v>2000</v>
      </c>
      <c r="H121" s="721">
        <f t="shared" si="66"/>
        <v>2001</v>
      </c>
      <c r="I121" s="721">
        <f t="shared" si="66"/>
        <v>2002</v>
      </c>
      <c r="J121" s="721">
        <f t="shared" si="66"/>
        <v>2003</v>
      </c>
      <c r="K121" s="721">
        <f t="shared" si="66"/>
        <v>2004</v>
      </c>
      <c r="L121" s="721">
        <f t="shared" si="66"/>
        <v>2005</v>
      </c>
      <c r="M121" s="721">
        <f t="shared" si="66"/>
        <v>2006</v>
      </c>
      <c r="N121" s="721">
        <f t="shared" si="66"/>
        <v>2007</v>
      </c>
      <c r="O121" s="721">
        <f t="shared" si="66"/>
        <v>2008</v>
      </c>
      <c r="P121" s="721">
        <f t="shared" si="66"/>
        <v>2009</v>
      </c>
      <c r="Q121" s="721">
        <f t="shared" si="66"/>
        <v>2010</v>
      </c>
      <c r="R121" s="721">
        <f t="shared" si="66"/>
        <v>2011</v>
      </c>
      <c r="S121" s="721">
        <f t="shared" si="66"/>
        <v>2012</v>
      </c>
      <c r="T121" s="721">
        <f t="shared" si="66"/>
        <v>2013</v>
      </c>
      <c r="U121" s="721">
        <f t="shared" si="66"/>
        <v>2014</v>
      </c>
      <c r="V121" s="721">
        <f t="shared" si="66"/>
        <v>2015</v>
      </c>
      <c r="W121" s="721">
        <f t="shared" si="66"/>
        <v>2016</v>
      </c>
      <c r="X121" s="722">
        <f t="shared" si="66"/>
        <v>2017</v>
      </c>
      <c r="Y121" s="722">
        <f t="shared" si="66"/>
        <v>2018</v>
      </c>
      <c r="Z121" s="722">
        <f t="shared" si="66"/>
        <v>2019</v>
      </c>
      <c r="AA121" s="722">
        <f t="shared" si="66"/>
        <v>2020</v>
      </c>
      <c r="AB121" s="722">
        <f t="shared" si="66"/>
        <v>2021</v>
      </c>
    </row>
    <row r="122" spans="1:41">
      <c r="A122" s="792" t="s">
        <v>14</v>
      </c>
      <c r="B122" s="608">
        <v>0.35</v>
      </c>
      <c r="C122" s="608">
        <v>0.35</v>
      </c>
      <c r="D122" s="608">
        <v>0.35</v>
      </c>
      <c r="E122" s="608">
        <v>0.35</v>
      </c>
      <c r="F122" s="608">
        <v>0.35</v>
      </c>
      <c r="G122" s="608">
        <v>0.35</v>
      </c>
      <c r="H122" s="608">
        <v>0.35</v>
      </c>
      <c r="I122" s="608">
        <v>0.35</v>
      </c>
      <c r="J122" s="608">
        <v>0.35</v>
      </c>
      <c r="K122" s="608">
        <v>0.35</v>
      </c>
      <c r="L122" s="608">
        <v>0.35</v>
      </c>
      <c r="M122" s="608">
        <v>0.35</v>
      </c>
      <c r="N122" s="608">
        <v>0.35</v>
      </c>
      <c r="O122" s="608">
        <v>0.35</v>
      </c>
      <c r="P122" s="608">
        <v>0.35</v>
      </c>
      <c r="Q122" s="608">
        <v>0.35</v>
      </c>
      <c r="R122" s="608">
        <v>0.35</v>
      </c>
      <c r="S122" s="608">
        <v>0.35</v>
      </c>
      <c r="T122" s="608">
        <v>0.35</v>
      </c>
      <c r="U122" s="608">
        <v>0.35</v>
      </c>
      <c r="V122" s="608">
        <v>0.35</v>
      </c>
      <c r="W122" s="608">
        <v>0.35</v>
      </c>
      <c r="X122" s="608">
        <v>0.35</v>
      </c>
      <c r="Y122" s="608">
        <v>0.35</v>
      </c>
      <c r="Z122" s="608">
        <v>0.35</v>
      </c>
      <c r="AA122" s="608">
        <v>0.35</v>
      </c>
      <c r="AB122" s="608">
        <v>0.35</v>
      </c>
    </row>
    <row r="123" spans="1:41">
      <c r="A123" s="793"/>
      <c r="B123" s="794"/>
      <c r="C123" s="794"/>
      <c r="D123" s="794"/>
      <c r="E123" s="794"/>
      <c r="F123" s="794"/>
      <c r="G123" s="794"/>
      <c r="H123" s="794"/>
      <c r="I123" s="794"/>
      <c r="J123" s="794"/>
      <c r="K123" s="795"/>
      <c r="L123" s="795"/>
      <c r="M123" s="795"/>
      <c r="N123" s="795"/>
      <c r="O123" s="795"/>
      <c r="P123" s="795"/>
      <c r="Q123" s="795"/>
      <c r="R123" s="795"/>
      <c r="S123" s="795"/>
      <c r="T123" s="795"/>
      <c r="U123" s="795"/>
      <c r="V123" s="795"/>
      <c r="W123" s="795"/>
      <c r="X123" s="795"/>
      <c r="Y123" s="795"/>
      <c r="Z123" s="795"/>
      <c r="AA123" s="795"/>
      <c r="AB123" s="795"/>
    </row>
    <row r="124" spans="1:41">
      <c r="A124" s="796" t="s">
        <v>163</v>
      </c>
      <c r="B124" s="704"/>
      <c r="C124" s="704"/>
      <c r="D124" s="704"/>
      <c r="E124" s="704"/>
      <c r="F124" s="704"/>
    </row>
    <row r="125" spans="1:41">
      <c r="A125" s="779" t="s">
        <v>164</v>
      </c>
      <c r="B125" s="704"/>
      <c r="C125" s="704"/>
      <c r="D125" s="704"/>
      <c r="E125" s="704"/>
      <c r="F125" s="704"/>
      <c r="L125" s="714"/>
      <c r="M125" s="714"/>
      <c r="N125" s="714"/>
      <c r="O125" s="714"/>
      <c r="P125" s="714"/>
      <c r="Q125" s="714"/>
      <c r="R125" s="714"/>
      <c r="S125" s="714"/>
      <c r="T125" s="797">
        <f t="shared" ref="T125:Y125" si="67">SUM(T126:T127)</f>
        <v>-79.8</v>
      </c>
      <c r="U125" s="797">
        <f t="shared" si="67"/>
        <v>129.15</v>
      </c>
      <c r="V125" s="797">
        <f t="shared" si="67"/>
        <v>-210.34999999999997</v>
      </c>
      <c r="W125" s="797">
        <f t="shared" si="67"/>
        <v>-21.349999999999994</v>
      </c>
      <c r="X125" s="797">
        <f t="shared" si="67"/>
        <v>-9.2120350000000002</v>
      </c>
      <c r="Y125" s="797">
        <f t="shared" si="67"/>
        <v>-10.458586323500001</v>
      </c>
      <c r="Z125" s="797">
        <f>SUM(Z126:Z127)</f>
        <v>-4.7548013115403478</v>
      </c>
      <c r="AA125" s="797">
        <f>SUM(AA126:AA127)</f>
        <v>-1.0082413829689187</v>
      </c>
      <c r="AB125" s="797">
        <f>SUM(AB126:AB127)</f>
        <v>0.80711450043472155</v>
      </c>
    </row>
    <row r="126" spans="1:41" s="714" customFormat="1">
      <c r="A126" s="798" t="s">
        <v>165</v>
      </c>
      <c r="T126" s="714">
        <f t="shared" ref="T126:Y126" si="68">-T13*T122</f>
        <v>67.55</v>
      </c>
      <c r="U126" s="714">
        <f t="shared" si="68"/>
        <v>271.25</v>
      </c>
      <c r="V126" s="714">
        <f t="shared" si="68"/>
        <v>-69.649999999999991</v>
      </c>
      <c r="W126" s="714">
        <f t="shared" si="68"/>
        <v>112.35</v>
      </c>
      <c r="X126" s="714">
        <f t="shared" si="68"/>
        <v>124.48796499999999</v>
      </c>
      <c r="Y126" s="714">
        <f t="shared" si="68"/>
        <v>123.24141367649999</v>
      </c>
      <c r="Z126" s="714">
        <f>-Z13*Z122</f>
        <v>128.94519868845964</v>
      </c>
      <c r="AA126" s="714">
        <f>-AA13*AA122</f>
        <v>132.69175861703107</v>
      </c>
      <c r="AB126" s="714">
        <f>-AB13*AB122</f>
        <v>134.50711450043471</v>
      </c>
    </row>
    <row r="127" spans="1:41" s="714" customFormat="1">
      <c r="A127" s="798" t="s">
        <v>166</v>
      </c>
      <c r="T127" s="714">
        <f t="shared" ref="T127:Y127" si="69">(-T30-T20-T32)*T122</f>
        <v>-147.35</v>
      </c>
      <c r="U127" s="714">
        <f t="shared" si="69"/>
        <v>-142.1</v>
      </c>
      <c r="V127" s="714">
        <f t="shared" si="69"/>
        <v>-140.69999999999999</v>
      </c>
      <c r="W127" s="714">
        <f t="shared" si="69"/>
        <v>-133.69999999999999</v>
      </c>
      <c r="X127" s="714">
        <f t="shared" si="69"/>
        <v>-133.69999999999999</v>
      </c>
      <c r="Y127" s="714">
        <f t="shared" si="69"/>
        <v>-133.69999999999999</v>
      </c>
      <c r="Z127" s="714">
        <f>(-Z30-Z20-Z32)*Z122</f>
        <v>-133.69999999999999</v>
      </c>
      <c r="AA127" s="714">
        <f>(-AA30-AA20-AA32)*AA122</f>
        <v>-133.69999999999999</v>
      </c>
      <c r="AB127" s="714">
        <f>(-AB30-AB20-AB32)*AB122</f>
        <v>-133.69999999999999</v>
      </c>
    </row>
    <row r="128" spans="1:41">
      <c r="A128" s="779"/>
      <c r="B128" s="704"/>
      <c r="C128" s="704"/>
      <c r="D128" s="704"/>
      <c r="E128" s="704"/>
      <c r="F128" s="704"/>
    </row>
    <row r="129" spans="1:41">
      <c r="A129" s="799" t="s">
        <v>167</v>
      </c>
      <c r="B129" s="704"/>
      <c r="C129" s="704"/>
      <c r="D129" s="704"/>
      <c r="E129" s="704"/>
      <c r="F129" s="704"/>
    </row>
    <row r="130" spans="1:41" s="714" customFormat="1">
      <c r="A130" s="779" t="s">
        <v>168</v>
      </c>
      <c r="T130" s="797">
        <f t="shared" ref="T130:AB130" si="70">-(T57-S57)-(T5+T9)</f>
        <v>-1046</v>
      </c>
      <c r="U130" s="797">
        <f t="shared" si="70"/>
        <v>938</v>
      </c>
      <c r="V130" s="797">
        <f t="shared" si="70"/>
        <v>-1170</v>
      </c>
      <c r="W130" s="797">
        <f t="shared" si="70"/>
        <v>242</v>
      </c>
      <c r="X130" s="797">
        <f t="shared" si="70"/>
        <v>393.67990000000009</v>
      </c>
      <c r="Y130" s="797">
        <f t="shared" si="70"/>
        <v>-9.8816752100001395</v>
      </c>
      <c r="Z130" s="797">
        <f t="shared" si="70"/>
        <v>6.414853395598584</v>
      </c>
      <c r="AA130" s="797">
        <f t="shared" si="70"/>
        <v>17.119310334373949</v>
      </c>
      <c r="AB130" s="797">
        <f t="shared" si="70"/>
        <v>22.306041429813376</v>
      </c>
    </row>
    <row r="131" spans="1:41">
      <c r="A131" s="779"/>
      <c r="B131" s="704"/>
      <c r="C131" s="704"/>
      <c r="D131" s="704"/>
      <c r="E131" s="704"/>
      <c r="F131" s="704"/>
    </row>
    <row r="132" spans="1:41">
      <c r="A132" s="779"/>
      <c r="B132" s="704"/>
      <c r="C132" s="704"/>
      <c r="D132" s="704"/>
      <c r="E132" s="704"/>
      <c r="F132" s="704"/>
    </row>
    <row r="133" spans="1:41">
      <c r="A133" s="800" t="s">
        <v>107</v>
      </c>
      <c r="B133" s="801">
        <f t="shared" ref="B133:AB133" si="71">B$3</f>
        <v>1995</v>
      </c>
      <c r="C133" s="801">
        <f t="shared" si="71"/>
        <v>1996</v>
      </c>
      <c r="D133" s="801">
        <f t="shared" si="71"/>
        <v>1997</v>
      </c>
      <c r="E133" s="801">
        <f t="shared" si="71"/>
        <v>1998</v>
      </c>
      <c r="F133" s="801">
        <f t="shared" si="71"/>
        <v>1999</v>
      </c>
      <c r="G133" s="801">
        <f t="shared" si="71"/>
        <v>2000</v>
      </c>
      <c r="H133" s="801">
        <f t="shared" si="71"/>
        <v>2001</v>
      </c>
      <c r="I133" s="801">
        <f t="shared" si="71"/>
        <v>2002</v>
      </c>
      <c r="J133" s="801">
        <f t="shared" si="71"/>
        <v>2003</v>
      </c>
      <c r="K133" s="801">
        <f t="shared" si="71"/>
        <v>2004</v>
      </c>
      <c r="L133" s="801">
        <f t="shared" si="71"/>
        <v>2005</v>
      </c>
      <c r="M133" s="801">
        <f t="shared" si="71"/>
        <v>2006</v>
      </c>
      <c r="N133" s="801">
        <f t="shared" si="71"/>
        <v>2007</v>
      </c>
      <c r="O133" s="801">
        <f t="shared" si="71"/>
        <v>2008</v>
      </c>
      <c r="P133" s="801">
        <f t="shared" si="71"/>
        <v>2009</v>
      </c>
      <c r="Q133" s="801">
        <f t="shared" si="71"/>
        <v>2010</v>
      </c>
      <c r="R133" s="801">
        <f t="shared" si="71"/>
        <v>2011</v>
      </c>
      <c r="S133" s="801">
        <f t="shared" si="71"/>
        <v>2012</v>
      </c>
      <c r="T133" s="801">
        <f t="shared" si="71"/>
        <v>2013</v>
      </c>
      <c r="U133" s="801">
        <f>U$3</f>
        <v>2014</v>
      </c>
      <c r="V133" s="801">
        <f>V$3</f>
        <v>2015</v>
      </c>
      <c r="W133" s="801">
        <f t="shared" si="71"/>
        <v>2016</v>
      </c>
      <c r="X133" s="802">
        <f t="shared" si="71"/>
        <v>2017</v>
      </c>
      <c r="Y133" s="802">
        <f t="shared" si="71"/>
        <v>2018</v>
      </c>
      <c r="Z133" s="802">
        <f t="shared" si="71"/>
        <v>2019</v>
      </c>
      <c r="AA133" s="802">
        <f t="shared" si="71"/>
        <v>2020</v>
      </c>
      <c r="AB133" s="802">
        <f t="shared" si="71"/>
        <v>2021</v>
      </c>
    </row>
    <row r="134" spans="1:41" s="714" customFormat="1">
      <c r="A134" s="779" t="s">
        <v>169</v>
      </c>
      <c r="T134" s="797">
        <f t="shared" ref="T134:Y134" si="72">(-T30-T20-T32)*(1-T122)</f>
        <v>-273.65000000000003</v>
      </c>
      <c r="U134" s="797">
        <f t="shared" si="72"/>
        <v>-263.90000000000003</v>
      </c>
      <c r="V134" s="797">
        <f t="shared" si="72"/>
        <v>-261.3</v>
      </c>
      <c r="W134" s="797">
        <f t="shared" si="72"/>
        <v>-248.3</v>
      </c>
      <c r="X134" s="797">
        <f t="shared" si="72"/>
        <v>-248.3</v>
      </c>
      <c r="Y134" s="797">
        <f t="shared" si="72"/>
        <v>-248.3</v>
      </c>
      <c r="Z134" s="797">
        <f>(-Z30-Z20-Z32)*(1-Z122)</f>
        <v>-248.3</v>
      </c>
      <c r="AA134" s="797">
        <f>(-AA30-AA20-AA32)*(1-AA122)</f>
        <v>-248.3</v>
      </c>
      <c r="AB134" s="797">
        <f>(-AB30-AB20-AB32)*(1-AB122)</f>
        <v>-248.3</v>
      </c>
    </row>
    <row r="135" spans="1:41" s="714" customFormat="1">
      <c r="A135" s="779" t="s">
        <v>170</v>
      </c>
      <c r="T135" s="797">
        <f t="shared" ref="T135:Y135" si="73">-T13*(1-T122)</f>
        <v>125.45</v>
      </c>
      <c r="U135" s="797">
        <f t="shared" si="73"/>
        <v>503.75</v>
      </c>
      <c r="V135" s="797">
        <f t="shared" si="73"/>
        <v>-129.35</v>
      </c>
      <c r="W135" s="797">
        <f t="shared" si="73"/>
        <v>208.65</v>
      </c>
      <c r="X135" s="797">
        <f t="shared" si="73"/>
        <v>231.191935</v>
      </c>
      <c r="Y135" s="797">
        <f t="shared" si="73"/>
        <v>228.8769111135</v>
      </c>
      <c r="Z135" s="797">
        <f>-Z13*(1-Z122)</f>
        <v>239.46965470713934</v>
      </c>
      <c r="AA135" s="797">
        <f>-AA13*(1-AA122)</f>
        <v>246.42755171734345</v>
      </c>
      <c r="AB135" s="797">
        <f>-AB13*(1-AB122)</f>
        <v>249.79892692937878</v>
      </c>
    </row>
    <row r="136" spans="1:41">
      <c r="A136" s="779"/>
      <c r="B136" s="704"/>
      <c r="C136" s="704"/>
      <c r="D136" s="704"/>
      <c r="E136" s="704"/>
      <c r="F136" s="704"/>
    </row>
    <row r="137" spans="1:41" s="788" customFormat="1">
      <c r="A137" s="803" t="s">
        <v>97</v>
      </c>
      <c r="O137" s="804"/>
      <c r="P137" s="804"/>
      <c r="Q137" s="804"/>
      <c r="R137" s="804"/>
      <c r="S137" s="804">
        <f t="shared" ref="S137:X137" si="74">ROUND(S134+S135+S125-S130,6)</f>
        <v>0</v>
      </c>
      <c r="T137" s="804">
        <f t="shared" si="74"/>
        <v>818</v>
      </c>
      <c r="U137" s="804">
        <f t="shared" si="74"/>
        <v>-569</v>
      </c>
      <c r="V137" s="804">
        <f t="shared" si="74"/>
        <v>569</v>
      </c>
      <c r="W137" s="804">
        <f t="shared" si="74"/>
        <v>-303</v>
      </c>
      <c r="X137" s="804">
        <f t="shared" si="74"/>
        <v>-420</v>
      </c>
      <c r="Y137" s="804">
        <f>ROUND(Y134+Y135+Y125-Y130,6)</f>
        <v>-20</v>
      </c>
      <c r="Z137" s="804">
        <f>ROUND(Z134+Z135+Z125-Z130,6)</f>
        <v>-20</v>
      </c>
      <c r="AA137" s="804">
        <f>ROUND(AA134+AA135+AA125-AA130,6)</f>
        <v>-20</v>
      </c>
      <c r="AB137" s="804">
        <f>ROUND(AB134+AB135+AB125-AB130,6)</f>
        <v>-20</v>
      </c>
      <c r="AE137" s="744"/>
      <c r="AF137" s="744"/>
      <c r="AG137" s="744"/>
      <c r="AH137" s="744"/>
      <c r="AI137" s="744"/>
      <c r="AJ137" s="744"/>
      <c r="AK137" s="744"/>
      <c r="AL137" s="744"/>
      <c r="AM137" s="744"/>
      <c r="AN137" s="744"/>
      <c r="AO137" s="744"/>
    </row>
    <row r="138" spans="1:41">
      <c r="B138" s="704"/>
      <c r="C138" s="704"/>
      <c r="D138" s="704"/>
      <c r="E138" s="704"/>
      <c r="F138" s="704"/>
    </row>
    <row r="139" spans="1:41">
      <c r="B139" s="704"/>
      <c r="C139" s="704"/>
      <c r="D139" s="704"/>
      <c r="E139" s="704"/>
      <c r="F139" s="704"/>
    </row>
    <row r="140" spans="1:41" ht="12.75">
      <c r="B140" s="805"/>
      <c r="C140" s="805"/>
      <c r="D140" s="805"/>
      <c r="E140" s="805"/>
      <c r="F140" s="610"/>
      <c r="G140" s="610"/>
      <c r="H140" s="610"/>
      <c r="I140" s="609"/>
      <c r="J140" s="610"/>
      <c r="K140" s="610"/>
      <c r="L140" s="610"/>
      <c r="M140" s="610"/>
      <c r="N140" s="610"/>
      <c r="O140" s="610"/>
      <c r="P140" s="610"/>
      <c r="Q140" s="610"/>
      <c r="R140" s="610"/>
      <c r="S140" s="610"/>
      <c r="T140" s="610"/>
      <c r="U140" s="610"/>
      <c r="V140" s="610"/>
      <c r="W140" s="610"/>
      <c r="X140" s="610"/>
      <c r="Y140" s="610"/>
      <c r="Z140" s="610"/>
      <c r="AA140" s="610"/>
      <c r="AB140" s="610"/>
    </row>
  </sheetData>
  <printOptions horizontalCentered="1"/>
  <pageMargins left="0.75" right="0.75" top="0.5" bottom="0.5" header="0.25" footer="0.25"/>
  <pageSetup scale="80" orientation="landscape" r:id="rId1"/>
  <headerFooter alignWithMargins="0">
    <oddFooter>Page &amp;P of &amp;N</oddFooter>
  </headerFooter>
  <rowBreaks count="3" manualBreakCount="3">
    <brk id="39" max="14" man="1"/>
    <brk id="73" max="14" man="1"/>
    <brk id="95" max="14" man="1"/>
  </rowBreaks>
  <colBreaks count="1" manualBreakCount="1">
    <brk id="10"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127" bestFit="1" customWidth="1"/>
    <col min="2" max="2" width="19.85546875" style="1131" customWidth="1"/>
    <col min="3" max="3" width="12" style="1127" bestFit="1" customWidth="1"/>
    <col min="4" max="256" width="9.140625" style="1127"/>
    <col min="257" max="257" width="29.5703125" style="1127" bestFit="1" customWidth="1"/>
    <col min="258" max="258" width="19.85546875" style="1127" customWidth="1"/>
    <col min="259" max="259" width="12" style="1127" bestFit="1" customWidth="1"/>
    <col min="260" max="512" width="9.140625" style="1127"/>
    <col min="513" max="513" width="29.5703125" style="1127" bestFit="1" customWidth="1"/>
    <col min="514" max="514" width="19.85546875" style="1127" customWidth="1"/>
    <col min="515" max="515" width="12" style="1127" bestFit="1" customWidth="1"/>
    <col min="516" max="768" width="9.140625" style="1127"/>
    <col min="769" max="769" width="29.5703125" style="1127" bestFit="1" customWidth="1"/>
    <col min="770" max="770" width="19.85546875" style="1127" customWidth="1"/>
    <col min="771" max="771" width="12" style="1127" bestFit="1" customWidth="1"/>
    <col min="772" max="1024" width="9.140625" style="1127"/>
    <col min="1025" max="1025" width="29.5703125" style="1127" bestFit="1" customWidth="1"/>
    <col min="1026" max="1026" width="19.85546875" style="1127" customWidth="1"/>
    <col min="1027" max="1027" width="12" style="1127" bestFit="1" customWidth="1"/>
    <col min="1028" max="1280" width="9.140625" style="1127"/>
    <col min="1281" max="1281" width="29.5703125" style="1127" bestFit="1" customWidth="1"/>
    <col min="1282" max="1282" width="19.85546875" style="1127" customWidth="1"/>
    <col min="1283" max="1283" width="12" style="1127" bestFit="1" customWidth="1"/>
    <col min="1284" max="1536" width="9.140625" style="1127"/>
    <col min="1537" max="1537" width="29.5703125" style="1127" bestFit="1" customWidth="1"/>
    <col min="1538" max="1538" width="19.85546875" style="1127" customWidth="1"/>
    <col min="1539" max="1539" width="12" style="1127" bestFit="1" customWidth="1"/>
    <col min="1540" max="1792" width="9.140625" style="1127"/>
    <col min="1793" max="1793" width="29.5703125" style="1127" bestFit="1" customWidth="1"/>
    <col min="1794" max="1794" width="19.85546875" style="1127" customWidth="1"/>
    <col min="1795" max="1795" width="12" style="1127" bestFit="1" customWidth="1"/>
    <col min="1796" max="2048" width="9.140625" style="1127"/>
    <col min="2049" max="2049" width="29.5703125" style="1127" bestFit="1" customWidth="1"/>
    <col min="2050" max="2050" width="19.85546875" style="1127" customWidth="1"/>
    <col min="2051" max="2051" width="12" style="1127" bestFit="1" customWidth="1"/>
    <col min="2052" max="2304" width="9.140625" style="1127"/>
    <col min="2305" max="2305" width="29.5703125" style="1127" bestFit="1" customWidth="1"/>
    <col min="2306" max="2306" width="19.85546875" style="1127" customWidth="1"/>
    <col min="2307" max="2307" width="12" style="1127" bestFit="1" customWidth="1"/>
    <col min="2308" max="2560" width="9.140625" style="1127"/>
    <col min="2561" max="2561" width="29.5703125" style="1127" bestFit="1" customWidth="1"/>
    <col min="2562" max="2562" width="19.85546875" style="1127" customWidth="1"/>
    <col min="2563" max="2563" width="12" style="1127" bestFit="1" customWidth="1"/>
    <col min="2564" max="2816" width="9.140625" style="1127"/>
    <col min="2817" max="2817" width="29.5703125" style="1127" bestFit="1" customWidth="1"/>
    <col min="2818" max="2818" width="19.85546875" style="1127" customWidth="1"/>
    <col min="2819" max="2819" width="12" style="1127" bestFit="1" customWidth="1"/>
    <col min="2820" max="3072" width="9.140625" style="1127"/>
    <col min="3073" max="3073" width="29.5703125" style="1127" bestFit="1" customWidth="1"/>
    <col min="3074" max="3074" width="19.85546875" style="1127" customWidth="1"/>
    <col min="3075" max="3075" width="12" style="1127" bestFit="1" customWidth="1"/>
    <col min="3076" max="3328" width="9.140625" style="1127"/>
    <col min="3329" max="3329" width="29.5703125" style="1127" bestFit="1" customWidth="1"/>
    <col min="3330" max="3330" width="19.85546875" style="1127" customWidth="1"/>
    <col min="3331" max="3331" width="12" style="1127" bestFit="1" customWidth="1"/>
    <col min="3332" max="3584" width="9.140625" style="1127"/>
    <col min="3585" max="3585" width="29.5703125" style="1127" bestFit="1" customWidth="1"/>
    <col min="3586" max="3586" width="19.85546875" style="1127" customWidth="1"/>
    <col min="3587" max="3587" width="12" style="1127" bestFit="1" customWidth="1"/>
    <col min="3588" max="3840" width="9.140625" style="1127"/>
    <col min="3841" max="3841" width="29.5703125" style="1127" bestFit="1" customWidth="1"/>
    <col min="3842" max="3842" width="19.85546875" style="1127" customWidth="1"/>
    <col min="3843" max="3843" width="12" style="1127" bestFit="1" customWidth="1"/>
    <col min="3844" max="4096" width="9.140625" style="1127"/>
    <col min="4097" max="4097" width="29.5703125" style="1127" bestFit="1" customWidth="1"/>
    <col min="4098" max="4098" width="19.85546875" style="1127" customWidth="1"/>
    <col min="4099" max="4099" width="12" style="1127" bestFit="1" customWidth="1"/>
    <col min="4100" max="4352" width="9.140625" style="1127"/>
    <col min="4353" max="4353" width="29.5703125" style="1127" bestFit="1" customWidth="1"/>
    <col min="4354" max="4354" width="19.85546875" style="1127" customWidth="1"/>
    <col min="4355" max="4355" width="12" style="1127" bestFit="1" customWidth="1"/>
    <col min="4356" max="4608" width="9.140625" style="1127"/>
    <col min="4609" max="4609" width="29.5703125" style="1127" bestFit="1" customWidth="1"/>
    <col min="4610" max="4610" width="19.85546875" style="1127" customWidth="1"/>
    <col min="4611" max="4611" width="12" style="1127" bestFit="1" customWidth="1"/>
    <col min="4612" max="4864" width="9.140625" style="1127"/>
    <col min="4865" max="4865" width="29.5703125" style="1127" bestFit="1" customWidth="1"/>
    <col min="4866" max="4866" width="19.85546875" style="1127" customWidth="1"/>
    <col min="4867" max="4867" width="12" style="1127" bestFit="1" customWidth="1"/>
    <col min="4868" max="5120" width="9.140625" style="1127"/>
    <col min="5121" max="5121" width="29.5703125" style="1127" bestFit="1" customWidth="1"/>
    <col min="5122" max="5122" width="19.85546875" style="1127" customWidth="1"/>
    <col min="5123" max="5123" width="12" style="1127" bestFit="1" customWidth="1"/>
    <col min="5124" max="5376" width="9.140625" style="1127"/>
    <col min="5377" max="5377" width="29.5703125" style="1127" bestFit="1" customWidth="1"/>
    <col min="5378" max="5378" width="19.85546875" style="1127" customWidth="1"/>
    <col min="5379" max="5379" width="12" style="1127" bestFit="1" customWidth="1"/>
    <col min="5380" max="5632" width="9.140625" style="1127"/>
    <col min="5633" max="5633" width="29.5703125" style="1127" bestFit="1" customWidth="1"/>
    <col min="5634" max="5634" width="19.85546875" style="1127" customWidth="1"/>
    <col min="5635" max="5635" width="12" style="1127" bestFit="1" customWidth="1"/>
    <col min="5636" max="5888" width="9.140625" style="1127"/>
    <col min="5889" max="5889" width="29.5703125" style="1127" bestFit="1" customWidth="1"/>
    <col min="5890" max="5890" width="19.85546875" style="1127" customWidth="1"/>
    <col min="5891" max="5891" width="12" style="1127" bestFit="1" customWidth="1"/>
    <col min="5892" max="6144" width="9.140625" style="1127"/>
    <col min="6145" max="6145" width="29.5703125" style="1127" bestFit="1" customWidth="1"/>
    <col min="6146" max="6146" width="19.85546875" style="1127" customWidth="1"/>
    <col min="6147" max="6147" width="12" style="1127" bestFit="1" customWidth="1"/>
    <col min="6148" max="6400" width="9.140625" style="1127"/>
    <col min="6401" max="6401" width="29.5703125" style="1127" bestFit="1" customWidth="1"/>
    <col min="6402" max="6402" width="19.85546875" style="1127" customWidth="1"/>
    <col min="6403" max="6403" width="12" style="1127" bestFit="1" customWidth="1"/>
    <col min="6404" max="6656" width="9.140625" style="1127"/>
    <col min="6657" max="6657" width="29.5703125" style="1127" bestFit="1" customWidth="1"/>
    <col min="6658" max="6658" width="19.85546875" style="1127" customWidth="1"/>
    <col min="6659" max="6659" width="12" style="1127" bestFit="1" customWidth="1"/>
    <col min="6660" max="6912" width="9.140625" style="1127"/>
    <col min="6913" max="6913" width="29.5703125" style="1127" bestFit="1" customWidth="1"/>
    <col min="6914" max="6914" width="19.85546875" style="1127" customWidth="1"/>
    <col min="6915" max="6915" width="12" style="1127" bestFit="1" customWidth="1"/>
    <col min="6916" max="7168" width="9.140625" style="1127"/>
    <col min="7169" max="7169" width="29.5703125" style="1127" bestFit="1" customWidth="1"/>
    <col min="7170" max="7170" width="19.85546875" style="1127" customWidth="1"/>
    <col min="7171" max="7171" width="12" style="1127" bestFit="1" customWidth="1"/>
    <col min="7172" max="7424" width="9.140625" style="1127"/>
    <col min="7425" max="7425" width="29.5703125" style="1127" bestFit="1" customWidth="1"/>
    <col min="7426" max="7426" width="19.85546875" style="1127" customWidth="1"/>
    <col min="7427" max="7427" width="12" style="1127" bestFit="1" customWidth="1"/>
    <col min="7428" max="7680" width="9.140625" style="1127"/>
    <col min="7681" max="7681" width="29.5703125" style="1127" bestFit="1" customWidth="1"/>
    <col min="7682" max="7682" width="19.85546875" style="1127" customWidth="1"/>
    <col min="7683" max="7683" width="12" style="1127" bestFit="1" customWidth="1"/>
    <col min="7684" max="7936" width="9.140625" style="1127"/>
    <col min="7937" max="7937" width="29.5703125" style="1127" bestFit="1" customWidth="1"/>
    <col min="7938" max="7938" width="19.85546875" style="1127" customWidth="1"/>
    <col min="7939" max="7939" width="12" style="1127" bestFit="1" customWidth="1"/>
    <col min="7940" max="8192" width="9.140625" style="1127"/>
    <col min="8193" max="8193" width="29.5703125" style="1127" bestFit="1" customWidth="1"/>
    <col min="8194" max="8194" width="19.85546875" style="1127" customWidth="1"/>
    <col min="8195" max="8195" width="12" style="1127" bestFit="1" customWidth="1"/>
    <col min="8196" max="8448" width="9.140625" style="1127"/>
    <col min="8449" max="8449" width="29.5703125" style="1127" bestFit="1" customWidth="1"/>
    <col min="8450" max="8450" width="19.85546875" style="1127" customWidth="1"/>
    <col min="8451" max="8451" width="12" style="1127" bestFit="1" customWidth="1"/>
    <col min="8452" max="8704" width="9.140625" style="1127"/>
    <col min="8705" max="8705" width="29.5703125" style="1127" bestFit="1" customWidth="1"/>
    <col min="8706" max="8706" width="19.85546875" style="1127" customWidth="1"/>
    <col min="8707" max="8707" width="12" style="1127" bestFit="1" customWidth="1"/>
    <col min="8708" max="8960" width="9.140625" style="1127"/>
    <col min="8961" max="8961" width="29.5703125" style="1127" bestFit="1" customWidth="1"/>
    <col min="8962" max="8962" width="19.85546875" style="1127" customWidth="1"/>
    <col min="8963" max="8963" width="12" style="1127" bestFit="1" customWidth="1"/>
    <col min="8964" max="9216" width="9.140625" style="1127"/>
    <col min="9217" max="9217" width="29.5703125" style="1127" bestFit="1" customWidth="1"/>
    <col min="9218" max="9218" width="19.85546875" style="1127" customWidth="1"/>
    <col min="9219" max="9219" width="12" style="1127" bestFit="1" customWidth="1"/>
    <col min="9220" max="9472" width="9.140625" style="1127"/>
    <col min="9473" max="9473" width="29.5703125" style="1127" bestFit="1" customWidth="1"/>
    <col min="9474" max="9474" width="19.85546875" style="1127" customWidth="1"/>
    <col min="9475" max="9475" width="12" style="1127" bestFit="1" customWidth="1"/>
    <col min="9476" max="9728" width="9.140625" style="1127"/>
    <col min="9729" max="9729" width="29.5703125" style="1127" bestFit="1" customWidth="1"/>
    <col min="9730" max="9730" width="19.85546875" style="1127" customWidth="1"/>
    <col min="9731" max="9731" width="12" style="1127" bestFit="1" customWidth="1"/>
    <col min="9732" max="9984" width="9.140625" style="1127"/>
    <col min="9985" max="9985" width="29.5703125" style="1127" bestFit="1" customWidth="1"/>
    <col min="9986" max="9986" width="19.85546875" style="1127" customWidth="1"/>
    <col min="9987" max="9987" width="12" style="1127" bestFit="1" customWidth="1"/>
    <col min="9988" max="10240" width="9.140625" style="1127"/>
    <col min="10241" max="10241" width="29.5703125" style="1127" bestFit="1" customWidth="1"/>
    <col min="10242" max="10242" width="19.85546875" style="1127" customWidth="1"/>
    <col min="10243" max="10243" width="12" style="1127" bestFit="1" customWidth="1"/>
    <col min="10244" max="10496" width="9.140625" style="1127"/>
    <col min="10497" max="10497" width="29.5703125" style="1127" bestFit="1" customWidth="1"/>
    <col min="10498" max="10498" width="19.85546875" style="1127" customWidth="1"/>
    <col min="10499" max="10499" width="12" style="1127" bestFit="1" customWidth="1"/>
    <col min="10500" max="10752" width="9.140625" style="1127"/>
    <col min="10753" max="10753" width="29.5703125" style="1127" bestFit="1" customWidth="1"/>
    <col min="10754" max="10754" width="19.85546875" style="1127" customWidth="1"/>
    <col min="10755" max="10755" width="12" style="1127" bestFit="1" customWidth="1"/>
    <col min="10756" max="11008" width="9.140625" style="1127"/>
    <col min="11009" max="11009" width="29.5703125" style="1127" bestFit="1" customWidth="1"/>
    <col min="11010" max="11010" width="19.85546875" style="1127" customWidth="1"/>
    <col min="11011" max="11011" width="12" style="1127" bestFit="1" customWidth="1"/>
    <col min="11012" max="11264" width="9.140625" style="1127"/>
    <col min="11265" max="11265" width="29.5703125" style="1127" bestFit="1" customWidth="1"/>
    <col min="11266" max="11266" width="19.85546875" style="1127" customWidth="1"/>
    <col min="11267" max="11267" width="12" style="1127" bestFit="1" customWidth="1"/>
    <col min="11268" max="11520" width="9.140625" style="1127"/>
    <col min="11521" max="11521" width="29.5703125" style="1127" bestFit="1" customWidth="1"/>
    <col min="11522" max="11522" width="19.85546875" style="1127" customWidth="1"/>
    <col min="11523" max="11523" width="12" style="1127" bestFit="1" customWidth="1"/>
    <col min="11524" max="11776" width="9.140625" style="1127"/>
    <col min="11777" max="11777" width="29.5703125" style="1127" bestFit="1" customWidth="1"/>
    <col min="11778" max="11778" width="19.85546875" style="1127" customWidth="1"/>
    <col min="11779" max="11779" width="12" style="1127" bestFit="1" customWidth="1"/>
    <col min="11780" max="12032" width="9.140625" style="1127"/>
    <col min="12033" max="12033" width="29.5703125" style="1127" bestFit="1" customWidth="1"/>
    <col min="12034" max="12034" width="19.85546875" style="1127" customWidth="1"/>
    <col min="12035" max="12035" width="12" style="1127" bestFit="1" customWidth="1"/>
    <col min="12036" max="12288" width="9.140625" style="1127"/>
    <col min="12289" max="12289" width="29.5703125" style="1127" bestFit="1" customWidth="1"/>
    <col min="12290" max="12290" width="19.85546875" style="1127" customWidth="1"/>
    <col min="12291" max="12291" width="12" style="1127" bestFit="1" customWidth="1"/>
    <col min="12292" max="12544" width="9.140625" style="1127"/>
    <col min="12545" max="12545" width="29.5703125" style="1127" bestFit="1" customWidth="1"/>
    <col min="12546" max="12546" width="19.85546875" style="1127" customWidth="1"/>
    <col min="12547" max="12547" width="12" style="1127" bestFit="1" customWidth="1"/>
    <col min="12548" max="12800" width="9.140625" style="1127"/>
    <col min="12801" max="12801" width="29.5703125" style="1127" bestFit="1" customWidth="1"/>
    <col min="12802" max="12802" width="19.85546875" style="1127" customWidth="1"/>
    <col min="12803" max="12803" width="12" style="1127" bestFit="1" customWidth="1"/>
    <col min="12804" max="13056" width="9.140625" style="1127"/>
    <col min="13057" max="13057" width="29.5703125" style="1127" bestFit="1" customWidth="1"/>
    <col min="13058" max="13058" width="19.85546875" style="1127" customWidth="1"/>
    <col min="13059" max="13059" width="12" style="1127" bestFit="1" customWidth="1"/>
    <col min="13060" max="13312" width="9.140625" style="1127"/>
    <col min="13313" max="13313" width="29.5703125" style="1127" bestFit="1" customWidth="1"/>
    <col min="13314" max="13314" width="19.85546875" style="1127" customWidth="1"/>
    <col min="13315" max="13315" width="12" style="1127" bestFit="1" customWidth="1"/>
    <col min="13316" max="13568" width="9.140625" style="1127"/>
    <col min="13569" max="13569" width="29.5703125" style="1127" bestFit="1" customWidth="1"/>
    <col min="13570" max="13570" width="19.85546875" style="1127" customWidth="1"/>
    <col min="13571" max="13571" width="12" style="1127" bestFit="1" customWidth="1"/>
    <col min="13572" max="13824" width="9.140625" style="1127"/>
    <col min="13825" max="13825" width="29.5703125" style="1127" bestFit="1" customWidth="1"/>
    <col min="13826" max="13826" width="19.85546875" style="1127" customWidth="1"/>
    <col min="13827" max="13827" width="12" style="1127" bestFit="1" customWidth="1"/>
    <col min="13828" max="14080" width="9.140625" style="1127"/>
    <col min="14081" max="14081" width="29.5703125" style="1127" bestFit="1" customWidth="1"/>
    <col min="14082" max="14082" width="19.85546875" style="1127" customWidth="1"/>
    <col min="14083" max="14083" width="12" style="1127" bestFit="1" customWidth="1"/>
    <col min="14084" max="14336" width="9.140625" style="1127"/>
    <col min="14337" max="14337" width="29.5703125" style="1127" bestFit="1" customWidth="1"/>
    <col min="14338" max="14338" width="19.85546875" style="1127" customWidth="1"/>
    <col min="14339" max="14339" width="12" style="1127" bestFit="1" customWidth="1"/>
    <col min="14340" max="14592" width="9.140625" style="1127"/>
    <col min="14593" max="14593" width="29.5703125" style="1127" bestFit="1" customWidth="1"/>
    <col min="14594" max="14594" width="19.85546875" style="1127" customWidth="1"/>
    <col min="14595" max="14595" width="12" style="1127" bestFit="1" customWidth="1"/>
    <col min="14596" max="14848" width="9.140625" style="1127"/>
    <col min="14849" max="14849" width="29.5703125" style="1127" bestFit="1" customWidth="1"/>
    <col min="14850" max="14850" width="19.85546875" style="1127" customWidth="1"/>
    <col min="14851" max="14851" width="12" style="1127" bestFit="1" customWidth="1"/>
    <col min="14852" max="15104" width="9.140625" style="1127"/>
    <col min="15105" max="15105" width="29.5703125" style="1127" bestFit="1" customWidth="1"/>
    <col min="15106" max="15106" width="19.85546875" style="1127" customWidth="1"/>
    <col min="15107" max="15107" width="12" style="1127" bestFit="1" customWidth="1"/>
    <col min="15108" max="15360" width="9.140625" style="1127"/>
    <col min="15361" max="15361" width="29.5703125" style="1127" bestFit="1" customWidth="1"/>
    <col min="15362" max="15362" width="19.85546875" style="1127" customWidth="1"/>
    <col min="15363" max="15363" width="12" style="1127" bestFit="1" customWidth="1"/>
    <col min="15364" max="15616" width="9.140625" style="1127"/>
    <col min="15617" max="15617" width="29.5703125" style="1127" bestFit="1" customWidth="1"/>
    <col min="15618" max="15618" width="19.85546875" style="1127" customWidth="1"/>
    <col min="15619" max="15619" width="12" style="1127" bestFit="1" customWidth="1"/>
    <col min="15620" max="15872" width="9.140625" style="1127"/>
    <col min="15873" max="15873" width="29.5703125" style="1127" bestFit="1" customWidth="1"/>
    <col min="15874" max="15874" width="19.85546875" style="1127" customWidth="1"/>
    <col min="15875" max="15875" width="12" style="1127" bestFit="1" customWidth="1"/>
    <col min="15876" max="16128" width="9.140625" style="1127"/>
    <col min="16129" max="16129" width="29.5703125" style="1127" bestFit="1" customWidth="1"/>
    <col min="16130" max="16130" width="19.85546875" style="1127" customWidth="1"/>
    <col min="16131" max="16131" width="12" style="1127" bestFit="1" customWidth="1"/>
    <col min="16132" max="16384" width="9.140625" style="1127"/>
  </cols>
  <sheetData>
    <row r="1" spans="1:2">
      <c r="A1" s="1127" t="s">
        <v>668</v>
      </c>
      <c r="B1" s="1130">
        <v>6.1</v>
      </c>
    </row>
    <row r="2" spans="1:2">
      <c r="A2" s="1127" t="s">
        <v>669</v>
      </c>
      <c r="B2" s="1134">
        <v>43173.79583333333</v>
      </c>
    </row>
    <row r="3" spans="1:2">
      <c r="A3" s="1127" t="s">
        <v>670</v>
      </c>
      <c r="B3" s="1131" t="s">
        <v>386</v>
      </c>
    </row>
    <row r="4" spans="1:2">
      <c r="A4" s="1127" t="s">
        <v>671</v>
      </c>
      <c r="B4" s="1131" t="s">
        <v>672</v>
      </c>
    </row>
    <row r="5" spans="1:2">
      <c r="A5" s="1127" t="s">
        <v>673</v>
      </c>
      <c r="B5" s="1131" t="s">
        <v>674</v>
      </c>
    </row>
    <row r="6" spans="1:2">
      <c r="A6" s="1127" t="s">
        <v>675</v>
      </c>
    </row>
    <row r="7" spans="1:2">
      <c r="A7" s="1127" t="s">
        <v>36</v>
      </c>
      <c r="B7" s="1131" t="s">
        <v>1034</v>
      </c>
    </row>
    <row r="8" spans="1:2">
      <c r="A8" s="1127" t="s">
        <v>676</v>
      </c>
      <c r="B8" s="1131" t="s">
        <v>677</v>
      </c>
    </row>
    <row r="9" spans="1:2">
      <c r="A9" s="1127" t="s">
        <v>678</v>
      </c>
      <c r="B9" s="1131" t="s">
        <v>1180</v>
      </c>
    </row>
    <row r="10" spans="1:2">
      <c r="A10" s="1127" t="s">
        <v>679</v>
      </c>
    </row>
    <row r="11" spans="1:2">
      <c r="A11" s="1127" t="s">
        <v>680</v>
      </c>
    </row>
    <row r="12" spans="1:2">
      <c r="A12" s="1127" t="s">
        <v>681</v>
      </c>
    </row>
    <row r="13" spans="1:2">
      <c r="A13" s="1127" t="s">
        <v>682</v>
      </c>
    </row>
    <row r="14" spans="1:2">
      <c r="A14" s="1127" t="s">
        <v>683</v>
      </c>
    </row>
    <row r="15" spans="1:2">
      <c r="A15" s="1127" t="s">
        <v>684</v>
      </c>
    </row>
    <row r="16" spans="1:2">
      <c r="A16" s="1127" t="s">
        <v>685</v>
      </c>
    </row>
    <row r="17" spans="1:4">
      <c r="A17" s="1127" t="s">
        <v>686</v>
      </c>
      <c r="B17" s="1131" t="s">
        <v>1181</v>
      </c>
    </row>
    <row r="18" spans="1:4">
      <c r="A18" s="1127" t="s">
        <v>687</v>
      </c>
      <c r="B18" s="1131" t="s">
        <v>385</v>
      </c>
    </row>
    <row r="19" spans="1:4">
      <c r="A19" s="1127" t="s">
        <v>688</v>
      </c>
      <c r="B19" s="1131" t="s">
        <v>1033</v>
      </c>
    </row>
    <row r="20" spans="1:4">
      <c r="A20" s="1127" t="s">
        <v>689</v>
      </c>
      <c r="B20" s="1132">
        <v>345370860</v>
      </c>
    </row>
    <row r="21" spans="1:4">
      <c r="A21" s="1127" t="s">
        <v>690</v>
      </c>
      <c r="B21" s="1131" t="s">
        <v>1033</v>
      </c>
    </row>
    <row r="22" spans="1:4">
      <c r="A22" s="1127" t="s">
        <v>691</v>
      </c>
      <c r="B22" s="1132">
        <v>2615468</v>
      </c>
    </row>
    <row r="23" spans="1:4">
      <c r="A23" s="1127" t="s">
        <v>173</v>
      </c>
      <c r="B23" s="1130">
        <v>10.78</v>
      </c>
    </row>
    <row r="24" spans="1:4">
      <c r="A24" s="1127" t="s">
        <v>171</v>
      </c>
      <c r="B24" s="1131" t="s">
        <v>1</v>
      </c>
      <c r="D24" s="1127" t="s">
        <v>37</v>
      </c>
    </row>
    <row r="25" spans="1:4">
      <c r="A25" s="1127" t="s">
        <v>692</v>
      </c>
      <c r="B25" s="1131" t="s">
        <v>1183</v>
      </c>
    </row>
    <row r="26" spans="1:4">
      <c r="A26" s="1127" t="s">
        <v>693</v>
      </c>
      <c r="B26" s="1131">
        <v>0</v>
      </c>
    </row>
    <row r="27" spans="1:4">
      <c r="A27" s="1127" t="s">
        <v>694</v>
      </c>
      <c r="B27" s="1131" t="s">
        <v>695</v>
      </c>
    </row>
    <row r="28" spans="1:4">
      <c r="A28" s="1127" t="s">
        <v>696</v>
      </c>
      <c r="B28" s="1131" t="s">
        <v>697</v>
      </c>
    </row>
    <row r="29" spans="1:4">
      <c r="A29" s="1127" t="s">
        <v>698</v>
      </c>
    </row>
    <row r="30" spans="1:4">
      <c r="A30" s="1127" t="s">
        <v>699</v>
      </c>
    </row>
    <row r="31" spans="1:4">
      <c r="A31" s="1127" t="s">
        <v>700</v>
      </c>
    </row>
    <row r="32" spans="1:4">
      <c r="A32" s="1127" t="s">
        <v>701</v>
      </c>
      <c r="B32" s="1130"/>
    </row>
    <row r="33" spans="1:2">
      <c r="A33" s="1127" t="s">
        <v>702</v>
      </c>
      <c r="B33" s="1130"/>
    </row>
    <row r="34" spans="1:2">
      <c r="A34" s="1127" t="s">
        <v>703</v>
      </c>
      <c r="B34" s="1130"/>
    </row>
    <row r="35" spans="1:2">
      <c r="A35" s="1127" t="s">
        <v>704</v>
      </c>
      <c r="B35" s="1131">
        <v>1000000</v>
      </c>
    </row>
    <row r="36" spans="1:2">
      <c r="A36" s="1127" t="s">
        <v>705</v>
      </c>
      <c r="B36" s="1131" t="s">
        <v>715</v>
      </c>
    </row>
    <row r="37" spans="1:2">
      <c r="A37" s="1127" t="s">
        <v>706</v>
      </c>
      <c r="B37" s="1131" t="s">
        <v>707</v>
      </c>
    </row>
    <row r="38" spans="1:2">
      <c r="A38" s="1127" t="s">
        <v>708</v>
      </c>
      <c r="B38" s="1131" t="s">
        <v>709</v>
      </c>
    </row>
    <row r="39" spans="1:2">
      <c r="A39" s="1127" t="s">
        <v>710</v>
      </c>
      <c r="B39" s="1131" t="s">
        <v>1182</v>
      </c>
    </row>
    <row r="40" spans="1:2">
      <c r="A40" s="1127" t="s">
        <v>711</v>
      </c>
      <c r="B40" s="1131">
        <v>1500000223</v>
      </c>
    </row>
    <row r="41" spans="1:2">
      <c r="A41" s="1127" t="s">
        <v>712</v>
      </c>
      <c r="B41" s="1131">
        <v>1</v>
      </c>
    </row>
    <row r="42" spans="1:2">
      <c r="A42" s="1133" t="s">
        <v>713</v>
      </c>
    </row>
    <row r="43" spans="1:2">
      <c r="A43" s="1127" t="s">
        <v>714</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1127" bestFit="1" customWidth="1"/>
    <col min="2" max="256" width="9.140625" style="1127"/>
    <col min="257" max="257" width="28.5703125" style="1127" bestFit="1" customWidth="1"/>
    <col min="258" max="512" width="9.140625" style="1127"/>
    <col min="513" max="513" width="28.5703125" style="1127" bestFit="1" customWidth="1"/>
    <col min="514" max="768" width="9.140625" style="1127"/>
    <col min="769" max="769" width="28.5703125" style="1127" bestFit="1" customWidth="1"/>
    <col min="770" max="1024" width="9.140625" style="1127"/>
    <col min="1025" max="1025" width="28.5703125" style="1127" bestFit="1" customWidth="1"/>
    <col min="1026" max="1280" width="9.140625" style="1127"/>
    <col min="1281" max="1281" width="28.5703125" style="1127" bestFit="1" customWidth="1"/>
    <col min="1282" max="1536" width="9.140625" style="1127"/>
    <col min="1537" max="1537" width="28.5703125" style="1127" bestFit="1" customWidth="1"/>
    <col min="1538" max="1792" width="9.140625" style="1127"/>
    <col min="1793" max="1793" width="28.5703125" style="1127" bestFit="1" customWidth="1"/>
    <col min="1794" max="2048" width="9.140625" style="1127"/>
    <col min="2049" max="2049" width="28.5703125" style="1127" bestFit="1" customWidth="1"/>
    <col min="2050" max="2304" width="9.140625" style="1127"/>
    <col min="2305" max="2305" width="28.5703125" style="1127" bestFit="1" customWidth="1"/>
    <col min="2306" max="2560" width="9.140625" style="1127"/>
    <col min="2561" max="2561" width="28.5703125" style="1127" bestFit="1" customWidth="1"/>
    <col min="2562" max="2816" width="9.140625" style="1127"/>
    <col min="2817" max="2817" width="28.5703125" style="1127" bestFit="1" customWidth="1"/>
    <col min="2818" max="3072" width="9.140625" style="1127"/>
    <col min="3073" max="3073" width="28.5703125" style="1127" bestFit="1" customWidth="1"/>
    <col min="3074" max="3328" width="9.140625" style="1127"/>
    <col min="3329" max="3329" width="28.5703125" style="1127" bestFit="1" customWidth="1"/>
    <col min="3330" max="3584" width="9.140625" style="1127"/>
    <col min="3585" max="3585" width="28.5703125" style="1127" bestFit="1" customWidth="1"/>
    <col min="3586" max="3840" width="9.140625" style="1127"/>
    <col min="3841" max="3841" width="28.5703125" style="1127" bestFit="1" customWidth="1"/>
    <col min="3842" max="4096" width="9.140625" style="1127"/>
    <col min="4097" max="4097" width="28.5703125" style="1127" bestFit="1" customWidth="1"/>
    <col min="4098" max="4352" width="9.140625" style="1127"/>
    <col min="4353" max="4353" width="28.5703125" style="1127" bestFit="1" customWidth="1"/>
    <col min="4354" max="4608" width="9.140625" style="1127"/>
    <col min="4609" max="4609" width="28.5703125" style="1127" bestFit="1" customWidth="1"/>
    <col min="4610" max="4864" width="9.140625" style="1127"/>
    <col min="4865" max="4865" width="28.5703125" style="1127" bestFit="1" customWidth="1"/>
    <col min="4866" max="5120" width="9.140625" style="1127"/>
    <col min="5121" max="5121" width="28.5703125" style="1127" bestFit="1" customWidth="1"/>
    <col min="5122" max="5376" width="9.140625" style="1127"/>
    <col min="5377" max="5377" width="28.5703125" style="1127" bestFit="1" customWidth="1"/>
    <col min="5378" max="5632" width="9.140625" style="1127"/>
    <col min="5633" max="5633" width="28.5703125" style="1127" bestFit="1" customWidth="1"/>
    <col min="5634" max="5888" width="9.140625" style="1127"/>
    <col min="5889" max="5889" width="28.5703125" style="1127" bestFit="1" customWidth="1"/>
    <col min="5890" max="6144" width="9.140625" style="1127"/>
    <col min="6145" max="6145" width="28.5703125" style="1127" bestFit="1" customWidth="1"/>
    <col min="6146" max="6400" width="9.140625" style="1127"/>
    <col min="6401" max="6401" width="28.5703125" style="1127" bestFit="1" customWidth="1"/>
    <col min="6402" max="6656" width="9.140625" style="1127"/>
    <col min="6657" max="6657" width="28.5703125" style="1127" bestFit="1" customWidth="1"/>
    <col min="6658" max="6912" width="9.140625" style="1127"/>
    <col min="6913" max="6913" width="28.5703125" style="1127" bestFit="1" customWidth="1"/>
    <col min="6914" max="7168" width="9.140625" style="1127"/>
    <col min="7169" max="7169" width="28.5703125" style="1127" bestFit="1" customWidth="1"/>
    <col min="7170" max="7424" width="9.140625" style="1127"/>
    <col min="7425" max="7425" width="28.5703125" style="1127" bestFit="1" customWidth="1"/>
    <col min="7426" max="7680" width="9.140625" style="1127"/>
    <col min="7681" max="7681" width="28.5703125" style="1127" bestFit="1" customWidth="1"/>
    <col min="7682" max="7936" width="9.140625" style="1127"/>
    <col min="7937" max="7937" width="28.5703125" style="1127" bestFit="1" customWidth="1"/>
    <col min="7938" max="8192" width="9.140625" style="1127"/>
    <col min="8193" max="8193" width="28.5703125" style="1127" bestFit="1" customWidth="1"/>
    <col min="8194" max="8448" width="9.140625" style="1127"/>
    <col min="8449" max="8449" width="28.5703125" style="1127" bestFit="1" customWidth="1"/>
    <col min="8450" max="8704" width="9.140625" style="1127"/>
    <col min="8705" max="8705" width="28.5703125" style="1127" bestFit="1" customWidth="1"/>
    <col min="8706" max="8960" width="9.140625" style="1127"/>
    <col min="8961" max="8961" width="28.5703125" style="1127" bestFit="1" customWidth="1"/>
    <col min="8962" max="9216" width="9.140625" style="1127"/>
    <col min="9217" max="9217" width="28.5703125" style="1127" bestFit="1" customWidth="1"/>
    <col min="9218" max="9472" width="9.140625" style="1127"/>
    <col min="9473" max="9473" width="28.5703125" style="1127" bestFit="1" customWidth="1"/>
    <col min="9474" max="9728" width="9.140625" style="1127"/>
    <col min="9729" max="9729" width="28.5703125" style="1127" bestFit="1" customWidth="1"/>
    <col min="9730" max="9984" width="9.140625" style="1127"/>
    <col min="9985" max="9985" width="28.5703125" style="1127" bestFit="1" customWidth="1"/>
    <col min="9986" max="10240" width="9.140625" style="1127"/>
    <col min="10241" max="10241" width="28.5703125" style="1127" bestFit="1" customWidth="1"/>
    <col min="10242" max="10496" width="9.140625" style="1127"/>
    <col min="10497" max="10497" width="28.5703125" style="1127" bestFit="1" customWidth="1"/>
    <col min="10498" max="10752" width="9.140625" style="1127"/>
    <col min="10753" max="10753" width="28.5703125" style="1127" bestFit="1" customWidth="1"/>
    <col min="10754" max="11008" width="9.140625" style="1127"/>
    <col min="11009" max="11009" width="28.5703125" style="1127" bestFit="1" customWidth="1"/>
    <col min="11010" max="11264" width="9.140625" style="1127"/>
    <col min="11265" max="11265" width="28.5703125" style="1127" bestFit="1" customWidth="1"/>
    <col min="11266" max="11520" width="9.140625" style="1127"/>
    <col min="11521" max="11521" width="28.5703125" style="1127" bestFit="1" customWidth="1"/>
    <col min="11522" max="11776" width="9.140625" style="1127"/>
    <col min="11777" max="11777" width="28.5703125" style="1127" bestFit="1" customWidth="1"/>
    <col min="11778" max="12032" width="9.140625" style="1127"/>
    <col min="12033" max="12033" width="28.5703125" style="1127" bestFit="1" customWidth="1"/>
    <col min="12034" max="12288" width="9.140625" style="1127"/>
    <col min="12289" max="12289" width="28.5703125" style="1127" bestFit="1" customWidth="1"/>
    <col min="12290" max="12544" width="9.140625" style="1127"/>
    <col min="12545" max="12545" width="28.5703125" style="1127" bestFit="1" customWidth="1"/>
    <col min="12546" max="12800" width="9.140625" style="1127"/>
    <col min="12801" max="12801" width="28.5703125" style="1127" bestFit="1" customWidth="1"/>
    <col min="12802" max="13056" width="9.140625" style="1127"/>
    <col min="13057" max="13057" width="28.5703125" style="1127" bestFit="1" customWidth="1"/>
    <col min="13058" max="13312" width="9.140625" style="1127"/>
    <col min="13313" max="13313" width="28.5703125" style="1127" bestFit="1" customWidth="1"/>
    <col min="13314" max="13568" width="9.140625" style="1127"/>
    <col min="13569" max="13569" width="28.5703125" style="1127" bestFit="1" customWidth="1"/>
    <col min="13570" max="13824" width="9.140625" style="1127"/>
    <col min="13825" max="13825" width="28.5703125" style="1127" bestFit="1" customWidth="1"/>
    <col min="13826" max="14080" width="9.140625" style="1127"/>
    <col min="14081" max="14081" width="28.5703125" style="1127" bestFit="1" customWidth="1"/>
    <col min="14082" max="14336" width="9.140625" style="1127"/>
    <col min="14337" max="14337" width="28.5703125" style="1127" bestFit="1" customWidth="1"/>
    <col min="14338" max="14592" width="9.140625" style="1127"/>
    <col min="14593" max="14593" width="28.5703125" style="1127" bestFit="1" customWidth="1"/>
    <col min="14594" max="14848" width="9.140625" style="1127"/>
    <col min="14849" max="14849" width="28.5703125" style="1127" bestFit="1" customWidth="1"/>
    <col min="14850" max="15104" width="9.140625" style="1127"/>
    <col min="15105" max="15105" width="28.5703125" style="1127" bestFit="1" customWidth="1"/>
    <col min="15106" max="15360" width="9.140625" style="1127"/>
    <col min="15361" max="15361" width="28.5703125" style="1127" bestFit="1" customWidth="1"/>
    <col min="15362" max="15616" width="9.140625" style="1127"/>
    <col min="15617" max="15617" width="28.5703125" style="1127" bestFit="1" customWidth="1"/>
    <col min="15618" max="15872" width="9.140625" style="1127"/>
    <col min="15873" max="15873" width="28.5703125" style="1127" bestFit="1" customWidth="1"/>
    <col min="15874" max="16128" width="9.140625" style="1127"/>
    <col min="16129" max="16129" width="28.5703125" style="1127" bestFit="1" customWidth="1"/>
    <col min="16130" max="16384" width="9.140625" style="1127"/>
  </cols>
  <sheetData>
    <row r="1" spans="1:1">
      <c r="A1" s="1135" t="s">
        <v>716</v>
      </c>
    </row>
    <row r="2" spans="1:1">
      <c r="A2" s="1135" t="s">
        <v>1184</v>
      </c>
    </row>
    <row r="3" spans="1:1">
      <c r="A3" s="1135" t="s">
        <v>1185</v>
      </c>
    </row>
    <row r="4" spans="1:1">
      <c r="A4" s="1135" t="s">
        <v>1186</v>
      </c>
    </row>
    <row r="5" spans="1:1">
      <c r="A5" s="1135" t="s">
        <v>721</v>
      </c>
    </row>
    <row r="6" spans="1:1">
      <c r="A6" s="1135" t="s">
        <v>717</v>
      </c>
    </row>
    <row r="7" spans="1:1">
      <c r="A7" s="1135" t="s">
        <v>722</v>
      </c>
    </row>
    <row r="8" spans="1:1">
      <c r="A8" s="1135" t="s">
        <v>1187</v>
      </c>
    </row>
    <row r="9" spans="1:1">
      <c r="A9" s="1135" t="s">
        <v>723</v>
      </c>
    </row>
    <row r="10" spans="1:1">
      <c r="A10" s="1135" t="s">
        <v>718</v>
      </c>
    </row>
    <row r="11" spans="1:1">
      <c r="A11" s="1135" t="s">
        <v>724</v>
      </c>
    </row>
    <row r="12" spans="1:1">
      <c r="A12" s="1135" t="s">
        <v>719</v>
      </c>
    </row>
    <row r="13" spans="1:1">
      <c r="A13" s="1135" t="s">
        <v>720</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82d1324e-2986-4d52-9323-602c8cd8ffc5</GUID>
    <SOURCETYPE>Chart</SOURCETYPE>
    <SOURCE_OBJECTNAME>MWA_Risk_Reward</SOURCE_OBJECTNAME>
    <SOURCE_SHEETCODE>MWRSSData</SOURCE_SHEETCODE>
    <SOURCE_SHEETNAME>MWA RR</SOURCE_SHEETNAME>
    <OBJECTTYPE>Native</OBJECTTYPE>
    <SOURCEAPPLICATION>EXCEL_SOURCE</SOURCEAPPLICATION>
    <UPDATEDAT>4/24/2015 5:05:08 PM</UPDATEDAT>
    <SOURCE_ISOUTOFDATE>False</SOURCE_ISOUTOFDATE>
    <SOURCE_WORKBOOKNAME>LEA Model.xls</SOURCE_WORKBOOKNAME>
    <SOURCE_WORKBOOKPATH>\\MSAD\ROOT\NA\NY\LIB\ER\AUTOS\Valuation\Models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/MSResearch/Content/ExternalAssets/2015-04/Images/2_fflr29CEifcp6HUmbetw--.png</TARGET_BINARYFULLNAME>
    <TARGET_STORYFULLNAME>/MSResearch/Content/ExternalAssets/2015-04/Sections/20150424_050505_MWA_Risk_Reward.xml</TARGET_STORYFULLNAME>
    <TARGET_UUID>950b5f8c-eac5-11e4-b44c-544b7b2f2e67</TARGET_UUID>
  </Link>
  <Link>
    <GUID>30be11fd-0b27-4654-a121-85817bfa9ce3</GUID>
    <SOURCE_ALTADDRESS>$B$9:$DO$48</SOURCE_ALTADDRESS>
    <SOURCETYPE>Table</SOURCETYPE>
    <SOURCE_OBJECTNAME>Linking_Range_18</SOURCE_OBJECTNAME>
    <OBJECTTYPE>Native</OBJECTTYPE>
    <SOURCE_SHEETCODE>Sheet4</SOURCE_SHEETCODE>
    <SOURCE_SHEETNAME>Financial Model</SOURCE_SHEETNAME>
    <SOURCEAPPLICATION>EXCEL_SOURCE</SOURCEAPPLICATION>
    <UPDATEDAT>4/24/2015 5:07:42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/MSResearch/Content/ExternalAssets/2015-04/Images/mtZag7PVBE_kUIIHsMiwRg--.png</TARGET_BINARYFULLNAME>
    <TARGET_STORYFULLNAME>/MSResearch/Content/ExternalAssets/2015-04/Sections/20150424_050738_Linking_Range_18.xml</TARGET_STORYFULLNAME>
    <TARGET_UUID>f00d14ca-eac5-11e4-b44c-544b7b2f2e67</TARGET_UUID>
  </Link>
  <Link>
    <GUID>f2d85ade-0423-4901-8ca1-19fd4995164f</GUID>
    <SOURCE_ALTADDRESS>$B$98:$DO$150</SOURCE_ALTADDRESS>
    <SOURCETYPE>Table</SOURCETYPE>
    <SOURCE_OBJECTNAME>Linking_Range_19</SOURCE_OBJECTNAME>
    <OBJECTTYPE>Native</OBJECTTYPE>
    <SOURCE_SHEETCODE>Sheet4</SOURCE_SHEETCODE>
    <SOURCE_SHEETNAME>Financial Model</SOURCE_SHEETNAME>
    <SOURCEAPPLICATION>EXCEL_SOURCE</SOURCEAPPLICATION>
    <UPDATEDAT>4/24/2015 5:08:23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/MSResearch/Content/ExternalAssets/2015-04/Images/X4p6QI2MXk2az39a57i0Ww--.png</TARGET_BINARYFULLNAME>
    <TARGET_STORYFULLNAME>/MSResearch/Content/ExternalAssets/2015-04/Sections/20150424_050817_Linking_Range_19.xml</TARGET_STORYFULLNAME>
    <TARGET_UUID>077b5fae-eac6-11e4-b44c-544b7b2f2e67</TARGET_UUID>
  </Link>
  <Link>
    <GUID>0ae59f18-0e11-4c38-8b39-1f6f316bf2b1</GUID>
    <SOURCE_ALTADDRESS>$B$154:$DO$200</SOURCE_ALTADDRESS>
    <SOURCETYPE>Table</SOURCETYPE>
    <SOURCE_OBJECTNAME>Linking_Range_20</SOURCE_OBJECTNAME>
    <OBJECTTYPE>Native</OBJECTTYPE>
    <SOURCE_SHEETCODE>Sheet4</SOURCE_SHEETCODE>
    <SOURCE_SHEETNAME>Financial Model</SOURCE_SHEETNAME>
    <SOURCEAPPLICATION>EXCEL_SOURCE</SOURCEAPPLICATION>
    <UPDATEDAT>4/24/2015 5:08:48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/MSResearch/Content/ExternalAssets/2015-04/Images/80fR_C1zZEWdhF1xBht0EA--.png</TARGET_BINARYFULLNAME>
    <TARGET_STORYFULLNAME>/MSResearch/Content/ExternalAssets/2015-04/Sections/20150424_050846_Linking_Range_20.xml</TARGET_STORYFULLNAME>
    <TARGET_UUID>18a176ec-eac6-11e4-b44c-544b7b2f2e67</TARGET_UUID>
  </Link>
  <Link>
    <GUID>5b96e0e1-3a70-4dcd-8e2c-14d632b3294f</GUID>
    <SOURCE_ALTADDRESS>$C$8:$P$39</SOURCE_ALTADDRESS>
    <SOURCETYPE>Table</SOURCETYPE>
    <SOURCE_OBJECTNAME>Linking_Range_14</SOURCE_OBJECTNAME>
    <OBJECTTYPE>Native</OBJECTTYPE>
    <SOURCE_SHEETCODE>Sheet16</SOURCE_SHEETCODE>
    <SOURCE_SHEETNAME>DCF Valuation</SOURCE_SHEETNAME>
    <SOURCEAPPLICATION>EXCEL_SOURCE</SOURCEAPPLICATION>
    <UPDATEDAT>4/24/2015 5:09:17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/MSResearch/Content/ExternalAssets/2015-04/Images/NtSFrVIAiEmtecfUdwYX1g--.png</TARGET_BINARYFULLNAME>
    <TARGET_STORYFULLNAME>/MSResearch/Content/ExternalAssets/2015-04/Sections/20150424_050915_Linking_Range_14.xml</TARGET_STORYFULLNAME>
    <TARGET_UUID>2a0f78ca-eac6-11e4-b44c-544b7b2f2e67</TARGET_UUID>
  </Link>
</lk:Links>
</file>

<file path=customXml/itemProps1.xml><?xml version="1.0" encoding="utf-8"?>
<ds:datastoreItem xmlns:ds="http://schemas.openxmlformats.org/officeDocument/2006/customXml" ds:itemID="{EA2B19F5-0986-41A4-B170-EB172A56D57F}">
  <ds:schemaRefs>
    <ds:schemaRef ds:uri="thomsonreuters.linking.metadatachange"/>
  </ds:schemaRefs>
</ds:datastoreItem>
</file>

<file path=customXml/itemProps2.xml><?xml version="1.0" encoding="utf-8"?>
<ds:datastoreItem xmlns:ds="http://schemas.openxmlformats.org/officeDocument/2006/customXml" ds:itemID="{12F19B21-2498-4769-BF5F-5F8625DD478C}">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98</vt:i4>
      </vt:variant>
    </vt:vector>
  </HeadingPairs>
  <TitlesOfParts>
    <vt:vector size="108" baseType="lpstr">
      <vt:lpstr>ImportantDisclosures</vt:lpstr>
      <vt:lpstr>SOTP</vt:lpstr>
      <vt:lpstr>Financial Model</vt:lpstr>
      <vt:lpstr>Drivers</vt:lpstr>
      <vt:lpstr>DCF Valuation</vt:lpstr>
      <vt:lpstr>US_Pension</vt:lpstr>
      <vt:lpstr>Non-US_Pension</vt:lpstr>
      <vt:lpstr>OPEB</vt:lpstr>
      <vt:lpstr>IndexInformation</vt:lpstr>
      <vt:lpstr>ModPubIndex</vt:lpstr>
      <vt:lpstr>IndexInformation!AdditionalInstructions</vt:lpstr>
      <vt:lpstr>ImportantDisclosures!Address</vt:lpstr>
      <vt:lpstr>ModPubIndex!ANA</vt:lpstr>
      <vt:lpstr>ImportantDisclosures!Authors</vt:lpstr>
      <vt:lpstr>IndexInformation!Authors</vt:lpstr>
      <vt:lpstr>ModPubIndex!BRO</vt:lpstr>
      <vt:lpstr>ImportantDisclosures!CopyrightStamp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ImportantDisclosures!DisclosuresText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Linking_10</vt:lpstr>
      <vt:lpstr>Linking_11</vt:lpstr>
      <vt:lpstr>Linking_12</vt:lpstr>
      <vt:lpstr>Linking_13</vt:lpstr>
      <vt:lpstr>Linking_14</vt:lpstr>
      <vt:lpstr>Linking_3</vt:lpstr>
      <vt:lpstr>Linking_5</vt:lpstr>
      <vt:lpstr>Linking_6</vt:lpstr>
      <vt:lpstr>Linking_7</vt:lpstr>
      <vt:lpstr>Linking_8</vt:lpstr>
      <vt:lpstr>Linking_9</vt:lpstr>
      <vt:lpstr>Linking_Range_10</vt:lpstr>
      <vt:lpstr>Linking_Range_11</vt:lpstr>
      <vt:lpstr>Linking_Range_12</vt:lpstr>
      <vt:lpstr>Linking_Range_13</vt:lpstr>
      <vt:lpstr>'DCF Valuation'!Linking_Range_14</vt:lpstr>
      <vt:lpstr>Linking_Range_15</vt:lpstr>
      <vt:lpstr>Linking_Range_16</vt:lpstr>
      <vt:lpstr>Linking_Range_17</vt:lpstr>
      <vt:lpstr>Linking_Range_18</vt:lpstr>
      <vt:lpstr>Linking_Range_19</vt:lpstr>
      <vt:lpstr>Linking_Range_20</vt:lpstr>
      <vt:lpstr>'DCF Valuation'!Linking_Range_22</vt:lpstr>
      <vt:lpstr>'DCF Valuation'!Linking_Range_23</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OPEB!Print_Area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IndexInformation!SubmitterUserId</vt:lpstr>
      <vt:lpstr>ModPubIndex!SUPPRESSED</vt:lpstr>
      <vt:lpstr>ImportantDisclosures!TargetPrice</vt:lpstr>
      <vt:lpstr>IndexInformation!TemplateRegion</vt:lpstr>
      <vt:lpstr>ImportantDisclosures!Ticker</vt:lpstr>
      <vt:lpstr>IndexInformation!TickerRegion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2009-11-18T10:32:10Z</dcterms:created>
  <dc:creator>ravizkid</dc:creator>
  <cp:lastModifiedBy>Gupte, Vaibhav (Research)</cp:lastModifiedBy>
  <cp:lastPrinted>2018-03-13T22:38:15Z</cp:lastPrinted>
  <dcterms:modified xsi:type="dcterms:W3CDTF">2018-03-14T13:36:03Z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1</vt:lpwstr>
  </property>
  <property fmtid="{D5CDD505-2E9C-101B-9397-08002B2CF9AE}" name="LinkingAutoNameNumberLinking_Range_" pid="3">
    <vt:lpwstr>20</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756264</vt:lpwstr>
  </property>
  <property fmtid="{D5CDD505-2E9C-101B-9397-08002B2CF9AE}" name="ERModPubCompanyName" pid="7">
    <vt:lpwstr>Ford Motor Company</vt:lpwstr>
  </property>
  <property fmtid="{D5CDD505-2E9C-101B-9397-08002B2CF9AE}" name="MSDH34TAG" pid="8">
    <vt:lpwstr>.TEZUF76X5TAHATHESADREYAK-00-INB160+*94600-06=a938cb6e/-278c/-11e8/-97c7/-b3450f688ad8,MD=20180314094016/-0400,ZZ=000Z-0fb2.</vt:lpwstr>
  </property>
</Properties>
</file>